
<file path=[Content_Types].xml><?xml version="1.0" encoding="utf-8"?>
<Types xmlns="http://schemas.openxmlformats.org/package/2006/content-types">
  <Default Extension="bin" ContentType="application/vnd.openxmlformats-officedocument.spreadsheetml.printerSettings"/>
  <Default Extension="png" ContentType="image/png"/>
  <Default Extension="svg" ContentType="image/svg+xml"/>
  <Default Extension="rels" ContentType="application/vnd.openxmlformats-package.relationships+xml"/>
  <Default Extension="xml" ContentType="application/xml"/>
  <Default Extension="wdp" ContentType="image/vnd.ms-photo"/>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style1.xml" ContentType="application/vnd.ms-office.chartstyle+xml"/>
  <Override PartName="/xl/charts/colors1.xml" ContentType="application/vnd.ms-office.chartcolorstyle+xml"/>
  <Override PartName="/xl/charts/chart6.xml" ContentType="application/vnd.openxmlformats-officedocument.drawingml.chart+xml"/>
  <Override PartName="/xl/charts/style2.xml" ContentType="application/vnd.ms-office.chartstyle+xml"/>
  <Override PartName="/xl/charts/colors2.xml" ContentType="application/vnd.ms-office.chartcolorstyle+xml"/>
  <Override PartName="/xl/charts/chart7.xml" ContentType="application/vnd.openxmlformats-officedocument.drawingml.chart+xml"/>
  <Override PartName="/xl/charts/style3.xml" ContentType="application/vnd.ms-office.chartstyle+xml"/>
  <Override PartName="/xl/charts/colors3.xml" ContentType="application/vnd.ms-office.chartcolorstyle+xml"/>
  <Override PartName="/xl/charts/chart8.xml" ContentType="application/vnd.openxmlformats-officedocument.drawingml.chart+xml"/>
  <Override PartName="/xl/charts/style4.xml" ContentType="application/vnd.ms-office.chartstyle+xml"/>
  <Override PartName="/xl/charts/colors4.xml" ContentType="application/vnd.ms-office.chartcolorstyle+xml"/>
  <Override PartName="/xl/drawings/drawing3.xml" ContentType="application/vnd.openxmlformats-officedocument.drawing+xml"/>
  <Override PartName="/xl/charts/chart9.xml" ContentType="application/vnd.openxmlformats-officedocument.drawingml.chart+xml"/>
  <Override PartName="/xl/charts/style5.xml" ContentType="application/vnd.ms-office.chartstyle+xml"/>
  <Override PartName="/xl/charts/colors5.xml" ContentType="application/vnd.ms-office.chartcolorstyle+xml"/>
  <Override PartName="/xl/charts/chart10.xml" ContentType="application/vnd.openxmlformats-officedocument.drawingml.chart+xml"/>
  <Override PartName="/xl/charts/style6.xml" ContentType="application/vnd.ms-office.chartstyle+xml"/>
  <Override PartName="/xl/charts/colors6.xml" ContentType="application/vnd.ms-office.chartcolorstyle+xml"/>
  <Override PartName="/xl/drawings/drawing4.xml" ContentType="application/vnd.openxmlformats-officedocument.drawing+xml"/>
  <Override PartName="/xl/charts/chart11.xml" ContentType="application/vnd.openxmlformats-officedocument.drawingml.chart+xml"/>
  <Override PartName="/xl/charts/style7.xml" ContentType="application/vnd.ms-office.chartstyle+xml"/>
  <Override PartName="/xl/charts/colors7.xml" ContentType="application/vnd.ms-office.chartcolorstyle+xml"/>
  <Override PartName="/xl/charts/chart12.xml" ContentType="application/vnd.openxmlformats-officedocument.drawingml.chart+xml"/>
  <Override PartName="/xl/charts/style8.xml" ContentType="application/vnd.ms-office.chartstyle+xml"/>
  <Override PartName="/xl/charts/colors8.xml" ContentType="application/vnd.ms-office.chartcolorstyle+xml"/>
  <Override PartName="/xl/charts/chart13.xml" ContentType="application/vnd.openxmlformats-officedocument.drawingml.chart+xml"/>
  <Override PartName="/xl/charts/style9.xml" ContentType="application/vnd.ms-office.chartstyle+xml"/>
  <Override PartName="/xl/charts/colors9.xml" ContentType="application/vnd.ms-office.chartcolorstyle+xml"/>
  <Override PartName="/xl/charts/chart14.xml" ContentType="application/vnd.openxmlformats-officedocument.drawingml.chart+xml"/>
  <Override PartName="/xl/charts/style10.xml" ContentType="application/vnd.ms-office.chartstyle+xml"/>
  <Override PartName="/xl/charts/colors10.xml" ContentType="application/vnd.ms-office.chartcolorstyle+xml"/>
  <Override PartName="/xl/charts/chart15.xml" ContentType="application/vnd.openxmlformats-officedocument.drawingml.chart+xml"/>
  <Override PartName="/xl/charts/style11.xml" ContentType="application/vnd.ms-office.chartstyle+xml"/>
  <Override PartName="/xl/charts/colors11.xml" ContentType="application/vnd.ms-office.chartcolorstyle+xml"/>
  <Override PartName="/xl/charts/chart16.xml" ContentType="application/vnd.openxmlformats-officedocument.drawingml.chart+xml"/>
  <Override PartName="/xl/charts/style12.xml" ContentType="application/vnd.ms-office.chartstyle+xml"/>
  <Override PartName="/xl/charts/colors12.xml" ContentType="application/vnd.ms-office.chartcolorstyle+xml"/>
  <Override PartName="/xl/charts/chart17.xml" ContentType="application/vnd.openxmlformats-officedocument.drawingml.chart+xml"/>
  <Override PartName="/xl/charts/style13.xml" ContentType="application/vnd.ms-office.chartstyle+xml"/>
  <Override PartName="/xl/charts/colors13.xml" ContentType="application/vnd.ms-office.chartcolorstyle+xml"/>
  <Override PartName="/xl/charts/chart18.xml" ContentType="application/vnd.openxmlformats-officedocument.drawingml.chart+xml"/>
  <Override PartName="/xl/charts/style14.xml" ContentType="application/vnd.ms-office.chartstyle+xml"/>
  <Override PartName="/xl/charts/colors14.xml" ContentType="application/vnd.ms-office.chartcolorstyle+xml"/>
  <Override PartName="/xl/charts/chart19.xml" ContentType="application/vnd.openxmlformats-officedocument.drawingml.chart+xml"/>
  <Override PartName="/xl/charts/style15.xml" ContentType="application/vnd.ms-office.chartstyle+xml"/>
  <Override PartName="/xl/charts/colors15.xml" ContentType="application/vnd.ms-office.chartcolorstyle+xml"/>
  <Override PartName="/xl/charts/chart20.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5.xml" ContentType="application/vnd.openxmlformats-officedocument.drawing+xml"/>
  <Override PartName="/xl/comments1.xml" ContentType="application/vnd.openxmlformats-officedocument.spreadsheetml.comments+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style17.xml" ContentType="application/vnd.ms-office.chartstyle+xml"/>
  <Override PartName="/xl/charts/colors17.xml" ContentType="application/vnd.ms-office.chartcolorstyle+xml"/>
  <Override PartName="/xl/charts/chart25.xml" ContentType="application/vnd.openxmlformats-officedocument.drawingml.chart+xml"/>
  <Override PartName="/xl/charts/style18.xml" ContentType="application/vnd.ms-office.chartstyle+xml"/>
  <Override PartName="/xl/charts/colors18.xml" ContentType="application/vnd.ms-office.chartcolorstyle+xml"/>
  <Override PartName="/xl/charts/chart26.xml" ContentType="application/vnd.openxmlformats-officedocument.drawingml.chart+xml"/>
  <Override PartName="/xl/charts/style19.xml" ContentType="application/vnd.ms-office.chartstyle+xml"/>
  <Override PartName="/xl/charts/colors19.xml" ContentType="application/vnd.ms-office.chartcolorstyle+xml"/>
  <Override PartName="/xl/charts/chart27.xml" ContentType="application/vnd.openxmlformats-officedocument.drawingml.chart+xml"/>
  <Override PartName="/xl/charts/style20.xml" ContentType="application/vnd.ms-office.chartstyle+xml"/>
  <Override PartName="/xl/charts/colors20.xml" ContentType="application/vnd.ms-office.chartcolorstyle+xml"/>
  <Override PartName="/xl/charts/chart28.xml" ContentType="application/vnd.openxmlformats-officedocument.drawingml.chart+xml"/>
  <Override PartName="/xl/charts/style21.xml" ContentType="application/vnd.ms-office.chartstyle+xml"/>
  <Override PartName="/xl/charts/colors21.xml" ContentType="application/vnd.ms-office.chartcolorstyle+xml"/>
  <Override PartName="/xl/charts/chart29.xml" ContentType="application/vnd.openxmlformats-officedocument.drawingml.chart+xml"/>
  <Override PartName="/xl/charts/style22.xml" ContentType="application/vnd.ms-office.chartstyle+xml"/>
  <Override PartName="/xl/charts/colors22.xml" ContentType="application/vnd.ms-office.chartcolorstyle+xml"/>
  <Override PartName="/xl/charts/chart30.xml" ContentType="application/vnd.openxmlformats-officedocument.drawingml.chart+xml"/>
  <Override PartName="/xl/charts/style23.xml" ContentType="application/vnd.ms-office.chartstyle+xml"/>
  <Override PartName="/xl/charts/colors23.xml" ContentType="application/vnd.ms-office.chartcolorstyle+xml"/>
  <Override PartName="/xl/charts/chart31.xml" ContentType="application/vnd.openxmlformats-officedocument.drawingml.chart+xml"/>
  <Override PartName="/xl/charts/style24.xml" ContentType="application/vnd.ms-office.chartstyle+xml"/>
  <Override PartName="/xl/charts/colors24.xml" ContentType="application/vnd.ms-office.chartcolorstyle+xml"/>
  <Override PartName="/xl/charts/chart32.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6.xml" ContentType="application/vnd.openxmlformats-officedocument.drawing+xml"/>
  <Override PartName="/xl/comments2.xml" ContentType="application/vnd.openxmlformats-officedocument.spreadsheetml.comments+xml"/>
  <Override PartName="/xl/charts/chart33.xml" ContentType="application/vnd.openxmlformats-officedocument.drawingml.chart+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charts/style26.xml" ContentType="application/vnd.ms-office.chartstyle+xml"/>
  <Override PartName="/xl/charts/colors26.xml" ContentType="application/vnd.ms-office.chartcolorstyle+xml"/>
  <Override PartName="/xl/charts/chart37.xml" ContentType="application/vnd.openxmlformats-officedocument.drawingml.chart+xml"/>
  <Override PartName="/xl/charts/style27.xml" ContentType="application/vnd.ms-office.chartstyle+xml"/>
  <Override PartName="/xl/charts/colors27.xml" ContentType="application/vnd.ms-office.chartcolorstyle+xml"/>
  <Override PartName="/xl/charts/chart38.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7.xml" ContentType="application/vnd.openxmlformats-officedocument.drawing+xml"/>
  <Override PartName="/xl/comments3.xml" ContentType="application/vnd.openxmlformats-officedocument.spreadsheetml.comments+xml"/>
  <Override PartName="/xl/charts/chart39.xml" ContentType="application/vnd.openxmlformats-officedocument.drawingml.chart+xml"/>
  <Override PartName="/xl/charts/chart40.xml" ContentType="application/vnd.openxmlformats-officedocument.drawingml.chart+xml"/>
  <Override PartName="/xl/charts/chart41.xml" ContentType="application/vnd.openxmlformats-officedocument.drawingml.chart+xml"/>
  <Override PartName="/xl/charts/chart42.xml" ContentType="application/vnd.openxmlformats-officedocument.drawingml.chart+xml"/>
  <Override PartName="/xl/charts/style29.xml" ContentType="application/vnd.ms-office.chartstyle+xml"/>
  <Override PartName="/xl/charts/colors29.xml" ContentType="application/vnd.ms-office.chartcolorstyle+xml"/>
  <Override PartName="/xl/drawings/drawing8.xml" ContentType="application/vnd.openxmlformats-officedocument.drawing+xml"/>
  <Override PartName="/xl/comments4.xml" ContentType="application/vnd.openxmlformats-officedocument.spreadsheetml.comments+xml"/>
  <Override PartName="/xl/charts/chart43.xml" ContentType="application/vnd.openxmlformats-officedocument.drawingml.chart+xml"/>
  <Override PartName="/xl/charts/chart44.xml" ContentType="application/vnd.openxmlformats-officedocument.drawingml.chart+xml"/>
  <Override PartName="/xl/charts/chart45.xml" ContentType="application/vnd.openxmlformats-officedocument.drawingml.chart+xml"/>
  <Override PartName="/xl/charts/chart46.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9.xml" ContentType="application/vnd.openxmlformats-officedocument.drawing+xml"/>
  <Override PartName="/xl/charts/chart47.xml" ContentType="application/vnd.openxmlformats-officedocument.drawingml.chart+xml"/>
  <Override PartName="/xl/charts/chart48.xml" ContentType="application/vnd.openxmlformats-officedocument.drawingml.chart+xml"/>
  <Override PartName="/xl/charts/chart49.xml" ContentType="application/vnd.openxmlformats-officedocument.drawingml.chart+xml"/>
  <Override PartName="/xl/charts/chart50.xml" ContentType="application/vnd.openxmlformats-officedocument.drawingml.chart+xml"/>
  <Override PartName="/xl/charts/style31.xml" ContentType="application/vnd.ms-office.chartstyle+xml"/>
  <Override PartName="/xl/charts/colors31.xml" ContentType="application/vnd.ms-office.chartcolorstyle+xml"/>
  <Override PartName="/xl/drawings/drawing10.xml" ContentType="application/vnd.openxmlformats-officedocument.drawing+xml"/>
  <Override PartName="/xl/charts/chart51.xml" ContentType="application/vnd.openxmlformats-officedocument.drawingml.chart+xml"/>
  <Override PartName="/xl/charts/style32.xml" ContentType="application/vnd.ms-office.chartstyle+xml"/>
  <Override PartName="/xl/charts/colors32.xml" ContentType="application/vnd.ms-office.chartcolorstyle+xml"/>
  <Override PartName="/xl/drawings/drawing11.xml" ContentType="application/vnd.openxmlformats-officedocument.drawing+xml"/>
  <Override PartName="/xl/charts/chart52.xml" ContentType="application/vnd.openxmlformats-officedocument.drawingml.chart+xml"/>
  <Override PartName="/xl/charts/style33.xml" ContentType="application/vnd.ms-office.chartstyle+xml"/>
  <Override PartName="/xl/charts/colors33.xml" ContentType="application/vnd.ms-office.chartcolorstyle+xml"/>
  <Override PartName="/xl/drawings/drawing12.xml" ContentType="application/vnd.openxmlformats-officedocument.drawing+xml"/>
  <Override PartName="/xl/charts/chart53.xml" ContentType="application/vnd.openxmlformats-officedocument.drawingml.chart+xml"/>
  <Override PartName="/xl/charts/style34.xml" ContentType="application/vnd.ms-office.chartstyle+xml"/>
  <Override PartName="/xl/charts/colors34.xml" ContentType="application/vnd.ms-office.chartcolorstyle+xml"/>
  <Override PartName="/xl/charts/chart54.xml" ContentType="application/vnd.openxmlformats-officedocument.drawingml.chart+xml"/>
  <Override PartName="/xl/charts/style35.xml" ContentType="application/vnd.ms-office.chartstyle+xml"/>
  <Override PartName="/xl/charts/colors35.xml" ContentType="application/vnd.ms-office.chartcolorstyle+xml"/>
  <Override PartName="/xl/charts/chart55.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13.xml" ContentType="application/vnd.openxmlformats-officedocument.drawing+xml"/>
  <Override PartName="/xl/charts/chart56.xml" ContentType="application/vnd.openxmlformats-officedocument.drawingml.chart+xml"/>
  <Override PartName="/xl/charts/style37.xml" ContentType="application/vnd.ms-office.chartstyle+xml"/>
  <Override PartName="/xl/charts/colors37.xml" ContentType="application/vnd.ms-office.chartcolorstyle+xml"/>
  <Override PartName="/xl/charts/chart57.xml" ContentType="application/vnd.openxmlformats-officedocument.drawingml.chart+xml"/>
  <Override PartName="/xl/charts/chart58.xml" ContentType="application/vnd.openxmlformats-officedocument.drawingml.chart+xml"/>
  <Override PartName="/xl/charts/style38.xml" ContentType="application/vnd.ms-office.chartstyle+xml"/>
  <Override PartName="/xl/charts/colors38.xml" ContentType="application/vnd.ms-office.chartcolorstyle+xml"/>
  <Override PartName="/xl/charts/chart59.xml" ContentType="application/vnd.openxmlformats-officedocument.drawingml.chart+xml"/>
  <Override PartName="/xl/drawings/drawing14.xml" ContentType="application/vnd.openxmlformats-officedocument.drawing+xml"/>
  <Override PartName="/xl/charts/chart60.xml" ContentType="application/vnd.openxmlformats-officedocument.drawingml.chart+xml"/>
  <Override PartName="/xl/charts/style39.xml" ContentType="application/vnd.ms-office.chartstyle+xml"/>
  <Override PartName="/xl/charts/colors39.xml" ContentType="application/vnd.ms-office.chartcolorstyle+xml"/>
  <Override PartName="/xl/charts/chart61.xml" ContentType="application/vnd.openxmlformats-officedocument.drawingml.chart+xml"/>
  <Override PartName="/xl/charts/style40.xml" ContentType="application/vnd.ms-office.chartstyle+xml"/>
  <Override PartName="/xl/charts/colors40.xml" ContentType="application/vnd.ms-office.chartcolorstyle+xml"/>
  <Override PartName="/xl/charts/chart62.xml" ContentType="application/vnd.openxmlformats-officedocument.drawingml.chart+xml"/>
  <Override PartName="/xl/charts/style41.xml" ContentType="application/vnd.ms-office.chartstyle+xml"/>
  <Override PartName="/xl/charts/colors41.xml" ContentType="application/vnd.ms-office.chartcolorstyle+xml"/>
  <Override PartName="/xl/charts/chart63.xml" ContentType="application/vnd.openxmlformats-officedocument.drawingml.chart+xml"/>
  <Override PartName="/xl/charts/style42.xml" ContentType="application/vnd.ms-office.chartstyle+xml"/>
  <Override PartName="/xl/charts/colors42.xml" ContentType="application/vnd.ms-office.chartcolorstyle+xml"/>
  <Override PartName="/xl/drawings/drawing15.xml" ContentType="application/vnd.openxmlformats-officedocument.drawing+xml"/>
  <Override PartName="/xl/charts/chart64.xml" ContentType="application/vnd.openxmlformats-officedocument.drawingml.chart+xml"/>
  <Override PartName="/xl/charts/style43.xml" ContentType="application/vnd.ms-office.chartstyle+xml"/>
  <Override PartName="/xl/charts/colors43.xml" ContentType="application/vnd.ms-office.chartcolorstyle+xml"/>
  <Override PartName="/xl/charts/chart65.xml" ContentType="application/vnd.openxmlformats-officedocument.drawingml.chart+xml"/>
  <Override PartName="/xl/charts/style44.xml" ContentType="application/vnd.ms-office.chartstyle+xml"/>
  <Override PartName="/xl/charts/colors44.xml" ContentType="application/vnd.ms-office.chartcolorstyle+xml"/>
  <Override PartName="/xl/charts/chart66.xml" ContentType="application/vnd.openxmlformats-officedocument.drawingml.chart+xml"/>
  <Override PartName="/xl/charts/style45.xml" ContentType="application/vnd.ms-office.chartstyle+xml"/>
  <Override PartName="/xl/charts/colors45.xml" ContentType="application/vnd.ms-office.chartcolorstyle+xml"/>
  <Override PartName="/xl/charts/chart67.xml" ContentType="application/vnd.openxmlformats-officedocument.drawingml.chart+xml"/>
  <Override PartName="/xl/charts/style46.xml" ContentType="application/vnd.ms-office.chartstyle+xml"/>
  <Override PartName="/xl/charts/colors46.xml" ContentType="application/vnd.ms-office.chartcolorstyle+xml"/>
  <Override PartName="/xl/drawings/drawing16.xml" ContentType="application/vnd.openxmlformats-officedocument.drawing+xml"/>
  <Override PartName="/xl/charts/chart68.xml" ContentType="application/vnd.openxmlformats-officedocument.drawingml.chart+xml"/>
  <Override PartName="/xl/charts/style47.xml" ContentType="application/vnd.ms-office.chartstyle+xml"/>
  <Override PartName="/xl/charts/colors47.xml" ContentType="application/vnd.ms-office.chartcolorstyle+xml"/>
  <Override PartName="/xl/charts/chart69.xml" ContentType="application/vnd.openxmlformats-officedocument.drawingml.chart+xml"/>
  <Override PartName="/xl/charts/style48.xml" ContentType="application/vnd.ms-office.chartstyle+xml"/>
  <Override PartName="/xl/charts/colors48.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persons/person.xml" ContentType="application/vnd.ms-excel.person+xml"/>
  <Override PartName="/xl/threadedComments/threadedComment1.xml" ContentType="application/vnd.ms-excel.threaded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05"/>
  <workbookPr codeName="ThisWorkbook" defaultThemeVersion="124226"/>
  <mc:AlternateContent xmlns:mc="http://schemas.openxmlformats.org/markup-compatibility/2006">
    <mc:Choice Requires="x15">
      <x15ac:absPath xmlns:x15ac="http://schemas.microsoft.com/office/spreadsheetml/2010/11/ac" url="C:\Users\nrangel\OneDrive - Municipio de Soacha\WORK PC\2024\ICFES\SABER11\"/>
    </mc:Choice>
  </mc:AlternateContent>
  <xr:revisionPtr revIDLastSave="45" documentId="13_ncr:1_{B856F1A1-7ACE-4F3F-A62E-AC5ED8429D0E}" xr6:coauthVersionLast="36" xr6:coauthVersionMax="47" xr10:uidLastSave="{4D653C50-7A2A-4A91-B62A-8FDBEF7B5B72}"/>
  <bookViews>
    <workbookView xWindow="0" yWindow="0" windowWidth="9312" windowHeight="4716" activeTab="11" xr2:uid="{00000000-000D-0000-FFFF-FFFF00000000}"/>
  </bookViews>
  <sheets>
    <sheet name="GUÍA DE USO" sheetId="65" r:id="rId1"/>
    <sheet name="PGLOBAL" sheetId="3" state="hidden" r:id="rId2"/>
    <sheet name="Ficha técnica" sheetId="2" state="hidden" r:id="rId3"/>
    <sheet name="Clasificación" sheetId="63" state="hidden" r:id="rId4"/>
    <sheet name="PuntajeGlobal" sheetId="54" r:id="rId5"/>
    <sheet name="Promediosyniveles" sheetId="64" r:id="rId6"/>
    <sheet name="LC" sheetId="16" state="hidden" r:id="rId7"/>
    <sheet name="MATE" sheetId="23" state="hidden" r:id="rId8"/>
    <sheet name="SyC" sheetId="30" state="hidden" r:id="rId9"/>
    <sheet name="CN" sheetId="37" state="hidden" r:id="rId10"/>
    <sheet name="INGLES" sheetId="44" state="hidden" r:id="rId11"/>
    <sheet name="AprenLectura" sheetId="46" r:id="rId12"/>
    <sheet name="AprenMate" sheetId="47" r:id="rId13"/>
    <sheet name="AprenSyC" sheetId="48" r:id="rId14"/>
    <sheet name="AprenCNProVivos" sheetId="66" r:id="rId15"/>
    <sheet name="AprenCNProQuímicos" sheetId="51" r:id="rId16"/>
    <sheet name="AprenCNProFísicos" sheetId="52" r:id="rId17"/>
    <sheet name="AprenCNCTS" sheetId="53" r:id="rId18"/>
  </sheets>
  <definedNames>
    <definedName name="_xlnm._FilterDatabase" localSheetId="3" hidden="1">Clasificación!$A$5:$BZ$132</definedName>
    <definedName name="_xlnm.Print_Area" localSheetId="17">AprenCNCTS!$B$10:$G$78</definedName>
    <definedName name="_xlnm.Print_Area" localSheetId="16">AprenCNProFísicos!$B$9:$K$90</definedName>
    <definedName name="_xlnm.Print_Area" localSheetId="15">AprenCNProQuímicos!$A$8:$K$98</definedName>
    <definedName name="_xlnm.Print_Area" localSheetId="14">AprenCNProVivos!$A$9:$K$98</definedName>
    <definedName name="_xlnm.Print_Area" localSheetId="13">AprenSyC!$A$1:$I$109</definedName>
    <definedName name="_xlnm.Print_Area" localSheetId="5">Promediosyniveles!$C$7:$O$315</definedName>
  </definedNames>
  <calcPr calcId="191029"/>
</workbook>
</file>

<file path=xl/calcChain.xml><?xml version="1.0" encoding="utf-8"?>
<calcChain xmlns="http://schemas.openxmlformats.org/spreadsheetml/2006/main">
  <c r="E9" i="46" l="1"/>
  <c r="E9" i="47"/>
  <c r="AK193" i="44" l="1"/>
  <c r="AK192" i="44"/>
  <c r="AK191" i="44"/>
  <c r="AK190" i="44"/>
  <c r="AK189" i="44"/>
  <c r="AK188" i="44"/>
  <c r="AI193" i="44"/>
  <c r="AI192" i="44"/>
  <c r="AI191" i="44"/>
  <c r="AI190" i="44"/>
  <c r="AI189" i="44"/>
  <c r="AI188" i="44"/>
  <c r="U181" i="44"/>
  <c r="U180" i="44"/>
  <c r="U179" i="44"/>
  <c r="U178" i="44"/>
  <c r="U177" i="44"/>
  <c r="U176" i="44"/>
  <c r="AG193" i="44"/>
  <c r="AG192" i="44"/>
  <c r="AG191" i="44"/>
  <c r="AG190" i="44"/>
  <c r="AG189" i="44"/>
  <c r="AG188" i="44"/>
  <c r="AE193" i="44"/>
  <c r="AE192" i="44"/>
  <c r="AE191" i="44"/>
  <c r="AE190" i="44"/>
  <c r="AE189" i="44"/>
  <c r="AE188" i="44"/>
  <c r="S181" i="44"/>
  <c r="S180" i="44"/>
  <c r="S179" i="44"/>
  <c r="S178" i="44"/>
  <c r="S177" i="44"/>
  <c r="S176" i="44"/>
  <c r="AJ193" i="44"/>
  <c r="AJ192" i="44"/>
  <c r="AJ191" i="44"/>
  <c r="AJ190" i="44"/>
  <c r="AJ189" i="44"/>
  <c r="AJ188" i="44"/>
  <c r="AH193" i="44"/>
  <c r="AH192" i="44"/>
  <c r="AH191" i="44"/>
  <c r="AH190" i="44"/>
  <c r="AH189" i="44"/>
  <c r="AH188" i="44"/>
  <c r="T181" i="44"/>
  <c r="T180" i="44"/>
  <c r="T179" i="44"/>
  <c r="T178" i="44"/>
  <c r="T177" i="44"/>
  <c r="T176" i="44"/>
  <c r="AF193" i="44"/>
  <c r="AF192" i="44"/>
  <c r="AF191" i="44"/>
  <c r="AF190" i="44"/>
  <c r="AF189" i="44"/>
  <c r="AF188" i="44"/>
  <c r="AD193" i="44"/>
  <c r="AD192" i="44"/>
  <c r="AD191" i="44"/>
  <c r="AD190" i="44"/>
  <c r="AD189" i="44"/>
  <c r="AD188" i="44"/>
  <c r="R181" i="44"/>
  <c r="R180" i="44"/>
  <c r="R179" i="44"/>
  <c r="R178" i="44"/>
  <c r="R177" i="44"/>
  <c r="R176" i="44"/>
  <c r="AK193" i="37"/>
  <c r="AK192" i="37"/>
  <c r="AK191" i="37"/>
  <c r="AK190" i="37"/>
  <c r="AK189" i="37"/>
  <c r="AK188" i="37"/>
  <c r="AI193" i="37"/>
  <c r="AI192" i="37"/>
  <c r="AI191" i="37"/>
  <c r="AI190" i="37"/>
  <c r="AI189" i="37"/>
  <c r="AI188" i="37"/>
  <c r="U181" i="37"/>
  <c r="U180" i="37"/>
  <c r="U179" i="37"/>
  <c r="U178" i="37"/>
  <c r="U177" i="37"/>
  <c r="U176" i="37"/>
  <c r="AG193" i="37"/>
  <c r="AG192" i="37"/>
  <c r="AG191" i="37"/>
  <c r="AG190" i="37"/>
  <c r="AG189" i="37"/>
  <c r="AG188" i="37"/>
  <c r="AE193" i="37"/>
  <c r="AE192" i="37"/>
  <c r="AE191" i="37"/>
  <c r="AE190" i="37"/>
  <c r="AE189" i="37"/>
  <c r="AE188" i="37"/>
  <c r="S181" i="37"/>
  <c r="S180" i="37"/>
  <c r="S179" i="37"/>
  <c r="S178" i="37"/>
  <c r="S177" i="37"/>
  <c r="S176" i="37"/>
  <c r="AJ193" i="37"/>
  <c r="AJ192" i="37"/>
  <c r="AJ191" i="37"/>
  <c r="AJ190" i="37"/>
  <c r="AJ189" i="37"/>
  <c r="AJ188" i="37"/>
  <c r="AH193" i="37"/>
  <c r="AH192" i="37"/>
  <c r="AH191" i="37"/>
  <c r="AH190" i="37"/>
  <c r="AH189" i="37"/>
  <c r="AH188" i="37"/>
  <c r="T181" i="37"/>
  <c r="T180" i="37"/>
  <c r="T179" i="37"/>
  <c r="T178" i="37"/>
  <c r="T177" i="37"/>
  <c r="T176" i="37"/>
  <c r="AB193" i="37"/>
  <c r="Z193" i="37"/>
  <c r="AB192" i="37"/>
  <c r="Z192" i="37"/>
  <c r="AB191" i="37"/>
  <c r="Z191" i="37"/>
  <c r="AB190" i="37"/>
  <c r="Z190" i="37"/>
  <c r="AB189" i="37"/>
  <c r="Z189" i="37"/>
  <c r="AB188" i="37"/>
  <c r="Z188" i="37"/>
  <c r="P181" i="37"/>
  <c r="P180" i="37"/>
  <c r="P179" i="37"/>
  <c r="P178" i="37"/>
  <c r="P177" i="37"/>
  <c r="P176" i="37"/>
  <c r="FB35" i="37"/>
  <c r="FB34" i="37"/>
  <c r="FB33" i="37"/>
  <c r="FB32" i="37"/>
  <c r="FB31" i="37"/>
  <c r="FB30" i="37"/>
  <c r="FB29" i="37"/>
  <c r="FB28" i="37"/>
  <c r="FB27" i="37"/>
  <c r="FB26" i="37"/>
  <c r="FB25" i="37"/>
  <c r="FB24" i="37"/>
  <c r="FB23" i="37"/>
  <c r="FB22" i="37"/>
  <c r="FB21" i="37"/>
  <c r="FB20" i="37"/>
  <c r="FB19" i="37"/>
  <c r="FB18" i="37"/>
  <c r="AF193" i="37"/>
  <c r="AF192" i="37"/>
  <c r="AF191" i="37"/>
  <c r="AF190" i="37"/>
  <c r="AF189" i="37"/>
  <c r="AF188" i="37"/>
  <c r="AD193" i="37"/>
  <c r="AD192" i="37"/>
  <c r="AD191" i="37"/>
  <c r="AD190" i="37"/>
  <c r="AD189" i="37"/>
  <c r="AD188" i="37"/>
  <c r="R181" i="37"/>
  <c r="R180" i="37"/>
  <c r="R179" i="37"/>
  <c r="R178" i="37"/>
  <c r="R177" i="37"/>
  <c r="R176" i="37"/>
  <c r="AK193" i="30"/>
  <c r="AK192" i="30"/>
  <c r="AK191" i="30"/>
  <c r="AK190" i="30"/>
  <c r="AK189" i="30"/>
  <c r="AK188" i="30"/>
  <c r="AI193" i="30"/>
  <c r="AI192" i="30"/>
  <c r="AI191" i="30"/>
  <c r="AI189" i="30"/>
  <c r="AI190" i="30"/>
  <c r="AI188" i="30"/>
  <c r="U181" i="30"/>
  <c r="U180" i="30"/>
  <c r="U179" i="30"/>
  <c r="U178" i="30"/>
  <c r="U177" i="30"/>
  <c r="U176" i="30"/>
  <c r="AG193" i="30"/>
  <c r="AG192" i="30"/>
  <c r="AG191" i="30"/>
  <c r="AG190" i="30"/>
  <c r="AG189" i="30"/>
  <c r="AG188" i="30"/>
  <c r="AE193" i="30"/>
  <c r="AE192" i="30"/>
  <c r="AE191" i="30"/>
  <c r="AE190" i="30"/>
  <c r="AE189" i="30"/>
  <c r="AE188" i="30"/>
  <c r="S181" i="30"/>
  <c r="S180" i="30"/>
  <c r="S179" i="30"/>
  <c r="S178" i="30"/>
  <c r="S177" i="30"/>
  <c r="S176" i="30"/>
  <c r="AJ193" i="30"/>
  <c r="AJ192" i="30"/>
  <c r="AJ191" i="30"/>
  <c r="AJ190" i="30"/>
  <c r="AJ189" i="30"/>
  <c r="AJ188" i="30"/>
  <c r="AH193" i="30"/>
  <c r="AH192" i="30"/>
  <c r="AH191" i="30"/>
  <c r="AH190" i="30"/>
  <c r="AH189" i="30"/>
  <c r="AH188" i="30"/>
  <c r="T181" i="30"/>
  <c r="T180" i="30"/>
  <c r="T179" i="30"/>
  <c r="T178" i="30"/>
  <c r="T177" i="30"/>
  <c r="T176" i="30"/>
  <c r="AF193" i="30"/>
  <c r="AF192" i="30"/>
  <c r="AF191" i="30"/>
  <c r="AF190" i="30"/>
  <c r="AF189" i="30"/>
  <c r="AF188" i="30"/>
  <c r="AD193" i="30"/>
  <c r="AD192" i="30"/>
  <c r="AD191" i="30"/>
  <c r="AD190" i="30"/>
  <c r="AD189" i="30"/>
  <c r="AD188" i="30"/>
  <c r="R181" i="30"/>
  <c r="R180" i="30"/>
  <c r="R179" i="30"/>
  <c r="R178" i="30"/>
  <c r="R177" i="30"/>
  <c r="R176" i="30"/>
  <c r="AJ193" i="23" l="1"/>
  <c r="AJ192" i="23"/>
  <c r="AJ191" i="23"/>
  <c r="AJ190" i="23"/>
  <c r="AJ189" i="23"/>
  <c r="AJ188" i="23"/>
  <c r="AH193" i="23"/>
  <c r="AH192" i="23"/>
  <c r="AH191" i="23"/>
  <c r="AH190" i="23"/>
  <c r="AH189" i="23"/>
  <c r="AH188" i="23"/>
  <c r="AI193" i="23"/>
  <c r="AI192" i="23"/>
  <c r="AI191" i="23"/>
  <c r="AI190" i="23"/>
  <c r="AI189" i="23"/>
  <c r="AI188" i="23"/>
  <c r="AG193" i="23"/>
  <c r="AG192" i="23"/>
  <c r="AG191" i="23"/>
  <c r="AG190" i="23"/>
  <c r="AG189" i="23"/>
  <c r="AG188" i="23"/>
  <c r="AF193" i="23"/>
  <c r="AF192" i="23"/>
  <c r="AF191" i="23"/>
  <c r="AF190" i="23"/>
  <c r="AF189" i="23"/>
  <c r="AF188" i="23"/>
  <c r="AD193" i="23"/>
  <c r="AD192" i="23"/>
  <c r="AD191" i="23"/>
  <c r="AD190" i="23"/>
  <c r="AD189" i="23"/>
  <c r="AD188" i="23"/>
  <c r="AE193" i="23"/>
  <c r="AE192" i="23"/>
  <c r="AE191" i="23"/>
  <c r="AE190" i="23"/>
  <c r="AE189" i="23"/>
  <c r="AE188" i="23"/>
  <c r="AC193" i="23"/>
  <c r="AC192" i="23"/>
  <c r="AC191" i="23"/>
  <c r="AC190" i="23"/>
  <c r="AC189" i="23"/>
  <c r="AC188" i="23"/>
  <c r="T181" i="23"/>
  <c r="T180" i="23"/>
  <c r="T179" i="23"/>
  <c r="T178" i="23"/>
  <c r="T177" i="23"/>
  <c r="T176" i="23"/>
  <c r="S181" i="23"/>
  <c r="S180" i="23"/>
  <c r="S179" i="23"/>
  <c r="S178" i="23"/>
  <c r="S177" i="23"/>
  <c r="S176" i="23"/>
  <c r="R181" i="23"/>
  <c r="R180" i="23"/>
  <c r="R179" i="23"/>
  <c r="R178" i="23"/>
  <c r="R177" i="23"/>
  <c r="R176" i="23"/>
  <c r="Q181" i="23"/>
  <c r="Q180" i="23"/>
  <c r="Q179" i="23"/>
  <c r="Q178" i="23"/>
  <c r="Q177" i="23"/>
  <c r="Q176" i="23"/>
  <c r="AH194" i="16" l="1"/>
  <c r="AH193" i="16"/>
  <c r="AH192" i="16"/>
  <c r="AH191" i="16"/>
  <c r="AH190" i="16"/>
  <c r="AH189" i="16"/>
  <c r="AF194" i="16"/>
  <c r="AF193" i="16"/>
  <c r="AF192" i="16"/>
  <c r="AF191" i="16"/>
  <c r="AF190" i="16"/>
  <c r="AF189" i="16"/>
  <c r="AD194" i="16"/>
  <c r="AD193" i="16"/>
  <c r="AD192" i="16"/>
  <c r="AD191" i="16"/>
  <c r="AD190" i="16"/>
  <c r="AD189" i="16"/>
  <c r="AB194" i="16"/>
  <c r="AB193" i="16"/>
  <c r="AB192" i="16"/>
  <c r="AB191" i="16"/>
  <c r="AB190" i="16"/>
  <c r="AB189" i="16"/>
  <c r="AG194" i="16"/>
  <c r="AG193" i="16"/>
  <c r="AG192" i="16"/>
  <c r="AG191" i="16"/>
  <c r="AG190" i="16"/>
  <c r="AG189" i="16"/>
  <c r="AE194" i="16"/>
  <c r="AE193" i="16"/>
  <c r="AE192" i="16"/>
  <c r="AE191" i="16"/>
  <c r="AE190" i="16"/>
  <c r="AE189" i="16"/>
  <c r="AC194" i="16"/>
  <c r="AC193" i="16"/>
  <c r="AC192" i="16"/>
  <c r="AC191" i="16"/>
  <c r="AC190" i="16"/>
  <c r="AC189" i="16"/>
  <c r="AA194" i="16"/>
  <c r="AA193" i="16"/>
  <c r="AA192" i="16"/>
  <c r="AA191" i="16"/>
  <c r="AA190" i="16"/>
  <c r="AA189" i="16"/>
  <c r="AI190" i="3"/>
  <c r="AI189" i="3"/>
  <c r="AI188" i="3"/>
  <c r="AI187" i="3"/>
  <c r="AI186" i="3"/>
  <c r="AI185" i="3"/>
  <c r="AH190" i="3"/>
  <c r="AH189" i="3"/>
  <c r="AH188" i="3"/>
  <c r="AH187" i="3"/>
  <c r="AH186" i="3"/>
  <c r="AH185" i="3"/>
  <c r="AK190" i="3"/>
  <c r="AK189" i="3"/>
  <c r="AK188" i="3"/>
  <c r="AK187" i="3"/>
  <c r="AK186" i="3"/>
  <c r="AK185" i="3"/>
  <c r="AJ190" i="3"/>
  <c r="AJ189" i="3"/>
  <c r="AJ188" i="3"/>
  <c r="AJ187" i="3"/>
  <c r="AJ186" i="3"/>
  <c r="AJ185" i="3"/>
  <c r="AM190" i="3"/>
  <c r="AL190" i="3"/>
  <c r="AM189" i="3"/>
  <c r="AL189" i="3"/>
  <c r="AM188" i="3"/>
  <c r="AL188" i="3"/>
  <c r="AM187" i="3"/>
  <c r="AL187" i="3"/>
  <c r="AM186" i="3"/>
  <c r="AL186" i="3"/>
  <c r="AM185" i="3"/>
  <c r="AL185" i="3"/>
  <c r="AG190" i="3"/>
  <c r="AG189" i="3"/>
  <c r="AG188" i="3"/>
  <c r="AG187" i="3"/>
  <c r="AG185" i="3"/>
  <c r="AG186" i="3"/>
  <c r="AF190" i="3"/>
  <c r="AF189" i="3"/>
  <c r="AF188" i="3"/>
  <c r="AF187" i="3"/>
  <c r="AF186" i="3"/>
  <c r="AF185" i="3"/>
  <c r="J22" i="46" l="1"/>
  <c r="K22" i="46" l="1"/>
  <c r="I22" i="46"/>
  <c r="M34" i="54"/>
  <c r="L34" i="54"/>
  <c r="D22" i="54"/>
  <c r="E22" i="54"/>
  <c r="C22" i="54"/>
  <c r="BM35" i="44" l="1"/>
  <c r="BL35" i="44"/>
  <c r="BK35" i="44"/>
  <c r="BJ35" i="44"/>
  <c r="BI35" i="44"/>
  <c r="BM34" i="44"/>
  <c r="BL34" i="44"/>
  <c r="BK34" i="44"/>
  <c r="BJ34" i="44"/>
  <c r="BI34" i="44"/>
  <c r="BM33" i="44"/>
  <c r="BL33" i="44"/>
  <c r="BK33" i="44"/>
  <c r="BJ33" i="44"/>
  <c r="BI33" i="44"/>
  <c r="BM32" i="44"/>
  <c r="BL32" i="44"/>
  <c r="BK32" i="44"/>
  <c r="BJ32" i="44"/>
  <c r="BI32" i="44"/>
  <c r="BM31" i="44"/>
  <c r="BL31" i="44"/>
  <c r="BK31" i="44"/>
  <c r="BJ31" i="44"/>
  <c r="BI31" i="44"/>
  <c r="BM30" i="44"/>
  <c r="BL30" i="44"/>
  <c r="BK30" i="44"/>
  <c r="BJ30" i="44"/>
  <c r="BI30" i="44"/>
  <c r="BM29" i="44"/>
  <c r="BL29" i="44"/>
  <c r="BK29" i="44"/>
  <c r="BJ29" i="44"/>
  <c r="BI29" i="44"/>
  <c r="BM28" i="44"/>
  <c r="BL28" i="44"/>
  <c r="BK28" i="44"/>
  <c r="BJ28" i="44"/>
  <c r="BI28" i="44"/>
  <c r="BM27" i="44"/>
  <c r="BL27" i="44"/>
  <c r="BK27" i="44"/>
  <c r="BJ27" i="44"/>
  <c r="BI27" i="44"/>
  <c r="BM26" i="44"/>
  <c r="BL26" i="44"/>
  <c r="BK26" i="44"/>
  <c r="BJ26" i="44"/>
  <c r="BI26" i="44"/>
  <c r="BM25" i="44"/>
  <c r="BL25" i="44"/>
  <c r="BK25" i="44"/>
  <c r="BJ25" i="44"/>
  <c r="BI25" i="44"/>
  <c r="BM24" i="44"/>
  <c r="BL24" i="44"/>
  <c r="BK24" i="44"/>
  <c r="BJ24" i="44"/>
  <c r="BI24" i="44"/>
  <c r="BM23" i="44"/>
  <c r="BL23" i="44"/>
  <c r="BK23" i="44"/>
  <c r="BJ23" i="44"/>
  <c r="BI23" i="44"/>
  <c r="BM22" i="44"/>
  <c r="BL22" i="44"/>
  <c r="BK22" i="44"/>
  <c r="BJ22" i="44"/>
  <c r="BI22" i="44"/>
  <c r="BM21" i="44"/>
  <c r="BL21" i="44"/>
  <c r="BK21" i="44"/>
  <c r="BJ21" i="44"/>
  <c r="BI21" i="44"/>
  <c r="BM20" i="44"/>
  <c r="BL20" i="44"/>
  <c r="BK20" i="44"/>
  <c r="BJ20" i="44"/>
  <c r="BI20" i="44"/>
  <c r="BM19" i="44"/>
  <c r="BL19" i="44"/>
  <c r="BK19" i="44"/>
  <c r="BJ19" i="44"/>
  <c r="BI19" i="44"/>
  <c r="BM18" i="44"/>
  <c r="BL18" i="44"/>
  <c r="BK18" i="44"/>
  <c r="BJ18" i="44"/>
  <c r="BI18" i="44"/>
  <c r="BG35" i="44"/>
  <c r="BG34" i="44"/>
  <c r="BG33" i="44"/>
  <c r="BG32" i="44"/>
  <c r="BG31" i="44"/>
  <c r="BG30" i="44"/>
  <c r="BG29" i="44"/>
  <c r="BG28" i="44"/>
  <c r="BG27" i="44"/>
  <c r="BG26" i="44"/>
  <c r="BG25" i="44"/>
  <c r="BG24" i="44"/>
  <c r="BG23" i="44"/>
  <c r="BG22" i="44"/>
  <c r="BG21" i="44"/>
  <c r="BG20" i="44"/>
  <c r="BG19" i="44"/>
  <c r="BG18" i="44"/>
  <c r="BE35" i="44"/>
  <c r="BE34" i="44"/>
  <c r="BE33" i="44"/>
  <c r="BE32" i="44"/>
  <c r="BE31" i="44"/>
  <c r="BE30" i="44"/>
  <c r="BE29" i="44"/>
  <c r="BE28" i="44"/>
  <c r="BE27" i="44"/>
  <c r="BE26" i="44"/>
  <c r="BE25" i="44"/>
  <c r="BE24" i="44"/>
  <c r="BE23" i="44"/>
  <c r="BE22" i="44"/>
  <c r="BE21" i="44"/>
  <c r="BE20" i="44"/>
  <c r="BE19" i="44"/>
  <c r="BE18" i="44"/>
  <c r="IY35" i="37"/>
  <c r="IX35" i="37"/>
  <c r="IW35" i="37"/>
  <c r="IV35" i="37"/>
  <c r="IU35" i="37"/>
  <c r="IT35" i="37"/>
  <c r="IS35" i="37"/>
  <c r="IR35" i="37"/>
  <c r="IQ35" i="37"/>
  <c r="IP35" i="37"/>
  <c r="IO35" i="37"/>
  <c r="IN35" i="37"/>
  <c r="IM35" i="37"/>
  <c r="IL35" i="37"/>
  <c r="IK35" i="37"/>
  <c r="IJ35" i="37"/>
  <c r="II35" i="37"/>
  <c r="IH35" i="37"/>
  <c r="IG35" i="37"/>
  <c r="IF35" i="37"/>
  <c r="IE35" i="37"/>
  <c r="ID35" i="37"/>
  <c r="IC35" i="37"/>
  <c r="IB35" i="37"/>
  <c r="IA35" i="37"/>
  <c r="HZ35" i="37"/>
  <c r="HY35" i="37"/>
  <c r="HX35" i="37"/>
  <c r="HW35" i="37"/>
  <c r="HV35" i="37"/>
  <c r="IY34" i="37"/>
  <c r="IX34" i="37"/>
  <c r="IW34" i="37"/>
  <c r="IV34" i="37"/>
  <c r="IU34" i="37"/>
  <c r="IT34" i="37"/>
  <c r="IS34" i="37"/>
  <c r="IR34" i="37"/>
  <c r="IQ34" i="37"/>
  <c r="IP34" i="37"/>
  <c r="IO34" i="37"/>
  <c r="IN34" i="37"/>
  <c r="IM34" i="37"/>
  <c r="IL34" i="37"/>
  <c r="IK34" i="37"/>
  <c r="IJ34" i="37"/>
  <c r="II34" i="37"/>
  <c r="IH34" i="37"/>
  <c r="IG34" i="37"/>
  <c r="IF34" i="37"/>
  <c r="IE34" i="37"/>
  <c r="ID34" i="37"/>
  <c r="IC34" i="37"/>
  <c r="IB34" i="37"/>
  <c r="IA34" i="37"/>
  <c r="HZ34" i="37"/>
  <c r="HY34" i="37"/>
  <c r="HX34" i="37"/>
  <c r="HW34" i="37"/>
  <c r="HV34" i="37"/>
  <c r="IY33" i="37"/>
  <c r="IX33" i="37"/>
  <c r="IW33" i="37"/>
  <c r="IV33" i="37"/>
  <c r="IU33" i="37"/>
  <c r="IT33" i="37"/>
  <c r="IS33" i="37"/>
  <c r="IR33" i="37"/>
  <c r="IQ33" i="37"/>
  <c r="IP33" i="37"/>
  <c r="IO33" i="37"/>
  <c r="IN33" i="37"/>
  <c r="IM33" i="37"/>
  <c r="IL33" i="37"/>
  <c r="IK33" i="37"/>
  <c r="IJ33" i="37"/>
  <c r="II33" i="37"/>
  <c r="IH33" i="37"/>
  <c r="IG33" i="37"/>
  <c r="IF33" i="37"/>
  <c r="IE33" i="37"/>
  <c r="ID33" i="37"/>
  <c r="IC33" i="37"/>
  <c r="IB33" i="37"/>
  <c r="IA33" i="37"/>
  <c r="HZ33" i="37"/>
  <c r="HY33" i="37"/>
  <c r="HX33" i="37"/>
  <c r="HW33" i="37"/>
  <c r="HV33" i="37"/>
  <c r="IY32" i="37"/>
  <c r="IX32" i="37"/>
  <c r="IW32" i="37"/>
  <c r="IV32" i="37"/>
  <c r="IU32" i="37"/>
  <c r="IT32" i="37"/>
  <c r="IS32" i="37"/>
  <c r="IR32" i="37"/>
  <c r="IQ32" i="37"/>
  <c r="IP32" i="37"/>
  <c r="IO32" i="37"/>
  <c r="IN32" i="37"/>
  <c r="IM32" i="37"/>
  <c r="IL32" i="37"/>
  <c r="IK32" i="37"/>
  <c r="IJ32" i="37"/>
  <c r="II32" i="37"/>
  <c r="IH32" i="37"/>
  <c r="IG32" i="37"/>
  <c r="IF32" i="37"/>
  <c r="IE32" i="37"/>
  <c r="ID32" i="37"/>
  <c r="IC32" i="37"/>
  <c r="IB32" i="37"/>
  <c r="IA32" i="37"/>
  <c r="HZ32" i="37"/>
  <c r="HY32" i="37"/>
  <c r="HX32" i="37"/>
  <c r="HW32" i="37"/>
  <c r="HV32" i="37"/>
  <c r="IY31" i="37"/>
  <c r="IX31" i="37"/>
  <c r="IW31" i="37"/>
  <c r="IV31" i="37"/>
  <c r="IU31" i="37"/>
  <c r="IT31" i="37"/>
  <c r="IS31" i="37"/>
  <c r="IR31" i="37"/>
  <c r="IQ31" i="37"/>
  <c r="IP31" i="37"/>
  <c r="IO31" i="37"/>
  <c r="IN31" i="37"/>
  <c r="IM31" i="37"/>
  <c r="IL31" i="37"/>
  <c r="IK31" i="37"/>
  <c r="IJ31" i="37"/>
  <c r="II31" i="37"/>
  <c r="IH31" i="37"/>
  <c r="IG31" i="37"/>
  <c r="IF31" i="37"/>
  <c r="IE31" i="37"/>
  <c r="ID31" i="37"/>
  <c r="IC31" i="37"/>
  <c r="IB31" i="37"/>
  <c r="IA31" i="37"/>
  <c r="HZ31" i="37"/>
  <c r="HY31" i="37"/>
  <c r="HX31" i="37"/>
  <c r="HW31" i="37"/>
  <c r="HV31" i="37"/>
  <c r="IY30" i="37"/>
  <c r="IX30" i="37"/>
  <c r="IW30" i="37"/>
  <c r="IV30" i="37"/>
  <c r="IU30" i="37"/>
  <c r="IT30" i="37"/>
  <c r="IS30" i="37"/>
  <c r="IR30" i="37"/>
  <c r="IQ30" i="37"/>
  <c r="IP30" i="37"/>
  <c r="IO30" i="37"/>
  <c r="IN30" i="37"/>
  <c r="IM30" i="37"/>
  <c r="IL30" i="37"/>
  <c r="IK30" i="37"/>
  <c r="IJ30" i="37"/>
  <c r="II30" i="37"/>
  <c r="IH30" i="37"/>
  <c r="IG30" i="37"/>
  <c r="IF30" i="37"/>
  <c r="IE30" i="37"/>
  <c r="ID30" i="37"/>
  <c r="IC30" i="37"/>
  <c r="IB30" i="37"/>
  <c r="IA30" i="37"/>
  <c r="HZ30" i="37"/>
  <c r="HY30" i="37"/>
  <c r="HX30" i="37"/>
  <c r="HW30" i="37"/>
  <c r="HV30" i="37"/>
  <c r="IY29" i="37"/>
  <c r="IX29" i="37"/>
  <c r="IW29" i="37"/>
  <c r="IV29" i="37"/>
  <c r="IU29" i="37"/>
  <c r="IT29" i="37"/>
  <c r="IS29" i="37"/>
  <c r="IR29" i="37"/>
  <c r="IQ29" i="37"/>
  <c r="IP29" i="37"/>
  <c r="IO29" i="37"/>
  <c r="IN29" i="37"/>
  <c r="IM29" i="37"/>
  <c r="IL29" i="37"/>
  <c r="IK29" i="37"/>
  <c r="IJ29" i="37"/>
  <c r="II29" i="37"/>
  <c r="IH29" i="37"/>
  <c r="IG29" i="37"/>
  <c r="IF29" i="37"/>
  <c r="IE29" i="37"/>
  <c r="ID29" i="37"/>
  <c r="IC29" i="37"/>
  <c r="IB29" i="37"/>
  <c r="IA29" i="37"/>
  <c r="HZ29" i="37"/>
  <c r="HY29" i="37"/>
  <c r="HX29" i="37"/>
  <c r="HW29" i="37"/>
  <c r="HV29" i="37"/>
  <c r="IY28" i="37"/>
  <c r="IX28" i="37"/>
  <c r="IW28" i="37"/>
  <c r="IV28" i="37"/>
  <c r="IU28" i="37"/>
  <c r="IT28" i="37"/>
  <c r="IS28" i="37"/>
  <c r="IR28" i="37"/>
  <c r="IQ28" i="37"/>
  <c r="IP28" i="37"/>
  <c r="IO28" i="37"/>
  <c r="IN28" i="37"/>
  <c r="IM28" i="37"/>
  <c r="IL28" i="37"/>
  <c r="IK28" i="37"/>
  <c r="IJ28" i="37"/>
  <c r="II28" i="37"/>
  <c r="IH28" i="37"/>
  <c r="IG28" i="37"/>
  <c r="IF28" i="37"/>
  <c r="IE28" i="37"/>
  <c r="ID28" i="37"/>
  <c r="IC28" i="37"/>
  <c r="IB28" i="37"/>
  <c r="IA28" i="37"/>
  <c r="HZ28" i="37"/>
  <c r="HY28" i="37"/>
  <c r="HX28" i="37"/>
  <c r="HW28" i="37"/>
  <c r="HV28" i="37"/>
  <c r="IY27" i="37"/>
  <c r="IX27" i="37"/>
  <c r="IW27" i="37"/>
  <c r="IV27" i="37"/>
  <c r="IU27" i="37"/>
  <c r="IT27" i="37"/>
  <c r="IS27" i="37"/>
  <c r="IR27" i="37"/>
  <c r="IQ27" i="37"/>
  <c r="IP27" i="37"/>
  <c r="IO27" i="37"/>
  <c r="IN27" i="37"/>
  <c r="IM27" i="37"/>
  <c r="IL27" i="37"/>
  <c r="IK27" i="37"/>
  <c r="IJ27" i="37"/>
  <c r="II27" i="37"/>
  <c r="IH27" i="37"/>
  <c r="IG27" i="37"/>
  <c r="IF27" i="37"/>
  <c r="IE27" i="37"/>
  <c r="ID27" i="37"/>
  <c r="IC27" i="37"/>
  <c r="IB27" i="37"/>
  <c r="IA27" i="37"/>
  <c r="HZ27" i="37"/>
  <c r="HY27" i="37"/>
  <c r="HX27" i="37"/>
  <c r="HW27" i="37"/>
  <c r="HV27" i="37"/>
  <c r="IY26" i="37"/>
  <c r="IX26" i="37"/>
  <c r="IW26" i="37"/>
  <c r="IV26" i="37"/>
  <c r="IU26" i="37"/>
  <c r="IT26" i="37"/>
  <c r="IS26" i="37"/>
  <c r="IR26" i="37"/>
  <c r="IQ26" i="37"/>
  <c r="IP26" i="37"/>
  <c r="IO26" i="37"/>
  <c r="IN26" i="37"/>
  <c r="IM26" i="37"/>
  <c r="IL26" i="37"/>
  <c r="IK26" i="37"/>
  <c r="IJ26" i="37"/>
  <c r="II26" i="37"/>
  <c r="IH26" i="37"/>
  <c r="IG26" i="37"/>
  <c r="IF26" i="37"/>
  <c r="IE26" i="37"/>
  <c r="ID26" i="37"/>
  <c r="IC26" i="37"/>
  <c r="IB26" i="37"/>
  <c r="IA26" i="37"/>
  <c r="HZ26" i="37"/>
  <c r="HY26" i="37"/>
  <c r="HX26" i="37"/>
  <c r="HW26" i="37"/>
  <c r="HV26" i="37"/>
  <c r="IY25" i="37"/>
  <c r="IX25" i="37"/>
  <c r="IW25" i="37"/>
  <c r="IV25" i="37"/>
  <c r="IU25" i="37"/>
  <c r="IT25" i="37"/>
  <c r="IS25" i="37"/>
  <c r="IR25" i="37"/>
  <c r="IQ25" i="37"/>
  <c r="IP25" i="37"/>
  <c r="IO25" i="37"/>
  <c r="IN25" i="37"/>
  <c r="IM25" i="37"/>
  <c r="IL25" i="37"/>
  <c r="IK25" i="37"/>
  <c r="IJ25" i="37"/>
  <c r="II25" i="37"/>
  <c r="IH25" i="37"/>
  <c r="IG25" i="37"/>
  <c r="IF25" i="37"/>
  <c r="IE25" i="37"/>
  <c r="ID25" i="37"/>
  <c r="IC25" i="37"/>
  <c r="IB25" i="37"/>
  <c r="IA25" i="37"/>
  <c r="HZ25" i="37"/>
  <c r="HY25" i="37"/>
  <c r="HX25" i="37"/>
  <c r="HW25" i="37"/>
  <c r="HV25" i="37"/>
  <c r="IY24" i="37"/>
  <c r="IX24" i="37"/>
  <c r="IW24" i="37"/>
  <c r="IV24" i="37"/>
  <c r="IU24" i="37"/>
  <c r="IT24" i="37"/>
  <c r="IS24" i="37"/>
  <c r="IR24" i="37"/>
  <c r="IQ24" i="37"/>
  <c r="IP24" i="37"/>
  <c r="IO24" i="37"/>
  <c r="IN24" i="37"/>
  <c r="IM24" i="37"/>
  <c r="IL24" i="37"/>
  <c r="IK24" i="37"/>
  <c r="IJ24" i="37"/>
  <c r="II24" i="37"/>
  <c r="IH24" i="37"/>
  <c r="IG24" i="37"/>
  <c r="IF24" i="37"/>
  <c r="IE24" i="37"/>
  <c r="ID24" i="37"/>
  <c r="IC24" i="37"/>
  <c r="IB24" i="37"/>
  <c r="IA24" i="37"/>
  <c r="HZ24" i="37"/>
  <c r="HY24" i="37"/>
  <c r="HX24" i="37"/>
  <c r="HW24" i="37"/>
  <c r="HV24" i="37"/>
  <c r="IY23" i="37"/>
  <c r="IX23" i="37"/>
  <c r="IW23" i="37"/>
  <c r="IV23" i="37"/>
  <c r="IU23" i="37"/>
  <c r="IT23" i="37"/>
  <c r="IS23" i="37"/>
  <c r="IR23" i="37"/>
  <c r="IQ23" i="37"/>
  <c r="IP23" i="37"/>
  <c r="IO23" i="37"/>
  <c r="IN23" i="37"/>
  <c r="IM23" i="37"/>
  <c r="IL23" i="37"/>
  <c r="IK23" i="37"/>
  <c r="IJ23" i="37"/>
  <c r="II23" i="37"/>
  <c r="IH23" i="37"/>
  <c r="IG23" i="37"/>
  <c r="IF23" i="37"/>
  <c r="IE23" i="37"/>
  <c r="ID23" i="37"/>
  <c r="IC23" i="37"/>
  <c r="IB23" i="37"/>
  <c r="IA23" i="37"/>
  <c r="HZ23" i="37"/>
  <c r="HY23" i="37"/>
  <c r="HX23" i="37"/>
  <c r="HW23" i="37"/>
  <c r="HV23" i="37"/>
  <c r="IY22" i="37"/>
  <c r="IX22" i="37"/>
  <c r="IW22" i="37"/>
  <c r="IV22" i="37"/>
  <c r="IU22" i="37"/>
  <c r="IT22" i="37"/>
  <c r="IS22" i="37"/>
  <c r="IR22" i="37"/>
  <c r="IQ22" i="37"/>
  <c r="IP22" i="37"/>
  <c r="IO22" i="37"/>
  <c r="IN22" i="37"/>
  <c r="IM22" i="37"/>
  <c r="IL22" i="37"/>
  <c r="IK22" i="37"/>
  <c r="IJ22" i="37"/>
  <c r="II22" i="37"/>
  <c r="IH22" i="37"/>
  <c r="IG22" i="37"/>
  <c r="IF22" i="37"/>
  <c r="IE22" i="37"/>
  <c r="ID22" i="37"/>
  <c r="IC22" i="37"/>
  <c r="IB22" i="37"/>
  <c r="IA22" i="37"/>
  <c r="HZ22" i="37"/>
  <c r="HY22" i="37"/>
  <c r="HX22" i="37"/>
  <c r="HW22" i="37"/>
  <c r="HV22" i="37"/>
  <c r="IY21" i="37"/>
  <c r="IX21" i="37"/>
  <c r="IW21" i="37"/>
  <c r="IV21" i="37"/>
  <c r="IU21" i="37"/>
  <c r="IT21" i="37"/>
  <c r="IS21" i="37"/>
  <c r="IR21" i="37"/>
  <c r="IQ21" i="37"/>
  <c r="IP21" i="37"/>
  <c r="IO21" i="37"/>
  <c r="IN21" i="37"/>
  <c r="IM21" i="37"/>
  <c r="IL21" i="37"/>
  <c r="IK21" i="37"/>
  <c r="IJ21" i="37"/>
  <c r="II21" i="37"/>
  <c r="IH21" i="37"/>
  <c r="IG21" i="37"/>
  <c r="IF21" i="37"/>
  <c r="IE21" i="37"/>
  <c r="ID21" i="37"/>
  <c r="IC21" i="37"/>
  <c r="IB21" i="37"/>
  <c r="IA21" i="37"/>
  <c r="HZ21" i="37"/>
  <c r="HY21" i="37"/>
  <c r="HX21" i="37"/>
  <c r="HW21" i="37"/>
  <c r="HV21" i="37"/>
  <c r="IY20" i="37"/>
  <c r="IX20" i="37"/>
  <c r="IW20" i="37"/>
  <c r="IV20" i="37"/>
  <c r="IU20" i="37"/>
  <c r="IT20" i="37"/>
  <c r="IS20" i="37"/>
  <c r="IR20" i="37"/>
  <c r="IQ20" i="37"/>
  <c r="IP20" i="37"/>
  <c r="IO20" i="37"/>
  <c r="IN20" i="37"/>
  <c r="IM20" i="37"/>
  <c r="IL20" i="37"/>
  <c r="IK20" i="37"/>
  <c r="IJ20" i="37"/>
  <c r="II20" i="37"/>
  <c r="IH20" i="37"/>
  <c r="IG20" i="37"/>
  <c r="IF20" i="37"/>
  <c r="IE20" i="37"/>
  <c r="ID20" i="37"/>
  <c r="IC20" i="37"/>
  <c r="IB20" i="37"/>
  <c r="IA20" i="37"/>
  <c r="HZ20" i="37"/>
  <c r="HY20" i="37"/>
  <c r="HX20" i="37"/>
  <c r="HW20" i="37"/>
  <c r="HV20" i="37"/>
  <c r="IY19" i="37"/>
  <c r="IX19" i="37"/>
  <c r="IW19" i="37"/>
  <c r="IV19" i="37"/>
  <c r="IU19" i="37"/>
  <c r="IT19" i="37"/>
  <c r="IS19" i="37"/>
  <c r="IR19" i="37"/>
  <c r="IQ19" i="37"/>
  <c r="IP19" i="37"/>
  <c r="IO19" i="37"/>
  <c r="IN19" i="37"/>
  <c r="IM19" i="37"/>
  <c r="IL19" i="37"/>
  <c r="IK19" i="37"/>
  <c r="IJ19" i="37"/>
  <c r="II19" i="37"/>
  <c r="IH19" i="37"/>
  <c r="IG19" i="37"/>
  <c r="IF19" i="37"/>
  <c r="IE19" i="37"/>
  <c r="ID19" i="37"/>
  <c r="IC19" i="37"/>
  <c r="IB19" i="37"/>
  <c r="IA19" i="37"/>
  <c r="HZ19" i="37"/>
  <c r="HY19" i="37"/>
  <c r="HX19" i="37"/>
  <c r="HW19" i="37"/>
  <c r="HV19" i="37"/>
  <c r="IY18" i="37"/>
  <c r="IX18" i="37"/>
  <c r="IW18" i="37"/>
  <c r="IV18" i="37"/>
  <c r="IU18" i="37"/>
  <c r="IT18" i="37"/>
  <c r="IS18" i="37"/>
  <c r="IR18" i="37"/>
  <c r="IQ18" i="37"/>
  <c r="IP18" i="37"/>
  <c r="IO18" i="37"/>
  <c r="IN18" i="37"/>
  <c r="IM18" i="37"/>
  <c r="IL18" i="37"/>
  <c r="IK18" i="37"/>
  <c r="IJ18" i="37"/>
  <c r="II18" i="37"/>
  <c r="IH18" i="37"/>
  <c r="IG18" i="37"/>
  <c r="IF18" i="37"/>
  <c r="IE18" i="37"/>
  <c r="ID18" i="37"/>
  <c r="IC18" i="37"/>
  <c r="IB18" i="37"/>
  <c r="IA18" i="37"/>
  <c r="HZ18" i="37"/>
  <c r="HY18" i="37"/>
  <c r="HX18" i="37"/>
  <c r="HW18" i="37"/>
  <c r="HV18" i="37"/>
  <c r="HP18" i="37"/>
  <c r="HT35" i="37"/>
  <c r="HT34" i="37"/>
  <c r="HT33" i="37"/>
  <c r="HT32" i="37"/>
  <c r="HT31" i="37"/>
  <c r="HT30" i="37"/>
  <c r="HT29" i="37"/>
  <c r="HT28" i="37"/>
  <c r="HT27" i="37"/>
  <c r="HT26" i="37"/>
  <c r="HT25" i="37"/>
  <c r="HT24" i="37"/>
  <c r="HT23" i="37"/>
  <c r="HT22" i="37"/>
  <c r="HT21" i="37"/>
  <c r="HT20" i="37"/>
  <c r="HT19" i="37"/>
  <c r="HT18" i="37"/>
  <c r="HR35" i="37"/>
  <c r="HR34" i="37"/>
  <c r="HR33" i="37"/>
  <c r="HR32" i="37"/>
  <c r="HR31" i="37"/>
  <c r="HR30" i="37"/>
  <c r="HR29" i="37"/>
  <c r="HR28" i="37"/>
  <c r="HR27" i="37"/>
  <c r="HR26" i="37"/>
  <c r="HR25" i="37"/>
  <c r="HR24" i="37"/>
  <c r="HR23" i="37"/>
  <c r="HR22" i="37"/>
  <c r="HR21" i="37"/>
  <c r="HR20" i="37"/>
  <c r="HR19" i="37"/>
  <c r="HR18" i="37"/>
  <c r="DA35" i="30"/>
  <c r="CZ35" i="30"/>
  <c r="CY35" i="30"/>
  <c r="CX35" i="30"/>
  <c r="CW35" i="30"/>
  <c r="CV35" i="30"/>
  <c r="CU35" i="30"/>
  <c r="CT35" i="30"/>
  <c r="CS35" i="30"/>
  <c r="CR35" i="30"/>
  <c r="DA34" i="30"/>
  <c r="CZ34" i="30"/>
  <c r="CY34" i="30"/>
  <c r="CX34" i="30"/>
  <c r="CW34" i="30"/>
  <c r="CV34" i="30"/>
  <c r="CU34" i="30"/>
  <c r="CT34" i="30"/>
  <c r="CS34" i="30"/>
  <c r="CR34" i="30"/>
  <c r="DA33" i="30"/>
  <c r="CZ33" i="30"/>
  <c r="CY33" i="30"/>
  <c r="CX33" i="30"/>
  <c r="CW33" i="30"/>
  <c r="CV33" i="30"/>
  <c r="CU33" i="30"/>
  <c r="CT33" i="30"/>
  <c r="CS33" i="30"/>
  <c r="CR33" i="30"/>
  <c r="DA32" i="30"/>
  <c r="CZ32" i="30"/>
  <c r="CY32" i="30"/>
  <c r="CX32" i="30"/>
  <c r="CW32" i="30"/>
  <c r="CV32" i="30"/>
  <c r="CU32" i="30"/>
  <c r="CT32" i="30"/>
  <c r="CS32" i="30"/>
  <c r="CR32" i="30"/>
  <c r="DA31" i="30"/>
  <c r="CZ31" i="30"/>
  <c r="CY31" i="30"/>
  <c r="CX31" i="30"/>
  <c r="CW31" i="30"/>
  <c r="CV31" i="30"/>
  <c r="CU31" i="30"/>
  <c r="CT31" i="30"/>
  <c r="CS31" i="30"/>
  <c r="CR31" i="30"/>
  <c r="DA30" i="30"/>
  <c r="CZ30" i="30"/>
  <c r="CY30" i="30"/>
  <c r="CX30" i="30"/>
  <c r="CW30" i="30"/>
  <c r="CV30" i="30"/>
  <c r="CU30" i="30"/>
  <c r="CT30" i="30"/>
  <c r="CS30" i="30"/>
  <c r="CR30" i="30"/>
  <c r="DA29" i="30"/>
  <c r="CZ29" i="30"/>
  <c r="CY29" i="30"/>
  <c r="CX29" i="30"/>
  <c r="CW29" i="30"/>
  <c r="CV29" i="30"/>
  <c r="CU29" i="30"/>
  <c r="CT29" i="30"/>
  <c r="CS29" i="30"/>
  <c r="CR29" i="30"/>
  <c r="DA28" i="30"/>
  <c r="CZ28" i="30"/>
  <c r="CY28" i="30"/>
  <c r="CX28" i="30"/>
  <c r="CW28" i="30"/>
  <c r="CV28" i="30"/>
  <c r="CU28" i="30"/>
  <c r="CT28" i="30"/>
  <c r="CS28" i="30"/>
  <c r="CR28" i="30"/>
  <c r="DA27" i="30"/>
  <c r="CZ27" i="30"/>
  <c r="CY27" i="30"/>
  <c r="CX27" i="30"/>
  <c r="CW27" i="30"/>
  <c r="CV27" i="30"/>
  <c r="CU27" i="30"/>
  <c r="CT27" i="30"/>
  <c r="CS27" i="30"/>
  <c r="CR27" i="30"/>
  <c r="DA26" i="30"/>
  <c r="CZ26" i="30"/>
  <c r="CY26" i="30"/>
  <c r="CX26" i="30"/>
  <c r="CW26" i="30"/>
  <c r="CV26" i="30"/>
  <c r="CU26" i="30"/>
  <c r="CT26" i="30"/>
  <c r="CS26" i="30"/>
  <c r="CR26" i="30"/>
  <c r="DA25" i="30"/>
  <c r="CZ25" i="30"/>
  <c r="CY25" i="30"/>
  <c r="CX25" i="30"/>
  <c r="CW25" i="30"/>
  <c r="CV25" i="30"/>
  <c r="CU25" i="30"/>
  <c r="CT25" i="30"/>
  <c r="CS25" i="30"/>
  <c r="CR25" i="30"/>
  <c r="DA24" i="30"/>
  <c r="CZ24" i="30"/>
  <c r="CY24" i="30"/>
  <c r="CX24" i="30"/>
  <c r="CW24" i="30"/>
  <c r="CV24" i="30"/>
  <c r="CU24" i="30"/>
  <c r="CT24" i="30"/>
  <c r="CS24" i="30"/>
  <c r="CR24" i="30"/>
  <c r="DA23" i="30"/>
  <c r="CZ23" i="30"/>
  <c r="CY23" i="30"/>
  <c r="CX23" i="30"/>
  <c r="CW23" i="30"/>
  <c r="CV23" i="30"/>
  <c r="CU23" i="30"/>
  <c r="CT23" i="30"/>
  <c r="CS23" i="30"/>
  <c r="CR23" i="30"/>
  <c r="DA22" i="30"/>
  <c r="CZ22" i="30"/>
  <c r="CY22" i="30"/>
  <c r="CX22" i="30"/>
  <c r="CW22" i="30"/>
  <c r="CV22" i="30"/>
  <c r="CU22" i="30"/>
  <c r="CT22" i="30"/>
  <c r="CS22" i="30"/>
  <c r="CR22" i="30"/>
  <c r="DA21" i="30"/>
  <c r="CZ21" i="30"/>
  <c r="CY21" i="30"/>
  <c r="CX21" i="30"/>
  <c r="CW21" i="30"/>
  <c r="CV21" i="30"/>
  <c r="CU21" i="30"/>
  <c r="CT21" i="30"/>
  <c r="CS21" i="30"/>
  <c r="CR21" i="30"/>
  <c r="DA20" i="30"/>
  <c r="CZ20" i="30"/>
  <c r="CY20" i="30"/>
  <c r="CX20" i="30"/>
  <c r="CW20" i="30"/>
  <c r="CV20" i="30"/>
  <c r="CU20" i="30"/>
  <c r="CT20" i="30"/>
  <c r="CS20" i="30"/>
  <c r="CR20" i="30"/>
  <c r="DA19" i="30"/>
  <c r="CZ19" i="30"/>
  <c r="CY19" i="30"/>
  <c r="CX19" i="30"/>
  <c r="CW19" i="30"/>
  <c r="CV19" i="30"/>
  <c r="CU19" i="30"/>
  <c r="CT19" i="30"/>
  <c r="CS19" i="30"/>
  <c r="CR19" i="30"/>
  <c r="DA18" i="30"/>
  <c r="CZ18" i="30"/>
  <c r="CY18" i="30"/>
  <c r="CX18" i="30"/>
  <c r="CW18" i="30"/>
  <c r="CV18" i="30"/>
  <c r="CU18" i="30"/>
  <c r="CT18" i="30"/>
  <c r="CS18" i="30"/>
  <c r="CR18" i="30"/>
  <c r="CP35" i="30"/>
  <c r="CP34" i="30"/>
  <c r="CP33" i="30"/>
  <c r="CP32" i="30"/>
  <c r="CP31" i="30"/>
  <c r="CP30" i="30"/>
  <c r="CP29" i="30"/>
  <c r="CP28" i="30"/>
  <c r="CP27" i="30"/>
  <c r="CP26" i="30"/>
  <c r="CP25" i="30"/>
  <c r="CP24" i="30"/>
  <c r="CP23" i="30"/>
  <c r="CP22" i="30"/>
  <c r="CP21" i="30"/>
  <c r="CP20" i="30"/>
  <c r="CP19" i="30"/>
  <c r="CP18" i="30"/>
  <c r="CN35" i="30"/>
  <c r="CN34" i="30"/>
  <c r="CN33" i="30"/>
  <c r="CN32" i="30"/>
  <c r="CN31" i="30"/>
  <c r="CN30" i="30"/>
  <c r="CN29" i="30"/>
  <c r="CN28" i="30"/>
  <c r="CN27" i="30"/>
  <c r="CN26" i="30"/>
  <c r="CN25" i="30"/>
  <c r="CN24" i="30"/>
  <c r="CN23" i="30"/>
  <c r="CN22" i="30"/>
  <c r="CN21" i="30"/>
  <c r="CN20" i="30"/>
  <c r="CN19" i="30"/>
  <c r="CN18" i="30"/>
  <c r="CC35" i="23"/>
  <c r="CB35" i="23"/>
  <c r="CA35" i="23"/>
  <c r="BZ35" i="23"/>
  <c r="BY35" i="23"/>
  <c r="BX35" i="23"/>
  <c r="BW35" i="23"/>
  <c r="CC34" i="23"/>
  <c r="CB34" i="23"/>
  <c r="CA34" i="23"/>
  <c r="BZ34" i="23"/>
  <c r="BY34" i="23"/>
  <c r="BX34" i="23"/>
  <c r="BW34" i="23"/>
  <c r="CC33" i="23"/>
  <c r="CB33" i="23"/>
  <c r="CA33" i="23"/>
  <c r="BZ33" i="23"/>
  <c r="BY33" i="23"/>
  <c r="BX33" i="23"/>
  <c r="BW33" i="23"/>
  <c r="CC32" i="23"/>
  <c r="CB32" i="23"/>
  <c r="CA32" i="23"/>
  <c r="BZ32" i="23"/>
  <c r="BY32" i="23"/>
  <c r="BX32" i="23"/>
  <c r="BW32" i="23"/>
  <c r="CC31" i="23"/>
  <c r="CB31" i="23"/>
  <c r="CA31" i="23"/>
  <c r="BZ31" i="23"/>
  <c r="BY31" i="23"/>
  <c r="BX31" i="23"/>
  <c r="BW31" i="23"/>
  <c r="CC30" i="23"/>
  <c r="CB30" i="23"/>
  <c r="CA30" i="23"/>
  <c r="BZ30" i="23"/>
  <c r="BY30" i="23"/>
  <c r="BX30" i="23"/>
  <c r="BW30" i="23"/>
  <c r="CC29" i="23"/>
  <c r="CB29" i="23"/>
  <c r="CA29" i="23"/>
  <c r="BZ29" i="23"/>
  <c r="BY29" i="23"/>
  <c r="BX29" i="23"/>
  <c r="BW29" i="23"/>
  <c r="CC28" i="23"/>
  <c r="CB28" i="23"/>
  <c r="CA28" i="23"/>
  <c r="BZ28" i="23"/>
  <c r="BY28" i="23"/>
  <c r="BX28" i="23"/>
  <c r="BW28" i="23"/>
  <c r="CC27" i="23"/>
  <c r="CB27" i="23"/>
  <c r="CA27" i="23"/>
  <c r="BZ27" i="23"/>
  <c r="BY27" i="23"/>
  <c r="BX27" i="23"/>
  <c r="BW27" i="23"/>
  <c r="CC26" i="23"/>
  <c r="CB26" i="23"/>
  <c r="CA26" i="23"/>
  <c r="BZ26" i="23"/>
  <c r="BY26" i="23"/>
  <c r="BX26" i="23"/>
  <c r="BW26" i="23"/>
  <c r="CC25" i="23"/>
  <c r="CB25" i="23"/>
  <c r="CA25" i="23"/>
  <c r="BZ25" i="23"/>
  <c r="BY25" i="23"/>
  <c r="BX25" i="23"/>
  <c r="BW25" i="23"/>
  <c r="CC24" i="23"/>
  <c r="CB24" i="23"/>
  <c r="CA24" i="23"/>
  <c r="BZ24" i="23"/>
  <c r="BY24" i="23"/>
  <c r="BX24" i="23"/>
  <c r="BW24" i="23"/>
  <c r="CC23" i="23"/>
  <c r="CB23" i="23"/>
  <c r="CA23" i="23"/>
  <c r="BZ23" i="23"/>
  <c r="BY23" i="23"/>
  <c r="BX23" i="23"/>
  <c r="BW23" i="23"/>
  <c r="CC22" i="23"/>
  <c r="CB22" i="23"/>
  <c r="CA22" i="23"/>
  <c r="BZ22" i="23"/>
  <c r="BY22" i="23"/>
  <c r="BX22" i="23"/>
  <c r="BW22" i="23"/>
  <c r="CC21" i="23"/>
  <c r="CB21" i="23"/>
  <c r="CA21" i="23"/>
  <c r="BZ21" i="23"/>
  <c r="BY21" i="23"/>
  <c r="BX21" i="23"/>
  <c r="BW21" i="23"/>
  <c r="CC20" i="23"/>
  <c r="CB20" i="23"/>
  <c r="CA20" i="23"/>
  <c r="BZ20" i="23"/>
  <c r="BY20" i="23"/>
  <c r="BX20" i="23"/>
  <c r="BW20" i="23"/>
  <c r="CC19" i="23"/>
  <c r="CB19" i="23"/>
  <c r="CA19" i="23"/>
  <c r="BZ19" i="23"/>
  <c r="BY19" i="23"/>
  <c r="BX19" i="23"/>
  <c r="BW19" i="23"/>
  <c r="CC18" i="23"/>
  <c r="CB18" i="23"/>
  <c r="CA18" i="23"/>
  <c r="BZ18" i="23"/>
  <c r="BY18" i="23"/>
  <c r="BX18" i="23"/>
  <c r="BW18" i="23"/>
  <c r="BU35" i="23"/>
  <c r="BU34" i="23"/>
  <c r="BU33" i="23"/>
  <c r="BU32" i="23"/>
  <c r="BU31" i="23"/>
  <c r="BU30" i="23"/>
  <c r="BU29" i="23"/>
  <c r="BU28" i="23"/>
  <c r="BU27" i="23"/>
  <c r="BU26" i="23"/>
  <c r="BU25" i="23"/>
  <c r="BU24" i="23"/>
  <c r="BU23" i="23"/>
  <c r="BU22" i="23"/>
  <c r="BU21" i="23"/>
  <c r="BU20" i="23"/>
  <c r="BU19" i="23"/>
  <c r="BU18" i="23"/>
  <c r="BS35" i="23"/>
  <c r="BS34" i="23"/>
  <c r="BS33" i="23"/>
  <c r="BS32" i="23"/>
  <c r="BS31" i="23"/>
  <c r="BS30" i="23"/>
  <c r="BS29" i="23"/>
  <c r="BS28" i="23"/>
  <c r="BS27" i="23"/>
  <c r="BS26" i="23"/>
  <c r="BS25" i="23"/>
  <c r="BS24" i="23"/>
  <c r="BS23" i="23"/>
  <c r="BS22" i="23"/>
  <c r="BS21" i="23"/>
  <c r="BS20" i="23"/>
  <c r="BS19" i="23"/>
  <c r="BS18" i="23"/>
  <c r="CC35" i="16"/>
  <c r="CB35" i="16"/>
  <c r="CA35" i="16"/>
  <c r="BZ35" i="16"/>
  <c r="BY35" i="16"/>
  <c r="BX35" i="16"/>
  <c r="BW35" i="16"/>
  <c r="CC34" i="16"/>
  <c r="CB34" i="16"/>
  <c r="CA34" i="16"/>
  <c r="BZ34" i="16"/>
  <c r="BY34" i="16"/>
  <c r="BX34" i="16"/>
  <c r="BW34" i="16"/>
  <c r="CC33" i="16"/>
  <c r="CB33" i="16"/>
  <c r="CA33" i="16"/>
  <c r="BZ33" i="16"/>
  <c r="BY33" i="16"/>
  <c r="BX33" i="16"/>
  <c r="BW33" i="16"/>
  <c r="CC32" i="16"/>
  <c r="CB32" i="16"/>
  <c r="CA32" i="16"/>
  <c r="BZ32" i="16"/>
  <c r="BY32" i="16"/>
  <c r="BX32" i="16"/>
  <c r="BW32" i="16"/>
  <c r="CC31" i="16"/>
  <c r="CB31" i="16"/>
  <c r="CA31" i="16"/>
  <c r="BZ31" i="16"/>
  <c r="BY31" i="16"/>
  <c r="BX31" i="16"/>
  <c r="BW31" i="16"/>
  <c r="CC30" i="16"/>
  <c r="CB30" i="16"/>
  <c r="CA30" i="16"/>
  <c r="BZ30" i="16"/>
  <c r="BY30" i="16"/>
  <c r="BX30" i="16"/>
  <c r="BW30" i="16"/>
  <c r="CC29" i="16"/>
  <c r="CB29" i="16"/>
  <c r="CA29" i="16"/>
  <c r="BZ29" i="16"/>
  <c r="BY29" i="16"/>
  <c r="BX29" i="16"/>
  <c r="BW29" i="16"/>
  <c r="CC28" i="16"/>
  <c r="CB28" i="16"/>
  <c r="CA28" i="16"/>
  <c r="BZ28" i="16"/>
  <c r="BY28" i="16"/>
  <c r="BX28" i="16"/>
  <c r="BW28" i="16"/>
  <c r="CC27" i="16"/>
  <c r="CB27" i="16"/>
  <c r="CA27" i="16"/>
  <c r="BZ27" i="16"/>
  <c r="BY27" i="16"/>
  <c r="BX27" i="16"/>
  <c r="BW27" i="16"/>
  <c r="CC26" i="16"/>
  <c r="CB26" i="16"/>
  <c r="CA26" i="16"/>
  <c r="BZ26" i="16"/>
  <c r="BY26" i="16"/>
  <c r="BX26" i="16"/>
  <c r="BW26" i="16"/>
  <c r="CC25" i="16"/>
  <c r="CB25" i="16"/>
  <c r="CA25" i="16"/>
  <c r="BZ25" i="16"/>
  <c r="BY25" i="16"/>
  <c r="BX25" i="16"/>
  <c r="BW25" i="16"/>
  <c r="CC24" i="16"/>
  <c r="CB24" i="16"/>
  <c r="CA24" i="16"/>
  <c r="BZ24" i="16"/>
  <c r="BY24" i="16"/>
  <c r="BX24" i="16"/>
  <c r="BW24" i="16"/>
  <c r="CC23" i="16"/>
  <c r="CB23" i="16"/>
  <c r="CA23" i="16"/>
  <c r="BZ23" i="16"/>
  <c r="BY23" i="16"/>
  <c r="BX23" i="16"/>
  <c r="BW23" i="16"/>
  <c r="CC22" i="16"/>
  <c r="CB22" i="16"/>
  <c r="CA22" i="16"/>
  <c r="BZ22" i="16"/>
  <c r="BY22" i="16"/>
  <c r="BX22" i="16"/>
  <c r="BW22" i="16"/>
  <c r="CC21" i="16"/>
  <c r="CB21" i="16"/>
  <c r="CA21" i="16"/>
  <c r="BZ21" i="16"/>
  <c r="BY21" i="16"/>
  <c r="BX21" i="16"/>
  <c r="BW21" i="16"/>
  <c r="CC20" i="16"/>
  <c r="CB20" i="16"/>
  <c r="CA20" i="16"/>
  <c r="BZ20" i="16"/>
  <c r="BY20" i="16"/>
  <c r="BX20" i="16"/>
  <c r="BW20" i="16"/>
  <c r="CC19" i="16"/>
  <c r="CB19" i="16"/>
  <c r="CA19" i="16"/>
  <c r="BZ19" i="16"/>
  <c r="BY19" i="16"/>
  <c r="BX19" i="16"/>
  <c r="BW19" i="16"/>
  <c r="CC18" i="16"/>
  <c r="CB18" i="16"/>
  <c r="CA18" i="16"/>
  <c r="BZ18" i="16"/>
  <c r="BY18" i="16"/>
  <c r="BX18" i="16"/>
  <c r="BW18" i="16"/>
  <c r="BU35" i="16"/>
  <c r="BU34" i="16"/>
  <c r="BU33" i="16"/>
  <c r="BU32" i="16"/>
  <c r="BU31" i="16"/>
  <c r="BU30" i="16"/>
  <c r="BU29" i="16"/>
  <c r="BU28" i="16"/>
  <c r="BU27" i="16"/>
  <c r="BU26" i="16"/>
  <c r="BU25" i="16"/>
  <c r="BU24" i="16"/>
  <c r="BU23" i="16"/>
  <c r="BU22" i="16"/>
  <c r="BU21" i="16"/>
  <c r="BU20" i="16"/>
  <c r="BU19" i="16"/>
  <c r="BU18" i="16"/>
  <c r="BS18" i="16"/>
  <c r="BS35" i="16"/>
  <c r="BS34" i="16"/>
  <c r="BS33" i="16"/>
  <c r="BS32" i="16"/>
  <c r="BS31" i="16"/>
  <c r="BS30" i="16"/>
  <c r="BS29" i="16"/>
  <c r="BS28" i="16"/>
  <c r="BS27" i="16"/>
  <c r="BS26" i="16"/>
  <c r="BS25" i="16"/>
  <c r="BS24" i="16"/>
  <c r="BS23" i="16"/>
  <c r="BS22" i="16"/>
  <c r="BS21" i="16"/>
  <c r="BS20" i="16"/>
  <c r="BS19" i="16"/>
  <c r="AK35" i="2"/>
  <c r="AJ35" i="2"/>
  <c r="AI35" i="2"/>
  <c r="AH35" i="2"/>
  <c r="AK34" i="2"/>
  <c r="AJ34" i="2"/>
  <c r="AI34" i="2"/>
  <c r="AH34" i="2"/>
  <c r="AK33" i="2"/>
  <c r="AJ33" i="2"/>
  <c r="AI33" i="2"/>
  <c r="AH33" i="2"/>
  <c r="AK32" i="2"/>
  <c r="AJ32" i="2"/>
  <c r="AI32" i="2"/>
  <c r="AH32" i="2"/>
  <c r="AK31" i="2"/>
  <c r="AJ31" i="2"/>
  <c r="AI31" i="2"/>
  <c r="AH31" i="2"/>
  <c r="AK30" i="2"/>
  <c r="AJ30" i="2"/>
  <c r="AI30" i="2"/>
  <c r="AH30" i="2"/>
  <c r="AK29" i="2"/>
  <c r="AJ29" i="2"/>
  <c r="AI29" i="2"/>
  <c r="AH29" i="2"/>
  <c r="AK28" i="2"/>
  <c r="AJ28" i="2"/>
  <c r="AI28" i="2"/>
  <c r="AH28" i="2"/>
  <c r="AK27" i="2"/>
  <c r="AJ27" i="2"/>
  <c r="AI27" i="2"/>
  <c r="AH27" i="2"/>
  <c r="AK26" i="2"/>
  <c r="AJ26" i="2"/>
  <c r="AI26" i="2"/>
  <c r="AH26" i="2"/>
  <c r="AK25" i="2"/>
  <c r="AJ25" i="2"/>
  <c r="AI25" i="2"/>
  <c r="AH25" i="2"/>
  <c r="AK24" i="2"/>
  <c r="AJ24" i="2"/>
  <c r="AI24" i="2"/>
  <c r="AH24" i="2"/>
  <c r="AK23" i="2"/>
  <c r="AJ23" i="2"/>
  <c r="AI23" i="2"/>
  <c r="AH23" i="2"/>
  <c r="AK22" i="2"/>
  <c r="AJ22" i="2"/>
  <c r="AI22" i="2"/>
  <c r="AH22" i="2"/>
  <c r="AK21" i="2"/>
  <c r="AJ21" i="2"/>
  <c r="AI21" i="2"/>
  <c r="AH21" i="2"/>
  <c r="AK20" i="2"/>
  <c r="AJ20" i="2"/>
  <c r="AI20" i="2"/>
  <c r="AH20" i="2"/>
  <c r="AK19" i="2"/>
  <c r="AJ19" i="2"/>
  <c r="AI19" i="2"/>
  <c r="AH19" i="2"/>
  <c r="AK18" i="2"/>
  <c r="AJ18" i="2"/>
  <c r="AI18" i="2"/>
  <c r="AH18" i="2"/>
  <c r="AB35" i="3"/>
  <c r="Z35" i="3"/>
  <c r="AB34" i="3"/>
  <c r="Z34" i="3"/>
  <c r="AB33" i="3"/>
  <c r="Z33" i="3"/>
  <c r="AB32" i="3"/>
  <c r="Z32" i="3"/>
  <c r="AB31" i="3"/>
  <c r="Z31" i="3"/>
  <c r="AB30" i="3"/>
  <c r="Z30" i="3"/>
  <c r="AB29" i="3"/>
  <c r="Z29" i="3"/>
  <c r="AB28" i="3"/>
  <c r="Z28" i="3"/>
  <c r="AB27" i="3"/>
  <c r="Z27" i="3"/>
  <c r="AB26" i="3"/>
  <c r="Z26" i="3"/>
  <c r="AB25" i="3"/>
  <c r="Z25" i="3"/>
  <c r="AB24" i="3"/>
  <c r="Z24" i="3"/>
  <c r="AB23" i="3"/>
  <c r="Z23" i="3"/>
  <c r="AB22" i="3"/>
  <c r="Z22" i="3"/>
  <c r="AB21" i="3"/>
  <c r="Z21" i="3"/>
  <c r="AB20" i="3"/>
  <c r="Z20" i="3"/>
  <c r="AB19" i="3"/>
  <c r="Z19" i="3"/>
  <c r="AB18" i="3"/>
  <c r="Z18" i="3"/>
  <c r="V18" i="3"/>
  <c r="C27" i="53" l="1"/>
  <c r="C43" i="53"/>
  <c r="B45" i="52"/>
  <c r="G25" i="52"/>
  <c r="B25" i="52"/>
  <c r="B47" i="51"/>
  <c r="G25" i="51"/>
  <c r="B25" i="51"/>
  <c r="B50" i="66" l="1"/>
  <c r="G25" i="66"/>
  <c r="B25" i="66"/>
  <c r="E10" i="66"/>
  <c r="J22" i="66" l="1"/>
  <c r="C23" i="66"/>
  <c r="J23" i="66"/>
  <c r="I23" i="66"/>
  <c r="H23" i="66"/>
  <c r="G23" i="66"/>
  <c r="F23" i="66"/>
  <c r="E23" i="66"/>
  <c r="D23" i="66"/>
  <c r="I16" i="66"/>
  <c r="J18" i="66"/>
  <c r="J19" i="66"/>
  <c r="J17" i="66"/>
  <c r="C22" i="66"/>
  <c r="C21" i="66"/>
  <c r="C17" i="66"/>
  <c r="D20" i="66"/>
  <c r="E22" i="66"/>
  <c r="D16" i="66"/>
  <c r="E18" i="66"/>
  <c r="E20" i="66"/>
  <c r="F22" i="66"/>
  <c r="E16" i="66"/>
  <c r="E17" i="66"/>
  <c r="F18" i="66"/>
  <c r="F19" i="66"/>
  <c r="F20" i="66"/>
  <c r="G21" i="66"/>
  <c r="G22" i="66"/>
  <c r="D17" i="66"/>
  <c r="E19" i="66"/>
  <c r="F21" i="66"/>
  <c r="F16" i="66"/>
  <c r="F17" i="66"/>
  <c r="G18" i="66"/>
  <c r="G19" i="66"/>
  <c r="G20" i="66"/>
  <c r="H21" i="66"/>
  <c r="H22" i="66"/>
  <c r="J16" i="66"/>
  <c r="C18" i="66"/>
  <c r="C19" i="66"/>
  <c r="C20" i="66"/>
  <c r="D21" i="66"/>
  <c r="D22" i="66"/>
  <c r="C16" i="66"/>
  <c r="D18" i="66"/>
  <c r="D19" i="66"/>
  <c r="E21" i="66"/>
  <c r="G16" i="66"/>
  <c r="G17" i="66"/>
  <c r="H18" i="66"/>
  <c r="H19" i="66"/>
  <c r="I20" i="66"/>
  <c r="I21" i="66"/>
  <c r="I22" i="66"/>
  <c r="H16" i="66"/>
  <c r="I17" i="66"/>
  <c r="I18" i="66"/>
  <c r="I19" i="66"/>
  <c r="J20" i="66"/>
  <c r="J21" i="66"/>
  <c r="B81" i="48" l="1"/>
  <c r="B53" i="48"/>
  <c r="M33" i="54" l="1"/>
  <c r="L33" i="54"/>
  <c r="M32" i="54"/>
  <c r="L32" i="54"/>
  <c r="M31" i="54"/>
  <c r="L31" i="54"/>
  <c r="M30" i="54"/>
  <c r="L30" i="54"/>
  <c r="M29" i="54"/>
  <c r="L29" i="54"/>
  <c r="M28" i="54"/>
  <c r="L28" i="54"/>
  <c r="M27" i="54"/>
  <c r="L27" i="54"/>
  <c r="E21" i="54"/>
  <c r="D21" i="54"/>
  <c r="C21" i="54"/>
  <c r="E20" i="54"/>
  <c r="D20" i="54"/>
  <c r="C20" i="54"/>
  <c r="E19" i="54"/>
  <c r="D19" i="54"/>
  <c r="C19" i="54"/>
  <c r="E18" i="54"/>
  <c r="D18" i="54"/>
  <c r="C18" i="54"/>
  <c r="E17" i="54"/>
  <c r="D17" i="54"/>
  <c r="C17" i="54"/>
  <c r="E16" i="54"/>
  <c r="D16" i="54"/>
  <c r="C16" i="54"/>
  <c r="E15" i="54"/>
  <c r="D15" i="54"/>
  <c r="C15" i="54"/>
  <c r="AG235" i="30" l="1"/>
  <c r="AG234" i="30"/>
  <c r="AG233" i="30"/>
  <c r="AG232" i="30"/>
  <c r="AF235" i="30"/>
  <c r="AF234" i="30"/>
  <c r="AF233" i="30"/>
  <c r="AF232" i="30"/>
  <c r="AE235" i="30"/>
  <c r="AE234" i="30"/>
  <c r="AE233" i="30"/>
  <c r="AE232" i="30"/>
  <c r="AD235" i="30"/>
  <c r="AD234" i="30"/>
  <c r="AD233" i="30"/>
  <c r="AD232" i="30"/>
  <c r="BD35" i="44" l="1"/>
  <c r="BC35" i="44"/>
  <c r="BB35" i="44"/>
  <c r="BA35" i="44"/>
  <c r="BD34" i="44"/>
  <c r="BC34" i="44"/>
  <c r="BB34" i="44"/>
  <c r="BA34" i="44"/>
  <c r="BD33" i="44"/>
  <c r="BC33" i="44"/>
  <c r="BB33" i="44"/>
  <c r="BA33" i="44"/>
  <c r="BD32" i="44"/>
  <c r="BC32" i="44"/>
  <c r="BB32" i="44"/>
  <c r="BA32" i="44"/>
  <c r="BD31" i="44"/>
  <c r="BC31" i="44"/>
  <c r="BB31" i="44"/>
  <c r="BA31" i="44"/>
  <c r="BD30" i="44"/>
  <c r="BC30" i="44"/>
  <c r="BB30" i="44"/>
  <c r="BA30" i="44"/>
  <c r="BD29" i="44"/>
  <c r="BC29" i="44"/>
  <c r="BB29" i="44"/>
  <c r="BA29" i="44"/>
  <c r="BD28" i="44"/>
  <c r="BC28" i="44"/>
  <c r="BB28" i="44"/>
  <c r="BA28" i="44"/>
  <c r="BD27" i="44"/>
  <c r="BC27" i="44"/>
  <c r="BB27" i="44"/>
  <c r="BA27" i="44"/>
  <c r="BD26" i="44"/>
  <c r="BC26" i="44"/>
  <c r="BB26" i="44"/>
  <c r="BA26" i="44"/>
  <c r="BD25" i="44"/>
  <c r="BC25" i="44"/>
  <c r="BB25" i="44"/>
  <c r="BA25" i="44"/>
  <c r="BD24" i="44"/>
  <c r="BC24" i="44"/>
  <c r="BB24" i="44"/>
  <c r="BA24" i="44"/>
  <c r="BD23" i="44"/>
  <c r="BC23" i="44"/>
  <c r="BB23" i="44"/>
  <c r="BA23" i="44"/>
  <c r="BD22" i="44"/>
  <c r="BC22" i="44"/>
  <c r="BB22" i="44"/>
  <c r="BA22" i="44"/>
  <c r="BD21" i="44"/>
  <c r="BC21" i="44"/>
  <c r="BB21" i="44"/>
  <c r="BA21" i="44"/>
  <c r="BD20" i="44"/>
  <c r="BC20" i="44"/>
  <c r="BB20" i="44"/>
  <c r="BA20" i="44"/>
  <c r="BD19" i="44"/>
  <c r="BC19" i="44"/>
  <c r="BB19" i="44"/>
  <c r="BA19" i="44"/>
  <c r="BD18" i="44"/>
  <c r="BC18" i="44"/>
  <c r="BB18" i="44"/>
  <c r="BA18" i="44"/>
  <c r="AZ35" i="44"/>
  <c r="AZ34" i="44"/>
  <c r="AZ33" i="44"/>
  <c r="AZ32" i="44"/>
  <c r="AZ31" i="44"/>
  <c r="AZ30" i="44"/>
  <c r="AZ29" i="44"/>
  <c r="AZ28" i="44"/>
  <c r="AZ27" i="44"/>
  <c r="AZ26" i="44"/>
  <c r="AZ25" i="44"/>
  <c r="AZ24" i="44"/>
  <c r="AZ23" i="44"/>
  <c r="AZ22" i="44"/>
  <c r="AZ21" i="44"/>
  <c r="AZ20" i="44"/>
  <c r="AZ19" i="44"/>
  <c r="AZ18" i="44"/>
  <c r="AX35" i="44"/>
  <c r="AX34" i="44"/>
  <c r="AX33" i="44"/>
  <c r="AX32" i="44"/>
  <c r="AX31" i="44"/>
  <c r="AX30" i="44"/>
  <c r="AX29" i="44"/>
  <c r="AX28" i="44"/>
  <c r="AX27" i="44"/>
  <c r="AX26" i="44"/>
  <c r="AX25" i="44"/>
  <c r="AX24" i="44"/>
  <c r="AX23" i="44"/>
  <c r="AX22" i="44"/>
  <c r="AX21" i="44"/>
  <c r="AX20" i="44"/>
  <c r="AX19" i="44"/>
  <c r="AX18" i="44"/>
  <c r="AV35" i="44"/>
  <c r="AV34" i="44"/>
  <c r="AV33" i="44"/>
  <c r="AV32" i="44"/>
  <c r="AV31" i="44"/>
  <c r="AV30" i="44"/>
  <c r="AV29" i="44"/>
  <c r="AV28" i="44"/>
  <c r="AV27" i="44"/>
  <c r="AV26" i="44"/>
  <c r="AV25" i="44"/>
  <c r="AV24" i="44"/>
  <c r="AV23" i="44"/>
  <c r="AV22" i="44"/>
  <c r="AV21" i="44"/>
  <c r="AV20" i="44"/>
  <c r="AV19" i="44"/>
  <c r="AV18" i="44"/>
  <c r="HQ14" i="37"/>
  <c r="HP14" i="37"/>
  <c r="HO14" i="37"/>
  <c r="HN14" i="37"/>
  <c r="HM14" i="37"/>
  <c r="HL14" i="37"/>
  <c r="HK14" i="37"/>
  <c r="HJ14" i="37"/>
  <c r="HI14" i="37"/>
  <c r="HH14" i="37"/>
  <c r="HG14" i="37"/>
  <c r="HF14" i="37"/>
  <c r="HE14" i="37"/>
  <c r="HD14" i="37"/>
  <c r="HC14" i="37"/>
  <c r="HB14" i="37"/>
  <c r="HA14" i="37"/>
  <c r="GZ14" i="37"/>
  <c r="GY14" i="37"/>
  <c r="GX14" i="37"/>
  <c r="GW14" i="37"/>
  <c r="GV14" i="37"/>
  <c r="GU14" i="37"/>
  <c r="GT14" i="37"/>
  <c r="GS14" i="37"/>
  <c r="HQ13" i="37"/>
  <c r="HP13" i="37"/>
  <c r="HO13" i="37"/>
  <c r="HN13" i="37"/>
  <c r="HM13" i="37"/>
  <c r="HL13" i="37"/>
  <c r="HK13" i="37"/>
  <c r="HJ13" i="37"/>
  <c r="HI13" i="37"/>
  <c r="HH13" i="37"/>
  <c r="HG13" i="37"/>
  <c r="HF13" i="37"/>
  <c r="HE13" i="37"/>
  <c r="HD13" i="37"/>
  <c r="HC13" i="37"/>
  <c r="HB13" i="37"/>
  <c r="HA13" i="37"/>
  <c r="GZ13" i="37"/>
  <c r="GY13" i="37"/>
  <c r="GX13" i="37"/>
  <c r="GW13" i="37"/>
  <c r="GV13" i="37"/>
  <c r="GU13" i="37"/>
  <c r="GT13" i="37"/>
  <c r="GS13" i="37"/>
  <c r="HQ12" i="37"/>
  <c r="HP12" i="37"/>
  <c r="HO12" i="37"/>
  <c r="HN12" i="37"/>
  <c r="HM12" i="37"/>
  <c r="HL12" i="37"/>
  <c r="HK12" i="37"/>
  <c r="HJ12" i="37"/>
  <c r="HI12" i="37"/>
  <c r="HH12" i="37"/>
  <c r="HG12" i="37"/>
  <c r="HF12" i="37"/>
  <c r="HE12" i="37"/>
  <c r="HD12" i="37"/>
  <c r="HC12" i="37"/>
  <c r="HB12" i="37"/>
  <c r="HA12" i="37"/>
  <c r="GZ12" i="37"/>
  <c r="GY12" i="37"/>
  <c r="GX12" i="37"/>
  <c r="GW12" i="37"/>
  <c r="GV12" i="37"/>
  <c r="GU12" i="37"/>
  <c r="GT12" i="37"/>
  <c r="GS12" i="37"/>
  <c r="GR14" i="37"/>
  <c r="GR13" i="37"/>
  <c r="GR12" i="37"/>
  <c r="HQ35" i="37"/>
  <c r="HP35" i="37"/>
  <c r="HO35" i="37"/>
  <c r="HN35" i="37"/>
  <c r="HM35" i="37"/>
  <c r="HL35" i="37"/>
  <c r="HK35" i="37"/>
  <c r="HJ35" i="37"/>
  <c r="HI35" i="37"/>
  <c r="HH35" i="37"/>
  <c r="HG35" i="37"/>
  <c r="HF35" i="37"/>
  <c r="HE35" i="37"/>
  <c r="HD35" i="37"/>
  <c r="HC35" i="37"/>
  <c r="HB35" i="37"/>
  <c r="HA35" i="37"/>
  <c r="GZ35" i="37"/>
  <c r="GY35" i="37"/>
  <c r="GX35" i="37"/>
  <c r="GW35" i="37"/>
  <c r="GV35" i="37"/>
  <c r="GU35" i="37"/>
  <c r="GT35" i="37"/>
  <c r="GS35" i="37"/>
  <c r="GR35" i="37"/>
  <c r="GQ35" i="37"/>
  <c r="GP35" i="37"/>
  <c r="GO35" i="37"/>
  <c r="HQ34" i="37"/>
  <c r="HP34" i="37"/>
  <c r="HO34" i="37"/>
  <c r="HN34" i="37"/>
  <c r="HM34" i="37"/>
  <c r="HL34" i="37"/>
  <c r="HK34" i="37"/>
  <c r="HJ34" i="37"/>
  <c r="HI34" i="37"/>
  <c r="HH34" i="37"/>
  <c r="HG34" i="37"/>
  <c r="HF34" i="37"/>
  <c r="HE34" i="37"/>
  <c r="HD34" i="37"/>
  <c r="HC34" i="37"/>
  <c r="HB34" i="37"/>
  <c r="HA34" i="37"/>
  <c r="GZ34" i="37"/>
  <c r="GY34" i="37"/>
  <c r="GX34" i="37"/>
  <c r="GW34" i="37"/>
  <c r="GV34" i="37"/>
  <c r="GU34" i="37"/>
  <c r="GT34" i="37"/>
  <c r="GS34" i="37"/>
  <c r="GR34" i="37"/>
  <c r="GQ34" i="37"/>
  <c r="GP34" i="37"/>
  <c r="GO34" i="37"/>
  <c r="HQ33" i="37"/>
  <c r="HP33" i="37"/>
  <c r="HO33" i="37"/>
  <c r="HN33" i="37"/>
  <c r="HM33" i="37"/>
  <c r="HL33" i="37"/>
  <c r="HK33" i="37"/>
  <c r="HJ33" i="37"/>
  <c r="HI33" i="37"/>
  <c r="HH33" i="37"/>
  <c r="HG33" i="37"/>
  <c r="HF33" i="37"/>
  <c r="HE33" i="37"/>
  <c r="HD33" i="37"/>
  <c r="HC33" i="37"/>
  <c r="HB33" i="37"/>
  <c r="HA33" i="37"/>
  <c r="GZ33" i="37"/>
  <c r="GY33" i="37"/>
  <c r="GX33" i="37"/>
  <c r="GW33" i="37"/>
  <c r="GV33" i="37"/>
  <c r="GU33" i="37"/>
  <c r="GT33" i="37"/>
  <c r="GS33" i="37"/>
  <c r="GR33" i="37"/>
  <c r="GQ33" i="37"/>
  <c r="GP33" i="37"/>
  <c r="GO33" i="37"/>
  <c r="HQ32" i="37"/>
  <c r="HP32" i="37"/>
  <c r="HO32" i="37"/>
  <c r="HN32" i="37"/>
  <c r="HM32" i="37"/>
  <c r="HL32" i="37"/>
  <c r="HK32" i="37"/>
  <c r="HJ32" i="37"/>
  <c r="HI32" i="37"/>
  <c r="HH32" i="37"/>
  <c r="HG32" i="37"/>
  <c r="HF32" i="37"/>
  <c r="HE32" i="37"/>
  <c r="HD32" i="37"/>
  <c r="HC32" i="37"/>
  <c r="HB32" i="37"/>
  <c r="HA32" i="37"/>
  <c r="GZ32" i="37"/>
  <c r="GY32" i="37"/>
  <c r="GX32" i="37"/>
  <c r="GW32" i="37"/>
  <c r="GV32" i="37"/>
  <c r="GU32" i="37"/>
  <c r="GT32" i="37"/>
  <c r="GS32" i="37"/>
  <c r="GR32" i="37"/>
  <c r="GQ32" i="37"/>
  <c r="GP32" i="37"/>
  <c r="GO32" i="37"/>
  <c r="HQ31" i="37"/>
  <c r="HP31" i="37"/>
  <c r="HO31" i="37"/>
  <c r="HN31" i="37"/>
  <c r="HM31" i="37"/>
  <c r="HL31" i="37"/>
  <c r="HK31" i="37"/>
  <c r="HJ31" i="37"/>
  <c r="HI31" i="37"/>
  <c r="HH31" i="37"/>
  <c r="HG31" i="37"/>
  <c r="HF31" i="37"/>
  <c r="HE31" i="37"/>
  <c r="HD31" i="37"/>
  <c r="HC31" i="37"/>
  <c r="HB31" i="37"/>
  <c r="HA31" i="37"/>
  <c r="GZ31" i="37"/>
  <c r="GY31" i="37"/>
  <c r="GX31" i="37"/>
  <c r="GW31" i="37"/>
  <c r="GV31" i="37"/>
  <c r="GU31" i="37"/>
  <c r="GT31" i="37"/>
  <c r="GS31" i="37"/>
  <c r="GR31" i="37"/>
  <c r="GQ31" i="37"/>
  <c r="GP31" i="37"/>
  <c r="GO31" i="37"/>
  <c r="HQ30" i="37"/>
  <c r="HP30" i="37"/>
  <c r="HO30" i="37"/>
  <c r="HN30" i="37"/>
  <c r="HM30" i="37"/>
  <c r="HL30" i="37"/>
  <c r="HK30" i="37"/>
  <c r="HJ30" i="37"/>
  <c r="HI30" i="37"/>
  <c r="HH30" i="37"/>
  <c r="HG30" i="37"/>
  <c r="HF30" i="37"/>
  <c r="HE30" i="37"/>
  <c r="HD30" i="37"/>
  <c r="HC30" i="37"/>
  <c r="HB30" i="37"/>
  <c r="HA30" i="37"/>
  <c r="GZ30" i="37"/>
  <c r="GY30" i="37"/>
  <c r="GX30" i="37"/>
  <c r="GW30" i="37"/>
  <c r="GV30" i="37"/>
  <c r="GU30" i="37"/>
  <c r="GT30" i="37"/>
  <c r="GS30" i="37"/>
  <c r="GR30" i="37"/>
  <c r="GQ30" i="37"/>
  <c r="GP30" i="37"/>
  <c r="GO30" i="37"/>
  <c r="HQ29" i="37"/>
  <c r="HP29" i="37"/>
  <c r="HO29" i="37"/>
  <c r="HN29" i="37"/>
  <c r="HM29" i="37"/>
  <c r="HL29" i="37"/>
  <c r="HK29" i="37"/>
  <c r="HJ29" i="37"/>
  <c r="HI29" i="37"/>
  <c r="HH29" i="37"/>
  <c r="HG29" i="37"/>
  <c r="HF29" i="37"/>
  <c r="HE29" i="37"/>
  <c r="HD29" i="37"/>
  <c r="HC29" i="37"/>
  <c r="HB29" i="37"/>
  <c r="HA29" i="37"/>
  <c r="GZ29" i="37"/>
  <c r="GY29" i="37"/>
  <c r="GX29" i="37"/>
  <c r="GW29" i="37"/>
  <c r="GV29" i="37"/>
  <c r="GU29" i="37"/>
  <c r="GT29" i="37"/>
  <c r="GS29" i="37"/>
  <c r="GR29" i="37"/>
  <c r="GQ29" i="37"/>
  <c r="GP29" i="37"/>
  <c r="GO29" i="37"/>
  <c r="HQ28" i="37"/>
  <c r="HP28" i="37"/>
  <c r="HO28" i="37"/>
  <c r="HN28" i="37"/>
  <c r="HM28" i="37"/>
  <c r="HL28" i="37"/>
  <c r="HK28" i="37"/>
  <c r="HJ28" i="37"/>
  <c r="HI28" i="37"/>
  <c r="HH28" i="37"/>
  <c r="HG28" i="37"/>
  <c r="HF28" i="37"/>
  <c r="HE28" i="37"/>
  <c r="HD28" i="37"/>
  <c r="HC28" i="37"/>
  <c r="HB28" i="37"/>
  <c r="HA28" i="37"/>
  <c r="GZ28" i="37"/>
  <c r="GY28" i="37"/>
  <c r="GX28" i="37"/>
  <c r="GW28" i="37"/>
  <c r="GV28" i="37"/>
  <c r="GU28" i="37"/>
  <c r="GT28" i="37"/>
  <c r="GS28" i="37"/>
  <c r="GR28" i="37"/>
  <c r="GQ28" i="37"/>
  <c r="GP28" i="37"/>
  <c r="GO28" i="37"/>
  <c r="HQ27" i="37"/>
  <c r="HP27" i="37"/>
  <c r="HO27" i="37"/>
  <c r="HN27" i="37"/>
  <c r="HM27" i="37"/>
  <c r="HL27" i="37"/>
  <c r="HK27" i="37"/>
  <c r="HJ27" i="37"/>
  <c r="HI27" i="37"/>
  <c r="HH27" i="37"/>
  <c r="HG27" i="37"/>
  <c r="HF27" i="37"/>
  <c r="HE27" i="37"/>
  <c r="HD27" i="37"/>
  <c r="HC27" i="37"/>
  <c r="HB27" i="37"/>
  <c r="HA27" i="37"/>
  <c r="GZ27" i="37"/>
  <c r="GY27" i="37"/>
  <c r="GX27" i="37"/>
  <c r="GW27" i="37"/>
  <c r="GV27" i="37"/>
  <c r="GU27" i="37"/>
  <c r="GT27" i="37"/>
  <c r="GS27" i="37"/>
  <c r="GR27" i="37"/>
  <c r="GQ27" i="37"/>
  <c r="GP27" i="37"/>
  <c r="GO27" i="37"/>
  <c r="HQ26" i="37"/>
  <c r="HP26" i="37"/>
  <c r="HO26" i="37"/>
  <c r="HN26" i="37"/>
  <c r="HM26" i="37"/>
  <c r="HL26" i="37"/>
  <c r="HK26" i="37"/>
  <c r="HJ26" i="37"/>
  <c r="HI26" i="37"/>
  <c r="HH26" i="37"/>
  <c r="HG26" i="37"/>
  <c r="HF26" i="37"/>
  <c r="HE26" i="37"/>
  <c r="HD26" i="37"/>
  <c r="HC26" i="37"/>
  <c r="HB26" i="37"/>
  <c r="HA26" i="37"/>
  <c r="GZ26" i="37"/>
  <c r="GY26" i="37"/>
  <c r="GX26" i="37"/>
  <c r="GW26" i="37"/>
  <c r="GV26" i="37"/>
  <c r="GU26" i="37"/>
  <c r="GT26" i="37"/>
  <c r="GS26" i="37"/>
  <c r="GR26" i="37"/>
  <c r="GQ26" i="37"/>
  <c r="GP26" i="37"/>
  <c r="GO26" i="37"/>
  <c r="HQ25" i="37"/>
  <c r="HP25" i="37"/>
  <c r="HO25" i="37"/>
  <c r="HN25" i="37"/>
  <c r="HM25" i="37"/>
  <c r="HL25" i="37"/>
  <c r="HK25" i="37"/>
  <c r="HJ25" i="37"/>
  <c r="HI25" i="37"/>
  <c r="HH25" i="37"/>
  <c r="HG25" i="37"/>
  <c r="HF25" i="37"/>
  <c r="HE25" i="37"/>
  <c r="HD25" i="37"/>
  <c r="HC25" i="37"/>
  <c r="HB25" i="37"/>
  <c r="HA25" i="37"/>
  <c r="GZ25" i="37"/>
  <c r="GY25" i="37"/>
  <c r="GX25" i="37"/>
  <c r="GW25" i="37"/>
  <c r="GV25" i="37"/>
  <c r="GU25" i="37"/>
  <c r="GT25" i="37"/>
  <c r="GS25" i="37"/>
  <c r="GR25" i="37"/>
  <c r="GQ25" i="37"/>
  <c r="GP25" i="37"/>
  <c r="GO25" i="37"/>
  <c r="HQ24" i="37"/>
  <c r="HP24" i="37"/>
  <c r="HO24" i="37"/>
  <c r="HN24" i="37"/>
  <c r="HM24" i="37"/>
  <c r="HL24" i="37"/>
  <c r="HK24" i="37"/>
  <c r="HJ24" i="37"/>
  <c r="HI24" i="37"/>
  <c r="HH24" i="37"/>
  <c r="HG24" i="37"/>
  <c r="HF24" i="37"/>
  <c r="HE24" i="37"/>
  <c r="HD24" i="37"/>
  <c r="HC24" i="37"/>
  <c r="HB24" i="37"/>
  <c r="HA24" i="37"/>
  <c r="GZ24" i="37"/>
  <c r="GY24" i="37"/>
  <c r="GX24" i="37"/>
  <c r="GW24" i="37"/>
  <c r="GV24" i="37"/>
  <c r="GU24" i="37"/>
  <c r="GT24" i="37"/>
  <c r="GS24" i="37"/>
  <c r="GR24" i="37"/>
  <c r="GQ24" i="37"/>
  <c r="GP24" i="37"/>
  <c r="GO24" i="37"/>
  <c r="HQ23" i="37"/>
  <c r="HP23" i="37"/>
  <c r="HO23" i="37"/>
  <c r="HN23" i="37"/>
  <c r="HM23" i="37"/>
  <c r="HL23" i="37"/>
  <c r="HK23" i="37"/>
  <c r="HJ23" i="37"/>
  <c r="HI23" i="37"/>
  <c r="HH23" i="37"/>
  <c r="HG23" i="37"/>
  <c r="HF23" i="37"/>
  <c r="HE23" i="37"/>
  <c r="HD23" i="37"/>
  <c r="HC23" i="37"/>
  <c r="HB23" i="37"/>
  <c r="HA23" i="37"/>
  <c r="GZ23" i="37"/>
  <c r="GY23" i="37"/>
  <c r="GX23" i="37"/>
  <c r="GW23" i="37"/>
  <c r="GV23" i="37"/>
  <c r="GU23" i="37"/>
  <c r="GT23" i="37"/>
  <c r="GS23" i="37"/>
  <c r="GR23" i="37"/>
  <c r="GQ23" i="37"/>
  <c r="GP23" i="37"/>
  <c r="GO23" i="37"/>
  <c r="HQ22" i="37"/>
  <c r="HP22" i="37"/>
  <c r="HO22" i="37"/>
  <c r="HN22" i="37"/>
  <c r="HM22" i="37"/>
  <c r="HL22" i="37"/>
  <c r="HK22" i="37"/>
  <c r="HJ22" i="37"/>
  <c r="HI22" i="37"/>
  <c r="HH22" i="37"/>
  <c r="HG22" i="37"/>
  <c r="HF22" i="37"/>
  <c r="HE22" i="37"/>
  <c r="HD22" i="37"/>
  <c r="HC22" i="37"/>
  <c r="HB22" i="37"/>
  <c r="HA22" i="37"/>
  <c r="GZ22" i="37"/>
  <c r="GY22" i="37"/>
  <c r="GX22" i="37"/>
  <c r="GW22" i="37"/>
  <c r="GV22" i="37"/>
  <c r="GU22" i="37"/>
  <c r="GT22" i="37"/>
  <c r="GS22" i="37"/>
  <c r="GR22" i="37"/>
  <c r="GQ22" i="37"/>
  <c r="GP22" i="37"/>
  <c r="GO22" i="37"/>
  <c r="HQ21" i="37"/>
  <c r="HP21" i="37"/>
  <c r="HO21" i="37"/>
  <c r="HN21" i="37"/>
  <c r="HM21" i="37"/>
  <c r="HL21" i="37"/>
  <c r="HK21" i="37"/>
  <c r="HJ21" i="37"/>
  <c r="HI21" i="37"/>
  <c r="HH21" i="37"/>
  <c r="HG21" i="37"/>
  <c r="HF21" i="37"/>
  <c r="HE21" i="37"/>
  <c r="HD21" i="37"/>
  <c r="HC21" i="37"/>
  <c r="HB21" i="37"/>
  <c r="HA21" i="37"/>
  <c r="GZ21" i="37"/>
  <c r="GY21" i="37"/>
  <c r="GX21" i="37"/>
  <c r="GW21" i="37"/>
  <c r="GV21" i="37"/>
  <c r="GU21" i="37"/>
  <c r="GT21" i="37"/>
  <c r="GS21" i="37"/>
  <c r="GR21" i="37"/>
  <c r="GQ21" i="37"/>
  <c r="GP21" i="37"/>
  <c r="GO21" i="37"/>
  <c r="HQ20" i="37"/>
  <c r="HP20" i="37"/>
  <c r="HO20" i="37"/>
  <c r="HN20" i="37"/>
  <c r="HM20" i="37"/>
  <c r="HL20" i="37"/>
  <c r="HK20" i="37"/>
  <c r="HJ20" i="37"/>
  <c r="HI20" i="37"/>
  <c r="HH20" i="37"/>
  <c r="HG20" i="37"/>
  <c r="HF20" i="37"/>
  <c r="HE20" i="37"/>
  <c r="HD20" i="37"/>
  <c r="HC20" i="37"/>
  <c r="HB20" i="37"/>
  <c r="HA20" i="37"/>
  <c r="GZ20" i="37"/>
  <c r="GY20" i="37"/>
  <c r="GX20" i="37"/>
  <c r="GW20" i="37"/>
  <c r="GV20" i="37"/>
  <c r="GU20" i="37"/>
  <c r="GT20" i="37"/>
  <c r="GS20" i="37"/>
  <c r="GR20" i="37"/>
  <c r="GQ20" i="37"/>
  <c r="GP20" i="37"/>
  <c r="GO20" i="37"/>
  <c r="HQ19" i="37"/>
  <c r="HP19" i="37"/>
  <c r="HO19" i="37"/>
  <c r="HN19" i="37"/>
  <c r="HM19" i="37"/>
  <c r="HL19" i="37"/>
  <c r="HK19" i="37"/>
  <c r="HJ19" i="37"/>
  <c r="HI19" i="37"/>
  <c r="HH19" i="37"/>
  <c r="HG19" i="37"/>
  <c r="HF19" i="37"/>
  <c r="HE19" i="37"/>
  <c r="HD19" i="37"/>
  <c r="HC19" i="37"/>
  <c r="HB19" i="37"/>
  <c r="HA19" i="37"/>
  <c r="GZ19" i="37"/>
  <c r="GY19" i="37"/>
  <c r="GX19" i="37"/>
  <c r="GW19" i="37"/>
  <c r="GV19" i="37"/>
  <c r="GU19" i="37"/>
  <c r="GT19" i="37"/>
  <c r="GS19" i="37"/>
  <c r="GR19" i="37"/>
  <c r="GQ19" i="37"/>
  <c r="GP19" i="37"/>
  <c r="GO19" i="37"/>
  <c r="HQ18" i="37"/>
  <c r="HO18" i="37"/>
  <c r="HN18" i="37"/>
  <c r="HM18" i="37"/>
  <c r="HL18" i="37"/>
  <c r="HK18" i="37"/>
  <c r="HJ18" i="37"/>
  <c r="HI18" i="37"/>
  <c r="HH18" i="37"/>
  <c r="HG18" i="37"/>
  <c r="HF18" i="37"/>
  <c r="HE18" i="37"/>
  <c r="HD18" i="37"/>
  <c r="HC18" i="37"/>
  <c r="HB18" i="37"/>
  <c r="HA18" i="37"/>
  <c r="GZ18" i="37"/>
  <c r="GY18" i="37"/>
  <c r="GX18" i="37"/>
  <c r="GW18" i="37"/>
  <c r="GV18" i="37"/>
  <c r="GU18" i="37"/>
  <c r="GT18" i="37"/>
  <c r="GS18" i="37"/>
  <c r="GR18" i="37"/>
  <c r="GQ18" i="37"/>
  <c r="GP18" i="37"/>
  <c r="GO18" i="37"/>
  <c r="GN35" i="37"/>
  <c r="GN34" i="37"/>
  <c r="GN33" i="37"/>
  <c r="GN32" i="37"/>
  <c r="GN31" i="37"/>
  <c r="GN30" i="37"/>
  <c r="GN29" i="37"/>
  <c r="GN28" i="37"/>
  <c r="GN27" i="37"/>
  <c r="GN26" i="37"/>
  <c r="GN25" i="37"/>
  <c r="GN24" i="37"/>
  <c r="GN23" i="37"/>
  <c r="GN22" i="37"/>
  <c r="GN21" i="37"/>
  <c r="GN20" i="37"/>
  <c r="GN19" i="37"/>
  <c r="GN18" i="37"/>
  <c r="GL35" i="37"/>
  <c r="GL34" i="37"/>
  <c r="GL33" i="37"/>
  <c r="GL32" i="37"/>
  <c r="GL31" i="37"/>
  <c r="GL30" i="37"/>
  <c r="GL29" i="37"/>
  <c r="GL28" i="37"/>
  <c r="GL27" i="37"/>
  <c r="GL26" i="37"/>
  <c r="GL25" i="37"/>
  <c r="GL24" i="37"/>
  <c r="GL23" i="37"/>
  <c r="GL22" i="37"/>
  <c r="GL21" i="37"/>
  <c r="GL20" i="37"/>
  <c r="GL19" i="37"/>
  <c r="GL18" i="37"/>
  <c r="GJ35" i="37"/>
  <c r="GJ34" i="37"/>
  <c r="GJ33" i="37"/>
  <c r="GJ32" i="37"/>
  <c r="GJ31" i="37"/>
  <c r="GJ30" i="37"/>
  <c r="GJ29" i="37"/>
  <c r="GJ28" i="37"/>
  <c r="GJ27" i="37"/>
  <c r="GJ26" i="37"/>
  <c r="GJ25" i="37"/>
  <c r="GJ24" i="37"/>
  <c r="GJ23" i="37"/>
  <c r="GJ22" i="37"/>
  <c r="GJ21" i="37"/>
  <c r="GJ20" i="37"/>
  <c r="GJ19" i="37"/>
  <c r="GJ18" i="37"/>
  <c r="CM14" i="30"/>
  <c r="CM13" i="30"/>
  <c r="CM12" i="30"/>
  <c r="CL14" i="30"/>
  <c r="CL13" i="30"/>
  <c r="CL12" i="30"/>
  <c r="CK14" i="30"/>
  <c r="CK13" i="30"/>
  <c r="CK12" i="30"/>
  <c r="CJ14" i="30"/>
  <c r="CJ13" i="30"/>
  <c r="CJ12" i="30"/>
  <c r="CI14" i="30"/>
  <c r="CI13" i="30"/>
  <c r="CI12" i="30"/>
  <c r="CH14" i="30"/>
  <c r="CH13" i="30"/>
  <c r="CH12" i="30"/>
  <c r="CM35" i="30"/>
  <c r="CL35" i="30"/>
  <c r="CK35" i="30"/>
  <c r="CJ35" i="30"/>
  <c r="CI35" i="30"/>
  <c r="CH35" i="30"/>
  <c r="CG35" i="30"/>
  <c r="CF35" i="30"/>
  <c r="CE35" i="30"/>
  <c r="CM34" i="30"/>
  <c r="CL34" i="30"/>
  <c r="CK34" i="30"/>
  <c r="CJ34" i="30"/>
  <c r="CI34" i="30"/>
  <c r="CH34" i="30"/>
  <c r="CG34" i="30"/>
  <c r="CF34" i="30"/>
  <c r="CE34" i="30"/>
  <c r="CM33" i="30"/>
  <c r="CL33" i="30"/>
  <c r="CK33" i="30"/>
  <c r="CJ33" i="30"/>
  <c r="CI33" i="30"/>
  <c r="CH33" i="30"/>
  <c r="CG33" i="30"/>
  <c r="CF33" i="30"/>
  <c r="CE33" i="30"/>
  <c r="CM32" i="30"/>
  <c r="CL32" i="30"/>
  <c r="CK32" i="30"/>
  <c r="CJ32" i="30"/>
  <c r="CI32" i="30"/>
  <c r="CH32" i="30"/>
  <c r="CG32" i="30"/>
  <c r="CF32" i="30"/>
  <c r="CE32" i="30"/>
  <c r="CM31" i="30"/>
  <c r="CL31" i="30"/>
  <c r="CK31" i="30"/>
  <c r="CJ31" i="30"/>
  <c r="CI31" i="30"/>
  <c r="CH31" i="30"/>
  <c r="CG31" i="30"/>
  <c r="CF31" i="30"/>
  <c r="CE31" i="30"/>
  <c r="CM30" i="30"/>
  <c r="CL30" i="30"/>
  <c r="CK30" i="30"/>
  <c r="CJ30" i="30"/>
  <c r="CI30" i="30"/>
  <c r="CH30" i="30"/>
  <c r="CG30" i="30"/>
  <c r="CF30" i="30"/>
  <c r="CE30" i="30"/>
  <c r="CM29" i="30"/>
  <c r="CL29" i="30"/>
  <c r="CK29" i="30"/>
  <c r="CJ29" i="30"/>
  <c r="CI29" i="30"/>
  <c r="CH29" i="30"/>
  <c r="CG29" i="30"/>
  <c r="CF29" i="30"/>
  <c r="CE29" i="30"/>
  <c r="CM28" i="30"/>
  <c r="CL28" i="30"/>
  <c r="CK28" i="30"/>
  <c r="CJ28" i="30"/>
  <c r="CI28" i="30"/>
  <c r="CH28" i="30"/>
  <c r="CG28" i="30"/>
  <c r="CF28" i="30"/>
  <c r="CE28" i="30"/>
  <c r="CM27" i="30"/>
  <c r="CL27" i="30"/>
  <c r="CK27" i="30"/>
  <c r="CJ27" i="30"/>
  <c r="CI27" i="30"/>
  <c r="CH27" i="30"/>
  <c r="CG27" i="30"/>
  <c r="CF27" i="30"/>
  <c r="CE27" i="30"/>
  <c r="CM26" i="30"/>
  <c r="CL26" i="30"/>
  <c r="CK26" i="30"/>
  <c r="CJ26" i="30"/>
  <c r="CI26" i="30"/>
  <c r="CH26" i="30"/>
  <c r="CG26" i="30"/>
  <c r="CF26" i="30"/>
  <c r="CE26" i="30"/>
  <c r="CM25" i="30"/>
  <c r="CL25" i="30"/>
  <c r="CK25" i="30"/>
  <c r="CJ25" i="30"/>
  <c r="CI25" i="30"/>
  <c r="CH25" i="30"/>
  <c r="CG25" i="30"/>
  <c r="CF25" i="30"/>
  <c r="CE25" i="30"/>
  <c r="CM24" i="30"/>
  <c r="CL24" i="30"/>
  <c r="CK24" i="30"/>
  <c r="CJ24" i="30"/>
  <c r="CI24" i="30"/>
  <c r="CH24" i="30"/>
  <c r="CG24" i="30"/>
  <c r="CF24" i="30"/>
  <c r="CE24" i="30"/>
  <c r="CM23" i="30"/>
  <c r="CL23" i="30"/>
  <c r="CK23" i="30"/>
  <c r="CJ23" i="30"/>
  <c r="CI23" i="30"/>
  <c r="CH23" i="30"/>
  <c r="CG23" i="30"/>
  <c r="CF23" i="30"/>
  <c r="CE23" i="30"/>
  <c r="CM22" i="30"/>
  <c r="CL22" i="30"/>
  <c r="CK22" i="30"/>
  <c r="CJ22" i="30"/>
  <c r="CI22" i="30"/>
  <c r="CH22" i="30"/>
  <c r="CG22" i="30"/>
  <c r="CF22" i="30"/>
  <c r="CE22" i="30"/>
  <c r="CM21" i="30"/>
  <c r="CL21" i="30"/>
  <c r="CK21" i="30"/>
  <c r="CJ21" i="30"/>
  <c r="CI21" i="30"/>
  <c r="CH21" i="30"/>
  <c r="CG21" i="30"/>
  <c r="CF21" i="30"/>
  <c r="CE21" i="30"/>
  <c r="CM20" i="30"/>
  <c r="CL20" i="30"/>
  <c r="CK20" i="30"/>
  <c r="CJ20" i="30"/>
  <c r="CI20" i="30"/>
  <c r="CH20" i="30"/>
  <c r="CG20" i="30"/>
  <c r="CF20" i="30"/>
  <c r="CE20" i="30"/>
  <c r="CM19" i="30"/>
  <c r="CL19" i="30"/>
  <c r="CK19" i="30"/>
  <c r="CJ19" i="30"/>
  <c r="CI19" i="30"/>
  <c r="CH19" i="30"/>
  <c r="CG19" i="30"/>
  <c r="CF19" i="30"/>
  <c r="CE19" i="30"/>
  <c r="CM18" i="30"/>
  <c r="CL18" i="30"/>
  <c r="CK18" i="30"/>
  <c r="CJ18" i="30"/>
  <c r="CI18" i="30"/>
  <c r="CH18" i="30"/>
  <c r="CG18" i="30"/>
  <c r="CF18" i="30"/>
  <c r="CE18" i="30"/>
  <c r="CD35" i="30"/>
  <c r="CD34" i="30"/>
  <c r="CD33" i="30"/>
  <c r="CD32" i="30"/>
  <c r="CD31" i="30"/>
  <c r="CD30" i="30"/>
  <c r="CD29" i="30"/>
  <c r="CD28" i="30"/>
  <c r="CD27" i="30"/>
  <c r="CD26" i="30"/>
  <c r="CD25" i="30"/>
  <c r="CD24" i="30"/>
  <c r="CD23" i="30"/>
  <c r="CD22" i="30"/>
  <c r="CD21" i="30"/>
  <c r="CD20" i="30"/>
  <c r="CD19" i="30"/>
  <c r="CD18" i="30"/>
  <c r="CB35" i="30"/>
  <c r="CB34" i="30"/>
  <c r="CB33" i="30"/>
  <c r="CB32" i="30"/>
  <c r="CB31" i="30"/>
  <c r="CB30" i="30"/>
  <c r="CB29" i="30"/>
  <c r="CB28" i="30"/>
  <c r="CB27" i="30"/>
  <c r="CB26" i="30"/>
  <c r="CB25" i="30"/>
  <c r="CB24" i="30"/>
  <c r="CB23" i="30"/>
  <c r="CB22" i="30"/>
  <c r="CB21" i="30"/>
  <c r="CB20" i="30"/>
  <c r="CB19" i="30"/>
  <c r="CB18" i="30"/>
  <c r="BZ35" i="30"/>
  <c r="BZ34" i="30"/>
  <c r="BZ33" i="30"/>
  <c r="BZ32" i="30"/>
  <c r="BZ31" i="30"/>
  <c r="BZ30" i="30"/>
  <c r="BZ29" i="30"/>
  <c r="BZ28" i="30"/>
  <c r="BZ27" i="30"/>
  <c r="BZ26" i="30"/>
  <c r="BZ25" i="30"/>
  <c r="BZ24" i="30"/>
  <c r="BZ23" i="30"/>
  <c r="BZ22" i="30"/>
  <c r="BZ21" i="30"/>
  <c r="BZ20" i="30"/>
  <c r="BZ19" i="30"/>
  <c r="BZ18" i="30"/>
  <c r="BR14" i="16"/>
  <c r="BR13" i="16"/>
  <c r="BR12" i="16"/>
  <c r="BQ14" i="16"/>
  <c r="BQ13" i="16"/>
  <c r="BQ12" i="16"/>
  <c r="BP14" i="16"/>
  <c r="BP13" i="16"/>
  <c r="BP12" i="16"/>
  <c r="BR14" i="23"/>
  <c r="BR13" i="23"/>
  <c r="BR12" i="23"/>
  <c r="BQ14" i="23"/>
  <c r="BQ13" i="23"/>
  <c r="BQ12" i="23"/>
  <c r="BP14" i="23"/>
  <c r="BP13" i="23"/>
  <c r="BP12" i="23"/>
  <c r="BR35" i="23"/>
  <c r="BQ35" i="23"/>
  <c r="BP35" i="23"/>
  <c r="BO35" i="23"/>
  <c r="BN35" i="23"/>
  <c r="BM35" i="23"/>
  <c r="BR34" i="23"/>
  <c r="BQ34" i="23"/>
  <c r="BP34" i="23"/>
  <c r="BO34" i="23"/>
  <c r="BN34" i="23"/>
  <c r="BM34" i="23"/>
  <c r="BR33" i="23"/>
  <c r="BQ33" i="23"/>
  <c r="BP33" i="23"/>
  <c r="BO33" i="23"/>
  <c r="BN33" i="23"/>
  <c r="BM33" i="23"/>
  <c r="BR32" i="23"/>
  <c r="BQ32" i="23"/>
  <c r="BP32" i="23"/>
  <c r="BO32" i="23"/>
  <c r="BN32" i="23"/>
  <c r="BM32" i="23"/>
  <c r="BR31" i="23"/>
  <c r="BQ31" i="23"/>
  <c r="BP31" i="23"/>
  <c r="BO31" i="23"/>
  <c r="BN31" i="23"/>
  <c r="BM31" i="23"/>
  <c r="BR30" i="23"/>
  <c r="BQ30" i="23"/>
  <c r="BP30" i="23"/>
  <c r="BO30" i="23"/>
  <c r="BN30" i="23"/>
  <c r="BM30" i="23"/>
  <c r="BR29" i="23"/>
  <c r="BQ29" i="23"/>
  <c r="BP29" i="23"/>
  <c r="BO29" i="23"/>
  <c r="BN29" i="23"/>
  <c r="BM29" i="23"/>
  <c r="BR28" i="23"/>
  <c r="BQ28" i="23"/>
  <c r="BP28" i="23"/>
  <c r="BO28" i="23"/>
  <c r="BN28" i="23"/>
  <c r="BM28" i="23"/>
  <c r="BR27" i="23"/>
  <c r="BQ27" i="23"/>
  <c r="BP27" i="23"/>
  <c r="BO27" i="23"/>
  <c r="BN27" i="23"/>
  <c r="BM27" i="23"/>
  <c r="BR26" i="23"/>
  <c r="BQ26" i="23"/>
  <c r="BP26" i="23"/>
  <c r="BO26" i="23"/>
  <c r="BN26" i="23"/>
  <c r="BM26" i="23"/>
  <c r="BR25" i="23"/>
  <c r="BQ25" i="23"/>
  <c r="BP25" i="23"/>
  <c r="BO25" i="23"/>
  <c r="BN25" i="23"/>
  <c r="BM25" i="23"/>
  <c r="BR24" i="23"/>
  <c r="BQ24" i="23"/>
  <c r="BP24" i="23"/>
  <c r="BO24" i="23"/>
  <c r="BN24" i="23"/>
  <c r="BM24" i="23"/>
  <c r="BR23" i="23"/>
  <c r="BQ23" i="23"/>
  <c r="BP23" i="23"/>
  <c r="BO23" i="23"/>
  <c r="BN23" i="23"/>
  <c r="BM23" i="23"/>
  <c r="BR22" i="23"/>
  <c r="BQ22" i="23"/>
  <c r="BP22" i="23"/>
  <c r="BO22" i="23"/>
  <c r="BN22" i="23"/>
  <c r="BM22" i="23"/>
  <c r="BR21" i="23"/>
  <c r="BQ21" i="23"/>
  <c r="BP21" i="23"/>
  <c r="BO21" i="23"/>
  <c r="BN21" i="23"/>
  <c r="BM21" i="23"/>
  <c r="BR20" i="23"/>
  <c r="BQ20" i="23"/>
  <c r="BP20" i="23"/>
  <c r="BO20" i="23"/>
  <c r="BN20" i="23"/>
  <c r="BM20" i="23"/>
  <c r="BR19" i="23"/>
  <c r="BQ19" i="23"/>
  <c r="BP19" i="23"/>
  <c r="BO19" i="23"/>
  <c r="BN19" i="23"/>
  <c r="BM19" i="23"/>
  <c r="BR18" i="23"/>
  <c r="BQ18" i="23"/>
  <c r="BP18" i="23"/>
  <c r="BO18" i="23"/>
  <c r="BN18" i="23"/>
  <c r="BM18" i="23"/>
  <c r="BL35" i="23"/>
  <c r="BL34" i="23"/>
  <c r="BL33" i="23"/>
  <c r="BL32" i="23"/>
  <c r="BL31" i="23"/>
  <c r="BL30" i="23"/>
  <c r="BL29" i="23"/>
  <c r="BL28" i="23"/>
  <c r="BL27" i="23"/>
  <c r="BL26" i="23"/>
  <c r="BL25" i="23"/>
  <c r="BL24" i="23"/>
  <c r="BL23" i="23"/>
  <c r="BL22" i="23"/>
  <c r="BL21" i="23"/>
  <c r="BL20" i="23"/>
  <c r="BL19" i="23"/>
  <c r="BL18" i="23"/>
  <c r="BJ35" i="23"/>
  <c r="BJ34" i="23"/>
  <c r="BJ33" i="23"/>
  <c r="BJ32" i="23"/>
  <c r="BJ31" i="23"/>
  <c r="BJ30" i="23"/>
  <c r="BJ29" i="23"/>
  <c r="BJ28" i="23"/>
  <c r="BJ27" i="23"/>
  <c r="BJ26" i="23"/>
  <c r="BJ25" i="23"/>
  <c r="BJ24" i="23"/>
  <c r="BJ23" i="23"/>
  <c r="BJ22" i="23"/>
  <c r="BJ21" i="23"/>
  <c r="BJ20" i="23"/>
  <c r="BJ19" i="23"/>
  <c r="BJ18" i="23"/>
  <c r="BH35" i="23"/>
  <c r="BH34" i="23"/>
  <c r="BH33" i="23"/>
  <c r="BH32" i="23"/>
  <c r="BH31" i="23"/>
  <c r="BH30" i="23"/>
  <c r="BH29" i="23"/>
  <c r="BH28" i="23"/>
  <c r="BH27" i="23"/>
  <c r="BH26" i="23"/>
  <c r="BH25" i="23"/>
  <c r="BH24" i="23"/>
  <c r="BH23" i="23"/>
  <c r="BH22" i="23"/>
  <c r="BH21" i="23"/>
  <c r="BH20" i="23"/>
  <c r="BH19" i="23"/>
  <c r="BH18" i="23"/>
  <c r="BR35" i="16"/>
  <c r="BR34" i="16"/>
  <c r="BR33" i="16"/>
  <c r="BR32" i="16"/>
  <c r="BR31" i="16"/>
  <c r="BR30" i="16"/>
  <c r="BR29" i="16"/>
  <c r="BR28" i="16"/>
  <c r="BR27" i="16"/>
  <c r="BR26" i="16"/>
  <c r="BR25" i="16"/>
  <c r="BR24" i="16"/>
  <c r="BR23" i="16"/>
  <c r="BR22" i="16"/>
  <c r="BR21" i="16"/>
  <c r="BR20" i="16"/>
  <c r="BR19" i="16"/>
  <c r="BR18" i="16"/>
  <c r="BQ35" i="16"/>
  <c r="BQ34" i="16"/>
  <c r="BQ33" i="16"/>
  <c r="BQ32" i="16"/>
  <c r="BQ31" i="16"/>
  <c r="BQ30" i="16"/>
  <c r="BQ29" i="16"/>
  <c r="BQ28" i="16"/>
  <c r="BQ27" i="16"/>
  <c r="BQ26" i="16"/>
  <c r="BQ25" i="16"/>
  <c r="BQ24" i="16"/>
  <c r="BQ23" i="16"/>
  <c r="BQ22" i="16"/>
  <c r="BQ21" i="16"/>
  <c r="BQ20" i="16"/>
  <c r="BQ19" i="16"/>
  <c r="BQ18" i="16"/>
  <c r="BP35" i="16"/>
  <c r="BP34" i="16"/>
  <c r="BP33" i="16"/>
  <c r="BP32" i="16"/>
  <c r="BP31" i="16"/>
  <c r="BP30" i="16"/>
  <c r="BP29" i="16"/>
  <c r="BP28" i="16"/>
  <c r="BP27" i="16"/>
  <c r="BP26" i="16"/>
  <c r="BP25" i="16"/>
  <c r="BP24" i="16"/>
  <c r="BP23" i="16"/>
  <c r="BP22" i="16"/>
  <c r="BP21" i="16"/>
  <c r="BP20" i="16"/>
  <c r="BP19" i="16"/>
  <c r="BP18" i="16"/>
  <c r="BO35" i="16"/>
  <c r="BO34" i="16"/>
  <c r="BO33" i="16"/>
  <c r="BO32" i="16"/>
  <c r="BO31" i="16"/>
  <c r="BO30" i="16"/>
  <c r="BO29" i="16"/>
  <c r="BO28" i="16"/>
  <c r="BO27" i="16"/>
  <c r="BO26" i="16"/>
  <c r="BO25" i="16"/>
  <c r="BO24" i="16"/>
  <c r="BO23" i="16"/>
  <c r="BO22" i="16"/>
  <c r="BO21" i="16"/>
  <c r="BO20" i="16"/>
  <c r="BO19" i="16"/>
  <c r="BO18" i="16"/>
  <c r="BN35" i="16"/>
  <c r="BN34" i="16"/>
  <c r="BN33" i="16"/>
  <c r="BN32" i="16"/>
  <c r="BN31" i="16"/>
  <c r="BN30" i="16"/>
  <c r="BN29" i="16"/>
  <c r="BN28" i="16"/>
  <c r="BN27" i="16"/>
  <c r="BN26" i="16"/>
  <c r="BN25" i="16"/>
  <c r="BN24" i="16"/>
  <c r="BN23" i="16"/>
  <c r="BN22" i="16"/>
  <c r="BN21" i="16"/>
  <c r="BN20" i="16"/>
  <c r="BN19" i="16"/>
  <c r="BN18" i="16"/>
  <c r="BM35" i="16"/>
  <c r="BM34" i="16"/>
  <c r="BM33" i="16"/>
  <c r="BM32" i="16"/>
  <c r="BM31" i="16"/>
  <c r="BM30" i="16"/>
  <c r="BM29" i="16"/>
  <c r="BM28" i="16"/>
  <c r="BM27" i="16"/>
  <c r="BM26" i="16"/>
  <c r="BM25" i="16"/>
  <c r="BM24" i="16"/>
  <c r="BM23" i="16"/>
  <c r="BM22" i="16"/>
  <c r="BM21" i="16"/>
  <c r="BM20" i="16"/>
  <c r="BM19" i="16"/>
  <c r="BM18" i="16"/>
  <c r="BL35" i="16"/>
  <c r="BL34" i="16"/>
  <c r="BL33" i="16"/>
  <c r="BL32" i="16"/>
  <c r="BL31" i="16"/>
  <c r="BL30" i="16"/>
  <c r="BL29" i="16"/>
  <c r="BL28" i="16"/>
  <c r="BL27" i="16"/>
  <c r="BL26" i="16"/>
  <c r="BL25" i="16"/>
  <c r="BL24" i="16"/>
  <c r="BL23" i="16"/>
  <c r="BL22" i="16"/>
  <c r="BL21" i="16"/>
  <c r="BL20" i="16"/>
  <c r="BL19" i="16"/>
  <c r="BL18" i="16"/>
  <c r="BJ35" i="16"/>
  <c r="BJ34" i="16"/>
  <c r="BJ33" i="16"/>
  <c r="BJ32" i="16"/>
  <c r="BJ31" i="16"/>
  <c r="BJ30" i="16"/>
  <c r="BJ29" i="16"/>
  <c r="BJ28" i="16"/>
  <c r="BJ27" i="16"/>
  <c r="BJ26" i="16"/>
  <c r="BJ25" i="16"/>
  <c r="BJ24" i="16"/>
  <c r="BJ23" i="16"/>
  <c r="BJ22" i="16"/>
  <c r="BJ21" i="16"/>
  <c r="BJ20" i="16"/>
  <c r="BJ19" i="16"/>
  <c r="BJ18" i="16"/>
  <c r="BH35" i="16"/>
  <c r="BH34" i="16"/>
  <c r="BH33" i="16"/>
  <c r="BH32" i="16"/>
  <c r="BH31" i="16"/>
  <c r="BH30" i="16"/>
  <c r="BH29" i="16"/>
  <c r="BH28" i="16"/>
  <c r="BH27" i="16"/>
  <c r="BH26" i="16"/>
  <c r="BH25" i="16"/>
  <c r="BH24" i="16"/>
  <c r="BH23" i="16"/>
  <c r="BH22" i="16"/>
  <c r="BH21" i="16"/>
  <c r="BH20" i="16"/>
  <c r="BH19" i="16"/>
  <c r="BH18" i="16"/>
  <c r="X35" i="3"/>
  <c r="X34" i="3"/>
  <c r="X33" i="3"/>
  <c r="X32" i="3"/>
  <c r="X31" i="3"/>
  <c r="X30" i="3"/>
  <c r="X29" i="3"/>
  <c r="X28" i="3"/>
  <c r="X27" i="3"/>
  <c r="X26" i="3"/>
  <c r="X25" i="3"/>
  <c r="X24" i="3"/>
  <c r="X23" i="3"/>
  <c r="X22" i="3"/>
  <c r="X21" i="3"/>
  <c r="X20" i="3"/>
  <c r="X19" i="3"/>
  <c r="X18" i="3"/>
  <c r="V35" i="3"/>
  <c r="V34" i="3"/>
  <c r="V33" i="3"/>
  <c r="V32" i="3"/>
  <c r="V31" i="3"/>
  <c r="V30" i="3"/>
  <c r="V29" i="3"/>
  <c r="V28" i="3"/>
  <c r="V27" i="3"/>
  <c r="V26" i="3"/>
  <c r="V25" i="3"/>
  <c r="V24" i="3"/>
  <c r="V23" i="3"/>
  <c r="V22" i="3"/>
  <c r="V21" i="3"/>
  <c r="V20" i="3"/>
  <c r="V19" i="3"/>
  <c r="J18" i="2"/>
  <c r="K18" i="2"/>
  <c r="L18" i="2"/>
  <c r="M18" i="2"/>
  <c r="N18" i="2"/>
  <c r="O18" i="2"/>
  <c r="P18" i="2"/>
  <c r="Q18" i="2"/>
  <c r="R18" i="2"/>
  <c r="S18" i="2"/>
  <c r="T18" i="2"/>
  <c r="U18" i="2"/>
  <c r="V18" i="2"/>
  <c r="W18" i="2"/>
  <c r="X18" i="2"/>
  <c r="Y18" i="2"/>
  <c r="Z18" i="2"/>
  <c r="AA18" i="2"/>
  <c r="AB18" i="2"/>
  <c r="AC18" i="2"/>
  <c r="AD18" i="2"/>
  <c r="AE18" i="2"/>
  <c r="AF18" i="2"/>
  <c r="AG18" i="2"/>
  <c r="J19" i="2"/>
  <c r="K19" i="2"/>
  <c r="L19" i="2"/>
  <c r="M19" i="2"/>
  <c r="N19" i="2"/>
  <c r="O19" i="2"/>
  <c r="P19" i="2"/>
  <c r="Q19" i="2"/>
  <c r="R19" i="2"/>
  <c r="S19" i="2"/>
  <c r="T19" i="2"/>
  <c r="U19" i="2"/>
  <c r="V19" i="2"/>
  <c r="W19" i="2"/>
  <c r="X19" i="2"/>
  <c r="Y19" i="2"/>
  <c r="Z19" i="2"/>
  <c r="AA19" i="2"/>
  <c r="AB19" i="2"/>
  <c r="AC19" i="2"/>
  <c r="AD19" i="2"/>
  <c r="AE19" i="2"/>
  <c r="AF19" i="2"/>
  <c r="AG19" i="2"/>
  <c r="J20" i="2"/>
  <c r="K20" i="2"/>
  <c r="L20" i="2"/>
  <c r="M20" i="2"/>
  <c r="N20" i="2"/>
  <c r="O20" i="2"/>
  <c r="P20" i="2"/>
  <c r="Q20" i="2"/>
  <c r="R20" i="2"/>
  <c r="S20" i="2"/>
  <c r="T20" i="2"/>
  <c r="U20" i="2"/>
  <c r="V20" i="2"/>
  <c r="W20" i="2"/>
  <c r="X20" i="2"/>
  <c r="Y20" i="2"/>
  <c r="Z20" i="2"/>
  <c r="AA20" i="2"/>
  <c r="AB20" i="2"/>
  <c r="AC20" i="2"/>
  <c r="AD20" i="2"/>
  <c r="AE20" i="2"/>
  <c r="AF20" i="2"/>
  <c r="AG20" i="2"/>
  <c r="J21" i="2"/>
  <c r="K21" i="2"/>
  <c r="L21" i="2"/>
  <c r="M21" i="2"/>
  <c r="N21" i="2"/>
  <c r="O21" i="2"/>
  <c r="P21" i="2"/>
  <c r="Q21" i="2"/>
  <c r="R21" i="2"/>
  <c r="S21" i="2"/>
  <c r="T21" i="2"/>
  <c r="U21" i="2"/>
  <c r="V21" i="2"/>
  <c r="W21" i="2"/>
  <c r="X21" i="2"/>
  <c r="Y21" i="2"/>
  <c r="Z21" i="2"/>
  <c r="AA21" i="2"/>
  <c r="AB21" i="2"/>
  <c r="AC21" i="2"/>
  <c r="AD21" i="2"/>
  <c r="AE21" i="2"/>
  <c r="AF21" i="2"/>
  <c r="AG21" i="2"/>
  <c r="J22" i="2"/>
  <c r="K22" i="2"/>
  <c r="L22" i="2"/>
  <c r="M22" i="2"/>
  <c r="N22" i="2"/>
  <c r="O22" i="2"/>
  <c r="P22" i="2"/>
  <c r="Q22" i="2"/>
  <c r="R22" i="2"/>
  <c r="S22" i="2"/>
  <c r="T22" i="2"/>
  <c r="U22" i="2"/>
  <c r="V22" i="2"/>
  <c r="W22" i="2"/>
  <c r="X22" i="2"/>
  <c r="Y22" i="2"/>
  <c r="Z22" i="2"/>
  <c r="AA22" i="2"/>
  <c r="AB22" i="2"/>
  <c r="AC22" i="2"/>
  <c r="AD22" i="2"/>
  <c r="AE22" i="2"/>
  <c r="AF22" i="2"/>
  <c r="AG22" i="2"/>
  <c r="J23" i="2"/>
  <c r="K23" i="2"/>
  <c r="L23" i="2"/>
  <c r="M23" i="2"/>
  <c r="N23" i="2"/>
  <c r="O23" i="2"/>
  <c r="P23" i="2"/>
  <c r="Q23" i="2"/>
  <c r="R23" i="2"/>
  <c r="S23" i="2"/>
  <c r="T23" i="2"/>
  <c r="U23" i="2"/>
  <c r="V23" i="2"/>
  <c r="W23" i="2"/>
  <c r="X23" i="2"/>
  <c r="Y23" i="2"/>
  <c r="Z23" i="2"/>
  <c r="AA23" i="2"/>
  <c r="AB23" i="2"/>
  <c r="AC23" i="2"/>
  <c r="AD23" i="2"/>
  <c r="AE23" i="2"/>
  <c r="AF23" i="2"/>
  <c r="AG23" i="2"/>
  <c r="J24" i="2"/>
  <c r="K24" i="2"/>
  <c r="L24" i="2"/>
  <c r="M24" i="2"/>
  <c r="N24" i="2"/>
  <c r="O24" i="2"/>
  <c r="P24" i="2"/>
  <c r="Q24" i="2"/>
  <c r="R24" i="2"/>
  <c r="S24" i="2"/>
  <c r="T24" i="2"/>
  <c r="U24" i="2"/>
  <c r="V24" i="2"/>
  <c r="W24" i="2"/>
  <c r="X24" i="2"/>
  <c r="Y24" i="2"/>
  <c r="Z24" i="2"/>
  <c r="AA24" i="2"/>
  <c r="AB24" i="2"/>
  <c r="AC24" i="2"/>
  <c r="AD24" i="2"/>
  <c r="AE24" i="2"/>
  <c r="AF24" i="2"/>
  <c r="AG24" i="2"/>
  <c r="J25" i="2"/>
  <c r="K25" i="2"/>
  <c r="L25" i="2"/>
  <c r="M25" i="2"/>
  <c r="N25" i="2"/>
  <c r="O25" i="2"/>
  <c r="P25" i="2"/>
  <c r="Q25" i="2"/>
  <c r="R25" i="2"/>
  <c r="S25" i="2"/>
  <c r="T25" i="2"/>
  <c r="U25" i="2"/>
  <c r="V25" i="2"/>
  <c r="W25" i="2"/>
  <c r="X25" i="2"/>
  <c r="Y25" i="2"/>
  <c r="Z25" i="2"/>
  <c r="AA25" i="2"/>
  <c r="AB25" i="2"/>
  <c r="AC25" i="2"/>
  <c r="AD25" i="2"/>
  <c r="AE25" i="2"/>
  <c r="AF25" i="2"/>
  <c r="AG25" i="2"/>
  <c r="J26" i="2"/>
  <c r="K26" i="2"/>
  <c r="L26" i="2"/>
  <c r="M26" i="2"/>
  <c r="N26" i="2"/>
  <c r="O26" i="2"/>
  <c r="P26" i="2"/>
  <c r="Q26" i="2"/>
  <c r="R26" i="2"/>
  <c r="S26" i="2"/>
  <c r="T26" i="2"/>
  <c r="U26" i="2"/>
  <c r="V26" i="2"/>
  <c r="W26" i="2"/>
  <c r="X26" i="2"/>
  <c r="Y26" i="2"/>
  <c r="Z26" i="2"/>
  <c r="AA26" i="2"/>
  <c r="AB26" i="2"/>
  <c r="AC26" i="2"/>
  <c r="AD26" i="2"/>
  <c r="AE26" i="2"/>
  <c r="AF26" i="2"/>
  <c r="AG26" i="2"/>
  <c r="J27" i="2"/>
  <c r="K27" i="2"/>
  <c r="L27" i="2"/>
  <c r="M27" i="2"/>
  <c r="N27" i="2"/>
  <c r="O27" i="2"/>
  <c r="P27" i="2"/>
  <c r="Q27" i="2"/>
  <c r="R27" i="2"/>
  <c r="S27" i="2"/>
  <c r="T27" i="2"/>
  <c r="U27" i="2"/>
  <c r="V27" i="2"/>
  <c r="W27" i="2"/>
  <c r="X27" i="2"/>
  <c r="Y27" i="2"/>
  <c r="Z27" i="2"/>
  <c r="AA27" i="2"/>
  <c r="AB27" i="2"/>
  <c r="AC27" i="2"/>
  <c r="AD27" i="2"/>
  <c r="AE27" i="2"/>
  <c r="AF27" i="2"/>
  <c r="AG27" i="2"/>
  <c r="J28" i="2"/>
  <c r="K28" i="2"/>
  <c r="L28" i="2"/>
  <c r="M28" i="2"/>
  <c r="N28" i="2"/>
  <c r="O28" i="2"/>
  <c r="P28" i="2"/>
  <c r="Q28" i="2"/>
  <c r="R28" i="2"/>
  <c r="S28" i="2"/>
  <c r="T28" i="2"/>
  <c r="U28" i="2"/>
  <c r="V28" i="2"/>
  <c r="W28" i="2"/>
  <c r="X28" i="2"/>
  <c r="Y28" i="2"/>
  <c r="Z28" i="2"/>
  <c r="AA28" i="2"/>
  <c r="AB28" i="2"/>
  <c r="AC28" i="2"/>
  <c r="AD28" i="2"/>
  <c r="AE28" i="2"/>
  <c r="AF28" i="2"/>
  <c r="AG28" i="2"/>
  <c r="J29" i="2"/>
  <c r="K29" i="2"/>
  <c r="L29" i="2"/>
  <c r="M29" i="2"/>
  <c r="N29" i="2"/>
  <c r="O29" i="2"/>
  <c r="P29" i="2"/>
  <c r="Q29" i="2"/>
  <c r="R29" i="2"/>
  <c r="S29" i="2"/>
  <c r="T29" i="2"/>
  <c r="U29" i="2"/>
  <c r="V29" i="2"/>
  <c r="W29" i="2"/>
  <c r="X29" i="2"/>
  <c r="Y29" i="2"/>
  <c r="Z29" i="2"/>
  <c r="AA29" i="2"/>
  <c r="AB29" i="2"/>
  <c r="AC29" i="2"/>
  <c r="AD29" i="2"/>
  <c r="AE29" i="2"/>
  <c r="AF29" i="2"/>
  <c r="AG29" i="2"/>
  <c r="J30" i="2"/>
  <c r="K30" i="2"/>
  <c r="L30" i="2"/>
  <c r="M30" i="2"/>
  <c r="N30" i="2"/>
  <c r="O30" i="2"/>
  <c r="P30" i="2"/>
  <c r="Q30" i="2"/>
  <c r="R30" i="2"/>
  <c r="S30" i="2"/>
  <c r="T30" i="2"/>
  <c r="U30" i="2"/>
  <c r="V30" i="2"/>
  <c r="W30" i="2"/>
  <c r="X30" i="2"/>
  <c r="Y30" i="2"/>
  <c r="Z30" i="2"/>
  <c r="AA30" i="2"/>
  <c r="AB30" i="2"/>
  <c r="AC30" i="2"/>
  <c r="AD30" i="2"/>
  <c r="AE30" i="2"/>
  <c r="AF30" i="2"/>
  <c r="AG30" i="2"/>
  <c r="J31" i="2"/>
  <c r="K31" i="2"/>
  <c r="L31" i="2"/>
  <c r="M31" i="2"/>
  <c r="N31" i="2"/>
  <c r="O31" i="2"/>
  <c r="P31" i="2"/>
  <c r="Q31" i="2"/>
  <c r="R31" i="2"/>
  <c r="S31" i="2"/>
  <c r="T31" i="2"/>
  <c r="U31" i="2"/>
  <c r="V31" i="2"/>
  <c r="W31" i="2"/>
  <c r="X31" i="2"/>
  <c r="Y31" i="2"/>
  <c r="Z31" i="2"/>
  <c r="AA31" i="2"/>
  <c r="AB31" i="2"/>
  <c r="AC31" i="2"/>
  <c r="AD31" i="2"/>
  <c r="AE31" i="2"/>
  <c r="AF31" i="2"/>
  <c r="AG31" i="2"/>
  <c r="J32" i="2"/>
  <c r="K32" i="2"/>
  <c r="L32" i="2"/>
  <c r="M32" i="2"/>
  <c r="N32" i="2"/>
  <c r="O32" i="2"/>
  <c r="P32" i="2"/>
  <c r="Q32" i="2"/>
  <c r="R32" i="2"/>
  <c r="S32" i="2"/>
  <c r="T32" i="2"/>
  <c r="U32" i="2"/>
  <c r="V32" i="2"/>
  <c r="W32" i="2"/>
  <c r="X32" i="2"/>
  <c r="Y32" i="2"/>
  <c r="Z32" i="2"/>
  <c r="AA32" i="2"/>
  <c r="AB32" i="2"/>
  <c r="AC32" i="2"/>
  <c r="AD32" i="2"/>
  <c r="AE32" i="2"/>
  <c r="AF32" i="2"/>
  <c r="AG32" i="2"/>
  <c r="J33" i="2"/>
  <c r="K33" i="2"/>
  <c r="L33" i="2"/>
  <c r="M33" i="2"/>
  <c r="N33" i="2"/>
  <c r="O33" i="2"/>
  <c r="P33" i="2"/>
  <c r="Q33" i="2"/>
  <c r="R33" i="2"/>
  <c r="S33" i="2"/>
  <c r="T33" i="2"/>
  <c r="U33" i="2"/>
  <c r="V33" i="2"/>
  <c r="W33" i="2"/>
  <c r="X33" i="2"/>
  <c r="Y33" i="2"/>
  <c r="Z33" i="2"/>
  <c r="AA33" i="2"/>
  <c r="AB33" i="2"/>
  <c r="AC33" i="2"/>
  <c r="AD33" i="2"/>
  <c r="AE33" i="2"/>
  <c r="AF33" i="2"/>
  <c r="AG33" i="2"/>
  <c r="J34" i="2"/>
  <c r="K34" i="2"/>
  <c r="L34" i="2"/>
  <c r="M34" i="2"/>
  <c r="N34" i="2"/>
  <c r="O34" i="2"/>
  <c r="P34" i="2"/>
  <c r="Q34" i="2"/>
  <c r="R34" i="2"/>
  <c r="S34" i="2"/>
  <c r="T34" i="2"/>
  <c r="U34" i="2"/>
  <c r="V34" i="2"/>
  <c r="W34" i="2"/>
  <c r="X34" i="2"/>
  <c r="Y34" i="2"/>
  <c r="Z34" i="2"/>
  <c r="AA34" i="2"/>
  <c r="AB34" i="2"/>
  <c r="AC34" i="2"/>
  <c r="AD34" i="2"/>
  <c r="AE34" i="2"/>
  <c r="AF34" i="2"/>
  <c r="AG34" i="2"/>
  <c r="J35" i="2"/>
  <c r="K35" i="2"/>
  <c r="L35" i="2"/>
  <c r="M35" i="2"/>
  <c r="N35" i="2"/>
  <c r="O35" i="2"/>
  <c r="P35" i="2"/>
  <c r="Q35" i="2"/>
  <c r="R35" i="2"/>
  <c r="S35" i="2"/>
  <c r="T35" i="2"/>
  <c r="U35" i="2"/>
  <c r="V35" i="2"/>
  <c r="W35" i="2"/>
  <c r="X35" i="2"/>
  <c r="Y35" i="2"/>
  <c r="Z35" i="2"/>
  <c r="AA35" i="2"/>
  <c r="AB35" i="2"/>
  <c r="AC35" i="2"/>
  <c r="AD35" i="2"/>
  <c r="AE35" i="2"/>
  <c r="AF35" i="2"/>
  <c r="AG35" i="2"/>
  <c r="G18" i="2"/>
  <c r="H18" i="2"/>
  <c r="I18" i="2"/>
  <c r="G19" i="2"/>
  <c r="H19" i="2"/>
  <c r="I19" i="2"/>
  <c r="G20" i="2"/>
  <c r="H20" i="2"/>
  <c r="I20" i="2"/>
  <c r="G21" i="2"/>
  <c r="H21" i="2"/>
  <c r="I21" i="2"/>
  <c r="G22" i="2"/>
  <c r="H22" i="2"/>
  <c r="I22" i="2"/>
  <c r="G23" i="2"/>
  <c r="H23" i="2"/>
  <c r="I23" i="2"/>
  <c r="G24" i="2"/>
  <c r="H24" i="2"/>
  <c r="I24" i="2"/>
  <c r="G25" i="2"/>
  <c r="H25" i="2"/>
  <c r="I25" i="2"/>
  <c r="G26" i="2"/>
  <c r="H26" i="2"/>
  <c r="I26" i="2"/>
  <c r="G27" i="2"/>
  <c r="H27" i="2"/>
  <c r="I27" i="2"/>
  <c r="G28" i="2"/>
  <c r="H28" i="2"/>
  <c r="I28" i="2"/>
  <c r="G29" i="2"/>
  <c r="H29" i="2"/>
  <c r="I29" i="2"/>
  <c r="G30" i="2"/>
  <c r="H30" i="2"/>
  <c r="I30" i="2"/>
  <c r="G31" i="2"/>
  <c r="H31" i="2"/>
  <c r="I31" i="2"/>
  <c r="G32" i="2"/>
  <c r="H32" i="2"/>
  <c r="I32" i="2"/>
  <c r="G33" i="2"/>
  <c r="H33" i="2"/>
  <c r="I33" i="2"/>
  <c r="G34" i="2"/>
  <c r="H34" i="2"/>
  <c r="I34" i="2"/>
  <c r="G35" i="2"/>
  <c r="H35" i="2"/>
  <c r="I35" i="2"/>
  <c r="F18" i="2"/>
  <c r="F35" i="2"/>
  <c r="F34" i="2"/>
  <c r="F33" i="2"/>
  <c r="F32" i="2"/>
  <c r="F31" i="2"/>
  <c r="F30" i="2"/>
  <c r="F29" i="2"/>
  <c r="F28" i="2"/>
  <c r="F27" i="2"/>
  <c r="F26" i="2"/>
  <c r="F25" i="2"/>
  <c r="F24" i="2"/>
  <c r="F23" i="2"/>
  <c r="F22" i="2"/>
  <c r="F21" i="2"/>
  <c r="F20" i="2"/>
  <c r="F19" i="2"/>
  <c r="AM18" i="44" l="1"/>
  <c r="E10" i="64" l="1"/>
  <c r="E9" i="64"/>
  <c r="E8" i="64"/>
  <c r="O278" i="64" l="1"/>
  <c r="L220" i="64"/>
  <c r="N278" i="64"/>
  <c r="K220" i="64"/>
  <c r="M278" i="64"/>
  <c r="F203" i="64"/>
  <c r="L278" i="64"/>
  <c r="K278" i="64"/>
  <c r="N220" i="64"/>
  <c r="F261" i="64"/>
  <c r="M220" i="64"/>
  <c r="M95" i="64"/>
  <c r="F21" i="64"/>
  <c r="N38" i="64"/>
  <c r="M38" i="64"/>
  <c r="K38" i="64"/>
  <c r="L95" i="64"/>
  <c r="F78" i="64"/>
  <c r="F142" i="64"/>
  <c r="N159" i="64"/>
  <c r="K95" i="64"/>
  <c r="M159" i="64"/>
  <c r="N95" i="64"/>
  <c r="L159" i="64"/>
  <c r="K159" i="64"/>
  <c r="L38" i="64"/>
  <c r="D72" i="64"/>
  <c r="K277" i="64"/>
  <c r="L219" i="64"/>
  <c r="D261" i="64"/>
  <c r="K219" i="64"/>
  <c r="O277" i="64"/>
  <c r="N277" i="64"/>
  <c r="M277" i="64"/>
  <c r="L277" i="64"/>
  <c r="N219" i="64"/>
  <c r="D203" i="64"/>
  <c r="M219" i="64"/>
  <c r="N158" i="64"/>
  <c r="D142" i="64"/>
  <c r="K94" i="64"/>
  <c r="L37" i="64"/>
  <c r="M158" i="64"/>
  <c r="N94" i="64"/>
  <c r="K37" i="64"/>
  <c r="O37" i="64" s="1"/>
  <c r="L158" i="64"/>
  <c r="M94" i="64"/>
  <c r="N37" i="64"/>
  <c r="D21" i="64"/>
  <c r="K158" i="64"/>
  <c r="L94" i="64"/>
  <c r="M37" i="64"/>
  <c r="D78" i="64"/>
  <c r="K276" i="64"/>
  <c r="M218" i="64"/>
  <c r="M276" i="64"/>
  <c r="C261" i="64"/>
  <c r="C203" i="64"/>
  <c r="N276" i="64"/>
  <c r="O276" i="64"/>
  <c r="L218" i="64"/>
  <c r="L276" i="64"/>
  <c r="N218" i="64"/>
  <c r="K218" i="64"/>
  <c r="L93" i="64"/>
  <c r="L157" i="64"/>
  <c r="N36" i="64"/>
  <c r="N157" i="64"/>
  <c r="K93" i="64"/>
  <c r="O93" i="64" s="1"/>
  <c r="K157" i="64"/>
  <c r="O157" i="64" s="1"/>
  <c r="M36" i="64"/>
  <c r="C142" i="64"/>
  <c r="L36" i="64"/>
  <c r="N93" i="64"/>
  <c r="K36" i="64"/>
  <c r="M93" i="64"/>
  <c r="C21" i="64"/>
  <c r="M157" i="64"/>
  <c r="C78" i="64"/>
  <c r="J218" i="64"/>
  <c r="J276" i="64"/>
  <c r="J219" i="64"/>
  <c r="J277" i="64"/>
  <c r="J220" i="64"/>
  <c r="J278" i="64"/>
  <c r="J93" i="64"/>
  <c r="J157" i="64"/>
  <c r="J36" i="64"/>
  <c r="J94" i="64"/>
  <c r="J158" i="64"/>
  <c r="J159" i="64"/>
  <c r="J95" i="64"/>
  <c r="J38" i="64"/>
  <c r="J37" i="64"/>
  <c r="K90" i="64"/>
  <c r="C20" i="64"/>
  <c r="N215" i="64"/>
  <c r="K215" i="64"/>
  <c r="M215" i="64"/>
  <c r="C202" i="64"/>
  <c r="L215" i="64"/>
  <c r="K216" i="64"/>
  <c r="M216" i="64"/>
  <c r="D202" i="64"/>
  <c r="L216" i="64"/>
  <c r="N216" i="64"/>
  <c r="K271" i="64"/>
  <c r="O271" i="64"/>
  <c r="M274" i="64"/>
  <c r="L271" i="64"/>
  <c r="J216" i="64"/>
  <c r="L274" i="64"/>
  <c r="M271" i="64"/>
  <c r="O274" i="64"/>
  <c r="K274" i="64"/>
  <c r="N271" i="64"/>
  <c r="N274" i="64"/>
  <c r="J274" i="64"/>
  <c r="M217" i="64"/>
  <c r="F202" i="64"/>
  <c r="K217" i="64"/>
  <c r="L217" i="64"/>
  <c r="N217" i="64"/>
  <c r="M275" i="64"/>
  <c r="J217" i="64"/>
  <c r="K272" i="64"/>
  <c r="O272" i="64"/>
  <c r="L275" i="64"/>
  <c r="L272" i="64"/>
  <c r="O275" i="64"/>
  <c r="K275" i="64"/>
  <c r="M272" i="64"/>
  <c r="N275" i="64"/>
  <c r="J275" i="64"/>
  <c r="N272" i="64"/>
  <c r="K273" i="64"/>
  <c r="O270" i="64"/>
  <c r="K270" i="64"/>
  <c r="J215" i="64"/>
  <c r="O273" i="64"/>
  <c r="N270" i="64"/>
  <c r="M273" i="64"/>
  <c r="M270" i="64"/>
  <c r="J273" i="64"/>
  <c r="N273" i="64"/>
  <c r="L270" i="64"/>
  <c r="L273" i="64"/>
  <c r="J154" i="64"/>
  <c r="C260" i="64"/>
  <c r="L154" i="64"/>
  <c r="M90" i="64"/>
  <c r="C141" i="64"/>
  <c r="J90" i="64"/>
  <c r="N154" i="64"/>
  <c r="K154" i="64"/>
  <c r="L90" i="64"/>
  <c r="M154" i="64"/>
  <c r="N90" i="64"/>
  <c r="D260" i="64"/>
  <c r="J91" i="64"/>
  <c r="L155" i="64"/>
  <c r="M91" i="64"/>
  <c r="D141" i="64"/>
  <c r="N155" i="64"/>
  <c r="J155" i="64"/>
  <c r="K155" i="64"/>
  <c r="L91" i="64"/>
  <c r="M155" i="64"/>
  <c r="N91" i="64"/>
  <c r="K91" i="64"/>
  <c r="L156" i="64"/>
  <c r="M92" i="64"/>
  <c r="F141" i="64"/>
  <c r="J92" i="64"/>
  <c r="N156" i="64"/>
  <c r="K156" i="64"/>
  <c r="L92" i="64"/>
  <c r="F260" i="64"/>
  <c r="M156" i="64"/>
  <c r="N92" i="64"/>
  <c r="J156" i="64"/>
  <c r="K92" i="64"/>
  <c r="F77" i="64"/>
  <c r="L35" i="64"/>
  <c r="K35" i="64"/>
  <c r="J35" i="64"/>
  <c r="N35" i="64"/>
  <c r="M35" i="64"/>
  <c r="M33" i="64"/>
  <c r="K33" i="64"/>
  <c r="N33" i="64"/>
  <c r="J33" i="64"/>
  <c r="C77" i="64"/>
  <c r="L33" i="64"/>
  <c r="J34" i="64"/>
  <c r="M34" i="64"/>
  <c r="D77" i="64"/>
  <c r="K34" i="64"/>
  <c r="L34" i="64"/>
  <c r="N34" i="64"/>
  <c r="D20" i="64"/>
  <c r="M211" i="64"/>
  <c r="F20" i="64"/>
  <c r="F135" i="64"/>
  <c r="K80" i="64"/>
  <c r="N89" i="64"/>
  <c r="L23" i="64"/>
  <c r="J26" i="64"/>
  <c r="L26" i="64"/>
  <c r="J205" i="64"/>
  <c r="M260" i="64"/>
  <c r="K83" i="64"/>
  <c r="N269" i="64"/>
  <c r="J144" i="64"/>
  <c r="J147" i="64"/>
  <c r="J29" i="64"/>
  <c r="K214" i="64"/>
  <c r="J22" i="64"/>
  <c r="N198" i="64"/>
  <c r="L88" i="64"/>
  <c r="D15" i="64"/>
  <c r="L22" i="64"/>
  <c r="M31" i="64"/>
  <c r="J79" i="64"/>
  <c r="M88" i="64"/>
  <c r="L140" i="64"/>
  <c r="J152" i="64"/>
  <c r="K201" i="64"/>
  <c r="O262" i="64"/>
  <c r="J140" i="64"/>
  <c r="J213" i="64"/>
  <c r="D16" i="64"/>
  <c r="N31" i="64"/>
  <c r="K79" i="64"/>
  <c r="J143" i="64"/>
  <c r="K152" i="64"/>
  <c r="D254" i="64"/>
  <c r="J265" i="64"/>
  <c r="K88" i="64"/>
  <c r="M259" i="64"/>
  <c r="L31" i="64"/>
  <c r="N149" i="64"/>
  <c r="D17" i="64"/>
  <c r="J25" i="64"/>
  <c r="L152" i="64"/>
  <c r="M207" i="64"/>
  <c r="J256" i="64"/>
  <c r="K265" i="64"/>
  <c r="M149" i="64"/>
  <c r="K22" i="64"/>
  <c r="J201" i="64"/>
  <c r="L19" i="64"/>
  <c r="D73" i="64"/>
  <c r="D136" i="64"/>
  <c r="N146" i="64"/>
  <c r="D196" i="64"/>
  <c r="N207" i="64"/>
  <c r="K256" i="64"/>
  <c r="M268" i="64"/>
  <c r="L76" i="64"/>
  <c r="M210" i="64"/>
  <c r="D13" i="64"/>
  <c r="M76" i="64"/>
  <c r="K140" i="64"/>
  <c r="M19" i="64"/>
  <c r="N73" i="64"/>
  <c r="M85" i="64"/>
  <c r="M137" i="64"/>
  <c r="L198" i="64"/>
  <c r="K210" i="64"/>
  <c r="D257" i="64"/>
  <c r="N268" i="64"/>
  <c r="N19" i="64"/>
  <c r="N28" i="64"/>
  <c r="K76" i="64"/>
  <c r="N85" i="64"/>
  <c r="N137" i="64"/>
  <c r="L149" i="64"/>
  <c r="M198" i="64"/>
  <c r="L210" i="64"/>
  <c r="L259" i="64"/>
  <c r="M203" i="64"/>
  <c r="N136" i="64"/>
  <c r="N24" i="64"/>
  <c r="C72" i="64"/>
  <c r="K87" i="64"/>
  <c r="J209" i="64"/>
  <c r="J15" i="64"/>
  <c r="J151" i="64"/>
  <c r="O258" i="64"/>
  <c r="N81" i="64"/>
  <c r="N75" i="64"/>
  <c r="C16" i="64"/>
  <c r="J30" i="64"/>
  <c r="C137" i="64"/>
  <c r="N203" i="64"/>
  <c r="K209" i="64"/>
  <c r="L255" i="64"/>
  <c r="K30" i="64"/>
  <c r="C73" i="64"/>
  <c r="K84" i="64"/>
  <c r="N142" i="64"/>
  <c r="J148" i="64"/>
  <c r="M255" i="64"/>
  <c r="L267" i="64"/>
  <c r="C17" i="64"/>
  <c r="J21" i="64"/>
  <c r="L30" i="64"/>
  <c r="L84" i="64"/>
  <c r="K148" i="64"/>
  <c r="J200" i="64"/>
  <c r="K206" i="64"/>
  <c r="M267" i="64"/>
  <c r="L27" i="64"/>
  <c r="M84" i="64"/>
  <c r="K139" i="64"/>
  <c r="L148" i="64"/>
  <c r="K200" i="64"/>
  <c r="L206" i="64"/>
  <c r="N261" i="64"/>
  <c r="C13" i="64"/>
  <c r="C18" i="64"/>
  <c r="M27" i="64"/>
  <c r="C74" i="64"/>
  <c r="L139" i="64"/>
  <c r="L145" i="64"/>
  <c r="C197" i="64"/>
  <c r="L200" i="64"/>
  <c r="M206" i="64"/>
  <c r="O261" i="64"/>
  <c r="M18" i="64"/>
  <c r="N27" i="64"/>
  <c r="L75" i="64"/>
  <c r="C136" i="64"/>
  <c r="M139" i="64"/>
  <c r="M145" i="64"/>
  <c r="M197" i="64"/>
  <c r="C258" i="64"/>
  <c r="N18" i="64"/>
  <c r="C70" i="64"/>
  <c r="M75" i="64"/>
  <c r="M81" i="64"/>
  <c r="J87" i="64"/>
  <c r="N145" i="64"/>
  <c r="N197" i="64"/>
  <c r="C254" i="64"/>
  <c r="N258" i="64"/>
  <c r="J264" i="64"/>
  <c r="M153" i="64"/>
  <c r="K26" i="64"/>
  <c r="J83" i="64"/>
  <c r="N150" i="64"/>
  <c r="N153" i="64"/>
  <c r="F201" i="64"/>
  <c r="F15" i="64"/>
  <c r="M23" i="64"/>
  <c r="M74" i="64"/>
  <c r="L80" i="64"/>
  <c r="L138" i="64"/>
  <c r="K144" i="64"/>
  <c r="F196" i="64"/>
  <c r="K199" i="64"/>
  <c r="L214" i="64"/>
  <c r="F257" i="64"/>
  <c r="N260" i="64"/>
  <c r="O269" i="64"/>
  <c r="N17" i="64"/>
  <c r="N20" i="64"/>
  <c r="N23" i="64"/>
  <c r="F72" i="64"/>
  <c r="N74" i="64"/>
  <c r="M77" i="64"/>
  <c r="M80" i="64"/>
  <c r="M138" i="64"/>
  <c r="L141" i="64"/>
  <c r="L144" i="64"/>
  <c r="L199" i="64"/>
  <c r="K202" i="64"/>
  <c r="K266" i="64"/>
  <c r="N77" i="64"/>
  <c r="N138" i="64"/>
  <c r="M141" i="64"/>
  <c r="M199" i="64"/>
  <c r="L202" i="64"/>
  <c r="L266" i="64"/>
  <c r="N141" i="64"/>
  <c r="M269" i="64"/>
  <c r="J266" i="64"/>
  <c r="O263" i="64"/>
  <c r="L260" i="64"/>
  <c r="O257" i="64"/>
  <c r="F256" i="64"/>
  <c r="F253" i="64"/>
  <c r="J214" i="64"/>
  <c r="L211" i="64"/>
  <c r="N208" i="64"/>
  <c r="J202" i="64"/>
  <c r="F200" i="64"/>
  <c r="J199" i="64"/>
  <c r="K153" i="64"/>
  <c r="M150" i="64"/>
  <c r="K141" i="64"/>
  <c r="F140" i="64"/>
  <c r="K138" i="64"/>
  <c r="L89" i="64"/>
  <c r="N86" i="64"/>
  <c r="J80" i="64"/>
  <c r="L77" i="64"/>
  <c r="L74" i="64"/>
  <c r="F71" i="64"/>
  <c r="M32" i="64"/>
  <c r="K23" i="64"/>
  <c r="M20" i="64"/>
  <c r="M17" i="64"/>
  <c r="L269" i="64"/>
  <c r="N263" i="64"/>
  <c r="K260" i="64"/>
  <c r="N257" i="64"/>
  <c r="K211" i="64"/>
  <c r="M208" i="64"/>
  <c r="F199" i="64"/>
  <c r="F195" i="64"/>
  <c r="J153" i="64"/>
  <c r="L150" i="64"/>
  <c r="N147" i="64"/>
  <c r="J141" i="64"/>
  <c r="F139" i="64"/>
  <c r="J138" i="64"/>
  <c r="K89" i="64"/>
  <c r="M86" i="64"/>
  <c r="K77" i="64"/>
  <c r="F76" i="64"/>
  <c r="K74" i="64"/>
  <c r="L32" i="64"/>
  <c r="N29" i="64"/>
  <c r="J23" i="64"/>
  <c r="L20" i="64"/>
  <c r="L17" i="64"/>
  <c r="F14" i="64"/>
  <c r="K205" i="64"/>
  <c r="M202" i="64"/>
  <c r="K269" i="64"/>
  <c r="M263" i="64"/>
  <c r="J260" i="64"/>
  <c r="F259" i="64"/>
  <c r="M257" i="64"/>
  <c r="F255" i="64"/>
  <c r="J211" i="64"/>
  <c r="L208" i="64"/>
  <c r="N205" i="64"/>
  <c r="F198" i="64"/>
  <c r="K150" i="64"/>
  <c r="M147" i="64"/>
  <c r="F138" i="64"/>
  <c r="F134" i="64"/>
  <c r="J89" i="64"/>
  <c r="L86" i="64"/>
  <c r="N83" i="64"/>
  <c r="J77" i="64"/>
  <c r="F75" i="64"/>
  <c r="J74" i="64"/>
  <c r="K32" i="64"/>
  <c r="M29" i="64"/>
  <c r="K20" i="64"/>
  <c r="F19" i="64"/>
  <c r="K17" i="64"/>
  <c r="J269" i="64"/>
  <c r="O266" i="64"/>
  <c r="L263" i="64"/>
  <c r="L257" i="64"/>
  <c r="K208" i="64"/>
  <c r="M205" i="64"/>
  <c r="F197" i="64"/>
  <c r="J150" i="64"/>
  <c r="L147" i="64"/>
  <c r="N144" i="64"/>
  <c r="F137" i="64"/>
  <c r="K86" i="64"/>
  <c r="M83" i="64"/>
  <c r="F74" i="64"/>
  <c r="F70" i="64"/>
  <c r="J32" i="64"/>
  <c r="L29" i="64"/>
  <c r="N26" i="64"/>
  <c r="J20" i="64"/>
  <c r="F18" i="64"/>
  <c r="J17" i="64"/>
  <c r="N266" i="64"/>
  <c r="K263" i="64"/>
  <c r="F258" i="64"/>
  <c r="K257" i="64"/>
  <c r="N214" i="64"/>
  <c r="J208" i="64"/>
  <c r="L205" i="64"/>
  <c r="N202" i="64"/>
  <c r="N199" i="64"/>
  <c r="K147" i="64"/>
  <c r="M144" i="64"/>
  <c r="F136" i="64"/>
  <c r="J86" i="64"/>
  <c r="L83" i="64"/>
  <c r="N80" i="64"/>
  <c r="F73" i="64"/>
  <c r="K29" i="64"/>
  <c r="M26" i="64"/>
  <c r="F17" i="64"/>
  <c r="F13" i="64"/>
  <c r="M266" i="64"/>
  <c r="J263" i="64"/>
  <c r="O260" i="64"/>
  <c r="J257" i="64"/>
  <c r="F254" i="64"/>
  <c r="M214" i="64"/>
  <c r="F16" i="64"/>
  <c r="N32" i="64"/>
  <c r="M89" i="64"/>
  <c r="L153" i="64"/>
  <c r="N211" i="64"/>
  <c r="J272" i="64"/>
  <c r="K213" i="64"/>
  <c r="N255" i="64"/>
  <c r="L256" i="64"/>
  <c r="D258" i="64"/>
  <c r="N259" i="64"/>
  <c r="K264" i="64"/>
  <c r="L265" i="64"/>
  <c r="N267" i="64"/>
  <c r="O268" i="64"/>
  <c r="J271" i="64"/>
  <c r="K15" i="64"/>
  <c r="J16" i="64"/>
  <c r="D18" i="64"/>
  <c r="C19" i="64"/>
  <c r="K21" i="64"/>
  <c r="M22" i="64"/>
  <c r="K25" i="64"/>
  <c r="M30" i="64"/>
  <c r="D70" i="64"/>
  <c r="J72" i="64"/>
  <c r="D74" i="64"/>
  <c r="C75" i="64"/>
  <c r="N76" i="64"/>
  <c r="J78" i="64"/>
  <c r="L79" i="64"/>
  <c r="J82" i="64"/>
  <c r="N84" i="64"/>
  <c r="L87" i="64"/>
  <c r="N88" i="64"/>
  <c r="C134" i="64"/>
  <c r="D137" i="64"/>
  <c r="C138" i="64"/>
  <c r="N139" i="64"/>
  <c r="M140" i="64"/>
  <c r="K143" i="64"/>
  <c r="M148" i="64"/>
  <c r="K151" i="64"/>
  <c r="M152" i="64"/>
  <c r="D197" i="64"/>
  <c r="C198" i="64"/>
  <c r="M200" i="64"/>
  <c r="L201" i="64"/>
  <c r="J204" i="64"/>
  <c r="N206" i="64"/>
  <c r="L209" i="64"/>
  <c r="N210" i="64"/>
  <c r="J212" i="64"/>
  <c r="L213" i="64"/>
  <c r="C255" i="64"/>
  <c r="O255" i="64"/>
  <c r="M256" i="64"/>
  <c r="C259" i="64"/>
  <c r="O259" i="64"/>
  <c r="J262" i="64"/>
  <c r="L264" i="64"/>
  <c r="M265" i="64"/>
  <c r="O267" i="64"/>
  <c r="J270" i="64"/>
  <c r="C14" i="64"/>
  <c r="L15" i="64"/>
  <c r="K16" i="64"/>
  <c r="D19" i="64"/>
  <c r="L21" i="64"/>
  <c r="N22" i="64"/>
  <c r="J24" i="64"/>
  <c r="L25" i="64"/>
  <c r="J28" i="64"/>
  <c r="N30" i="64"/>
  <c r="K72" i="64"/>
  <c r="J73" i="64"/>
  <c r="D75" i="64"/>
  <c r="C76" i="64"/>
  <c r="K78" i="64"/>
  <c r="M79" i="64"/>
  <c r="K82" i="64"/>
  <c r="M87" i="64"/>
  <c r="D134" i="64"/>
  <c r="J136" i="64"/>
  <c r="D138" i="64"/>
  <c r="C139" i="64"/>
  <c r="N140" i="64"/>
  <c r="J142" i="64"/>
  <c r="L143" i="64"/>
  <c r="J146" i="64"/>
  <c r="N148" i="64"/>
  <c r="L151" i="64"/>
  <c r="N152" i="64"/>
  <c r="C195" i="64"/>
  <c r="D198" i="64"/>
  <c r="C199" i="64"/>
  <c r="N200" i="64"/>
  <c r="M201" i="64"/>
  <c r="K204" i="64"/>
  <c r="M209" i="64"/>
  <c r="K212" i="64"/>
  <c r="M213" i="64"/>
  <c r="D255" i="64"/>
  <c r="N256" i="64"/>
  <c r="J258" i="64"/>
  <c r="D259" i="64"/>
  <c r="J261" i="64"/>
  <c r="K262" i="64"/>
  <c r="M264" i="64"/>
  <c r="N265" i="64"/>
  <c r="D14" i="64"/>
  <c r="M15" i="64"/>
  <c r="L16" i="64"/>
  <c r="J18" i="64"/>
  <c r="M21" i="64"/>
  <c r="K24" i="64"/>
  <c r="M25" i="64"/>
  <c r="K28" i="64"/>
  <c r="C71" i="64"/>
  <c r="L72" i="64"/>
  <c r="K73" i="64"/>
  <c r="D76" i="64"/>
  <c r="L78" i="64"/>
  <c r="N79" i="64"/>
  <c r="J81" i="64"/>
  <c r="L82" i="64"/>
  <c r="J85" i="64"/>
  <c r="N87" i="64"/>
  <c r="K136" i="64"/>
  <c r="J137" i="64"/>
  <c r="D139" i="64"/>
  <c r="C140" i="64"/>
  <c r="K142" i="64"/>
  <c r="M143" i="64"/>
  <c r="K146" i="64"/>
  <c r="M151" i="64"/>
  <c r="D195" i="64"/>
  <c r="J197" i="64"/>
  <c r="D199" i="64"/>
  <c r="C200" i="64"/>
  <c r="N201" i="64"/>
  <c r="J203" i="64"/>
  <c r="L204" i="64"/>
  <c r="J207" i="64"/>
  <c r="N209" i="64"/>
  <c r="L212" i="64"/>
  <c r="N213" i="64"/>
  <c r="C253" i="64"/>
  <c r="C256" i="64"/>
  <c r="O256" i="64"/>
  <c r="K258" i="64"/>
  <c r="K261" i="64"/>
  <c r="L262" i="64"/>
  <c r="N264" i="64"/>
  <c r="O265" i="64"/>
  <c r="J268" i="64"/>
  <c r="N15" i="64"/>
  <c r="M16" i="64"/>
  <c r="K18" i="64"/>
  <c r="J19" i="64"/>
  <c r="N21" i="64"/>
  <c r="L24" i="64"/>
  <c r="N25" i="64"/>
  <c r="J27" i="64"/>
  <c r="L28" i="64"/>
  <c r="J31" i="64"/>
  <c r="D71" i="64"/>
  <c r="M72" i="64"/>
  <c r="L73" i="64"/>
  <c r="J75" i="64"/>
  <c r="M78" i="64"/>
  <c r="K81" i="64"/>
  <c r="M82" i="64"/>
  <c r="K85" i="64"/>
  <c r="C135" i="64"/>
  <c r="L136" i="64"/>
  <c r="K137" i="64"/>
  <c r="D140" i="64"/>
  <c r="L142" i="64"/>
  <c r="N143" i="64"/>
  <c r="J145" i="64"/>
  <c r="L146" i="64"/>
  <c r="J149" i="64"/>
  <c r="N151" i="64"/>
  <c r="K197" i="64"/>
  <c r="J198" i="64"/>
  <c r="D200" i="64"/>
  <c r="C201" i="64"/>
  <c r="K203" i="64"/>
  <c r="M204" i="64"/>
  <c r="K207" i="64"/>
  <c r="M212" i="64"/>
  <c r="D253" i="64"/>
  <c r="J255" i="64"/>
  <c r="D256" i="64"/>
  <c r="L258" i="64"/>
  <c r="J259" i="64"/>
  <c r="L261" i="64"/>
  <c r="M262" i="64"/>
  <c r="O264" i="64"/>
  <c r="J267" i="64"/>
  <c r="K268" i="64"/>
  <c r="C15" i="64"/>
  <c r="N16" i="64"/>
  <c r="L18" i="64"/>
  <c r="K19" i="64"/>
  <c r="M24" i="64"/>
  <c r="K27" i="64"/>
  <c r="M28" i="64"/>
  <c r="K31" i="64"/>
  <c r="N72" i="64"/>
  <c r="M73" i="64"/>
  <c r="K75" i="64"/>
  <c r="J76" i="64"/>
  <c r="N78" i="64"/>
  <c r="L81" i="64"/>
  <c r="N82" i="64"/>
  <c r="J84" i="64"/>
  <c r="L85" i="64"/>
  <c r="J88" i="64"/>
  <c r="D135" i="64"/>
  <c r="M136" i="64"/>
  <c r="L137" i="64"/>
  <c r="J139" i="64"/>
  <c r="M142" i="64"/>
  <c r="K145" i="64"/>
  <c r="M146" i="64"/>
  <c r="K149" i="64"/>
  <c r="C196" i="64"/>
  <c r="L197" i="64"/>
  <c r="K198" i="64"/>
  <c r="D201" i="64"/>
  <c r="L203" i="64"/>
  <c r="N204" i="64"/>
  <c r="J206" i="64"/>
  <c r="L207" i="64"/>
  <c r="J210" i="64"/>
  <c r="N212" i="64"/>
  <c r="K255" i="64"/>
  <c r="C257" i="64"/>
  <c r="M258" i="64"/>
  <c r="K259" i="64"/>
  <c r="M261" i="64"/>
  <c r="N262" i="64"/>
  <c r="K267" i="64"/>
  <c r="L268" i="64"/>
  <c r="AH292" i="44"/>
  <c r="AH291" i="44"/>
  <c r="AH290" i="44"/>
  <c r="AH289" i="44"/>
  <c r="AH288" i="44"/>
  <c r="AG292" i="44"/>
  <c r="AG291" i="44"/>
  <c r="AG290" i="44"/>
  <c r="AG289" i="44"/>
  <c r="AG288" i="44"/>
  <c r="AF292" i="44"/>
  <c r="AF291" i="44"/>
  <c r="AF290" i="44"/>
  <c r="AF289" i="44"/>
  <c r="AF288" i="44"/>
  <c r="AE292" i="44"/>
  <c r="AE291" i="44"/>
  <c r="AE290" i="44"/>
  <c r="AE289" i="44"/>
  <c r="AE288" i="44"/>
  <c r="AD292" i="44"/>
  <c r="AD291" i="44"/>
  <c r="AD290" i="44"/>
  <c r="AD289" i="44"/>
  <c r="AD288" i="44"/>
  <c r="AH287" i="44"/>
  <c r="AG287" i="44"/>
  <c r="AF287" i="44"/>
  <c r="AE287" i="44"/>
  <c r="AD287" i="44"/>
  <c r="AD250" i="44"/>
  <c r="AD249" i="44"/>
  <c r="AD248" i="44"/>
  <c r="AD247" i="44"/>
  <c r="AD246" i="44"/>
  <c r="AC250" i="44"/>
  <c r="AC249" i="44"/>
  <c r="AC248" i="44"/>
  <c r="AC247" i="44"/>
  <c r="AC246" i="44"/>
  <c r="AB250" i="44"/>
  <c r="AB249" i="44"/>
  <c r="AB248" i="44"/>
  <c r="AB247" i="44"/>
  <c r="AB246" i="44"/>
  <c r="AA250" i="44"/>
  <c r="AA249" i="44"/>
  <c r="AA248" i="44"/>
  <c r="AA247" i="44"/>
  <c r="AA246" i="44"/>
  <c r="AC193" i="44"/>
  <c r="AC192" i="44"/>
  <c r="AC191" i="44"/>
  <c r="AC190" i="44"/>
  <c r="AC189" i="44"/>
  <c r="AB193" i="44"/>
  <c r="AB192" i="44"/>
  <c r="AB191" i="44"/>
  <c r="AB190" i="44"/>
  <c r="AB189" i="44"/>
  <c r="AA193" i="44"/>
  <c r="AA192" i="44"/>
  <c r="AA191" i="44"/>
  <c r="AA190" i="44"/>
  <c r="AA189" i="44"/>
  <c r="Z193" i="44"/>
  <c r="Z192" i="44"/>
  <c r="Z191" i="44"/>
  <c r="Z190" i="44"/>
  <c r="Z189" i="44"/>
  <c r="AC188" i="44"/>
  <c r="AB188" i="44"/>
  <c r="AA188" i="44"/>
  <c r="Z188" i="44"/>
  <c r="Q181" i="44"/>
  <c r="Q180" i="44"/>
  <c r="Q179" i="44"/>
  <c r="Q178" i="44"/>
  <c r="Q177" i="44"/>
  <c r="P181" i="44"/>
  <c r="P180" i="44"/>
  <c r="P179" i="44"/>
  <c r="P178" i="44"/>
  <c r="P177" i="44"/>
  <c r="Q176" i="44"/>
  <c r="P176" i="44"/>
  <c r="Q35" i="44"/>
  <c r="P35" i="44"/>
  <c r="O35" i="44"/>
  <c r="N35" i="44"/>
  <c r="Q34" i="44"/>
  <c r="P34" i="44"/>
  <c r="O34" i="44"/>
  <c r="N34" i="44"/>
  <c r="Q33" i="44"/>
  <c r="P33" i="44"/>
  <c r="O33" i="44"/>
  <c r="N33" i="44"/>
  <c r="Q32" i="44"/>
  <c r="P32" i="44"/>
  <c r="O32" i="44"/>
  <c r="N32" i="44"/>
  <c r="Q31" i="44"/>
  <c r="P31" i="44"/>
  <c r="O31" i="44"/>
  <c r="N31" i="44"/>
  <c r="Q30" i="44"/>
  <c r="P30" i="44"/>
  <c r="O30" i="44"/>
  <c r="N30" i="44"/>
  <c r="Q29" i="44"/>
  <c r="P29" i="44"/>
  <c r="O29" i="44"/>
  <c r="N29" i="44"/>
  <c r="Q28" i="44"/>
  <c r="P28" i="44"/>
  <c r="O28" i="44"/>
  <c r="N28" i="44"/>
  <c r="Q27" i="44"/>
  <c r="P27" i="44"/>
  <c r="O27" i="44"/>
  <c r="N27" i="44"/>
  <c r="Q26" i="44"/>
  <c r="P26" i="44"/>
  <c r="O26" i="44"/>
  <c r="N26" i="44"/>
  <c r="Q25" i="44"/>
  <c r="P25" i="44"/>
  <c r="O25" i="44"/>
  <c r="N25" i="44"/>
  <c r="Q24" i="44"/>
  <c r="P24" i="44"/>
  <c r="O24" i="44"/>
  <c r="N24" i="44"/>
  <c r="Q23" i="44"/>
  <c r="P23" i="44"/>
  <c r="O23" i="44"/>
  <c r="N23" i="44"/>
  <c r="Q22" i="44"/>
  <c r="P22" i="44"/>
  <c r="O22" i="44"/>
  <c r="N22" i="44"/>
  <c r="Q21" i="44"/>
  <c r="P21" i="44"/>
  <c r="O21" i="44"/>
  <c r="N21" i="44"/>
  <c r="Q20" i="44"/>
  <c r="P20" i="44"/>
  <c r="O20" i="44"/>
  <c r="N20" i="44"/>
  <c r="Q19" i="44"/>
  <c r="P19" i="44"/>
  <c r="O19" i="44"/>
  <c r="N19" i="44"/>
  <c r="Q18" i="44"/>
  <c r="P18" i="44"/>
  <c r="O18" i="44"/>
  <c r="N18" i="44"/>
  <c r="X35" i="44"/>
  <c r="W35" i="44"/>
  <c r="V35" i="44"/>
  <c r="U35" i="44"/>
  <c r="X34" i="44"/>
  <c r="W34" i="44"/>
  <c r="V34" i="44"/>
  <c r="U34" i="44"/>
  <c r="X33" i="44"/>
  <c r="W33" i="44"/>
  <c r="V33" i="44"/>
  <c r="U33" i="44"/>
  <c r="X32" i="44"/>
  <c r="W32" i="44"/>
  <c r="V32" i="44"/>
  <c r="U32" i="44"/>
  <c r="X31" i="44"/>
  <c r="W31" i="44"/>
  <c r="V31" i="44"/>
  <c r="U31" i="44"/>
  <c r="X30" i="44"/>
  <c r="W30" i="44"/>
  <c r="V30" i="44"/>
  <c r="U30" i="44"/>
  <c r="X29" i="44"/>
  <c r="W29" i="44"/>
  <c r="V29" i="44"/>
  <c r="U29" i="44"/>
  <c r="X28" i="44"/>
  <c r="W28" i="44"/>
  <c r="V28" i="44"/>
  <c r="U28" i="44"/>
  <c r="X27" i="44"/>
  <c r="W27" i="44"/>
  <c r="V27" i="44"/>
  <c r="U27" i="44"/>
  <c r="X26" i="44"/>
  <c r="W26" i="44"/>
  <c r="V26" i="44"/>
  <c r="U26" i="44"/>
  <c r="X25" i="44"/>
  <c r="W25" i="44"/>
  <c r="V25" i="44"/>
  <c r="U25" i="44"/>
  <c r="X24" i="44"/>
  <c r="W24" i="44"/>
  <c r="V24" i="44"/>
  <c r="U24" i="44"/>
  <c r="X23" i="44"/>
  <c r="W23" i="44"/>
  <c r="V23" i="44"/>
  <c r="U23" i="44"/>
  <c r="X22" i="44"/>
  <c r="W22" i="44"/>
  <c r="V22" i="44"/>
  <c r="U22" i="44"/>
  <c r="X21" i="44"/>
  <c r="W21" i="44"/>
  <c r="V21" i="44"/>
  <c r="U21" i="44"/>
  <c r="X20" i="44"/>
  <c r="W20" i="44"/>
  <c r="V20" i="44"/>
  <c r="U20" i="44"/>
  <c r="X19" i="44"/>
  <c r="W19" i="44"/>
  <c r="V19" i="44"/>
  <c r="U19" i="44"/>
  <c r="X18" i="44"/>
  <c r="W18" i="44"/>
  <c r="V18" i="44"/>
  <c r="U18" i="44"/>
  <c r="AE35" i="44"/>
  <c r="AD35" i="44"/>
  <c r="AC35" i="44"/>
  <c r="AB35" i="44"/>
  <c r="AE34" i="44"/>
  <c r="AD34" i="44"/>
  <c r="AC34" i="44"/>
  <c r="AB34" i="44"/>
  <c r="AE33" i="44"/>
  <c r="AD33" i="44"/>
  <c r="AC33" i="44"/>
  <c r="AB33" i="44"/>
  <c r="AE32" i="44"/>
  <c r="AD32" i="44"/>
  <c r="AC32" i="44"/>
  <c r="AB32" i="44"/>
  <c r="AE31" i="44"/>
  <c r="AD31" i="44"/>
  <c r="AC31" i="44"/>
  <c r="AB31" i="44"/>
  <c r="AE30" i="44"/>
  <c r="AD30" i="44"/>
  <c r="AC30" i="44"/>
  <c r="AB30" i="44"/>
  <c r="AE29" i="44"/>
  <c r="AD29" i="44"/>
  <c r="AC29" i="44"/>
  <c r="AB29" i="44"/>
  <c r="AE28" i="44"/>
  <c r="AD28" i="44"/>
  <c r="AC28" i="44"/>
  <c r="AB28" i="44"/>
  <c r="AE27" i="44"/>
  <c r="AD27" i="44"/>
  <c r="AC27" i="44"/>
  <c r="AB27" i="44"/>
  <c r="AE26" i="44"/>
  <c r="AD26" i="44"/>
  <c r="AC26" i="44"/>
  <c r="AB26" i="44"/>
  <c r="AE25" i="44"/>
  <c r="AD25" i="44"/>
  <c r="AC25" i="44"/>
  <c r="AB25" i="44"/>
  <c r="AE24" i="44"/>
  <c r="AD24" i="44"/>
  <c r="AC24" i="44"/>
  <c r="AB24" i="44"/>
  <c r="AE23" i="44"/>
  <c r="AD23" i="44"/>
  <c r="AC23" i="44"/>
  <c r="AB23" i="44"/>
  <c r="AE22" i="44"/>
  <c r="AD22" i="44"/>
  <c r="AC22" i="44"/>
  <c r="AB22" i="44"/>
  <c r="AE21" i="44"/>
  <c r="AD21" i="44"/>
  <c r="AC21" i="44"/>
  <c r="AB21" i="44"/>
  <c r="AE20" i="44"/>
  <c r="AD20" i="44"/>
  <c r="AC20" i="44"/>
  <c r="AB20" i="44"/>
  <c r="AE19" i="44"/>
  <c r="AD19" i="44"/>
  <c r="AC19" i="44"/>
  <c r="AB19" i="44"/>
  <c r="AE18" i="44"/>
  <c r="AD18" i="44"/>
  <c r="AC18" i="44"/>
  <c r="AB18" i="44"/>
  <c r="AL35" i="44"/>
  <c r="AK35" i="44"/>
  <c r="AJ35" i="44"/>
  <c r="AI35" i="44"/>
  <c r="AL34" i="44"/>
  <c r="AK34" i="44"/>
  <c r="AJ34" i="44"/>
  <c r="AI34" i="44"/>
  <c r="AL33" i="44"/>
  <c r="AK33" i="44"/>
  <c r="AJ33" i="44"/>
  <c r="AI33" i="44"/>
  <c r="AL32" i="44"/>
  <c r="AK32" i="44"/>
  <c r="AJ32" i="44"/>
  <c r="AI32" i="44"/>
  <c r="AL31" i="44"/>
  <c r="AK31" i="44"/>
  <c r="AJ31" i="44"/>
  <c r="AI31" i="44"/>
  <c r="AL30" i="44"/>
  <c r="AK30" i="44"/>
  <c r="AJ30" i="44"/>
  <c r="AI30" i="44"/>
  <c r="AL29" i="44"/>
  <c r="AK29" i="44"/>
  <c r="AJ29" i="44"/>
  <c r="AI29" i="44"/>
  <c r="AL28" i="44"/>
  <c r="AK28" i="44"/>
  <c r="AJ28" i="44"/>
  <c r="AI28" i="44"/>
  <c r="AL27" i="44"/>
  <c r="AK27" i="44"/>
  <c r="AJ27" i="44"/>
  <c r="AI27" i="44"/>
  <c r="AL26" i="44"/>
  <c r="AK26" i="44"/>
  <c r="AJ26" i="44"/>
  <c r="AI26" i="44"/>
  <c r="AL25" i="44"/>
  <c r="AK25" i="44"/>
  <c r="AJ25" i="44"/>
  <c r="AI25" i="44"/>
  <c r="AL24" i="44"/>
  <c r="AK24" i="44"/>
  <c r="AJ24" i="44"/>
  <c r="AI24" i="44"/>
  <c r="AL23" i="44"/>
  <c r="AK23" i="44"/>
  <c r="AJ23" i="44"/>
  <c r="AI23" i="44"/>
  <c r="AL22" i="44"/>
  <c r="AK22" i="44"/>
  <c r="AJ22" i="44"/>
  <c r="AI22" i="44"/>
  <c r="AL21" i="44"/>
  <c r="AK21" i="44"/>
  <c r="AJ21" i="44"/>
  <c r="AI21" i="44"/>
  <c r="AL20" i="44"/>
  <c r="AK20" i="44"/>
  <c r="AJ20" i="44"/>
  <c r="AI20" i="44"/>
  <c r="AL19" i="44"/>
  <c r="AK19" i="44"/>
  <c r="AJ19" i="44"/>
  <c r="AI19" i="44"/>
  <c r="AL18" i="44"/>
  <c r="AK18" i="44"/>
  <c r="AJ18" i="44"/>
  <c r="AI18" i="44"/>
  <c r="AU35" i="44"/>
  <c r="AT35" i="44"/>
  <c r="AS35" i="44"/>
  <c r="AR35" i="44"/>
  <c r="AQ35" i="44"/>
  <c r="AU34" i="44"/>
  <c r="AT34" i="44"/>
  <c r="AS34" i="44"/>
  <c r="AR34" i="44"/>
  <c r="AQ34" i="44"/>
  <c r="AU33" i="44"/>
  <c r="AT33" i="44"/>
  <c r="AS33" i="44"/>
  <c r="AR33" i="44"/>
  <c r="AQ33" i="44"/>
  <c r="AU32" i="44"/>
  <c r="AT32" i="44"/>
  <c r="AS32" i="44"/>
  <c r="AR32" i="44"/>
  <c r="AQ32" i="44"/>
  <c r="AU31" i="44"/>
  <c r="AT31" i="44"/>
  <c r="AS31" i="44"/>
  <c r="AR31" i="44"/>
  <c r="AQ31" i="44"/>
  <c r="AU30" i="44"/>
  <c r="AT30" i="44"/>
  <c r="AS30" i="44"/>
  <c r="AR30" i="44"/>
  <c r="AQ30" i="44"/>
  <c r="AU29" i="44"/>
  <c r="AT29" i="44"/>
  <c r="AS29" i="44"/>
  <c r="AR29" i="44"/>
  <c r="AQ29" i="44"/>
  <c r="AU28" i="44"/>
  <c r="AT28" i="44"/>
  <c r="AS28" i="44"/>
  <c r="AR28" i="44"/>
  <c r="AQ28" i="44"/>
  <c r="AU27" i="44"/>
  <c r="AT27" i="44"/>
  <c r="AS27" i="44"/>
  <c r="AR27" i="44"/>
  <c r="AQ27" i="44"/>
  <c r="AU26" i="44"/>
  <c r="AT26" i="44"/>
  <c r="AS26" i="44"/>
  <c r="AR26" i="44"/>
  <c r="AQ26" i="44"/>
  <c r="AU25" i="44"/>
  <c r="AT25" i="44"/>
  <c r="AS25" i="44"/>
  <c r="AR25" i="44"/>
  <c r="AQ25" i="44"/>
  <c r="AU24" i="44"/>
  <c r="AT24" i="44"/>
  <c r="AS24" i="44"/>
  <c r="AR24" i="44"/>
  <c r="AQ24" i="44"/>
  <c r="AU23" i="44"/>
  <c r="AT23" i="44"/>
  <c r="AS23" i="44"/>
  <c r="AR23" i="44"/>
  <c r="AQ23" i="44"/>
  <c r="AU22" i="44"/>
  <c r="AT22" i="44"/>
  <c r="AS22" i="44"/>
  <c r="AR22" i="44"/>
  <c r="AQ22" i="44"/>
  <c r="AU21" i="44"/>
  <c r="AT21" i="44"/>
  <c r="AS21" i="44"/>
  <c r="AR21" i="44"/>
  <c r="AQ21" i="44"/>
  <c r="AU20" i="44"/>
  <c r="AT20" i="44"/>
  <c r="AS20" i="44"/>
  <c r="AR20" i="44"/>
  <c r="AQ20" i="44"/>
  <c r="AU19" i="44"/>
  <c r="AT19" i="44"/>
  <c r="AS19" i="44"/>
  <c r="AR19" i="44"/>
  <c r="AQ19" i="44"/>
  <c r="AU18" i="44"/>
  <c r="AT18" i="44"/>
  <c r="AS18" i="44"/>
  <c r="AR18" i="44"/>
  <c r="AQ18" i="44"/>
  <c r="AO35" i="44"/>
  <c r="AO34" i="44"/>
  <c r="AO33" i="44"/>
  <c r="AO32" i="44"/>
  <c r="AO31" i="44"/>
  <c r="AO30" i="44"/>
  <c r="AO29" i="44"/>
  <c r="AO28" i="44"/>
  <c r="AO27" i="44"/>
  <c r="AO26" i="44"/>
  <c r="AO25" i="44"/>
  <c r="AO24" i="44"/>
  <c r="AO23" i="44"/>
  <c r="AO22" i="44"/>
  <c r="AO21" i="44"/>
  <c r="AO20" i="44"/>
  <c r="AO19" i="44"/>
  <c r="AO18" i="44"/>
  <c r="AM35" i="44"/>
  <c r="AM34" i="44"/>
  <c r="AM33" i="44"/>
  <c r="AM32" i="44"/>
  <c r="AM31" i="44"/>
  <c r="AM30" i="44"/>
  <c r="AM29" i="44"/>
  <c r="AM28" i="44"/>
  <c r="AM27" i="44"/>
  <c r="AM26" i="44"/>
  <c r="AM25" i="44"/>
  <c r="AM24" i="44"/>
  <c r="AM23" i="44"/>
  <c r="AM22" i="44"/>
  <c r="AM21" i="44"/>
  <c r="AM20" i="44"/>
  <c r="AM19" i="44"/>
  <c r="AH35" i="44"/>
  <c r="AG35" i="44"/>
  <c r="AF35" i="44"/>
  <c r="AH34" i="44"/>
  <c r="AG34" i="44"/>
  <c r="AF34" i="44"/>
  <c r="AH33" i="44"/>
  <c r="AG33" i="44"/>
  <c r="AF33" i="44"/>
  <c r="AH32" i="44"/>
  <c r="AG32" i="44"/>
  <c r="AF32" i="44"/>
  <c r="AH31" i="44"/>
  <c r="AG31" i="44"/>
  <c r="AF31" i="44"/>
  <c r="AH30" i="44"/>
  <c r="AG30" i="44"/>
  <c r="AF30" i="44"/>
  <c r="AH29" i="44"/>
  <c r="AG29" i="44"/>
  <c r="AF29" i="44"/>
  <c r="AH28" i="44"/>
  <c r="AG28" i="44"/>
  <c r="AF28" i="44"/>
  <c r="AH27" i="44"/>
  <c r="AG27" i="44"/>
  <c r="AF27" i="44"/>
  <c r="AH26" i="44"/>
  <c r="AG26" i="44"/>
  <c r="AF26" i="44"/>
  <c r="AH25" i="44"/>
  <c r="AG25" i="44"/>
  <c r="AF25" i="44"/>
  <c r="AH24" i="44"/>
  <c r="AG24" i="44"/>
  <c r="AF24" i="44"/>
  <c r="AH23" i="44"/>
  <c r="AG23" i="44"/>
  <c r="AF23" i="44"/>
  <c r="AH22" i="44"/>
  <c r="AG22" i="44"/>
  <c r="AF22" i="44"/>
  <c r="AH21" i="44"/>
  <c r="AG21" i="44"/>
  <c r="AF21" i="44"/>
  <c r="AH20" i="44"/>
  <c r="AG20" i="44"/>
  <c r="AF20" i="44"/>
  <c r="AH19" i="44"/>
  <c r="AG19" i="44"/>
  <c r="AF19" i="44"/>
  <c r="AH18" i="44"/>
  <c r="AG18" i="44"/>
  <c r="AF18" i="44"/>
  <c r="AA35" i="44"/>
  <c r="Z35" i="44"/>
  <c r="Y35" i="44"/>
  <c r="AA34" i="44"/>
  <c r="Z34" i="44"/>
  <c r="Y34" i="44"/>
  <c r="AA33" i="44"/>
  <c r="Z33" i="44"/>
  <c r="Y33" i="44"/>
  <c r="AA32" i="44"/>
  <c r="Z32" i="44"/>
  <c r="Y32" i="44"/>
  <c r="AA31" i="44"/>
  <c r="Z31" i="44"/>
  <c r="Y31" i="44"/>
  <c r="AA30" i="44"/>
  <c r="Z30" i="44"/>
  <c r="Y30" i="44"/>
  <c r="AA29" i="44"/>
  <c r="Z29" i="44"/>
  <c r="Y29" i="44"/>
  <c r="AA28" i="44"/>
  <c r="Z28" i="44"/>
  <c r="Y28" i="44"/>
  <c r="AA27" i="44"/>
  <c r="Z27" i="44"/>
  <c r="Y27" i="44"/>
  <c r="AA26" i="44"/>
  <c r="Z26" i="44"/>
  <c r="Y26" i="44"/>
  <c r="AA25" i="44"/>
  <c r="Z25" i="44"/>
  <c r="Y25" i="44"/>
  <c r="AA24" i="44"/>
  <c r="Z24" i="44"/>
  <c r="Y24" i="44"/>
  <c r="AA23" i="44"/>
  <c r="Z23" i="44"/>
  <c r="Y23" i="44"/>
  <c r="AA22" i="44"/>
  <c r="Z22" i="44"/>
  <c r="Y22" i="44"/>
  <c r="AA21" i="44"/>
  <c r="Z21" i="44"/>
  <c r="Y21" i="44"/>
  <c r="AA20" i="44"/>
  <c r="Z20" i="44"/>
  <c r="Y20" i="44"/>
  <c r="AA19" i="44"/>
  <c r="Z19" i="44"/>
  <c r="Y19" i="44"/>
  <c r="AA18" i="44"/>
  <c r="Z18" i="44"/>
  <c r="Y18" i="44"/>
  <c r="T35" i="44"/>
  <c r="S35" i="44"/>
  <c r="R35" i="44"/>
  <c r="T34" i="44"/>
  <c r="S34" i="44"/>
  <c r="R34" i="44"/>
  <c r="T33" i="44"/>
  <c r="S33" i="44"/>
  <c r="R33" i="44"/>
  <c r="T32" i="44"/>
  <c r="S32" i="44"/>
  <c r="R32" i="44"/>
  <c r="T31" i="44"/>
  <c r="S31" i="44"/>
  <c r="R31" i="44"/>
  <c r="T30" i="44"/>
  <c r="S30" i="44"/>
  <c r="R30" i="44"/>
  <c r="T29" i="44"/>
  <c r="S29" i="44"/>
  <c r="R29" i="44"/>
  <c r="T28" i="44"/>
  <c r="S28" i="44"/>
  <c r="R28" i="44"/>
  <c r="T27" i="44"/>
  <c r="S27" i="44"/>
  <c r="R27" i="44"/>
  <c r="T26" i="44"/>
  <c r="S26" i="44"/>
  <c r="R26" i="44"/>
  <c r="T25" i="44"/>
  <c r="S25" i="44"/>
  <c r="R25" i="44"/>
  <c r="T24" i="44"/>
  <c r="S24" i="44"/>
  <c r="R24" i="44"/>
  <c r="T23" i="44"/>
  <c r="S23" i="44"/>
  <c r="R23" i="44"/>
  <c r="T22" i="44"/>
  <c r="S22" i="44"/>
  <c r="R22" i="44"/>
  <c r="T21" i="44"/>
  <c r="S21" i="44"/>
  <c r="R21" i="44"/>
  <c r="T20" i="44"/>
  <c r="S20" i="44"/>
  <c r="R20" i="44"/>
  <c r="T19" i="44"/>
  <c r="S19" i="44"/>
  <c r="R19" i="44"/>
  <c r="T18" i="44"/>
  <c r="S18" i="44"/>
  <c r="R18" i="44"/>
  <c r="M35" i="44"/>
  <c r="L35" i="44"/>
  <c r="K35" i="44"/>
  <c r="M34" i="44"/>
  <c r="L34" i="44"/>
  <c r="K34" i="44"/>
  <c r="M33" i="44"/>
  <c r="L33" i="44"/>
  <c r="K33" i="44"/>
  <c r="M32" i="44"/>
  <c r="L32" i="44"/>
  <c r="K32" i="44"/>
  <c r="M31" i="44"/>
  <c r="L31" i="44"/>
  <c r="K31" i="44"/>
  <c r="M30" i="44"/>
  <c r="L30" i="44"/>
  <c r="K30" i="44"/>
  <c r="M29" i="44"/>
  <c r="L29" i="44"/>
  <c r="K29" i="44"/>
  <c r="M28" i="44"/>
  <c r="L28" i="44"/>
  <c r="K28" i="44"/>
  <c r="M27" i="44"/>
  <c r="L27" i="44"/>
  <c r="K27" i="44"/>
  <c r="M26" i="44"/>
  <c r="L26" i="44"/>
  <c r="K26" i="44"/>
  <c r="M25" i="44"/>
  <c r="L25" i="44"/>
  <c r="K25" i="44"/>
  <c r="M24" i="44"/>
  <c r="L24" i="44"/>
  <c r="K24" i="44"/>
  <c r="M23" i="44"/>
  <c r="L23" i="44"/>
  <c r="K23" i="44"/>
  <c r="M22" i="44"/>
  <c r="L22" i="44"/>
  <c r="K22" i="44"/>
  <c r="M21" i="44"/>
  <c r="L21" i="44"/>
  <c r="K21" i="44"/>
  <c r="M20" i="44"/>
  <c r="L20" i="44"/>
  <c r="K20" i="44"/>
  <c r="M19" i="44"/>
  <c r="L19" i="44"/>
  <c r="K19" i="44"/>
  <c r="M18" i="44"/>
  <c r="L18" i="44"/>
  <c r="K18" i="44"/>
  <c r="J35" i="44"/>
  <c r="I35" i="44"/>
  <c r="H35" i="44"/>
  <c r="G35" i="44"/>
  <c r="J34" i="44"/>
  <c r="I34" i="44"/>
  <c r="H34" i="44"/>
  <c r="G34" i="44"/>
  <c r="J33" i="44"/>
  <c r="I33" i="44"/>
  <c r="H33" i="44"/>
  <c r="G33" i="44"/>
  <c r="J32" i="44"/>
  <c r="I32" i="44"/>
  <c r="H32" i="44"/>
  <c r="G32" i="44"/>
  <c r="J31" i="44"/>
  <c r="I31" i="44"/>
  <c r="H31" i="44"/>
  <c r="G31" i="44"/>
  <c r="J30" i="44"/>
  <c r="I30" i="44"/>
  <c r="H30" i="44"/>
  <c r="G30" i="44"/>
  <c r="J29" i="44"/>
  <c r="I29" i="44"/>
  <c r="H29" i="44"/>
  <c r="G29" i="44"/>
  <c r="J28" i="44"/>
  <c r="I28" i="44"/>
  <c r="H28" i="44"/>
  <c r="G28" i="44"/>
  <c r="J27" i="44"/>
  <c r="I27" i="44"/>
  <c r="H27" i="44"/>
  <c r="G27" i="44"/>
  <c r="J26" i="44"/>
  <c r="I26" i="44"/>
  <c r="H26" i="44"/>
  <c r="G26" i="44"/>
  <c r="J25" i="44"/>
  <c r="I25" i="44"/>
  <c r="H25" i="44"/>
  <c r="G25" i="44"/>
  <c r="J24" i="44"/>
  <c r="I24" i="44"/>
  <c r="H24" i="44"/>
  <c r="G24" i="44"/>
  <c r="J23" i="44"/>
  <c r="I23" i="44"/>
  <c r="H23" i="44"/>
  <c r="G23" i="44"/>
  <c r="J22" i="44"/>
  <c r="I22" i="44"/>
  <c r="H22" i="44"/>
  <c r="G22" i="44"/>
  <c r="J21" i="44"/>
  <c r="I21" i="44"/>
  <c r="H21" i="44"/>
  <c r="G21" i="44"/>
  <c r="J20" i="44"/>
  <c r="I20" i="44"/>
  <c r="H20" i="44"/>
  <c r="G20" i="44"/>
  <c r="J19" i="44"/>
  <c r="I19" i="44"/>
  <c r="H19" i="44"/>
  <c r="G19" i="44"/>
  <c r="J18" i="44"/>
  <c r="I18" i="44"/>
  <c r="H18" i="44"/>
  <c r="G18" i="44"/>
  <c r="F35" i="44"/>
  <c r="E35" i="44"/>
  <c r="D35" i="44"/>
  <c r="F34" i="44"/>
  <c r="E34" i="44"/>
  <c r="D34" i="44"/>
  <c r="F33" i="44"/>
  <c r="E33" i="44"/>
  <c r="D33" i="44"/>
  <c r="F32" i="44"/>
  <c r="E32" i="44"/>
  <c r="D32" i="44"/>
  <c r="F31" i="44"/>
  <c r="E31" i="44"/>
  <c r="D31" i="44"/>
  <c r="F30" i="44"/>
  <c r="E30" i="44"/>
  <c r="D30" i="44"/>
  <c r="F29" i="44"/>
  <c r="E29" i="44"/>
  <c r="D29" i="44"/>
  <c r="F28" i="44"/>
  <c r="E28" i="44"/>
  <c r="D28" i="44"/>
  <c r="F27" i="44"/>
  <c r="E27" i="44"/>
  <c r="D27" i="44"/>
  <c r="F26" i="44"/>
  <c r="E26" i="44"/>
  <c r="D26" i="44"/>
  <c r="F25" i="44"/>
  <c r="E25" i="44"/>
  <c r="D25" i="44"/>
  <c r="F24" i="44"/>
  <c r="E24" i="44"/>
  <c r="D24" i="44"/>
  <c r="F23" i="44"/>
  <c r="E23" i="44"/>
  <c r="D23" i="44"/>
  <c r="F22" i="44"/>
  <c r="E22" i="44"/>
  <c r="D22" i="44"/>
  <c r="F21" i="44"/>
  <c r="E21" i="44"/>
  <c r="D21" i="44"/>
  <c r="F20" i="44"/>
  <c r="E20" i="44"/>
  <c r="D20" i="44"/>
  <c r="F19" i="44"/>
  <c r="E19" i="44"/>
  <c r="D19" i="44"/>
  <c r="F18" i="44"/>
  <c r="E18" i="44"/>
  <c r="D18" i="44"/>
  <c r="AE284" i="37"/>
  <c r="AE283" i="37"/>
  <c r="AE282" i="37"/>
  <c r="AE281" i="37"/>
  <c r="AE280" i="37"/>
  <c r="AD284" i="37"/>
  <c r="AD283" i="37"/>
  <c r="AD282" i="37"/>
  <c r="AD281" i="37"/>
  <c r="AD280" i="37"/>
  <c r="AC284" i="37"/>
  <c r="AC283" i="37"/>
  <c r="AC282" i="37"/>
  <c r="AC281" i="37"/>
  <c r="AC280" i="37"/>
  <c r="AE279" i="37"/>
  <c r="AD279" i="37"/>
  <c r="AC279" i="37"/>
  <c r="AB284" i="37"/>
  <c r="AB283" i="37"/>
  <c r="AB282" i="37"/>
  <c r="AB281" i="37"/>
  <c r="AB280" i="37"/>
  <c r="AB279" i="37"/>
  <c r="AC239" i="37"/>
  <c r="AC238" i="37"/>
  <c r="AC237" i="37"/>
  <c r="AC236" i="37"/>
  <c r="AB239" i="37"/>
  <c r="AB238" i="37"/>
  <c r="AB237" i="37"/>
  <c r="AB236" i="37"/>
  <c r="Z239" i="37"/>
  <c r="AA239" i="37"/>
  <c r="AA238" i="37"/>
  <c r="AA237" i="37"/>
  <c r="AA236" i="37"/>
  <c r="Z238" i="37"/>
  <c r="Z237" i="37"/>
  <c r="Z236" i="37"/>
  <c r="AC193" i="37"/>
  <c r="AC192" i="37"/>
  <c r="AC191" i="37"/>
  <c r="AC190" i="37"/>
  <c r="AC189" i="37"/>
  <c r="AA193" i="37"/>
  <c r="AA192" i="37"/>
  <c r="AA191" i="37"/>
  <c r="AA190" i="37"/>
  <c r="AA189" i="37"/>
  <c r="AC188" i="37"/>
  <c r="AA188" i="37"/>
  <c r="Q181" i="37"/>
  <c r="Q180" i="37"/>
  <c r="Q179" i="37"/>
  <c r="Q178" i="37"/>
  <c r="Q177" i="37"/>
  <c r="Q176" i="37"/>
  <c r="GH12" i="37"/>
  <c r="GI12" i="37"/>
  <c r="GH13" i="37"/>
  <c r="GI13" i="37"/>
  <c r="GH14" i="37"/>
  <c r="GI14" i="37"/>
  <c r="GG14" i="37"/>
  <c r="GF14" i="37"/>
  <c r="GE14" i="37"/>
  <c r="GD14" i="37"/>
  <c r="GC14" i="37"/>
  <c r="GB14" i="37"/>
  <c r="GA14" i="37"/>
  <c r="FZ14" i="37"/>
  <c r="FY14" i="37"/>
  <c r="FX14" i="37"/>
  <c r="FW14" i="37"/>
  <c r="FV14" i="37"/>
  <c r="FU14" i="37"/>
  <c r="FT14" i="37"/>
  <c r="FS14" i="37"/>
  <c r="FR14" i="37"/>
  <c r="FQ14" i="37"/>
  <c r="FP14" i="37"/>
  <c r="FO14" i="37"/>
  <c r="FN14" i="37"/>
  <c r="FM14" i="37"/>
  <c r="FL14" i="37"/>
  <c r="FK14" i="37"/>
  <c r="FJ14" i="37"/>
  <c r="GG13" i="37"/>
  <c r="GF13" i="37"/>
  <c r="GE13" i="37"/>
  <c r="GD13" i="37"/>
  <c r="GC13" i="37"/>
  <c r="GB13" i="37"/>
  <c r="GA13" i="37"/>
  <c r="FZ13" i="37"/>
  <c r="FY13" i="37"/>
  <c r="FX13" i="37"/>
  <c r="FW13" i="37"/>
  <c r="FV13" i="37"/>
  <c r="FU13" i="37"/>
  <c r="FT13" i="37"/>
  <c r="FS13" i="37"/>
  <c r="FR13" i="37"/>
  <c r="FQ13" i="37"/>
  <c r="FP13" i="37"/>
  <c r="FO13" i="37"/>
  <c r="FN13" i="37"/>
  <c r="FM13" i="37"/>
  <c r="FL13" i="37"/>
  <c r="FK13" i="37"/>
  <c r="FJ13" i="37"/>
  <c r="GG12" i="37"/>
  <c r="GF12" i="37"/>
  <c r="GE12" i="37"/>
  <c r="GD12" i="37"/>
  <c r="GC12" i="37"/>
  <c r="GB12" i="37"/>
  <c r="GA12" i="37"/>
  <c r="FZ12" i="37"/>
  <c r="FY12" i="37"/>
  <c r="FX12" i="37"/>
  <c r="FW12" i="37"/>
  <c r="FV12" i="37"/>
  <c r="FU12" i="37"/>
  <c r="FT12" i="37"/>
  <c r="FS12" i="37"/>
  <c r="FR12" i="37"/>
  <c r="FQ12" i="37"/>
  <c r="FP12" i="37"/>
  <c r="FO12" i="37"/>
  <c r="FN12" i="37"/>
  <c r="FM12" i="37"/>
  <c r="FL12" i="37"/>
  <c r="FK12" i="37"/>
  <c r="FJ12" i="37"/>
  <c r="CR35" i="37"/>
  <c r="CQ35" i="37"/>
  <c r="CP35" i="37"/>
  <c r="CO35" i="37"/>
  <c r="CN35" i="37"/>
  <c r="CM35" i="37"/>
  <c r="CL35" i="37"/>
  <c r="CK35" i="37"/>
  <c r="CJ35" i="37"/>
  <c r="CI35" i="37"/>
  <c r="CH35" i="37"/>
  <c r="CG35" i="37"/>
  <c r="CF35" i="37"/>
  <c r="CE35" i="37"/>
  <c r="CD35" i="37"/>
  <c r="CC35" i="37"/>
  <c r="CB35" i="37"/>
  <c r="CA35" i="37"/>
  <c r="BZ35" i="37"/>
  <c r="BY35" i="37"/>
  <c r="BX35" i="37"/>
  <c r="BW35" i="37"/>
  <c r="BV35" i="37"/>
  <c r="BU35" i="37"/>
  <c r="BT35" i="37"/>
  <c r="BS35" i="37"/>
  <c r="BR35" i="37"/>
  <c r="BQ35" i="37"/>
  <c r="BP35" i="37"/>
  <c r="CR34" i="37"/>
  <c r="CQ34" i="37"/>
  <c r="CP34" i="37"/>
  <c r="CO34" i="37"/>
  <c r="CN34" i="37"/>
  <c r="CM34" i="37"/>
  <c r="CL34" i="37"/>
  <c r="CK34" i="37"/>
  <c r="CJ34" i="37"/>
  <c r="CI34" i="37"/>
  <c r="CH34" i="37"/>
  <c r="CG34" i="37"/>
  <c r="CF34" i="37"/>
  <c r="CE34" i="37"/>
  <c r="CD34" i="37"/>
  <c r="CC34" i="37"/>
  <c r="CB34" i="37"/>
  <c r="CA34" i="37"/>
  <c r="BZ34" i="37"/>
  <c r="BY34" i="37"/>
  <c r="BX34" i="37"/>
  <c r="BW34" i="37"/>
  <c r="BV34" i="37"/>
  <c r="BU34" i="37"/>
  <c r="BT34" i="37"/>
  <c r="BS34" i="37"/>
  <c r="BR34" i="37"/>
  <c r="BQ34" i="37"/>
  <c r="BP34" i="37"/>
  <c r="CR33" i="37"/>
  <c r="CQ33" i="37"/>
  <c r="CP33" i="37"/>
  <c r="CO33" i="37"/>
  <c r="CN33" i="37"/>
  <c r="CM33" i="37"/>
  <c r="CL33" i="37"/>
  <c r="CK33" i="37"/>
  <c r="CJ33" i="37"/>
  <c r="CI33" i="37"/>
  <c r="CH33" i="37"/>
  <c r="CG33" i="37"/>
  <c r="CF33" i="37"/>
  <c r="CE33" i="37"/>
  <c r="CD33" i="37"/>
  <c r="CC33" i="37"/>
  <c r="CB33" i="37"/>
  <c r="CA33" i="37"/>
  <c r="BZ33" i="37"/>
  <c r="BY33" i="37"/>
  <c r="BX33" i="37"/>
  <c r="BW33" i="37"/>
  <c r="BV33" i="37"/>
  <c r="BU33" i="37"/>
  <c r="BT33" i="37"/>
  <c r="BS33" i="37"/>
  <c r="BR33" i="37"/>
  <c r="BQ33" i="37"/>
  <c r="BP33" i="37"/>
  <c r="CR32" i="37"/>
  <c r="CQ32" i="37"/>
  <c r="CP32" i="37"/>
  <c r="CO32" i="37"/>
  <c r="CN32" i="37"/>
  <c r="CM32" i="37"/>
  <c r="CL32" i="37"/>
  <c r="CK32" i="37"/>
  <c r="CJ32" i="37"/>
  <c r="CI32" i="37"/>
  <c r="CH32" i="37"/>
  <c r="CG32" i="37"/>
  <c r="CF32" i="37"/>
  <c r="CE32" i="37"/>
  <c r="CD32" i="37"/>
  <c r="CC32" i="37"/>
  <c r="CB32" i="37"/>
  <c r="CA32" i="37"/>
  <c r="BZ32" i="37"/>
  <c r="BY32" i="37"/>
  <c r="BX32" i="37"/>
  <c r="BW32" i="37"/>
  <c r="BV32" i="37"/>
  <c r="BU32" i="37"/>
  <c r="BT32" i="37"/>
  <c r="BS32" i="37"/>
  <c r="BR32" i="37"/>
  <c r="BQ32" i="37"/>
  <c r="BP32" i="37"/>
  <c r="CR31" i="37"/>
  <c r="CQ31" i="37"/>
  <c r="CP31" i="37"/>
  <c r="CO31" i="37"/>
  <c r="CN31" i="37"/>
  <c r="CM31" i="37"/>
  <c r="CL31" i="37"/>
  <c r="CK31" i="37"/>
  <c r="CJ31" i="37"/>
  <c r="CI31" i="37"/>
  <c r="CH31" i="37"/>
  <c r="CG31" i="37"/>
  <c r="CF31" i="37"/>
  <c r="CE31" i="37"/>
  <c r="CD31" i="37"/>
  <c r="CC31" i="37"/>
  <c r="CB31" i="37"/>
  <c r="CA31" i="37"/>
  <c r="BZ31" i="37"/>
  <c r="BY31" i="37"/>
  <c r="BX31" i="37"/>
  <c r="BW31" i="37"/>
  <c r="BV31" i="37"/>
  <c r="BU31" i="37"/>
  <c r="BT31" i="37"/>
  <c r="BS31" i="37"/>
  <c r="BR31" i="37"/>
  <c r="BQ31" i="37"/>
  <c r="BP31" i="37"/>
  <c r="CR30" i="37"/>
  <c r="CQ30" i="37"/>
  <c r="CP30" i="37"/>
  <c r="CO30" i="37"/>
  <c r="CN30" i="37"/>
  <c r="CM30" i="37"/>
  <c r="CL30" i="37"/>
  <c r="CK30" i="37"/>
  <c r="CJ30" i="37"/>
  <c r="CI30" i="37"/>
  <c r="CH30" i="37"/>
  <c r="CG30" i="37"/>
  <c r="CF30" i="37"/>
  <c r="CE30" i="37"/>
  <c r="CD30" i="37"/>
  <c r="CC30" i="37"/>
  <c r="CB30" i="37"/>
  <c r="CA30" i="37"/>
  <c r="BZ30" i="37"/>
  <c r="BY30" i="37"/>
  <c r="BX30" i="37"/>
  <c r="BW30" i="37"/>
  <c r="BV30" i="37"/>
  <c r="BU30" i="37"/>
  <c r="BT30" i="37"/>
  <c r="BS30" i="37"/>
  <c r="BR30" i="37"/>
  <c r="BQ30" i="37"/>
  <c r="BP30" i="37"/>
  <c r="CR29" i="37"/>
  <c r="CQ29" i="37"/>
  <c r="CP29" i="37"/>
  <c r="CO29" i="37"/>
  <c r="CN29" i="37"/>
  <c r="CM29" i="37"/>
  <c r="CL29" i="37"/>
  <c r="CK29" i="37"/>
  <c r="CJ29" i="37"/>
  <c r="CI29" i="37"/>
  <c r="CH29" i="37"/>
  <c r="CG29" i="37"/>
  <c r="CF29" i="37"/>
  <c r="CE29" i="37"/>
  <c r="CD29" i="37"/>
  <c r="CC29" i="37"/>
  <c r="CB29" i="37"/>
  <c r="CA29" i="37"/>
  <c r="BZ29" i="37"/>
  <c r="BY29" i="37"/>
  <c r="BX29" i="37"/>
  <c r="BW29" i="37"/>
  <c r="BV29" i="37"/>
  <c r="BU29" i="37"/>
  <c r="BT29" i="37"/>
  <c r="BS29" i="37"/>
  <c r="BR29" i="37"/>
  <c r="BQ29" i="37"/>
  <c r="BP29" i="37"/>
  <c r="CR28" i="37"/>
  <c r="CQ28" i="37"/>
  <c r="CP28" i="37"/>
  <c r="CO28" i="37"/>
  <c r="CN28" i="37"/>
  <c r="CM28" i="37"/>
  <c r="CL28" i="37"/>
  <c r="CK28" i="37"/>
  <c r="CJ28" i="37"/>
  <c r="CI28" i="37"/>
  <c r="CH28" i="37"/>
  <c r="CG28" i="37"/>
  <c r="CF28" i="37"/>
  <c r="CE28" i="37"/>
  <c r="CD28" i="37"/>
  <c r="CC28" i="37"/>
  <c r="CB28" i="37"/>
  <c r="CA28" i="37"/>
  <c r="BZ28" i="37"/>
  <c r="BY28" i="37"/>
  <c r="BX28" i="37"/>
  <c r="BW28" i="37"/>
  <c r="BV28" i="37"/>
  <c r="BU28" i="37"/>
  <c r="BT28" i="37"/>
  <c r="BS28" i="37"/>
  <c r="BR28" i="37"/>
  <c r="BQ28" i="37"/>
  <c r="BP28" i="37"/>
  <c r="CR27" i="37"/>
  <c r="CQ27" i="37"/>
  <c r="CP27" i="37"/>
  <c r="CO27" i="37"/>
  <c r="CN27" i="37"/>
  <c r="CM27" i="37"/>
  <c r="CL27" i="37"/>
  <c r="CK27" i="37"/>
  <c r="CJ27" i="37"/>
  <c r="CI27" i="37"/>
  <c r="CH27" i="37"/>
  <c r="CG27" i="37"/>
  <c r="CF27" i="37"/>
  <c r="CE27" i="37"/>
  <c r="CD27" i="37"/>
  <c r="CC27" i="37"/>
  <c r="CB27" i="37"/>
  <c r="CA27" i="37"/>
  <c r="BZ27" i="37"/>
  <c r="BY27" i="37"/>
  <c r="BX27" i="37"/>
  <c r="BW27" i="37"/>
  <c r="BV27" i="37"/>
  <c r="BU27" i="37"/>
  <c r="BT27" i="37"/>
  <c r="BS27" i="37"/>
  <c r="BR27" i="37"/>
  <c r="BQ27" i="37"/>
  <c r="BP27" i="37"/>
  <c r="CR26" i="37"/>
  <c r="CQ26" i="37"/>
  <c r="CP26" i="37"/>
  <c r="CO26" i="37"/>
  <c r="CN26" i="37"/>
  <c r="CM26" i="37"/>
  <c r="CL26" i="37"/>
  <c r="CK26" i="37"/>
  <c r="CJ26" i="37"/>
  <c r="CI26" i="37"/>
  <c r="CH26" i="37"/>
  <c r="CG26" i="37"/>
  <c r="CF26" i="37"/>
  <c r="CE26" i="37"/>
  <c r="CD26" i="37"/>
  <c r="CC26" i="37"/>
  <c r="CB26" i="37"/>
  <c r="CA26" i="37"/>
  <c r="BZ26" i="37"/>
  <c r="BY26" i="37"/>
  <c r="BX26" i="37"/>
  <c r="BW26" i="37"/>
  <c r="BV26" i="37"/>
  <c r="BU26" i="37"/>
  <c r="BT26" i="37"/>
  <c r="BS26" i="37"/>
  <c r="BR26" i="37"/>
  <c r="BQ26" i="37"/>
  <c r="BP26" i="37"/>
  <c r="CR25" i="37"/>
  <c r="CQ25" i="37"/>
  <c r="CP25" i="37"/>
  <c r="CO25" i="37"/>
  <c r="CN25" i="37"/>
  <c r="CM25" i="37"/>
  <c r="CL25" i="37"/>
  <c r="CK25" i="37"/>
  <c r="CJ25" i="37"/>
  <c r="CI25" i="37"/>
  <c r="CH25" i="37"/>
  <c r="CG25" i="37"/>
  <c r="CF25" i="37"/>
  <c r="CE25" i="37"/>
  <c r="CD25" i="37"/>
  <c r="CC25" i="37"/>
  <c r="CB25" i="37"/>
  <c r="CA25" i="37"/>
  <c r="BZ25" i="37"/>
  <c r="BY25" i="37"/>
  <c r="BX25" i="37"/>
  <c r="BW25" i="37"/>
  <c r="BV25" i="37"/>
  <c r="BU25" i="37"/>
  <c r="BT25" i="37"/>
  <c r="BS25" i="37"/>
  <c r="BR25" i="37"/>
  <c r="BQ25" i="37"/>
  <c r="BP25" i="37"/>
  <c r="CR24" i="37"/>
  <c r="CQ24" i="37"/>
  <c r="CP24" i="37"/>
  <c r="CO24" i="37"/>
  <c r="CN24" i="37"/>
  <c r="CM24" i="37"/>
  <c r="CL24" i="37"/>
  <c r="CK24" i="37"/>
  <c r="CJ24" i="37"/>
  <c r="CI24" i="37"/>
  <c r="CH24" i="37"/>
  <c r="CG24" i="37"/>
  <c r="CF24" i="37"/>
  <c r="CE24" i="37"/>
  <c r="CD24" i="37"/>
  <c r="CC24" i="37"/>
  <c r="CB24" i="37"/>
  <c r="CA24" i="37"/>
  <c r="BZ24" i="37"/>
  <c r="BY24" i="37"/>
  <c r="BX24" i="37"/>
  <c r="BW24" i="37"/>
  <c r="BV24" i="37"/>
  <c r="BU24" i="37"/>
  <c r="BT24" i="37"/>
  <c r="BS24" i="37"/>
  <c r="BR24" i="37"/>
  <c r="BQ24" i="37"/>
  <c r="BP24" i="37"/>
  <c r="CR23" i="37"/>
  <c r="CQ23" i="37"/>
  <c r="CP23" i="37"/>
  <c r="CO23" i="37"/>
  <c r="CN23" i="37"/>
  <c r="CM23" i="37"/>
  <c r="CL23" i="37"/>
  <c r="CK23" i="37"/>
  <c r="CJ23" i="37"/>
  <c r="CI23" i="37"/>
  <c r="CH23" i="37"/>
  <c r="CG23" i="37"/>
  <c r="CF23" i="37"/>
  <c r="CE23" i="37"/>
  <c r="CD23" i="37"/>
  <c r="CC23" i="37"/>
  <c r="CB23" i="37"/>
  <c r="CA23" i="37"/>
  <c r="BZ23" i="37"/>
  <c r="BY23" i="37"/>
  <c r="BX23" i="37"/>
  <c r="BW23" i="37"/>
  <c r="BV23" i="37"/>
  <c r="BU23" i="37"/>
  <c r="BT23" i="37"/>
  <c r="BS23" i="37"/>
  <c r="BR23" i="37"/>
  <c r="BQ23" i="37"/>
  <c r="BP23" i="37"/>
  <c r="CR22" i="37"/>
  <c r="CQ22" i="37"/>
  <c r="CP22" i="37"/>
  <c r="CO22" i="37"/>
  <c r="CN22" i="37"/>
  <c r="CM22" i="37"/>
  <c r="CL22" i="37"/>
  <c r="CK22" i="37"/>
  <c r="CJ22" i="37"/>
  <c r="CI22" i="37"/>
  <c r="CH22" i="37"/>
  <c r="CG22" i="37"/>
  <c r="CF22" i="37"/>
  <c r="CE22" i="37"/>
  <c r="CD22" i="37"/>
  <c r="CC22" i="37"/>
  <c r="CB22" i="37"/>
  <c r="CA22" i="37"/>
  <c r="BZ22" i="37"/>
  <c r="BY22" i="37"/>
  <c r="BX22" i="37"/>
  <c r="BW22" i="37"/>
  <c r="BV22" i="37"/>
  <c r="BU22" i="37"/>
  <c r="BT22" i="37"/>
  <c r="BS22" i="37"/>
  <c r="BR22" i="37"/>
  <c r="BQ22" i="37"/>
  <c r="BP22" i="37"/>
  <c r="CR21" i="37"/>
  <c r="CQ21" i="37"/>
  <c r="CP21" i="37"/>
  <c r="CO21" i="37"/>
  <c r="CN21" i="37"/>
  <c r="CM21" i="37"/>
  <c r="CL21" i="37"/>
  <c r="CK21" i="37"/>
  <c r="CJ21" i="37"/>
  <c r="CI21" i="37"/>
  <c r="CH21" i="37"/>
  <c r="CG21" i="37"/>
  <c r="CF21" i="37"/>
  <c r="CE21" i="37"/>
  <c r="CD21" i="37"/>
  <c r="CC21" i="37"/>
  <c r="CB21" i="37"/>
  <c r="CA21" i="37"/>
  <c r="BZ21" i="37"/>
  <c r="BY21" i="37"/>
  <c r="BX21" i="37"/>
  <c r="BW21" i="37"/>
  <c r="BV21" i="37"/>
  <c r="BU21" i="37"/>
  <c r="BT21" i="37"/>
  <c r="BS21" i="37"/>
  <c r="BR21" i="37"/>
  <c r="BQ21" i="37"/>
  <c r="BP21" i="37"/>
  <c r="CR20" i="37"/>
  <c r="CQ20" i="37"/>
  <c r="CP20" i="37"/>
  <c r="CO20" i="37"/>
  <c r="CN20" i="37"/>
  <c r="CM20" i="37"/>
  <c r="CL20" i="37"/>
  <c r="CK20" i="37"/>
  <c r="CJ20" i="37"/>
  <c r="CI20" i="37"/>
  <c r="CH20" i="37"/>
  <c r="CG20" i="37"/>
  <c r="CF20" i="37"/>
  <c r="CE20" i="37"/>
  <c r="CD20" i="37"/>
  <c r="CC20" i="37"/>
  <c r="CB20" i="37"/>
  <c r="CA20" i="37"/>
  <c r="BZ20" i="37"/>
  <c r="BY20" i="37"/>
  <c r="BX20" i="37"/>
  <c r="BW20" i="37"/>
  <c r="BV20" i="37"/>
  <c r="BU20" i="37"/>
  <c r="BT20" i="37"/>
  <c r="BS20" i="37"/>
  <c r="BR20" i="37"/>
  <c r="BQ20" i="37"/>
  <c r="BP20" i="37"/>
  <c r="CR19" i="37"/>
  <c r="CQ19" i="37"/>
  <c r="CP19" i="37"/>
  <c r="CO19" i="37"/>
  <c r="CN19" i="37"/>
  <c r="CM19" i="37"/>
  <c r="CL19" i="37"/>
  <c r="CK19" i="37"/>
  <c r="CJ19" i="37"/>
  <c r="CI19" i="37"/>
  <c r="CH19" i="37"/>
  <c r="CG19" i="37"/>
  <c r="CF19" i="37"/>
  <c r="CE19" i="37"/>
  <c r="CD19" i="37"/>
  <c r="CC19" i="37"/>
  <c r="CB19" i="37"/>
  <c r="CA19" i="37"/>
  <c r="BZ19" i="37"/>
  <c r="BY19" i="37"/>
  <c r="BX19" i="37"/>
  <c r="BW19" i="37"/>
  <c r="BV19" i="37"/>
  <c r="BU19" i="37"/>
  <c r="BT19" i="37"/>
  <c r="BS19" i="37"/>
  <c r="BR19" i="37"/>
  <c r="BQ19" i="37"/>
  <c r="BP19" i="37"/>
  <c r="CR18" i="37"/>
  <c r="CQ18" i="37"/>
  <c r="CP18" i="37"/>
  <c r="CO18" i="37"/>
  <c r="CN18" i="37"/>
  <c r="CM18" i="37"/>
  <c r="CL18" i="37"/>
  <c r="CK18" i="37"/>
  <c r="CJ18" i="37"/>
  <c r="CI18" i="37"/>
  <c r="CH18" i="37"/>
  <c r="CG18" i="37"/>
  <c r="CF18" i="37"/>
  <c r="CE18" i="37"/>
  <c r="CD18" i="37"/>
  <c r="CC18" i="37"/>
  <c r="CB18" i="37"/>
  <c r="CA18" i="37"/>
  <c r="BZ18" i="37"/>
  <c r="BY18" i="37"/>
  <c r="BX18" i="37"/>
  <c r="BW18" i="37"/>
  <c r="BV18" i="37"/>
  <c r="BU18" i="37"/>
  <c r="BT18" i="37"/>
  <c r="BS18" i="37"/>
  <c r="BR18" i="37"/>
  <c r="BQ18" i="37"/>
  <c r="BP18" i="37"/>
  <c r="DW35" i="37"/>
  <c r="DV35" i="37"/>
  <c r="DU35" i="37"/>
  <c r="DT35" i="37"/>
  <c r="DS35" i="37"/>
  <c r="DR35" i="37"/>
  <c r="DQ35" i="37"/>
  <c r="DP35" i="37"/>
  <c r="DO35" i="37"/>
  <c r="DN35" i="37"/>
  <c r="DM35" i="37"/>
  <c r="DL35" i="37"/>
  <c r="DK35" i="37"/>
  <c r="DJ35" i="37"/>
  <c r="DI35" i="37"/>
  <c r="DH35" i="37"/>
  <c r="DG35" i="37"/>
  <c r="DF35" i="37"/>
  <c r="DE35" i="37"/>
  <c r="DD35" i="37"/>
  <c r="DC35" i="37"/>
  <c r="DB35" i="37"/>
  <c r="DA35" i="37"/>
  <c r="CZ35" i="37"/>
  <c r="CY35" i="37"/>
  <c r="CX35" i="37"/>
  <c r="CW35" i="37"/>
  <c r="CV35" i="37"/>
  <c r="DW34" i="37"/>
  <c r="DV34" i="37"/>
  <c r="DU34" i="37"/>
  <c r="DT34" i="37"/>
  <c r="DS34" i="37"/>
  <c r="DR34" i="37"/>
  <c r="DQ34" i="37"/>
  <c r="DP34" i="37"/>
  <c r="DO34" i="37"/>
  <c r="DN34" i="37"/>
  <c r="DM34" i="37"/>
  <c r="DL34" i="37"/>
  <c r="DK34" i="37"/>
  <c r="DJ34" i="37"/>
  <c r="DI34" i="37"/>
  <c r="DH34" i="37"/>
  <c r="DG34" i="37"/>
  <c r="DF34" i="37"/>
  <c r="DE34" i="37"/>
  <c r="DD34" i="37"/>
  <c r="DC34" i="37"/>
  <c r="DB34" i="37"/>
  <c r="DA34" i="37"/>
  <c r="CZ34" i="37"/>
  <c r="CY34" i="37"/>
  <c r="CX34" i="37"/>
  <c r="CW34" i="37"/>
  <c r="CV34" i="37"/>
  <c r="DW33" i="37"/>
  <c r="DV33" i="37"/>
  <c r="DU33" i="37"/>
  <c r="DT33" i="37"/>
  <c r="DS33" i="37"/>
  <c r="DR33" i="37"/>
  <c r="DQ33" i="37"/>
  <c r="DP33" i="37"/>
  <c r="DO33" i="37"/>
  <c r="DN33" i="37"/>
  <c r="DM33" i="37"/>
  <c r="DL33" i="37"/>
  <c r="DK33" i="37"/>
  <c r="DJ33" i="37"/>
  <c r="DI33" i="37"/>
  <c r="DH33" i="37"/>
  <c r="DG33" i="37"/>
  <c r="DF33" i="37"/>
  <c r="DE33" i="37"/>
  <c r="DD33" i="37"/>
  <c r="DC33" i="37"/>
  <c r="DB33" i="37"/>
  <c r="DA33" i="37"/>
  <c r="CZ33" i="37"/>
  <c r="CY33" i="37"/>
  <c r="CX33" i="37"/>
  <c r="CW33" i="37"/>
  <c r="CV33" i="37"/>
  <c r="DW32" i="37"/>
  <c r="DV32" i="37"/>
  <c r="DU32" i="37"/>
  <c r="DT32" i="37"/>
  <c r="DS32" i="37"/>
  <c r="DR32" i="37"/>
  <c r="DQ32" i="37"/>
  <c r="DP32" i="37"/>
  <c r="DO32" i="37"/>
  <c r="DN32" i="37"/>
  <c r="DM32" i="37"/>
  <c r="DL32" i="37"/>
  <c r="DK32" i="37"/>
  <c r="DJ32" i="37"/>
  <c r="DI32" i="37"/>
  <c r="DH32" i="37"/>
  <c r="DG32" i="37"/>
  <c r="DF32" i="37"/>
  <c r="DE32" i="37"/>
  <c r="DD32" i="37"/>
  <c r="DC32" i="37"/>
  <c r="DB32" i="37"/>
  <c r="DA32" i="37"/>
  <c r="CZ32" i="37"/>
  <c r="CY32" i="37"/>
  <c r="CX32" i="37"/>
  <c r="CW32" i="37"/>
  <c r="CV32" i="37"/>
  <c r="DW31" i="37"/>
  <c r="DV31" i="37"/>
  <c r="DU31" i="37"/>
  <c r="DT31" i="37"/>
  <c r="DS31" i="37"/>
  <c r="DR31" i="37"/>
  <c r="DQ31" i="37"/>
  <c r="DP31" i="37"/>
  <c r="DO31" i="37"/>
  <c r="DN31" i="37"/>
  <c r="DM31" i="37"/>
  <c r="DL31" i="37"/>
  <c r="DK31" i="37"/>
  <c r="DJ31" i="37"/>
  <c r="DI31" i="37"/>
  <c r="DH31" i="37"/>
  <c r="DG31" i="37"/>
  <c r="DF31" i="37"/>
  <c r="DE31" i="37"/>
  <c r="DD31" i="37"/>
  <c r="DC31" i="37"/>
  <c r="DB31" i="37"/>
  <c r="DA31" i="37"/>
  <c r="CZ31" i="37"/>
  <c r="CY31" i="37"/>
  <c r="CX31" i="37"/>
  <c r="CW31" i="37"/>
  <c r="CV31" i="37"/>
  <c r="DW30" i="37"/>
  <c r="DV30" i="37"/>
  <c r="DU30" i="37"/>
  <c r="DT30" i="37"/>
  <c r="DS30" i="37"/>
  <c r="DR30" i="37"/>
  <c r="DQ30" i="37"/>
  <c r="DP30" i="37"/>
  <c r="DO30" i="37"/>
  <c r="DN30" i="37"/>
  <c r="DM30" i="37"/>
  <c r="DL30" i="37"/>
  <c r="DK30" i="37"/>
  <c r="DJ30" i="37"/>
  <c r="DI30" i="37"/>
  <c r="DH30" i="37"/>
  <c r="DG30" i="37"/>
  <c r="DF30" i="37"/>
  <c r="DE30" i="37"/>
  <c r="DD30" i="37"/>
  <c r="DC30" i="37"/>
  <c r="DB30" i="37"/>
  <c r="DA30" i="37"/>
  <c r="CZ30" i="37"/>
  <c r="CY30" i="37"/>
  <c r="CX30" i="37"/>
  <c r="CW30" i="37"/>
  <c r="CV30" i="37"/>
  <c r="DW29" i="37"/>
  <c r="DV29" i="37"/>
  <c r="DU29" i="37"/>
  <c r="DT29" i="37"/>
  <c r="DS29" i="37"/>
  <c r="DR29" i="37"/>
  <c r="DQ29" i="37"/>
  <c r="DP29" i="37"/>
  <c r="DO29" i="37"/>
  <c r="DN29" i="37"/>
  <c r="DM29" i="37"/>
  <c r="DL29" i="37"/>
  <c r="DK29" i="37"/>
  <c r="DJ29" i="37"/>
  <c r="DI29" i="37"/>
  <c r="DH29" i="37"/>
  <c r="DG29" i="37"/>
  <c r="DF29" i="37"/>
  <c r="DE29" i="37"/>
  <c r="DD29" i="37"/>
  <c r="DC29" i="37"/>
  <c r="DB29" i="37"/>
  <c r="DA29" i="37"/>
  <c r="CZ29" i="37"/>
  <c r="CY29" i="37"/>
  <c r="CX29" i="37"/>
  <c r="CW29" i="37"/>
  <c r="CV29" i="37"/>
  <c r="DW28" i="37"/>
  <c r="DV28" i="37"/>
  <c r="DU28" i="37"/>
  <c r="DT28" i="37"/>
  <c r="DS28" i="37"/>
  <c r="DR28" i="37"/>
  <c r="DQ28" i="37"/>
  <c r="DP28" i="37"/>
  <c r="DO28" i="37"/>
  <c r="DN28" i="37"/>
  <c r="DM28" i="37"/>
  <c r="DL28" i="37"/>
  <c r="DK28" i="37"/>
  <c r="DJ28" i="37"/>
  <c r="DI28" i="37"/>
  <c r="DH28" i="37"/>
  <c r="DG28" i="37"/>
  <c r="DF28" i="37"/>
  <c r="DE28" i="37"/>
  <c r="DD28" i="37"/>
  <c r="DC28" i="37"/>
  <c r="DB28" i="37"/>
  <c r="DA28" i="37"/>
  <c r="CZ28" i="37"/>
  <c r="CY28" i="37"/>
  <c r="CX28" i="37"/>
  <c r="CW28" i="37"/>
  <c r="CV28" i="37"/>
  <c r="DW27" i="37"/>
  <c r="DV27" i="37"/>
  <c r="DU27" i="37"/>
  <c r="DT27" i="37"/>
  <c r="DS27" i="37"/>
  <c r="DR27" i="37"/>
  <c r="DQ27" i="37"/>
  <c r="DP27" i="37"/>
  <c r="DO27" i="37"/>
  <c r="DN27" i="37"/>
  <c r="DM27" i="37"/>
  <c r="DL27" i="37"/>
  <c r="DK27" i="37"/>
  <c r="DJ27" i="37"/>
  <c r="DI27" i="37"/>
  <c r="DH27" i="37"/>
  <c r="DG27" i="37"/>
  <c r="DF27" i="37"/>
  <c r="DE27" i="37"/>
  <c r="DD27" i="37"/>
  <c r="DC27" i="37"/>
  <c r="DB27" i="37"/>
  <c r="DA27" i="37"/>
  <c r="CZ27" i="37"/>
  <c r="CY27" i="37"/>
  <c r="CX27" i="37"/>
  <c r="CW27" i="37"/>
  <c r="CV27" i="37"/>
  <c r="DW26" i="37"/>
  <c r="DV26" i="37"/>
  <c r="DU26" i="37"/>
  <c r="DT26" i="37"/>
  <c r="DS26" i="37"/>
  <c r="DR26" i="37"/>
  <c r="DQ26" i="37"/>
  <c r="DP26" i="37"/>
  <c r="DO26" i="37"/>
  <c r="DN26" i="37"/>
  <c r="DM26" i="37"/>
  <c r="DL26" i="37"/>
  <c r="DK26" i="37"/>
  <c r="DJ26" i="37"/>
  <c r="DI26" i="37"/>
  <c r="DH26" i="37"/>
  <c r="DG26" i="37"/>
  <c r="DF26" i="37"/>
  <c r="DE26" i="37"/>
  <c r="DD26" i="37"/>
  <c r="DC26" i="37"/>
  <c r="DB26" i="37"/>
  <c r="DA26" i="37"/>
  <c r="CZ26" i="37"/>
  <c r="CY26" i="37"/>
  <c r="CX26" i="37"/>
  <c r="CW26" i="37"/>
  <c r="CV26" i="37"/>
  <c r="DW25" i="37"/>
  <c r="DV25" i="37"/>
  <c r="DU25" i="37"/>
  <c r="DT25" i="37"/>
  <c r="DS25" i="37"/>
  <c r="DR25" i="37"/>
  <c r="DQ25" i="37"/>
  <c r="DP25" i="37"/>
  <c r="DO25" i="37"/>
  <c r="DN25" i="37"/>
  <c r="DM25" i="37"/>
  <c r="DL25" i="37"/>
  <c r="DK25" i="37"/>
  <c r="DJ25" i="37"/>
  <c r="DI25" i="37"/>
  <c r="DH25" i="37"/>
  <c r="DG25" i="37"/>
  <c r="DF25" i="37"/>
  <c r="DE25" i="37"/>
  <c r="DD25" i="37"/>
  <c r="DC25" i="37"/>
  <c r="DB25" i="37"/>
  <c r="DA25" i="37"/>
  <c r="CZ25" i="37"/>
  <c r="CY25" i="37"/>
  <c r="CX25" i="37"/>
  <c r="CW25" i="37"/>
  <c r="CV25" i="37"/>
  <c r="DW24" i="37"/>
  <c r="DV24" i="37"/>
  <c r="DU24" i="37"/>
  <c r="DT24" i="37"/>
  <c r="DS24" i="37"/>
  <c r="DR24" i="37"/>
  <c r="DQ24" i="37"/>
  <c r="DP24" i="37"/>
  <c r="DO24" i="37"/>
  <c r="DN24" i="37"/>
  <c r="DM24" i="37"/>
  <c r="DL24" i="37"/>
  <c r="DK24" i="37"/>
  <c r="DJ24" i="37"/>
  <c r="DI24" i="37"/>
  <c r="DH24" i="37"/>
  <c r="DG24" i="37"/>
  <c r="DF24" i="37"/>
  <c r="DE24" i="37"/>
  <c r="DD24" i="37"/>
  <c r="DC24" i="37"/>
  <c r="DB24" i="37"/>
  <c r="DA24" i="37"/>
  <c r="CZ24" i="37"/>
  <c r="CY24" i="37"/>
  <c r="CX24" i="37"/>
  <c r="CW24" i="37"/>
  <c r="CV24" i="37"/>
  <c r="DW23" i="37"/>
  <c r="DV23" i="37"/>
  <c r="DU23" i="37"/>
  <c r="DT23" i="37"/>
  <c r="DS23" i="37"/>
  <c r="DR23" i="37"/>
  <c r="DQ23" i="37"/>
  <c r="DP23" i="37"/>
  <c r="DO23" i="37"/>
  <c r="DN23" i="37"/>
  <c r="DM23" i="37"/>
  <c r="DL23" i="37"/>
  <c r="DK23" i="37"/>
  <c r="DJ23" i="37"/>
  <c r="DI23" i="37"/>
  <c r="DH23" i="37"/>
  <c r="DG23" i="37"/>
  <c r="DF23" i="37"/>
  <c r="DE23" i="37"/>
  <c r="DD23" i="37"/>
  <c r="DC23" i="37"/>
  <c r="DB23" i="37"/>
  <c r="DA23" i="37"/>
  <c r="CZ23" i="37"/>
  <c r="CY23" i="37"/>
  <c r="CX23" i="37"/>
  <c r="CW23" i="37"/>
  <c r="CV23" i="37"/>
  <c r="DW22" i="37"/>
  <c r="DV22" i="37"/>
  <c r="DU22" i="37"/>
  <c r="DT22" i="37"/>
  <c r="DS22" i="37"/>
  <c r="DR22" i="37"/>
  <c r="DQ22" i="37"/>
  <c r="DP22" i="37"/>
  <c r="DO22" i="37"/>
  <c r="DN22" i="37"/>
  <c r="DM22" i="37"/>
  <c r="DL22" i="37"/>
  <c r="DK22" i="37"/>
  <c r="DJ22" i="37"/>
  <c r="DI22" i="37"/>
  <c r="DH22" i="37"/>
  <c r="DG22" i="37"/>
  <c r="DF22" i="37"/>
  <c r="DE22" i="37"/>
  <c r="DD22" i="37"/>
  <c r="DC22" i="37"/>
  <c r="DB22" i="37"/>
  <c r="DA22" i="37"/>
  <c r="CZ22" i="37"/>
  <c r="CY22" i="37"/>
  <c r="CX22" i="37"/>
  <c r="CW22" i="37"/>
  <c r="CV22" i="37"/>
  <c r="DW21" i="37"/>
  <c r="DV21" i="37"/>
  <c r="DU21" i="37"/>
  <c r="DT21" i="37"/>
  <c r="DS21" i="37"/>
  <c r="DR21" i="37"/>
  <c r="DQ21" i="37"/>
  <c r="DP21" i="37"/>
  <c r="DO21" i="37"/>
  <c r="DN21" i="37"/>
  <c r="DM21" i="37"/>
  <c r="DL21" i="37"/>
  <c r="DK21" i="37"/>
  <c r="DJ21" i="37"/>
  <c r="DI21" i="37"/>
  <c r="DH21" i="37"/>
  <c r="DG21" i="37"/>
  <c r="DF21" i="37"/>
  <c r="DE21" i="37"/>
  <c r="DD21" i="37"/>
  <c r="DC21" i="37"/>
  <c r="DB21" i="37"/>
  <c r="DA21" i="37"/>
  <c r="CZ21" i="37"/>
  <c r="CY21" i="37"/>
  <c r="CX21" i="37"/>
  <c r="CW21" i="37"/>
  <c r="CV21" i="37"/>
  <c r="DW20" i="37"/>
  <c r="DV20" i="37"/>
  <c r="DU20" i="37"/>
  <c r="DT20" i="37"/>
  <c r="DS20" i="37"/>
  <c r="DR20" i="37"/>
  <c r="DQ20" i="37"/>
  <c r="DP20" i="37"/>
  <c r="DO20" i="37"/>
  <c r="DN20" i="37"/>
  <c r="DM20" i="37"/>
  <c r="DL20" i="37"/>
  <c r="DK20" i="37"/>
  <c r="DJ20" i="37"/>
  <c r="DI20" i="37"/>
  <c r="DH20" i="37"/>
  <c r="DG20" i="37"/>
  <c r="DF20" i="37"/>
  <c r="DE20" i="37"/>
  <c r="DD20" i="37"/>
  <c r="DC20" i="37"/>
  <c r="DB20" i="37"/>
  <c r="DA20" i="37"/>
  <c r="CZ20" i="37"/>
  <c r="CY20" i="37"/>
  <c r="CX20" i="37"/>
  <c r="CW20" i="37"/>
  <c r="CV20" i="37"/>
  <c r="DW19" i="37"/>
  <c r="DV19" i="37"/>
  <c r="DU19" i="37"/>
  <c r="DT19" i="37"/>
  <c r="DS19" i="37"/>
  <c r="DR19" i="37"/>
  <c r="DQ19" i="37"/>
  <c r="DP19" i="37"/>
  <c r="DO19" i="37"/>
  <c r="DN19" i="37"/>
  <c r="DM19" i="37"/>
  <c r="DL19" i="37"/>
  <c r="DK19" i="37"/>
  <c r="DJ19" i="37"/>
  <c r="DI19" i="37"/>
  <c r="DH19" i="37"/>
  <c r="DG19" i="37"/>
  <c r="DF19" i="37"/>
  <c r="DE19" i="37"/>
  <c r="DD19" i="37"/>
  <c r="DC19" i="37"/>
  <c r="DB19" i="37"/>
  <c r="DA19" i="37"/>
  <c r="CZ19" i="37"/>
  <c r="CY19" i="37"/>
  <c r="CX19" i="37"/>
  <c r="CW19" i="37"/>
  <c r="CV19" i="37"/>
  <c r="DW18" i="37"/>
  <c r="DV18" i="37"/>
  <c r="DU18" i="37"/>
  <c r="DT18" i="37"/>
  <c r="DS18" i="37"/>
  <c r="DR18" i="37"/>
  <c r="DQ18" i="37"/>
  <c r="DP18" i="37"/>
  <c r="DO18" i="37"/>
  <c r="DN18" i="37"/>
  <c r="DM18" i="37"/>
  <c r="DL18" i="37"/>
  <c r="DK18" i="37"/>
  <c r="DJ18" i="37"/>
  <c r="DI18" i="37"/>
  <c r="DH18" i="37"/>
  <c r="DG18" i="37"/>
  <c r="DF18" i="37"/>
  <c r="DE18" i="37"/>
  <c r="DD18" i="37"/>
  <c r="DC18" i="37"/>
  <c r="DB18" i="37"/>
  <c r="DA18" i="37"/>
  <c r="CZ18" i="37"/>
  <c r="CY18" i="37"/>
  <c r="CX18" i="37"/>
  <c r="CW18" i="37"/>
  <c r="CV18" i="37"/>
  <c r="FA35" i="37"/>
  <c r="EZ35" i="37"/>
  <c r="EY35" i="37"/>
  <c r="EX35" i="37"/>
  <c r="EW35" i="37"/>
  <c r="EV35" i="37"/>
  <c r="EU35" i="37"/>
  <c r="ET35" i="37"/>
  <c r="ES35" i="37"/>
  <c r="ER35" i="37"/>
  <c r="EQ35" i="37"/>
  <c r="EP35" i="37"/>
  <c r="EO35" i="37"/>
  <c r="EN35" i="37"/>
  <c r="EM35" i="37"/>
  <c r="EL35" i="37"/>
  <c r="EK35" i="37"/>
  <c r="EJ35" i="37"/>
  <c r="EI35" i="37"/>
  <c r="EH35" i="37"/>
  <c r="EG35" i="37"/>
  <c r="EF35" i="37"/>
  <c r="EE35" i="37"/>
  <c r="ED35" i="37"/>
  <c r="EC35" i="37"/>
  <c r="EB35" i="37"/>
  <c r="EA35" i="37"/>
  <c r="FA34" i="37"/>
  <c r="EZ34" i="37"/>
  <c r="EY34" i="37"/>
  <c r="EX34" i="37"/>
  <c r="EW34" i="37"/>
  <c r="EV34" i="37"/>
  <c r="EU34" i="37"/>
  <c r="ET34" i="37"/>
  <c r="ES34" i="37"/>
  <c r="ER34" i="37"/>
  <c r="EQ34" i="37"/>
  <c r="EP34" i="37"/>
  <c r="EO34" i="37"/>
  <c r="EN34" i="37"/>
  <c r="EM34" i="37"/>
  <c r="EL34" i="37"/>
  <c r="EK34" i="37"/>
  <c r="EJ34" i="37"/>
  <c r="EI34" i="37"/>
  <c r="EH34" i="37"/>
  <c r="EG34" i="37"/>
  <c r="EF34" i="37"/>
  <c r="EE34" i="37"/>
  <c r="ED34" i="37"/>
  <c r="EC34" i="37"/>
  <c r="EB34" i="37"/>
  <c r="EA34" i="37"/>
  <c r="FA33" i="37"/>
  <c r="EZ33" i="37"/>
  <c r="EY33" i="37"/>
  <c r="EX33" i="37"/>
  <c r="EW33" i="37"/>
  <c r="EV33" i="37"/>
  <c r="EU33" i="37"/>
  <c r="ET33" i="37"/>
  <c r="ES33" i="37"/>
  <c r="ER33" i="37"/>
  <c r="EQ33" i="37"/>
  <c r="EP33" i="37"/>
  <c r="EO33" i="37"/>
  <c r="EN33" i="37"/>
  <c r="EM33" i="37"/>
  <c r="EL33" i="37"/>
  <c r="EK33" i="37"/>
  <c r="EJ33" i="37"/>
  <c r="EI33" i="37"/>
  <c r="EH33" i="37"/>
  <c r="EG33" i="37"/>
  <c r="EF33" i="37"/>
  <c r="EE33" i="37"/>
  <c r="ED33" i="37"/>
  <c r="EC33" i="37"/>
  <c r="EB33" i="37"/>
  <c r="EA33" i="37"/>
  <c r="FA32" i="37"/>
  <c r="EZ32" i="37"/>
  <c r="EY32" i="37"/>
  <c r="EX32" i="37"/>
  <c r="EW32" i="37"/>
  <c r="EV32" i="37"/>
  <c r="EU32" i="37"/>
  <c r="ET32" i="37"/>
  <c r="ES32" i="37"/>
  <c r="ER32" i="37"/>
  <c r="EQ32" i="37"/>
  <c r="EP32" i="37"/>
  <c r="EO32" i="37"/>
  <c r="EN32" i="37"/>
  <c r="EM32" i="37"/>
  <c r="EL32" i="37"/>
  <c r="EK32" i="37"/>
  <c r="EJ32" i="37"/>
  <c r="EI32" i="37"/>
  <c r="EH32" i="37"/>
  <c r="EG32" i="37"/>
  <c r="EF32" i="37"/>
  <c r="EE32" i="37"/>
  <c r="ED32" i="37"/>
  <c r="EC32" i="37"/>
  <c r="EB32" i="37"/>
  <c r="EA32" i="37"/>
  <c r="FA31" i="37"/>
  <c r="EZ31" i="37"/>
  <c r="EY31" i="37"/>
  <c r="EX31" i="37"/>
  <c r="EW31" i="37"/>
  <c r="EV31" i="37"/>
  <c r="EU31" i="37"/>
  <c r="ET31" i="37"/>
  <c r="ES31" i="37"/>
  <c r="ER31" i="37"/>
  <c r="EQ31" i="37"/>
  <c r="EP31" i="37"/>
  <c r="EO31" i="37"/>
  <c r="EN31" i="37"/>
  <c r="EM31" i="37"/>
  <c r="EL31" i="37"/>
  <c r="EK31" i="37"/>
  <c r="EJ31" i="37"/>
  <c r="EI31" i="37"/>
  <c r="EH31" i="37"/>
  <c r="EG31" i="37"/>
  <c r="EF31" i="37"/>
  <c r="EE31" i="37"/>
  <c r="ED31" i="37"/>
  <c r="EC31" i="37"/>
  <c r="EB31" i="37"/>
  <c r="EA31" i="37"/>
  <c r="FA30" i="37"/>
  <c r="EZ30" i="37"/>
  <c r="EY30" i="37"/>
  <c r="EX30" i="37"/>
  <c r="EW30" i="37"/>
  <c r="EV30" i="37"/>
  <c r="EU30" i="37"/>
  <c r="ET30" i="37"/>
  <c r="ES30" i="37"/>
  <c r="ER30" i="37"/>
  <c r="EQ30" i="37"/>
  <c r="EP30" i="37"/>
  <c r="EO30" i="37"/>
  <c r="EN30" i="37"/>
  <c r="EM30" i="37"/>
  <c r="EL30" i="37"/>
  <c r="EK30" i="37"/>
  <c r="EJ30" i="37"/>
  <c r="EI30" i="37"/>
  <c r="EH30" i="37"/>
  <c r="EG30" i="37"/>
  <c r="EF30" i="37"/>
  <c r="EE30" i="37"/>
  <c r="ED30" i="37"/>
  <c r="EC30" i="37"/>
  <c r="EB30" i="37"/>
  <c r="EA30" i="37"/>
  <c r="FA29" i="37"/>
  <c r="EZ29" i="37"/>
  <c r="EY29" i="37"/>
  <c r="EX29" i="37"/>
  <c r="EW29" i="37"/>
  <c r="EV29" i="37"/>
  <c r="EU29" i="37"/>
  <c r="ET29" i="37"/>
  <c r="ES29" i="37"/>
  <c r="ER29" i="37"/>
  <c r="EQ29" i="37"/>
  <c r="EP29" i="37"/>
  <c r="EO29" i="37"/>
  <c r="EN29" i="37"/>
  <c r="EM29" i="37"/>
  <c r="EL29" i="37"/>
  <c r="EK29" i="37"/>
  <c r="EJ29" i="37"/>
  <c r="EI29" i="37"/>
  <c r="EH29" i="37"/>
  <c r="EG29" i="37"/>
  <c r="EF29" i="37"/>
  <c r="EE29" i="37"/>
  <c r="ED29" i="37"/>
  <c r="EC29" i="37"/>
  <c r="EB29" i="37"/>
  <c r="EA29" i="37"/>
  <c r="FA28" i="37"/>
  <c r="EZ28" i="37"/>
  <c r="EY28" i="37"/>
  <c r="EX28" i="37"/>
  <c r="EW28" i="37"/>
  <c r="EV28" i="37"/>
  <c r="EU28" i="37"/>
  <c r="ET28" i="37"/>
  <c r="ES28" i="37"/>
  <c r="ER28" i="37"/>
  <c r="EQ28" i="37"/>
  <c r="EP28" i="37"/>
  <c r="EO28" i="37"/>
  <c r="EN28" i="37"/>
  <c r="EM28" i="37"/>
  <c r="EL28" i="37"/>
  <c r="EK28" i="37"/>
  <c r="EJ28" i="37"/>
  <c r="EI28" i="37"/>
  <c r="EH28" i="37"/>
  <c r="EG28" i="37"/>
  <c r="EF28" i="37"/>
  <c r="EE28" i="37"/>
  <c r="ED28" i="37"/>
  <c r="EC28" i="37"/>
  <c r="EB28" i="37"/>
  <c r="EA28" i="37"/>
  <c r="FA27" i="37"/>
  <c r="EZ27" i="37"/>
  <c r="EY27" i="37"/>
  <c r="EX27" i="37"/>
  <c r="EW27" i="37"/>
  <c r="EV27" i="37"/>
  <c r="EU27" i="37"/>
  <c r="ET27" i="37"/>
  <c r="ES27" i="37"/>
  <c r="ER27" i="37"/>
  <c r="EQ27" i="37"/>
  <c r="EP27" i="37"/>
  <c r="EO27" i="37"/>
  <c r="EN27" i="37"/>
  <c r="EM27" i="37"/>
  <c r="EL27" i="37"/>
  <c r="EK27" i="37"/>
  <c r="EJ27" i="37"/>
  <c r="EI27" i="37"/>
  <c r="EH27" i="37"/>
  <c r="EG27" i="37"/>
  <c r="EF27" i="37"/>
  <c r="EE27" i="37"/>
  <c r="ED27" i="37"/>
  <c r="EC27" i="37"/>
  <c r="EB27" i="37"/>
  <c r="EA27" i="37"/>
  <c r="FA26" i="37"/>
  <c r="EZ26" i="37"/>
  <c r="EY26" i="37"/>
  <c r="EX26" i="37"/>
  <c r="EW26" i="37"/>
  <c r="EV26" i="37"/>
  <c r="EU26" i="37"/>
  <c r="ET26" i="37"/>
  <c r="ES26" i="37"/>
  <c r="ER26" i="37"/>
  <c r="EQ26" i="37"/>
  <c r="EP26" i="37"/>
  <c r="EO26" i="37"/>
  <c r="EN26" i="37"/>
  <c r="EM26" i="37"/>
  <c r="EL26" i="37"/>
  <c r="EK26" i="37"/>
  <c r="EJ26" i="37"/>
  <c r="EI26" i="37"/>
  <c r="EH26" i="37"/>
  <c r="EG26" i="37"/>
  <c r="EF26" i="37"/>
  <c r="EE26" i="37"/>
  <c r="ED26" i="37"/>
  <c r="EC26" i="37"/>
  <c r="EB26" i="37"/>
  <c r="EA26" i="37"/>
  <c r="FA25" i="37"/>
  <c r="EZ25" i="37"/>
  <c r="EY25" i="37"/>
  <c r="EX25" i="37"/>
  <c r="EW25" i="37"/>
  <c r="EV25" i="37"/>
  <c r="EU25" i="37"/>
  <c r="ET25" i="37"/>
  <c r="ES25" i="37"/>
  <c r="ER25" i="37"/>
  <c r="EQ25" i="37"/>
  <c r="EP25" i="37"/>
  <c r="EO25" i="37"/>
  <c r="EN25" i="37"/>
  <c r="EM25" i="37"/>
  <c r="EL25" i="37"/>
  <c r="EK25" i="37"/>
  <c r="EJ25" i="37"/>
  <c r="EI25" i="37"/>
  <c r="EH25" i="37"/>
  <c r="EG25" i="37"/>
  <c r="EF25" i="37"/>
  <c r="EE25" i="37"/>
  <c r="ED25" i="37"/>
  <c r="EC25" i="37"/>
  <c r="EB25" i="37"/>
  <c r="EA25" i="37"/>
  <c r="FA24" i="37"/>
  <c r="EZ24" i="37"/>
  <c r="EY24" i="37"/>
  <c r="EX24" i="37"/>
  <c r="EW24" i="37"/>
  <c r="EV24" i="37"/>
  <c r="EU24" i="37"/>
  <c r="ET24" i="37"/>
  <c r="ES24" i="37"/>
  <c r="ER24" i="37"/>
  <c r="EQ24" i="37"/>
  <c r="EP24" i="37"/>
  <c r="EO24" i="37"/>
  <c r="EN24" i="37"/>
  <c r="EM24" i="37"/>
  <c r="EL24" i="37"/>
  <c r="EK24" i="37"/>
  <c r="EJ24" i="37"/>
  <c r="EI24" i="37"/>
  <c r="EH24" i="37"/>
  <c r="EG24" i="37"/>
  <c r="EF24" i="37"/>
  <c r="EE24" i="37"/>
  <c r="ED24" i="37"/>
  <c r="EC24" i="37"/>
  <c r="EB24" i="37"/>
  <c r="EA24" i="37"/>
  <c r="FA23" i="37"/>
  <c r="EZ23" i="37"/>
  <c r="EY23" i="37"/>
  <c r="EX23" i="37"/>
  <c r="EW23" i="37"/>
  <c r="EV23" i="37"/>
  <c r="EU23" i="37"/>
  <c r="ET23" i="37"/>
  <c r="ES23" i="37"/>
  <c r="ER23" i="37"/>
  <c r="EQ23" i="37"/>
  <c r="EP23" i="37"/>
  <c r="EO23" i="37"/>
  <c r="EN23" i="37"/>
  <c r="EM23" i="37"/>
  <c r="EL23" i="37"/>
  <c r="EK23" i="37"/>
  <c r="EJ23" i="37"/>
  <c r="EI23" i="37"/>
  <c r="EH23" i="37"/>
  <c r="EG23" i="37"/>
  <c r="EF23" i="37"/>
  <c r="EE23" i="37"/>
  <c r="ED23" i="37"/>
  <c r="EC23" i="37"/>
  <c r="EB23" i="37"/>
  <c r="EA23" i="37"/>
  <c r="FA22" i="37"/>
  <c r="EZ22" i="37"/>
  <c r="EY22" i="37"/>
  <c r="EX22" i="37"/>
  <c r="EW22" i="37"/>
  <c r="EV22" i="37"/>
  <c r="EU22" i="37"/>
  <c r="ET22" i="37"/>
  <c r="ES22" i="37"/>
  <c r="ER22" i="37"/>
  <c r="EQ22" i="37"/>
  <c r="EP22" i="37"/>
  <c r="EO22" i="37"/>
  <c r="EN22" i="37"/>
  <c r="EM22" i="37"/>
  <c r="EL22" i="37"/>
  <c r="EK22" i="37"/>
  <c r="EJ22" i="37"/>
  <c r="EI22" i="37"/>
  <c r="EH22" i="37"/>
  <c r="EG22" i="37"/>
  <c r="EF22" i="37"/>
  <c r="EE22" i="37"/>
  <c r="ED22" i="37"/>
  <c r="EC22" i="37"/>
  <c r="EB22" i="37"/>
  <c r="EA22" i="37"/>
  <c r="FA21" i="37"/>
  <c r="EZ21" i="37"/>
  <c r="EY21" i="37"/>
  <c r="EX21" i="37"/>
  <c r="EW21" i="37"/>
  <c r="EV21" i="37"/>
  <c r="EU21" i="37"/>
  <c r="ET21" i="37"/>
  <c r="ES21" i="37"/>
  <c r="ER21" i="37"/>
  <c r="EQ21" i="37"/>
  <c r="EP21" i="37"/>
  <c r="EO21" i="37"/>
  <c r="EN21" i="37"/>
  <c r="EM21" i="37"/>
  <c r="EL21" i="37"/>
  <c r="EK21" i="37"/>
  <c r="EJ21" i="37"/>
  <c r="EI21" i="37"/>
  <c r="EH21" i="37"/>
  <c r="EG21" i="37"/>
  <c r="EF21" i="37"/>
  <c r="EE21" i="37"/>
  <c r="ED21" i="37"/>
  <c r="EC21" i="37"/>
  <c r="EB21" i="37"/>
  <c r="EA21" i="37"/>
  <c r="FA20" i="37"/>
  <c r="EZ20" i="37"/>
  <c r="EY20" i="37"/>
  <c r="EX20" i="37"/>
  <c r="EW20" i="37"/>
  <c r="EV20" i="37"/>
  <c r="EU20" i="37"/>
  <c r="ET20" i="37"/>
  <c r="ES20" i="37"/>
  <c r="ER20" i="37"/>
  <c r="EQ20" i="37"/>
  <c r="EP20" i="37"/>
  <c r="EO20" i="37"/>
  <c r="EN20" i="37"/>
  <c r="EM20" i="37"/>
  <c r="EL20" i="37"/>
  <c r="EK20" i="37"/>
  <c r="EJ20" i="37"/>
  <c r="EI20" i="37"/>
  <c r="EH20" i="37"/>
  <c r="EG20" i="37"/>
  <c r="EF20" i="37"/>
  <c r="EE20" i="37"/>
  <c r="ED20" i="37"/>
  <c r="EC20" i="37"/>
  <c r="EB20" i="37"/>
  <c r="EA20" i="37"/>
  <c r="FA19" i="37"/>
  <c r="EZ19" i="37"/>
  <c r="EY19" i="37"/>
  <c r="EX19" i="37"/>
  <c r="EW19" i="37"/>
  <c r="EV19" i="37"/>
  <c r="EU19" i="37"/>
  <c r="ET19" i="37"/>
  <c r="ES19" i="37"/>
  <c r="ER19" i="37"/>
  <c r="EQ19" i="37"/>
  <c r="EP19" i="37"/>
  <c r="EO19" i="37"/>
  <c r="EN19" i="37"/>
  <c r="EM19" i="37"/>
  <c r="EL19" i="37"/>
  <c r="EK19" i="37"/>
  <c r="EJ19" i="37"/>
  <c r="EI19" i="37"/>
  <c r="EH19" i="37"/>
  <c r="EG19" i="37"/>
  <c r="EF19" i="37"/>
  <c r="EE19" i="37"/>
  <c r="ED19" i="37"/>
  <c r="EC19" i="37"/>
  <c r="EB19" i="37"/>
  <c r="EA19" i="37"/>
  <c r="FA18" i="37"/>
  <c r="EZ18" i="37"/>
  <c r="EY18" i="37"/>
  <c r="EX18" i="37"/>
  <c r="EW18" i="37"/>
  <c r="EV18" i="37"/>
  <c r="EU18" i="37"/>
  <c r="ET18" i="37"/>
  <c r="ES18" i="37"/>
  <c r="ER18" i="37"/>
  <c r="EQ18" i="37"/>
  <c r="EP18" i="37"/>
  <c r="EO18" i="37"/>
  <c r="EN18" i="37"/>
  <c r="EM18" i="37"/>
  <c r="EL18" i="37"/>
  <c r="EK18" i="37"/>
  <c r="EJ18" i="37"/>
  <c r="EI18" i="37"/>
  <c r="EH18" i="37"/>
  <c r="EG18" i="37"/>
  <c r="EF18" i="37"/>
  <c r="EE18" i="37"/>
  <c r="ED18" i="37"/>
  <c r="EC18" i="37"/>
  <c r="EB18" i="37"/>
  <c r="EA18" i="37"/>
  <c r="GI35" i="37"/>
  <c r="GH35" i="37"/>
  <c r="GG35" i="37"/>
  <c r="GF35" i="37"/>
  <c r="GE35" i="37"/>
  <c r="GD35" i="37"/>
  <c r="GC35" i="37"/>
  <c r="GB35" i="37"/>
  <c r="GA35" i="37"/>
  <c r="FZ35" i="37"/>
  <c r="FY35" i="37"/>
  <c r="FX35" i="37"/>
  <c r="FW35" i="37"/>
  <c r="FV35" i="37"/>
  <c r="FU35" i="37"/>
  <c r="FT35" i="37"/>
  <c r="FS35" i="37"/>
  <c r="FR35" i="37"/>
  <c r="FQ35" i="37"/>
  <c r="FP35" i="37"/>
  <c r="FO35" i="37"/>
  <c r="FN35" i="37"/>
  <c r="FM35" i="37"/>
  <c r="FL35" i="37"/>
  <c r="FK35" i="37"/>
  <c r="FJ35" i="37"/>
  <c r="FI35" i="37"/>
  <c r="FH35" i="37"/>
  <c r="FG35" i="37"/>
  <c r="GI34" i="37"/>
  <c r="GH34" i="37"/>
  <c r="GG34" i="37"/>
  <c r="GF34" i="37"/>
  <c r="GE34" i="37"/>
  <c r="GD34" i="37"/>
  <c r="GC34" i="37"/>
  <c r="GB34" i="37"/>
  <c r="GA34" i="37"/>
  <c r="FZ34" i="37"/>
  <c r="FY34" i="37"/>
  <c r="FX34" i="37"/>
  <c r="FW34" i="37"/>
  <c r="FV34" i="37"/>
  <c r="FU34" i="37"/>
  <c r="FT34" i="37"/>
  <c r="FS34" i="37"/>
  <c r="FR34" i="37"/>
  <c r="FQ34" i="37"/>
  <c r="FP34" i="37"/>
  <c r="FO34" i="37"/>
  <c r="FN34" i="37"/>
  <c r="FM34" i="37"/>
  <c r="FL34" i="37"/>
  <c r="FK34" i="37"/>
  <c r="FJ34" i="37"/>
  <c r="FI34" i="37"/>
  <c r="FH34" i="37"/>
  <c r="FG34" i="37"/>
  <c r="GI33" i="37"/>
  <c r="GH33" i="37"/>
  <c r="GG33" i="37"/>
  <c r="GF33" i="37"/>
  <c r="GE33" i="37"/>
  <c r="GD33" i="37"/>
  <c r="GC33" i="37"/>
  <c r="GB33" i="37"/>
  <c r="GA33" i="37"/>
  <c r="FZ33" i="37"/>
  <c r="FY33" i="37"/>
  <c r="FX33" i="37"/>
  <c r="FW33" i="37"/>
  <c r="FV33" i="37"/>
  <c r="FU33" i="37"/>
  <c r="FT33" i="37"/>
  <c r="FS33" i="37"/>
  <c r="FR33" i="37"/>
  <c r="FQ33" i="37"/>
  <c r="FP33" i="37"/>
  <c r="FO33" i="37"/>
  <c r="FN33" i="37"/>
  <c r="FM33" i="37"/>
  <c r="FL33" i="37"/>
  <c r="FK33" i="37"/>
  <c r="FJ33" i="37"/>
  <c r="FI33" i="37"/>
  <c r="FH33" i="37"/>
  <c r="FG33" i="37"/>
  <c r="GI32" i="37"/>
  <c r="GH32" i="37"/>
  <c r="GG32" i="37"/>
  <c r="GF32" i="37"/>
  <c r="GE32" i="37"/>
  <c r="GD32" i="37"/>
  <c r="GC32" i="37"/>
  <c r="GB32" i="37"/>
  <c r="GA32" i="37"/>
  <c r="FZ32" i="37"/>
  <c r="FY32" i="37"/>
  <c r="FX32" i="37"/>
  <c r="FW32" i="37"/>
  <c r="FV32" i="37"/>
  <c r="FU32" i="37"/>
  <c r="FT32" i="37"/>
  <c r="FS32" i="37"/>
  <c r="FR32" i="37"/>
  <c r="FQ32" i="37"/>
  <c r="FP32" i="37"/>
  <c r="FO32" i="37"/>
  <c r="FN32" i="37"/>
  <c r="FM32" i="37"/>
  <c r="FL32" i="37"/>
  <c r="FK32" i="37"/>
  <c r="FJ32" i="37"/>
  <c r="FI32" i="37"/>
  <c r="FH32" i="37"/>
  <c r="FG32" i="37"/>
  <c r="GI31" i="37"/>
  <c r="GH31" i="37"/>
  <c r="GG31" i="37"/>
  <c r="GF31" i="37"/>
  <c r="GE31" i="37"/>
  <c r="GD31" i="37"/>
  <c r="GC31" i="37"/>
  <c r="GB31" i="37"/>
  <c r="GA31" i="37"/>
  <c r="FZ31" i="37"/>
  <c r="FY31" i="37"/>
  <c r="FX31" i="37"/>
  <c r="FW31" i="37"/>
  <c r="FV31" i="37"/>
  <c r="FU31" i="37"/>
  <c r="FT31" i="37"/>
  <c r="FS31" i="37"/>
  <c r="FR31" i="37"/>
  <c r="FQ31" i="37"/>
  <c r="FP31" i="37"/>
  <c r="FO31" i="37"/>
  <c r="FN31" i="37"/>
  <c r="FM31" i="37"/>
  <c r="FL31" i="37"/>
  <c r="FK31" i="37"/>
  <c r="FJ31" i="37"/>
  <c r="FI31" i="37"/>
  <c r="FH31" i="37"/>
  <c r="FG31" i="37"/>
  <c r="GI30" i="37"/>
  <c r="GH30" i="37"/>
  <c r="GG30" i="37"/>
  <c r="GF30" i="37"/>
  <c r="GE30" i="37"/>
  <c r="GD30" i="37"/>
  <c r="GC30" i="37"/>
  <c r="GB30" i="37"/>
  <c r="GA30" i="37"/>
  <c r="FZ30" i="37"/>
  <c r="FY30" i="37"/>
  <c r="FX30" i="37"/>
  <c r="FW30" i="37"/>
  <c r="FV30" i="37"/>
  <c r="FU30" i="37"/>
  <c r="FT30" i="37"/>
  <c r="FS30" i="37"/>
  <c r="FR30" i="37"/>
  <c r="FQ30" i="37"/>
  <c r="FP30" i="37"/>
  <c r="FO30" i="37"/>
  <c r="FN30" i="37"/>
  <c r="FM30" i="37"/>
  <c r="FL30" i="37"/>
  <c r="FK30" i="37"/>
  <c r="FJ30" i="37"/>
  <c r="FI30" i="37"/>
  <c r="FH30" i="37"/>
  <c r="FG30" i="37"/>
  <c r="GI29" i="37"/>
  <c r="GH29" i="37"/>
  <c r="GG29" i="37"/>
  <c r="GF29" i="37"/>
  <c r="GE29" i="37"/>
  <c r="GD29" i="37"/>
  <c r="GC29" i="37"/>
  <c r="GB29" i="37"/>
  <c r="GA29" i="37"/>
  <c r="FZ29" i="37"/>
  <c r="FY29" i="37"/>
  <c r="FX29" i="37"/>
  <c r="FW29" i="37"/>
  <c r="FV29" i="37"/>
  <c r="FU29" i="37"/>
  <c r="FT29" i="37"/>
  <c r="FS29" i="37"/>
  <c r="FR29" i="37"/>
  <c r="FQ29" i="37"/>
  <c r="FP29" i="37"/>
  <c r="FO29" i="37"/>
  <c r="FN29" i="37"/>
  <c r="FM29" i="37"/>
  <c r="FL29" i="37"/>
  <c r="FK29" i="37"/>
  <c r="FJ29" i="37"/>
  <c r="FI29" i="37"/>
  <c r="FH29" i="37"/>
  <c r="FG29" i="37"/>
  <c r="GI28" i="37"/>
  <c r="GH28" i="37"/>
  <c r="GG28" i="37"/>
  <c r="GF28" i="37"/>
  <c r="GE28" i="37"/>
  <c r="GD28" i="37"/>
  <c r="GC28" i="37"/>
  <c r="GB28" i="37"/>
  <c r="GA28" i="37"/>
  <c r="FZ28" i="37"/>
  <c r="FY28" i="37"/>
  <c r="FX28" i="37"/>
  <c r="FW28" i="37"/>
  <c r="FV28" i="37"/>
  <c r="FU28" i="37"/>
  <c r="FT28" i="37"/>
  <c r="FS28" i="37"/>
  <c r="FR28" i="37"/>
  <c r="FQ28" i="37"/>
  <c r="FP28" i="37"/>
  <c r="FO28" i="37"/>
  <c r="FN28" i="37"/>
  <c r="FM28" i="37"/>
  <c r="FL28" i="37"/>
  <c r="FK28" i="37"/>
  <c r="FJ28" i="37"/>
  <c r="FI28" i="37"/>
  <c r="FH28" i="37"/>
  <c r="FG28" i="37"/>
  <c r="GI27" i="37"/>
  <c r="GH27" i="37"/>
  <c r="GG27" i="37"/>
  <c r="GF27" i="37"/>
  <c r="GE27" i="37"/>
  <c r="GD27" i="37"/>
  <c r="GC27" i="37"/>
  <c r="GB27" i="37"/>
  <c r="GA27" i="37"/>
  <c r="FZ27" i="37"/>
  <c r="FY27" i="37"/>
  <c r="FX27" i="37"/>
  <c r="FW27" i="37"/>
  <c r="FV27" i="37"/>
  <c r="FU27" i="37"/>
  <c r="FT27" i="37"/>
  <c r="FS27" i="37"/>
  <c r="FR27" i="37"/>
  <c r="FQ27" i="37"/>
  <c r="FP27" i="37"/>
  <c r="FO27" i="37"/>
  <c r="FN27" i="37"/>
  <c r="FM27" i="37"/>
  <c r="FL27" i="37"/>
  <c r="FK27" i="37"/>
  <c r="FJ27" i="37"/>
  <c r="FI27" i="37"/>
  <c r="FH27" i="37"/>
  <c r="FG27" i="37"/>
  <c r="GI26" i="37"/>
  <c r="GH26" i="37"/>
  <c r="GG26" i="37"/>
  <c r="GF26" i="37"/>
  <c r="GE26" i="37"/>
  <c r="GD26" i="37"/>
  <c r="GC26" i="37"/>
  <c r="GB26" i="37"/>
  <c r="GA26" i="37"/>
  <c r="FZ26" i="37"/>
  <c r="FY26" i="37"/>
  <c r="FX26" i="37"/>
  <c r="FW26" i="37"/>
  <c r="FV26" i="37"/>
  <c r="FU26" i="37"/>
  <c r="FT26" i="37"/>
  <c r="FS26" i="37"/>
  <c r="FR26" i="37"/>
  <c r="FQ26" i="37"/>
  <c r="FP26" i="37"/>
  <c r="FO26" i="37"/>
  <c r="FN26" i="37"/>
  <c r="FM26" i="37"/>
  <c r="FL26" i="37"/>
  <c r="FK26" i="37"/>
  <c r="FJ26" i="37"/>
  <c r="FI26" i="37"/>
  <c r="FH26" i="37"/>
  <c r="FG26" i="37"/>
  <c r="GI25" i="37"/>
  <c r="GH25" i="37"/>
  <c r="GG25" i="37"/>
  <c r="GF25" i="37"/>
  <c r="GE25" i="37"/>
  <c r="GD25" i="37"/>
  <c r="GC25" i="37"/>
  <c r="GB25" i="37"/>
  <c r="GA25" i="37"/>
  <c r="FZ25" i="37"/>
  <c r="FY25" i="37"/>
  <c r="FX25" i="37"/>
  <c r="FW25" i="37"/>
  <c r="FV25" i="37"/>
  <c r="FU25" i="37"/>
  <c r="FT25" i="37"/>
  <c r="FS25" i="37"/>
  <c r="FR25" i="37"/>
  <c r="FQ25" i="37"/>
  <c r="FP25" i="37"/>
  <c r="FO25" i="37"/>
  <c r="FN25" i="37"/>
  <c r="FM25" i="37"/>
  <c r="FL25" i="37"/>
  <c r="FK25" i="37"/>
  <c r="FJ25" i="37"/>
  <c r="FI25" i="37"/>
  <c r="FH25" i="37"/>
  <c r="FG25" i="37"/>
  <c r="GI24" i="37"/>
  <c r="GH24" i="37"/>
  <c r="GG24" i="37"/>
  <c r="GF24" i="37"/>
  <c r="GE24" i="37"/>
  <c r="GD24" i="37"/>
  <c r="GC24" i="37"/>
  <c r="GB24" i="37"/>
  <c r="GA24" i="37"/>
  <c r="FZ24" i="37"/>
  <c r="FY24" i="37"/>
  <c r="FX24" i="37"/>
  <c r="FW24" i="37"/>
  <c r="FV24" i="37"/>
  <c r="FU24" i="37"/>
  <c r="FT24" i="37"/>
  <c r="FS24" i="37"/>
  <c r="FR24" i="37"/>
  <c r="FQ24" i="37"/>
  <c r="FP24" i="37"/>
  <c r="FO24" i="37"/>
  <c r="FN24" i="37"/>
  <c r="FM24" i="37"/>
  <c r="FL24" i="37"/>
  <c r="FK24" i="37"/>
  <c r="FJ24" i="37"/>
  <c r="FI24" i="37"/>
  <c r="FH24" i="37"/>
  <c r="FG24" i="37"/>
  <c r="GI23" i="37"/>
  <c r="GH23" i="37"/>
  <c r="GG23" i="37"/>
  <c r="GF23" i="37"/>
  <c r="GE23" i="37"/>
  <c r="GD23" i="37"/>
  <c r="GC23" i="37"/>
  <c r="GB23" i="37"/>
  <c r="GA23" i="37"/>
  <c r="FZ23" i="37"/>
  <c r="FY23" i="37"/>
  <c r="FX23" i="37"/>
  <c r="FW23" i="37"/>
  <c r="FV23" i="37"/>
  <c r="FU23" i="37"/>
  <c r="FT23" i="37"/>
  <c r="FS23" i="37"/>
  <c r="FR23" i="37"/>
  <c r="FQ23" i="37"/>
  <c r="FP23" i="37"/>
  <c r="FO23" i="37"/>
  <c r="FN23" i="37"/>
  <c r="FM23" i="37"/>
  <c r="FL23" i="37"/>
  <c r="FK23" i="37"/>
  <c r="FJ23" i="37"/>
  <c r="FI23" i="37"/>
  <c r="FH23" i="37"/>
  <c r="FG23" i="37"/>
  <c r="GI22" i="37"/>
  <c r="GH22" i="37"/>
  <c r="GG22" i="37"/>
  <c r="GF22" i="37"/>
  <c r="GE22" i="37"/>
  <c r="GD22" i="37"/>
  <c r="GC22" i="37"/>
  <c r="GB22" i="37"/>
  <c r="GA22" i="37"/>
  <c r="FZ22" i="37"/>
  <c r="FY22" i="37"/>
  <c r="FX22" i="37"/>
  <c r="FW22" i="37"/>
  <c r="FV22" i="37"/>
  <c r="FU22" i="37"/>
  <c r="FT22" i="37"/>
  <c r="FS22" i="37"/>
  <c r="FR22" i="37"/>
  <c r="FQ22" i="37"/>
  <c r="FP22" i="37"/>
  <c r="FO22" i="37"/>
  <c r="FN22" i="37"/>
  <c r="FM22" i="37"/>
  <c r="FL22" i="37"/>
  <c r="FK22" i="37"/>
  <c r="FJ22" i="37"/>
  <c r="FI22" i="37"/>
  <c r="FH22" i="37"/>
  <c r="FG22" i="37"/>
  <c r="GI21" i="37"/>
  <c r="GH21" i="37"/>
  <c r="GG21" i="37"/>
  <c r="GF21" i="37"/>
  <c r="GE21" i="37"/>
  <c r="GD21" i="37"/>
  <c r="GC21" i="37"/>
  <c r="GB21" i="37"/>
  <c r="GA21" i="37"/>
  <c r="FZ21" i="37"/>
  <c r="FY21" i="37"/>
  <c r="FX21" i="37"/>
  <c r="FW21" i="37"/>
  <c r="FV21" i="37"/>
  <c r="FU21" i="37"/>
  <c r="FT21" i="37"/>
  <c r="FS21" i="37"/>
  <c r="FR21" i="37"/>
  <c r="FQ21" i="37"/>
  <c r="FP21" i="37"/>
  <c r="FO21" i="37"/>
  <c r="FN21" i="37"/>
  <c r="FM21" i="37"/>
  <c r="FL21" i="37"/>
  <c r="FK21" i="37"/>
  <c r="FJ21" i="37"/>
  <c r="FI21" i="37"/>
  <c r="FH21" i="37"/>
  <c r="FG21" i="37"/>
  <c r="GI20" i="37"/>
  <c r="GH20" i="37"/>
  <c r="GG20" i="37"/>
  <c r="GF20" i="37"/>
  <c r="GE20" i="37"/>
  <c r="GD20" i="37"/>
  <c r="GC20" i="37"/>
  <c r="GB20" i="37"/>
  <c r="GA20" i="37"/>
  <c r="FZ20" i="37"/>
  <c r="FY20" i="37"/>
  <c r="FX20" i="37"/>
  <c r="FW20" i="37"/>
  <c r="FV20" i="37"/>
  <c r="FU20" i="37"/>
  <c r="FT20" i="37"/>
  <c r="FS20" i="37"/>
  <c r="FR20" i="37"/>
  <c r="FQ20" i="37"/>
  <c r="FP20" i="37"/>
  <c r="FO20" i="37"/>
  <c r="FN20" i="37"/>
  <c r="FM20" i="37"/>
  <c r="FL20" i="37"/>
  <c r="FK20" i="37"/>
  <c r="FJ20" i="37"/>
  <c r="FI20" i="37"/>
  <c r="FH20" i="37"/>
  <c r="FG20" i="37"/>
  <c r="GI19" i="37"/>
  <c r="GH19" i="37"/>
  <c r="GG19" i="37"/>
  <c r="GF19" i="37"/>
  <c r="GE19" i="37"/>
  <c r="GD19" i="37"/>
  <c r="GC19" i="37"/>
  <c r="GB19" i="37"/>
  <c r="GA19" i="37"/>
  <c r="FZ19" i="37"/>
  <c r="FY19" i="37"/>
  <c r="FX19" i="37"/>
  <c r="FW19" i="37"/>
  <c r="FV19" i="37"/>
  <c r="FU19" i="37"/>
  <c r="FT19" i="37"/>
  <c r="FS19" i="37"/>
  <c r="FR19" i="37"/>
  <c r="FQ19" i="37"/>
  <c r="FP19" i="37"/>
  <c r="FO19" i="37"/>
  <c r="FN19" i="37"/>
  <c r="FM19" i="37"/>
  <c r="FL19" i="37"/>
  <c r="FK19" i="37"/>
  <c r="FJ19" i="37"/>
  <c r="FI19" i="37"/>
  <c r="FH19" i="37"/>
  <c r="FG19" i="37"/>
  <c r="GI18" i="37"/>
  <c r="GH18" i="37"/>
  <c r="GG18" i="37"/>
  <c r="GF18" i="37"/>
  <c r="GE18" i="37"/>
  <c r="GD18" i="37"/>
  <c r="GC18" i="37"/>
  <c r="GB18" i="37"/>
  <c r="GA18" i="37"/>
  <c r="FZ18" i="37"/>
  <c r="FY18" i="37"/>
  <c r="FX18" i="37"/>
  <c r="FW18" i="37"/>
  <c r="FV18" i="37"/>
  <c r="FU18" i="37"/>
  <c r="FT18" i="37"/>
  <c r="FS18" i="37"/>
  <c r="FR18" i="37"/>
  <c r="FQ18" i="37"/>
  <c r="FP18" i="37"/>
  <c r="FO18" i="37"/>
  <c r="FN18" i="37"/>
  <c r="FM18" i="37"/>
  <c r="FL18" i="37"/>
  <c r="FK18" i="37"/>
  <c r="FJ18" i="37"/>
  <c r="FI18" i="37"/>
  <c r="FH18" i="37"/>
  <c r="FG18" i="37"/>
  <c r="FF35" i="37"/>
  <c r="FF34" i="37"/>
  <c r="FF33" i="37"/>
  <c r="FF32" i="37"/>
  <c r="FF31" i="37"/>
  <c r="FF30" i="37"/>
  <c r="FF29" i="37"/>
  <c r="FF28" i="37"/>
  <c r="FF27" i="37"/>
  <c r="FF26" i="37"/>
  <c r="FF25" i="37"/>
  <c r="FF24" i="37"/>
  <c r="FF23" i="37"/>
  <c r="FF22" i="37"/>
  <c r="FF21" i="37"/>
  <c r="FF20" i="37"/>
  <c r="FF19" i="37"/>
  <c r="FF18" i="37"/>
  <c r="FD35" i="37"/>
  <c r="FD34" i="37"/>
  <c r="FD33" i="37"/>
  <c r="FD32" i="37"/>
  <c r="FD31" i="37"/>
  <c r="FD30" i="37"/>
  <c r="FD29" i="37"/>
  <c r="FD28" i="37"/>
  <c r="FD27" i="37"/>
  <c r="FD26" i="37"/>
  <c r="FD25" i="37"/>
  <c r="FD24" i="37"/>
  <c r="FD23" i="37"/>
  <c r="FD22" i="37"/>
  <c r="FD21" i="37"/>
  <c r="FD20" i="37"/>
  <c r="FD19" i="37"/>
  <c r="FD18" i="37"/>
  <c r="DZ35" i="37"/>
  <c r="DY35" i="37"/>
  <c r="DX35" i="37"/>
  <c r="DZ34" i="37"/>
  <c r="DY34" i="37"/>
  <c r="DX34" i="37"/>
  <c r="DZ33" i="37"/>
  <c r="DY33" i="37"/>
  <c r="DX33" i="37"/>
  <c r="DZ32" i="37"/>
  <c r="DY32" i="37"/>
  <c r="DX32" i="37"/>
  <c r="DZ31" i="37"/>
  <c r="DY31" i="37"/>
  <c r="DX31" i="37"/>
  <c r="DZ30" i="37"/>
  <c r="DY30" i="37"/>
  <c r="DX30" i="37"/>
  <c r="DZ29" i="37"/>
  <c r="DY29" i="37"/>
  <c r="DX29" i="37"/>
  <c r="DZ28" i="37"/>
  <c r="DY28" i="37"/>
  <c r="DX28" i="37"/>
  <c r="DZ27" i="37"/>
  <c r="DY27" i="37"/>
  <c r="DX27" i="37"/>
  <c r="DZ26" i="37"/>
  <c r="DY26" i="37"/>
  <c r="DX26" i="37"/>
  <c r="DZ25" i="37"/>
  <c r="DY25" i="37"/>
  <c r="DX25" i="37"/>
  <c r="DZ24" i="37"/>
  <c r="DY24" i="37"/>
  <c r="DX24" i="37"/>
  <c r="DZ23" i="37"/>
  <c r="DY23" i="37"/>
  <c r="DX23" i="37"/>
  <c r="DZ22" i="37"/>
  <c r="DY22" i="37"/>
  <c r="DX22" i="37"/>
  <c r="DZ21" i="37"/>
  <c r="DY21" i="37"/>
  <c r="DX21" i="37"/>
  <c r="DZ20" i="37"/>
  <c r="DY20" i="37"/>
  <c r="DX20" i="37"/>
  <c r="DZ19" i="37"/>
  <c r="DY19" i="37"/>
  <c r="DX19" i="37"/>
  <c r="DZ18" i="37"/>
  <c r="DY18" i="37"/>
  <c r="DX18" i="37"/>
  <c r="CU35" i="37"/>
  <c r="CT35" i="37"/>
  <c r="CS35" i="37"/>
  <c r="CU34" i="37"/>
  <c r="CT34" i="37"/>
  <c r="CS34" i="37"/>
  <c r="CU33" i="37"/>
  <c r="CT33" i="37"/>
  <c r="CS33" i="37"/>
  <c r="CU32" i="37"/>
  <c r="CT32" i="37"/>
  <c r="CS32" i="37"/>
  <c r="CU31" i="37"/>
  <c r="CT31" i="37"/>
  <c r="CS31" i="37"/>
  <c r="CU30" i="37"/>
  <c r="CT30" i="37"/>
  <c r="CS30" i="37"/>
  <c r="CU29" i="37"/>
  <c r="CT29" i="37"/>
  <c r="CS29" i="37"/>
  <c r="CU28" i="37"/>
  <c r="CT28" i="37"/>
  <c r="CS28" i="37"/>
  <c r="CU27" i="37"/>
  <c r="CT27" i="37"/>
  <c r="CS27" i="37"/>
  <c r="CU26" i="37"/>
  <c r="CT26" i="37"/>
  <c r="CS26" i="37"/>
  <c r="CU25" i="37"/>
  <c r="CT25" i="37"/>
  <c r="CS25" i="37"/>
  <c r="CU24" i="37"/>
  <c r="CT24" i="37"/>
  <c r="CS24" i="37"/>
  <c r="CU23" i="37"/>
  <c r="CT23" i="37"/>
  <c r="CS23" i="37"/>
  <c r="CU22" i="37"/>
  <c r="CT22" i="37"/>
  <c r="CS22" i="37"/>
  <c r="CU21" i="37"/>
  <c r="CT21" i="37"/>
  <c r="CS21" i="37"/>
  <c r="CU20" i="37"/>
  <c r="CT20" i="37"/>
  <c r="CS20" i="37"/>
  <c r="CU19" i="37"/>
  <c r="CT19" i="37"/>
  <c r="CS19" i="37"/>
  <c r="CU18" i="37"/>
  <c r="CT18" i="37"/>
  <c r="CS18" i="37"/>
  <c r="BO35" i="37"/>
  <c r="BN35" i="37"/>
  <c r="BM35" i="37"/>
  <c r="BO34" i="37"/>
  <c r="BN34" i="37"/>
  <c r="BM34" i="37"/>
  <c r="BO33" i="37"/>
  <c r="BN33" i="37"/>
  <c r="BM33" i="37"/>
  <c r="BO32" i="37"/>
  <c r="BN32" i="37"/>
  <c r="BM32" i="37"/>
  <c r="BO31" i="37"/>
  <c r="BN31" i="37"/>
  <c r="BM31" i="37"/>
  <c r="BO30" i="37"/>
  <c r="BN30" i="37"/>
  <c r="BM30" i="37"/>
  <c r="BO29" i="37"/>
  <c r="BN29" i="37"/>
  <c r="BM29" i="37"/>
  <c r="BO28" i="37"/>
  <c r="BN28" i="37"/>
  <c r="BM28" i="37"/>
  <c r="BO27" i="37"/>
  <c r="BN27" i="37"/>
  <c r="BM27" i="37"/>
  <c r="BO26" i="37"/>
  <c r="BN26" i="37"/>
  <c r="BM26" i="37"/>
  <c r="BO25" i="37"/>
  <c r="BN25" i="37"/>
  <c r="BM25" i="37"/>
  <c r="BO24" i="37"/>
  <c r="BN24" i="37"/>
  <c r="BM24" i="37"/>
  <c r="BO23" i="37"/>
  <c r="BN23" i="37"/>
  <c r="BM23" i="37"/>
  <c r="BO22" i="37"/>
  <c r="BN22" i="37"/>
  <c r="BM22" i="37"/>
  <c r="BO21" i="37"/>
  <c r="BN21" i="37"/>
  <c r="BM21" i="37"/>
  <c r="BO20" i="37"/>
  <c r="BN20" i="37"/>
  <c r="BM20" i="37"/>
  <c r="BO19" i="37"/>
  <c r="BN19" i="37"/>
  <c r="BM19" i="37"/>
  <c r="BO18" i="37"/>
  <c r="BN18" i="37"/>
  <c r="BM18" i="37"/>
  <c r="BL35" i="37"/>
  <c r="BK35" i="37"/>
  <c r="BJ35" i="37"/>
  <c r="BI35" i="37"/>
  <c r="BH35" i="37"/>
  <c r="BG35" i="37"/>
  <c r="BF35" i="37"/>
  <c r="BE35" i="37"/>
  <c r="BD35" i="37"/>
  <c r="BC35" i="37"/>
  <c r="BB35" i="37"/>
  <c r="BA35" i="37"/>
  <c r="AZ35" i="37"/>
  <c r="AY35" i="37"/>
  <c r="AX35" i="37"/>
  <c r="AW35" i="37"/>
  <c r="AV35" i="37"/>
  <c r="AU35" i="37"/>
  <c r="AT35" i="37"/>
  <c r="AS35" i="37"/>
  <c r="AR35" i="37"/>
  <c r="AQ35" i="37"/>
  <c r="AP35" i="37"/>
  <c r="AO35" i="37"/>
  <c r="AN35" i="37"/>
  <c r="BL34" i="37"/>
  <c r="BK34" i="37"/>
  <c r="BJ34" i="37"/>
  <c r="BI34" i="37"/>
  <c r="BH34" i="37"/>
  <c r="BG34" i="37"/>
  <c r="BF34" i="37"/>
  <c r="BE34" i="37"/>
  <c r="BD34" i="37"/>
  <c r="BC34" i="37"/>
  <c r="BB34" i="37"/>
  <c r="BA34" i="37"/>
  <c r="AZ34" i="37"/>
  <c r="AY34" i="37"/>
  <c r="AX34" i="37"/>
  <c r="AW34" i="37"/>
  <c r="AV34" i="37"/>
  <c r="AU34" i="37"/>
  <c r="AT34" i="37"/>
  <c r="AS34" i="37"/>
  <c r="AR34" i="37"/>
  <c r="AQ34" i="37"/>
  <c r="AP34" i="37"/>
  <c r="AO34" i="37"/>
  <c r="AN34" i="37"/>
  <c r="BL33" i="37"/>
  <c r="BK33" i="37"/>
  <c r="BJ33" i="37"/>
  <c r="BI33" i="37"/>
  <c r="BH33" i="37"/>
  <c r="BG33" i="37"/>
  <c r="BF33" i="37"/>
  <c r="BE33" i="37"/>
  <c r="BD33" i="37"/>
  <c r="BC33" i="37"/>
  <c r="BB33" i="37"/>
  <c r="BA33" i="37"/>
  <c r="AZ33" i="37"/>
  <c r="AY33" i="37"/>
  <c r="AX33" i="37"/>
  <c r="AW33" i="37"/>
  <c r="AV33" i="37"/>
  <c r="AU33" i="37"/>
  <c r="AT33" i="37"/>
  <c r="AS33" i="37"/>
  <c r="AR33" i="37"/>
  <c r="AQ33" i="37"/>
  <c r="AP33" i="37"/>
  <c r="AO33" i="37"/>
  <c r="AN33" i="37"/>
  <c r="BL32" i="37"/>
  <c r="BK32" i="37"/>
  <c r="BJ32" i="37"/>
  <c r="BI32" i="37"/>
  <c r="BH32" i="37"/>
  <c r="BG32" i="37"/>
  <c r="BF32" i="37"/>
  <c r="BE32" i="37"/>
  <c r="BD32" i="37"/>
  <c r="BC32" i="37"/>
  <c r="BB32" i="37"/>
  <c r="BA32" i="37"/>
  <c r="AZ32" i="37"/>
  <c r="AY32" i="37"/>
  <c r="AX32" i="37"/>
  <c r="AW32" i="37"/>
  <c r="AV32" i="37"/>
  <c r="AU32" i="37"/>
  <c r="AT32" i="37"/>
  <c r="AS32" i="37"/>
  <c r="AR32" i="37"/>
  <c r="AQ32" i="37"/>
  <c r="AP32" i="37"/>
  <c r="AO32" i="37"/>
  <c r="AN32" i="37"/>
  <c r="BL31" i="37"/>
  <c r="BK31" i="37"/>
  <c r="BJ31" i="37"/>
  <c r="BI31" i="37"/>
  <c r="BH31" i="37"/>
  <c r="BG31" i="37"/>
  <c r="BF31" i="37"/>
  <c r="BE31" i="37"/>
  <c r="BD31" i="37"/>
  <c r="BC31" i="37"/>
  <c r="BB31" i="37"/>
  <c r="BA31" i="37"/>
  <c r="AZ31" i="37"/>
  <c r="AY31" i="37"/>
  <c r="AX31" i="37"/>
  <c r="AW31" i="37"/>
  <c r="AV31" i="37"/>
  <c r="AU31" i="37"/>
  <c r="AT31" i="37"/>
  <c r="AS31" i="37"/>
  <c r="AR31" i="37"/>
  <c r="AQ31" i="37"/>
  <c r="AP31" i="37"/>
  <c r="AO31" i="37"/>
  <c r="AN31" i="37"/>
  <c r="BL30" i="37"/>
  <c r="BK30" i="37"/>
  <c r="BJ30" i="37"/>
  <c r="BI30" i="37"/>
  <c r="BH30" i="37"/>
  <c r="BG30" i="37"/>
  <c r="BF30" i="37"/>
  <c r="BE30" i="37"/>
  <c r="BD30" i="37"/>
  <c r="BC30" i="37"/>
  <c r="BB30" i="37"/>
  <c r="BA30" i="37"/>
  <c r="AZ30" i="37"/>
  <c r="AY30" i="37"/>
  <c r="AX30" i="37"/>
  <c r="AW30" i="37"/>
  <c r="AV30" i="37"/>
  <c r="AU30" i="37"/>
  <c r="AT30" i="37"/>
  <c r="AS30" i="37"/>
  <c r="AR30" i="37"/>
  <c r="AQ30" i="37"/>
  <c r="AP30" i="37"/>
  <c r="AO30" i="37"/>
  <c r="AN30" i="37"/>
  <c r="BL29" i="37"/>
  <c r="BK29" i="37"/>
  <c r="BJ29" i="37"/>
  <c r="BI29" i="37"/>
  <c r="BH29" i="37"/>
  <c r="BG29" i="37"/>
  <c r="BF29" i="37"/>
  <c r="BE29" i="37"/>
  <c r="BD29" i="37"/>
  <c r="BC29" i="37"/>
  <c r="BB29" i="37"/>
  <c r="BA29" i="37"/>
  <c r="AZ29" i="37"/>
  <c r="AY29" i="37"/>
  <c r="AX29" i="37"/>
  <c r="AW29" i="37"/>
  <c r="AV29" i="37"/>
  <c r="AU29" i="37"/>
  <c r="AT29" i="37"/>
  <c r="AS29" i="37"/>
  <c r="AR29" i="37"/>
  <c r="AQ29" i="37"/>
  <c r="AP29" i="37"/>
  <c r="AO29" i="37"/>
  <c r="AN29" i="37"/>
  <c r="BL28" i="37"/>
  <c r="BK28" i="37"/>
  <c r="BJ28" i="37"/>
  <c r="BI28" i="37"/>
  <c r="BH28" i="37"/>
  <c r="BG28" i="37"/>
  <c r="BF28" i="37"/>
  <c r="BE28" i="37"/>
  <c r="BD28" i="37"/>
  <c r="BC28" i="37"/>
  <c r="BB28" i="37"/>
  <c r="BA28" i="37"/>
  <c r="AZ28" i="37"/>
  <c r="AY28" i="37"/>
  <c r="AX28" i="37"/>
  <c r="AW28" i="37"/>
  <c r="AV28" i="37"/>
  <c r="AU28" i="37"/>
  <c r="AT28" i="37"/>
  <c r="AS28" i="37"/>
  <c r="AR28" i="37"/>
  <c r="AQ28" i="37"/>
  <c r="AP28" i="37"/>
  <c r="AO28" i="37"/>
  <c r="AN28" i="37"/>
  <c r="BL27" i="37"/>
  <c r="BK27" i="37"/>
  <c r="BJ27" i="37"/>
  <c r="BI27" i="37"/>
  <c r="BH27" i="37"/>
  <c r="BG27" i="37"/>
  <c r="BF27" i="37"/>
  <c r="BE27" i="37"/>
  <c r="BD27" i="37"/>
  <c r="BC27" i="37"/>
  <c r="BB27" i="37"/>
  <c r="BA27" i="37"/>
  <c r="AZ27" i="37"/>
  <c r="AY27" i="37"/>
  <c r="AX27" i="37"/>
  <c r="AW27" i="37"/>
  <c r="AV27" i="37"/>
  <c r="AU27" i="37"/>
  <c r="AT27" i="37"/>
  <c r="AS27" i="37"/>
  <c r="AR27" i="37"/>
  <c r="AQ27" i="37"/>
  <c r="AP27" i="37"/>
  <c r="AO27" i="37"/>
  <c r="AN27" i="37"/>
  <c r="BL26" i="37"/>
  <c r="BK26" i="37"/>
  <c r="BJ26" i="37"/>
  <c r="BI26" i="37"/>
  <c r="BH26" i="37"/>
  <c r="BG26" i="37"/>
  <c r="BF26" i="37"/>
  <c r="BE26" i="37"/>
  <c r="BD26" i="37"/>
  <c r="BC26" i="37"/>
  <c r="BB26" i="37"/>
  <c r="BA26" i="37"/>
  <c r="AZ26" i="37"/>
  <c r="AY26" i="37"/>
  <c r="AX26" i="37"/>
  <c r="AW26" i="37"/>
  <c r="AV26" i="37"/>
  <c r="AU26" i="37"/>
  <c r="AT26" i="37"/>
  <c r="AS26" i="37"/>
  <c r="AR26" i="37"/>
  <c r="AQ26" i="37"/>
  <c r="AP26" i="37"/>
  <c r="AO26" i="37"/>
  <c r="AN26" i="37"/>
  <c r="BL25" i="37"/>
  <c r="BK25" i="37"/>
  <c r="BJ25" i="37"/>
  <c r="BI25" i="37"/>
  <c r="BH25" i="37"/>
  <c r="BG25" i="37"/>
  <c r="BF25" i="37"/>
  <c r="BE25" i="37"/>
  <c r="BD25" i="37"/>
  <c r="BC25" i="37"/>
  <c r="BB25" i="37"/>
  <c r="BA25" i="37"/>
  <c r="AZ25" i="37"/>
  <c r="AY25" i="37"/>
  <c r="AX25" i="37"/>
  <c r="AW25" i="37"/>
  <c r="AV25" i="37"/>
  <c r="AU25" i="37"/>
  <c r="AT25" i="37"/>
  <c r="AS25" i="37"/>
  <c r="AR25" i="37"/>
  <c r="AQ25" i="37"/>
  <c r="AP25" i="37"/>
  <c r="AO25" i="37"/>
  <c r="AN25" i="37"/>
  <c r="BL24" i="37"/>
  <c r="BK24" i="37"/>
  <c r="BJ24" i="37"/>
  <c r="BI24" i="37"/>
  <c r="BH24" i="37"/>
  <c r="BG24" i="37"/>
  <c r="BF24" i="37"/>
  <c r="BE24" i="37"/>
  <c r="BD24" i="37"/>
  <c r="BC24" i="37"/>
  <c r="BB24" i="37"/>
  <c r="BA24" i="37"/>
  <c r="AZ24" i="37"/>
  <c r="AY24" i="37"/>
  <c r="AX24" i="37"/>
  <c r="AW24" i="37"/>
  <c r="AV24" i="37"/>
  <c r="AU24" i="37"/>
  <c r="AT24" i="37"/>
  <c r="AS24" i="37"/>
  <c r="AR24" i="37"/>
  <c r="AQ24" i="37"/>
  <c r="AP24" i="37"/>
  <c r="AO24" i="37"/>
  <c r="AN24" i="37"/>
  <c r="BL23" i="37"/>
  <c r="BK23" i="37"/>
  <c r="BJ23" i="37"/>
  <c r="BI23" i="37"/>
  <c r="BH23" i="37"/>
  <c r="BG23" i="37"/>
  <c r="BF23" i="37"/>
  <c r="BE23" i="37"/>
  <c r="BD23" i="37"/>
  <c r="BC23" i="37"/>
  <c r="BB23" i="37"/>
  <c r="BA23" i="37"/>
  <c r="AZ23" i="37"/>
  <c r="AY23" i="37"/>
  <c r="AX23" i="37"/>
  <c r="AW23" i="37"/>
  <c r="AV23" i="37"/>
  <c r="AU23" i="37"/>
  <c r="AT23" i="37"/>
  <c r="AS23" i="37"/>
  <c r="AR23" i="37"/>
  <c r="AQ23" i="37"/>
  <c r="AP23" i="37"/>
  <c r="AO23" i="37"/>
  <c r="AN23" i="37"/>
  <c r="BL22" i="37"/>
  <c r="BK22" i="37"/>
  <c r="BJ22" i="37"/>
  <c r="BI22" i="37"/>
  <c r="BH22" i="37"/>
  <c r="BG22" i="37"/>
  <c r="BF22" i="37"/>
  <c r="BE22" i="37"/>
  <c r="BD22" i="37"/>
  <c r="BC22" i="37"/>
  <c r="BB22" i="37"/>
  <c r="BA22" i="37"/>
  <c r="AZ22" i="37"/>
  <c r="AY22" i="37"/>
  <c r="AX22" i="37"/>
  <c r="AW22" i="37"/>
  <c r="AV22" i="37"/>
  <c r="AU22" i="37"/>
  <c r="AT22" i="37"/>
  <c r="AS22" i="37"/>
  <c r="AR22" i="37"/>
  <c r="AQ22" i="37"/>
  <c r="AP22" i="37"/>
  <c r="AO22" i="37"/>
  <c r="AN22" i="37"/>
  <c r="BL21" i="37"/>
  <c r="BK21" i="37"/>
  <c r="BJ21" i="37"/>
  <c r="BI21" i="37"/>
  <c r="BH21" i="37"/>
  <c r="BG21" i="37"/>
  <c r="BF21" i="37"/>
  <c r="BE21" i="37"/>
  <c r="BD21" i="37"/>
  <c r="BC21" i="37"/>
  <c r="BB21" i="37"/>
  <c r="BA21" i="37"/>
  <c r="AZ21" i="37"/>
  <c r="AY21" i="37"/>
  <c r="AX21" i="37"/>
  <c r="AW21" i="37"/>
  <c r="AV21" i="37"/>
  <c r="AU21" i="37"/>
  <c r="AT21" i="37"/>
  <c r="AS21" i="37"/>
  <c r="AR21" i="37"/>
  <c r="AQ21" i="37"/>
  <c r="AP21" i="37"/>
  <c r="AO21" i="37"/>
  <c r="AN21" i="37"/>
  <c r="BL20" i="37"/>
  <c r="BK20" i="37"/>
  <c r="BJ20" i="37"/>
  <c r="BI20" i="37"/>
  <c r="BH20" i="37"/>
  <c r="BG20" i="37"/>
  <c r="BF20" i="37"/>
  <c r="BE20" i="37"/>
  <c r="BD20" i="37"/>
  <c r="BC20" i="37"/>
  <c r="BB20" i="37"/>
  <c r="BA20" i="37"/>
  <c r="AZ20" i="37"/>
  <c r="AY20" i="37"/>
  <c r="AX20" i="37"/>
  <c r="AW20" i="37"/>
  <c r="AV20" i="37"/>
  <c r="AU20" i="37"/>
  <c r="AT20" i="37"/>
  <c r="AS20" i="37"/>
  <c r="AR20" i="37"/>
  <c r="AQ20" i="37"/>
  <c r="AP20" i="37"/>
  <c r="AO20" i="37"/>
  <c r="AN20" i="37"/>
  <c r="BL19" i="37"/>
  <c r="BK19" i="37"/>
  <c r="BJ19" i="37"/>
  <c r="BI19" i="37"/>
  <c r="BH19" i="37"/>
  <c r="BG19" i="37"/>
  <c r="BF19" i="37"/>
  <c r="BE19" i="37"/>
  <c r="BD19" i="37"/>
  <c r="BC19" i="37"/>
  <c r="BB19" i="37"/>
  <c r="BA19" i="37"/>
  <c r="AZ19" i="37"/>
  <c r="AY19" i="37"/>
  <c r="AX19" i="37"/>
  <c r="AW19" i="37"/>
  <c r="AV19" i="37"/>
  <c r="AU19" i="37"/>
  <c r="AT19" i="37"/>
  <c r="AS19" i="37"/>
  <c r="AR19" i="37"/>
  <c r="AQ19" i="37"/>
  <c r="AP19" i="37"/>
  <c r="AO19" i="37"/>
  <c r="AN19" i="37"/>
  <c r="BL18" i="37"/>
  <c r="BK18" i="37"/>
  <c r="BJ18" i="37"/>
  <c r="BI18" i="37"/>
  <c r="BH18" i="37"/>
  <c r="BG18" i="37"/>
  <c r="BF18" i="37"/>
  <c r="BE18" i="37"/>
  <c r="BD18" i="37"/>
  <c r="BC18" i="37"/>
  <c r="BB18" i="37"/>
  <c r="BA18" i="37"/>
  <c r="AZ18" i="37"/>
  <c r="AY18" i="37"/>
  <c r="AX18" i="37"/>
  <c r="AW18" i="37"/>
  <c r="AV18" i="37"/>
  <c r="AU18" i="37"/>
  <c r="AT18" i="37"/>
  <c r="AS18" i="37"/>
  <c r="AR18" i="37"/>
  <c r="AQ18" i="37"/>
  <c r="AP18" i="37"/>
  <c r="AO18" i="37"/>
  <c r="AN18" i="37"/>
  <c r="AM35" i="37"/>
  <c r="AL35" i="37"/>
  <c r="AK35" i="37"/>
  <c r="AM34" i="37"/>
  <c r="AL34" i="37"/>
  <c r="AK34" i="37"/>
  <c r="AM33" i="37"/>
  <c r="AL33" i="37"/>
  <c r="AK33" i="37"/>
  <c r="AM32" i="37"/>
  <c r="AL32" i="37"/>
  <c r="AK32" i="37"/>
  <c r="AM31" i="37"/>
  <c r="AL31" i="37"/>
  <c r="AK31" i="37"/>
  <c r="AM30" i="37"/>
  <c r="AL30" i="37"/>
  <c r="AK30" i="37"/>
  <c r="AM29" i="37"/>
  <c r="AL29" i="37"/>
  <c r="AK29" i="37"/>
  <c r="AM28" i="37"/>
  <c r="AL28" i="37"/>
  <c r="AK28" i="37"/>
  <c r="AM27" i="37"/>
  <c r="AL27" i="37"/>
  <c r="AK27" i="37"/>
  <c r="AM26" i="37"/>
  <c r="AL26" i="37"/>
  <c r="AK26" i="37"/>
  <c r="AM25" i="37"/>
  <c r="AL25" i="37"/>
  <c r="AK25" i="37"/>
  <c r="AM24" i="37"/>
  <c r="AL24" i="37"/>
  <c r="AK24" i="37"/>
  <c r="AM23" i="37"/>
  <c r="AL23" i="37"/>
  <c r="AK23" i="37"/>
  <c r="AM22" i="37"/>
  <c r="AL22" i="37"/>
  <c r="AK22" i="37"/>
  <c r="AM21" i="37"/>
  <c r="AL21" i="37"/>
  <c r="AK21" i="37"/>
  <c r="AM20" i="37"/>
  <c r="AL20" i="37"/>
  <c r="AK20" i="37"/>
  <c r="AM19" i="37"/>
  <c r="AL19" i="37"/>
  <c r="AK19" i="37"/>
  <c r="AM18" i="37"/>
  <c r="AL18" i="37"/>
  <c r="AK18" i="37"/>
  <c r="AJ35" i="37"/>
  <c r="AI35" i="37"/>
  <c r="AH35" i="37"/>
  <c r="AJ34" i="37"/>
  <c r="AI34" i="37"/>
  <c r="AH34" i="37"/>
  <c r="AJ33" i="37"/>
  <c r="AI33" i="37"/>
  <c r="AH33" i="37"/>
  <c r="AJ32" i="37"/>
  <c r="AI32" i="37"/>
  <c r="AH32" i="37"/>
  <c r="AJ31" i="37"/>
  <c r="AI31" i="37"/>
  <c r="AH31" i="37"/>
  <c r="AJ30" i="37"/>
  <c r="AI30" i="37"/>
  <c r="AH30" i="37"/>
  <c r="AJ29" i="37"/>
  <c r="AI29" i="37"/>
  <c r="AH29" i="37"/>
  <c r="AJ28" i="37"/>
  <c r="AI28" i="37"/>
  <c r="AH28" i="37"/>
  <c r="AJ27" i="37"/>
  <c r="AI27" i="37"/>
  <c r="AH27" i="37"/>
  <c r="AJ26" i="37"/>
  <c r="AI26" i="37"/>
  <c r="AH26" i="37"/>
  <c r="AJ25" i="37"/>
  <c r="AI25" i="37"/>
  <c r="AH25" i="37"/>
  <c r="AJ24" i="37"/>
  <c r="AI24" i="37"/>
  <c r="AH24" i="37"/>
  <c r="AJ23" i="37"/>
  <c r="AI23" i="37"/>
  <c r="AH23" i="37"/>
  <c r="AJ22" i="37"/>
  <c r="AI22" i="37"/>
  <c r="AH22" i="37"/>
  <c r="AJ21" i="37"/>
  <c r="AI21" i="37"/>
  <c r="AH21" i="37"/>
  <c r="AJ20" i="37"/>
  <c r="AI20" i="37"/>
  <c r="AH20" i="37"/>
  <c r="AJ19" i="37"/>
  <c r="AI19" i="37"/>
  <c r="AH19" i="37"/>
  <c r="AJ18" i="37"/>
  <c r="AI18" i="37"/>
  <c r="AH18" i="37"/>
  <c r="AG35" i="37"/>
  <c r="AF35" i="37"/>
  <c r="AE35" i="37"/>
  <c r="AD35" i="37"/>
  <c r="AC35" i="37"/>
  <c r="AB35" i="37"/>
  <c r="AA35" i="37"/>
  <c r="Z35" i="37"/>
  <c r="Y35" i="37"/>
  <c r="X35" i="37"/>
  <c r="W35" i="37"/>
  <c r="V35" i="37"/>
  <c r="U35" i="37"/>
  <c r="T35" i="37"/>
  <c r="S35" i="37"/>
  <c r="R35" i="37"/>
  <c r="Q35" i="37"/>
  <c r="P35" i="37"/>
  <c r="O35" i="37"/>
  <c r="N35" i="37"/>
  <c r="AG34" i="37"/>
  <c r="AF34" i="37"/>
  <c r="AE34" i="37"/>
  <c r="AD34" i="37"/>
  <c r="AC34" i="37"/>
  <c r="AB34" i="37"/>
  <c r="AA34" i="37"/>
  <c r="Z34" i="37"/>
  <c r="Y34" i="37"/>
  <c r="X34" i="37"/>
  <c r="W34" i="37"/>
  <c r="V34" i="37"/>
  <c r="U34" i="37"/>
  <c r="T34" i="37"/>
  <c r="S34" i="37"/>
  <c r="R34" i="37"/>
  <c r="Q34" i="37"/>
  <c r="P34" i="37"/>
  <c r="O34" i="37"/>
  <c r="N34" i="37"/>
  <c r="AG33" i="37"/>
  <c r="AF33" i="37"/>
  <c r="AE33" i="37"/>
  <c r="AD33" i="37"/>
  <c r="AC33" i="37"/>
  <c r="AB33" i="37"/>
  <c r="AA33" i="37"/>
  <c r="Z33" i="37"/>
  <c r="Y33" i="37"/>
  <c r="X33" i="37"/>
  <c r="W33" i="37"/>
  <c r="V33" i="37"/>
  <c r="U33" i="37"/>
  <c r="T33" i="37"/>
  <c r="S33" i="37"/>
  <c r="R33" i="37"/>
  <c r="Q33" i="37"/>
  <c r="P33" i="37"/>
  <c r="O33" i="37"/>
  <c r="N33" i="37"/>
  <c r="AG32" i="37"/>
  <c r="AF32" i="37"/>
  <c r="AE32" i="37"/>
  <c r="AD32" i="37"/>
  <c r="AC32" i="37"/>
  <c r="AB32" i="37"/>
  <c r="AA32" i="37"/>
  <c r="Z32" i="37"/>
  <c r="Y32" i="37"/>
  <c r="X32" i="37"/>
  <c r="W32" i="37"/>
  <c r="V32" i="37"/>
  <c r="U32" i="37"/>
  <c r="T32" i="37"/>
  <c r="S32" i="37"/>
  <c r="R32" i="37"/>
  <c r="Q32" i="37"/>
  <c r="P32" i="37"/>
  <c r="O32" i="37"/>
  <c r="N32" i="37"/>
  <c r="AG31" i="37"/>
  <c r="AF31" i="37"/>
  <c r="AE31" i="37"/>
  <c r="AD31" i="37"/>
  <c r="AC31" i="37"/>
  <c r="AB31" i="37"/>
  <c r="AA31" i="37"/>
  <c r="Z31" i="37"/>
  <c r="Y31" i="37"/>
  <c r="X31" i="37"/>
  <c r="W31" i="37"/>
  <c r="V31" i="37"/>
  <c r="U31" i="37"/>
  <c r="T31" i="37"/>
  <c r="S31" i="37"/>
  <c r="R31" i="37"/>
  <c r="Q31" i="37"/>
  <c r="P31" i="37"/>
  <c r="O31" i="37"/>
  <c r="N31" i="37"/>
  <c r="AG30" i="37"/>
  <c r="AF30" i="37"/>
  <c r="AE30" i="37"/>
  <c r="AD30" i="37"/>
  <c r="AC30" i="37"/>
  <c r="AB30" i="37"/>
  <c r="AA30" i="37"/>
  <c r="Z30" i="37"/>
  <c r="Y30" i="37"/>
  <c r="X30" i="37"/>
  <c r="W30" i="37"/>
  <c r="V30" i="37"/>
  <c r="U30" i="37"/>
  <c r="T30" i="37"/>
  <c r="S30" i="37"/>
  <c r="R30" i="37"/>
  <c r="Q30" i="37"/>
  <c r="P30" i="37"/>
  <c r="O30" i="37"/>
  <c r="N30" i="37"/>
  <c r="AG29" i="37"/>
  <c r="AF29" i="37"/>
  <c r="AE29" i="37"/>
  <c r="AD29" i="37"/>
  <c r="AC29" i="37"/>
  <c r="AB29" i="37"/>
  <c r="AA29" i="37"/>
  <c r="Z29" i="37"/>
  <c r="Y29" i="37"/>
  <c r="X29" i="37"/>
  <c r="W29" i="37"/>
  <c r="V29" i="37"/>
  <c r="U29" i="37"/>
  <c r="T29" i="37"/>
  <c r="S29" i="37"/>
  <c r="R29" i="37"/>
  <c r="Q29" i="37"/>
  <c r="P29" i="37"/>
  <c r="O29" i="37"/>
  <c r="N29" i="37"/>
  <c r="AG28" i="37"/>
  <c r="AF28" i="37"/>
  <c r="AE28" i="37"/>
  <c r="AD28" i="37"/>
  <c r="AC28" i="37"/>
  <c r="AB28" i="37"/>
  <c r="AA28" i="37"/>
  <c r="Z28" i="37"/>
  <c r="Y28" i="37"/>
  <c r="X28" i="37"/>
  <c r="W28" i="37"/>
  <c r="V28" i="37"/>
  <c r="U28" i="37"/>
  <c r="T28" i="37"/>
  <c r="S28" i="37"/>
  <c r="R28" i="37"/>
  <c r="Q28" i="37"/>
  <c r="P28" i="37"/>
  <c r="O28" i="37"/>
  <c r="N28" i="37"/>
  <c r="AG27" i="37"/>
  <c r="AF27" i="37"/>
  <c r="AE27" i="37"/>
  <c r="AD27" i="37"/>
  <c r="AC27" i="37"/>
  <c r="AB27" i="37"/>
  <c r="AA27" i="37"/>
  <c r="Z27" i="37"/>
  <c r="Y27" i="37"/>
  <c r="X27" i="37"/>
  <c r="W27" i="37"/>
  <c r="V27" i="37"/>
  <c r="U27" i="37"/>
  <c r="T27" i="37"/>
  <c r="S27" i="37"/>
  <c r="R27" i="37"/>
  <c r="Q27" i="37"/>
  <c r="P27" i="37"/>
  <c r="O27" i="37"/>
  <c r="N27" i="37"/>
  <c r="AG26" i="37"/>
  <c r="AF26" i="37"/>
  <c r="AE26" i="37"/>
  <c r="AD26" i="37"/>
  <c r="AC26" i="37"/>
  <c r="AB26" i="37"/>
  <c r="AA26" i="37"/>
  <c r="Z26" i="37"/>
  <c r="Y26" i="37"/>
  <c r="X26" i="37"/>
  <c r="W26" i="37"/>
  <c r="V26" i="37"/>
  <c r="U26" i="37"/>
  <c r="T26" i="37"/>
  <c r="S26" i="37"/>
  <c r="R26" i="37"/>
  <c r="Q26" i="37"/>
  <c r="P26" i="37"/>
  <c r="O26" i="37"/>
  <c r="N26" i="37"/>
  <c r="AG25" i="37"/>
  <c r="AF25" i="37"/>
  <c r="AE25" i="37"/>
  <c r="AD25" i="37"/>
  <c r="AC25" i="37"/>
  <c r="AB25" i="37"/>
  <c r="AA25" i="37"/>
  <c r="Z25" i="37"/>
  <c r="Y25" i="37"/>
  <c r="X25" i="37"/>
  <c r="W25" i="37"/>
  <c r="V25" i="37"/>
  <c r="U25" i="37"/>
  <c r="T25" i="37"/>
  <c r="S25" i="37"/>
  <c r="R25" i="37"/>
  <c r="Q25" i="37"/>
  <c r="P25" i="37"/>
  <c r="O25" i="37"/>
  <c r="N25" i="37"/>
  <c r="AG24" i="37"/>
  <c r="AF24" i="37"/>
  <c r="AE24" i="37"/>
  <c r="AD24" i="37"/>
  <c r="AC24" i="37"/>
  <c r="AB24" i="37"/>
  <c r="AA24" i="37"/>
  <c r="Z24" i="37"/>
  <c r="Y24" i="37"/>
  <c r="X24" i="37"/>
  <c r="W24" i="37"/>
  <c r="V24" i="37"/>
  <c r="U24" i="37"/>
  <c r="T24" i="37"/>
  <c r="S24" i="37"/>
  <c r="R24" i="37"/>
  <c r="Q24" i="37"/>
  <c r="P24" i="37"/>
  <c r="O24" i="37"/>
  <c r="N24" i="37"/>
  <c r="AG23" i="37"/>
  <c r="AF23" i="37"/>
  <c r="AE23" i="37"/>
  <c r="AD23" i="37"/>
  <c r="AC23" i="37"/>
  <c r="AB23" i="37"/>
  <c r="AA23" i="37"/>
  <c r="Z23" i="37"/>
  <c r="Y23" i="37"/>
  <c r="X23" i="37"/>
  <c r="W23" i="37"/>
  <c r="V23" i="37"/>
  <c r="U23" i="37"/>
  <c r="T23" i="37"/>
  <c r="S23" i="37"/>
  <c r="R23" i="37"/>
  <c r="Q23" i="37"/>
  <c r="P23" i="37"/>
  <c r="O23" i="37"/>
  <c r="N23" i="37"/>
  <c r="AG22" i="37"/>
  <c r="AF22" i="37"/>
  <c r="AE22" i="37"/>
  <c r="AD22" i="37"/>
  <c r="AC22" i="37"/>
  <c r="AB22" i="37"/>
  <c r="AA22" i="37"/>
  <c r="Z22" i="37"/>
  <c r="Y22" i="37"/>
  <c r="X22" i="37"/>
  <c r="W22" i="37"/>
  <c r="V22" i="37"/>
  <c r="U22" i="37"/>
  <c r="T22" i="37"/>
  <c r="S22" i="37"/>
  <c r="R22" i="37"/>
  <c r="Q22" i="37"/>
  <c r="P22" i="37"/>
  <c r="O22" i="37"/>
  <c r="N22" i="37"/>
  <c r="AG21" i="37"/>
  <c r="AF21" i="37"/>
  <c r="AE21" i="37"/>
  <c r="AD21" i="37"/>
  <c r="AC21" i="37"/>
  <c r="AB21" i="37"/>
  <c r="AA21" i="37"/>
  <c r="Z21" i="37"/>
  <c r="Y21" i="37"/>
  <c r="X21" i="37"/>
  <c r="W21" i="37"/>
  <c r="V21" i="37"/>
  <c r="U21" i="37"/>
  <c r="T21" i="37"/>
  <c r="S21" i="37"/>
  <c r="R21" i="37"/>
  <c r="Q21" i="37"/>
  <c r="P21" i="37"/>
  <c r="O21" i="37"/>
  <c r="N21" i="37"/>
  <c r="AG20" i="37"/>
  <c r="AF20" i="37"/>
  <c r="AE20" i="37"/>
  <c r="AD20" i="37"/>
  <c r="AC20" i="37"/>
  <c r="AB20" i="37"/>
  <c r="AA20" i="37"/>
  <c r="Z20" i="37"/>
  <c r="Y20" i="37"/>
  <c r="X20" i="37"/>
  <c r="W20" i="37"/>
  <c r="V20" i="37"/>
  <c r="U20" i="37"/>
  <c r="T20" i="37"/>
  <c r="S20" i="37"/>
  <c r="R20" i="37"/>
  <c r="Q20" i="37"/>
  <c r="P20" i="37"/>
  <c r="O20" i="37"/>
  <c r="N20" i="37"/>
  <c r="AG19" i="37"/>
  <c r="AF19" i="37"/>
  <c r="AE19" i="37"/>
  <c r="AD19" i="37"/>
  <c r="AC19" i="37"/>
  <c r="AB19" i="37"/>
  <c r="AA19" i="37"/>
  <c r="Z19" i="37"/>
  <c r="Y19" i="37"/>
  <c r="X19" i="37"/>
  <c r="W19" i="37"/>
  <c r="V19" i="37"/>
  <c r="U19" i="37"/>
  <c r="T19" i="37"/>
  <c r="S19" i="37"/>
  <c r="R19" i="37"/>
  <c r="Q19" i="37"/>
  <c r="P19" i="37"/>
  <c r="O19" i="37"/>
  <c r="N19" i="37"/>
  <c r="AG18" i="37"/>
  <c r="AF18" i="37"/>
  <c r="AE18" i="37"/>
  <c r="AD18" i="37"/>
  <c r="AC18" i="37"/>
  <c r="AB18" i="37"/>
  <c r="AA18" i="37"/>
  <c r="Z18" i="37"/>
  <c r="Y18" i="37"/>
  <c r="X18" i="37"/>
  <c r="W18" i="37"/>
  <c r="V18" i="37"/>
  <c r="U18" i="37"/>
  <c r="T18" i="37"/>
  <c r="S18" i="37"/>
  <c r="R18" i="37"/>
  <c r="Q18" i="37"/>
  <c r="P18" i="37"/>
  <c r="O18" i="37"/>
  <c r="N18" i="37"/>
  <c r="M35" i="37"/>
  <c r="L35" i="37"/>
  <c r="K35" i="37"/>
  <c r="J35" i="37"/>
  <c r="M34" i="37"/>
  <c r="L34" i="37"/>
  <c r="K34" i="37"/>
  <c r="J34" i="37"/>
  <c r="M33" i="37"/>
  <c r="L33" i="37"/>
  <c r="K33" i="37"/>
  <c r="J33" i="37"/>
  <c r="M32" i="37"/>
  <c r="L32" i="37"/>
  <c r="K32" i="37"/>
  <c r="J32" i="37"/>
  <c r="M31" i="37"/>
  <c r="L31" i="37"/>
  <c r="K31" i="37"/>
  <c r="J31" i="37"/>
  <c r="M30" i="37"/>
  <c r="L30" i="37"/>
  <c r="K30" i="37"/>
  <c r="J30" i="37"/>
  <c r="M29" i="37"/>
  <c r="L29" i="37"/>
  <c r="K29" i="37"/>
  <c r="J29" i="37"/>
  <c r="M28" i="37"/>
  <c r="L28" i="37"/>
  <c r="K28" i="37"/>
  <c r="J28" i="37"/>
  <c r="M27" i="37"/>
  <c r="L27" i="37"/>
  <c r="K27" i="37"/>
  <c r="J27" i="37"/>
  <c r="M26" i="37"/>
  <c r="L26" i="37"/>
  <c r="K26" i="37"/>
  <c r="J26" i="37"/>
  <c r="M25" i="37"/>
  <c r="L25" i="37"/>
  <c r="K25" i="37"/>
  <c r="J25" i="37"/>
  <c r="M24" i="37"/>
  <c r="L24" i="37"/>
  <c r="K24" i="37"/>
  <c r="J24" i="37"/>
  <c r="M23" i="37"/>
  <c r="L23" i="37"/>
  <c r="K23" i="37"/>
  <c r="J23" i="37"/>
  <c r="M22" i="37"/>
  <c r="L22" i="37"/>
  <c r="K22" i="37"/>
  <c r="J22" i="37"/>
  <c r="M21" i="37"/>
  <c r="L21" i="37"/>
  <c r="K21" i="37"/>
  <c r="J21" i="37"/>
  <c r="M20" i="37"/>
  <c r="L20" i="37"/>
  <c r="K20" i="37"/>
  <c r="J20" i="37"/>
  <c r="M19" i="37"/>
  <c r="L19" i="37"/>
  <c r="K19" i="37"/>
  <c r="J19" i="37"/>
  <c r="M18" i="37"/>
  <c r="L18" i="37"/>
  <c r="K18" i="37"/>
  <c r="J18" i="37"/>
  <c r="I35" i="37"/>
  <c r="H35" i="37"/>
  <c r="G35" i="37"/>
  <c r="I34" i="37"/>
  <c r="H34" i="37"/>
  <c r="G34" i="37"/>
  <c r="I33" i="37"/>
  <c r="H33" i="37"/>
  <c r="G33" i="37"/>
  <c r="I32" i="37"/>
  <c r="H32" i="37"/>
  <c r="G32" i="37"/>
  <c r="I31" i="37"/>
  <c r="H31" i="37"/>
  <c r="G31" i="37"/>
  <c r="I30" i="37"/>
  <c r="H30" i="37"/>
  <c r="G30" i="37"/>
  <c r="I29" i="37"/>
  <c r="H29" i="37"/>
  <c r="G29" i="37"/>
  <c r="I28" i="37"/>
  <c r="H28" i="37"/>
  <c r="G28" i="37"/>
  <c r="I27" i="37"/>
  <c r="H27" i="37"/>
  <c r="G27" i="37"/>
  <c r="I26" i="37"/>
  <c r="H26" i="37"/>
  <c r="G26" i="37"/>
  <c r="I25" i="37"/>
  <c r="H25" i="37"/>
  <c r="G25" i="37"/>
  <c r="I24" i="37"/>
  <c r="H24" i="37"/>
  <c r="G24" i="37"/>
  <c r="I23" i="37"/>
  <c r="H23" i="37"/>
  <c r="G23" i="37"/>
  <c r="I22" i="37"/>
  <c r="H22" i="37"/>
  <c r="G22" i="37"/>
  <c r="I21" i="37"/>
  <c r="H21" i="37"/>
  <c r="G21" i="37"/>
  <c r="I20" i="37"/>
  <c r="H20" i="37"/>
  <c r="G20" i="37"/>
  <c r="I19" i="37"/>
  <c r="H19" i="37"/>
  <c r="G19" i="37"/>
  <c r="I18" i="37"/>
  <c r="H18" i="37"/>
  <c r="G18" i="37"/>
  <c r="F35" i="37"/>
  <c r="E35" i="37"/>
  <c r="D35" i="37"/>
  <c r="F34" i="37"/>
  <c r="E34" i="37"/>
  <c r="D34" i="37"/>
  <c r="F33" i="37"/>
  <c r="E33" i="37"/>
  <c r="D33" i="37"/>
  <c r="F32" i="37"/>
  <c r="E32" i="37"/>
  <c r="D32" i="37"/>
  <c r="F31" i="37"/>
  <c r="E31" i="37"/>
  <c r="D31" i="37"/>
  <c r="F30" i="37"/>
  <c r="E30" i="37"/>
  <c r="D30" i="37"/>
  <c r="F29" i="37"/>
  <c r="E29" i="37"/>
  <c r="D29" i="37"/>
  <c r="F28" i="37"/>
  <c r="E28" i="37"/>
  <c r="D28" i="37"/>
  <c r="F27" i="37"/>
  <c r="E27" i="37"/>
  <c r="D27" i="37"/>
  <c r="F26" i="37"/>
  <c r="E26" i="37"/>
  <c r="D26" i="37"/>
  <c r="F25" i="37"/>
  <c r="E25" i="37"/>
  <c r="D25" i="37"/>
  <c r="F24" i="37"/>
  <c r="E24" i="37"/>
  <c r="D24" i="37"/>
  <c r="F23" i="37"/>
  <c r="E23" i="37"/>
  <c r="D23" i="37"/>
  <c r="F22" i="37"/>
  <c r="E22" i="37"/>
  <c r="D22" i="37"/>
  <c r="F21" i="37"/>
  <c r="E21" i="37"/>
  <c r="D21" i="37"/>
  <c r="F20" i="37"/>
  <c r="E20" i="37"/>
  <c r="D20" i="37"/>
  <c r="F19" i="37"/>
  <c r="E19" i="37"/>
  <c r="D19" i="37"/>
  <c r="F18" i="37"/>
  <c r="E18" i="37"/>
  <c r="D18" i="37"/>
  <c r="AC278" i="30"/>
  <c r="AC277" i="30"/>
  <c r="AC276" i="30"/>
  <c r="AC275" i="30"/>
  <c r="AC274" i="30"/>
  <c r="AB278" i="30"/>
  <c r="AB277" i="30"/>
  <c r="AB276" i="30"/>
  <c r="AB275" i="30"/>
  <c r="AB274" i="30"/>
  <c r="AA278" i="30"/>
  <c r="AA277" i="30"/>
  <c r="AA276" i="30"/>
  <c r="AA275" i="30"/>
  <c r="AA274" i="30"/>
  <c r="Z278" i="30"/>
  <c r="Z277" i="30"/>
  <c r="Z276" i="30"/>
  <c r="Z275" i="30"/>
  <c r="Z274" i="30"/>
  <c r="AC273" i="30"/>
  <c r="AB273" i="30"/>
  <c r="AA273" i="30"/>
  <c r="Z273" i="30"/>
  <c r="AC234" i="30"/>
  <c r="AC235" i="30"/>
  <c r="AC233" i="30"/>
  <c r="AC232" i="30"/>
  <c r="AB235" i="30"/>
  <c r="AB234" i="30"/>
  <c r="AB233" i="30"/>
  <c r="AB232" i="30"/>
  <c r="AA235" i="30"/>
  <c r="AA234" i="30"/>
  <c r="AA233" i="30"/>
  <c r="AA232" i="30"/>
  <c r="Z235" i="30"/>
  <c r="Z234" i="30"/>
  <c r="Z233" i="30"/>
  <c r="Z232" i="30"/>
  <c r="Q176" i="30"/>
  <c r="Q177" i="30"/>
  <c r="Q178" i="30"/>
  <c r="Q179" i="30"/>
  <c r="Q180" i="30"/>
  <c r="Q181" i="30"/>
  <c r="P181" i="30"/>
  <c r="P180" i="30"/>
  <c r="P179" i="30"/>
  <c r="P178" i="30"/>
  <c r="P177" i="30"/>
  <c r="P176" i="30"/>
  <c r="AC193" i="30"/>
  <c r="AC192" i="30"/>
  <c r="AC191" i="30"/>
  <c r="AC190" i="30"/>
  <c r="AC189" i="30"/>
  <c r="AB193" i="30"/>
  <c r="AB192" i="30"/>
  <c r="AB191" i="30"/>
  <c r="AB190" i="30"/>
  <c r="AB189" i="30"/>
  <c r="AC188" i="30"/>
  <c r="AB188" i="30"/>
  <c r="AA193" i="30"/>
  <c r="AA192" i="30"/>
  <c r="AA191" i="30"/>
  <c r="AA190" i="30"/>
  <c r="AA189" i="30"/>
  <c r="AA188" i="30"/>
  <c r="Z193" i="30"/>
  <c r="Z192" i="30"/>
  <c r="Z191" i="30"/>
  <c r="Z190" i="30"/>
  <c r="Z189" i="30"/>
  <c r="Z188" i="30"/>
  <c r="AW14" i="30"/>
  <c r="AX14" i="30"/>
  <c r="AY14" i="30"/>
  <c r="AK14" i="30"/>
  <c r="AL14" i="30"/>
  <c r="AM14" i="30"/>
  <c r="Y14" i="30"/>
  <c r="Z14" i="30"/>
  <c r="AA14" i="30"/>
  <c r="M14" i="30"/>
  <c r="N14" i="30"/>
  <c r="O14" i="30"/>
  <c r="BY14" i="30"/>
  <c r="BX14" i="30"/>
  <c r="BW14" i="30"/>
  <c r="BV14" i="30"/>
  <c r="BU14" i="30"/>
  <c r="BT14" i="30"/>
  <c r="BY13" i="30"/>
  <c r="BX13" i="30"/>
  <c r="BW13" i="30"/>
  <c r="BV13" i="30"/>
  <c r="BU13" i="30"/>
  <c r="BT13" i="30"/>
  <c r="BY12" i="30"/>
  <c r="BX12" i="30"/>
  <c r="BW12" i="30"/>
  <c r="BV12" i="30"/>
  <c r="BU12" i="30"/>
  <c r="BT12" i="30"/>
  <c r="BI14" i="30"/>
  <c r="BJ14" i="30"/>
  <c r="BK14" i="30"/>
  <c r="BY35" i="30"/>
  <c r="BX35" i="30"/>
  <c r="BW35" i="30"/>
  <c r="BV35" i="30"/>
  <c r="BU35" i="30"/>
  <c r="BT35" i="30"/>
  <c r="BS35" i="30"/>
  <c r="BR35" i="30"/>
  <c r="BQ35" i="30"/>
  <c r="BP35" i="30"/>
  <c r="BY34" i="30"/>
  <c r="BX34" i="30"/>
  <c r="BW34" i="30"/>
  <c r="BV34" i="30"/>
  <c r="BU34" i="30"/>
  <c r="BT34" i="30"/>
  <c r="BS34" i="30"/>
  <c r="BR34" i="30"/>
  <c r="BQ34" i="30"/>
  <c r="BP34" i="30"/>
  <c r="BY33" i="30"/>
  <c r="BX33" i="30"/>
  <c r="BW33" i="30"/>
  <c r="BV33" i="30"/>
  <c r="BU33" i="30"/>
  <c r="BT33" i="30"/>
  <c r="BS33" i="30"/>
  <c r="BR33" i="30"/>
  <c r="BQ33" i="30"/>
  <c r="BP33" i="30"/>
  <c r="BY32" i="30"/>
  <c r="BX32" i="30"/>
  <c r="BW32" i="30"/>
  <c r="BV32" i="30"/>
  <c r="BU32" i="30"/>
  <c r="BT32" i="30"/>
  <c r="BS32" i="30"/>
  <c r="BR32" i="30"/>
  <c r="BQ32" i="30"/>
  <c r="BP32" i="30"/>
  <c r="BY31" i="30"/>
  <c r="BX31" i="30"/>
  <c r="BW31" i="30"/>
  <c r="BV31" i="30"/>
  <c r="BU31" i="30"/>
  <c r="BT31" i="30"/>
  <c r="BS31" i="30"/>
  <c r="BR31" i="30"/>
  <c r="BQ31" i="30"/>
  <c r="BP31" i="30"/>
  <c r="BY30" i="30"/>
  <c r="BX30" i="30"/>
  <c r="BW30" i="30"/>
  <c r="BV30" i="30"/>
  <c r="BU30" i="30"/>
  <c r="BT30" i="30"/>
  <c r="BS30" i="30"/>
  <c r="BR30" i="30"/>
  <c r="BQ30" i="30"/>
  <c r="BP30" i="30"/>
  <c r="BY29" i="30"/>
  <c r="BX29" i="30"/>
  <c r="BW29" i="30"/>
  <c r="BV29" i="30"/>
  <c r="BU29" i="30"/>
  <c r="BT29" i="30"/>
  <c r="BS29" i="30"/>
  <c r="BR29" i="30"/>
  <c r="BQ29" i="30"/>
  <c r="BP29" i="30"/>
  <c r="BY28" i="30"/>
  <c r="BX28" i="30"/>
  <c r="BW28" i="30"/>
  <c r="BV28" i="30"/>
  <c r="BU28" i="30"/>
  <c r="BT28" i="30"/>
  <c r="BS28" i="30"/>
  <c r="BR28" i="30"/>
  <c r="BQ28" i="30"/>
  <c r="BP28" i="30"/>
  <c r="BY27" i="30"/>
  <c r="BX27" i="30"/>
  <c r="BW27" i="30"/>
  <c r="BV27" i="30"/>
  <c r="BU27" i="30"/>
  <c r="BT27" i="30"/>
  <c r="BS27" i="30"/>
  <c r="BR27" i="30"/>
  <c r="BQ27" i="30"/>
  <c r="BP27" i="30"/>
  <c r="BY26" i="30"/>
  <c r="BX26" i="30"/>
  <c r="BW26" i="30"/>
  <c r="BV26" i="30"/>
  <c r="BU26" i="30"/>
  <c r="BT26" i="30"/>
  <c r="BS26" i="30"/>
  <c r="BR26" i="30"/>
  <c r="BQ26" i="30"/>
  <c r="BP26" i="30"/>
  <c r="BY25" i="30"/>
  <c r="BX25" i="30"/>
  <c r="BW25" i="30"/>
  <c r="BV25" i="30"/>
  <c r="BU25" i="30"/>
  <c r="BT25" i="30"/>
  <c r="BS25" i="30"/>
  <c r="BR25" i="30"/>
  <c r="BQ25" i="30"/>
  <c r="BP25" i="30"/>
  <c r="BY24" i="30"/>
  <c r="BX24" i="30"/>
  <c r="BW24" i="30"/>
  <c r="BV24" i="30"/>
  <c r="BU24" i="30"/>
  <c r="BT24" i="30"/>
  <c r="BS24" i="30"/>
  <c r="BR24" i="30"/>
  <c r="BQ24" i="30"/>
  <c r="BP24" i="30"/>
  <c r="BY23" i="30"/>
  <c r="BX23" i="30"/>
  <c r="BW23" i="30"/>
  <c r="BV23" i="30"/>
  <c r="BU23" i="30"/>
  <c r="BT23" i="30"/>
  <c r="BS23" i="30"/>
  <c r="BR23" i="30"/>
  <c r="BQ23" i="30"/>
  <c r="BP23" i="30"/>
  <c r="BY22" i="30"/>
  <c r="BX22" i="30"/>
  <c r="BW22" i="30"/>
  <c r="BV22" i="30"/>
  <c r="BU22" i="30"/>
  <c r="BT22" i="30"/>
  <c r="BS22" i="30"/>
  <c r="BR22" i="30"/>
  <c r="BQ22" i="30"/>
  <c r="BP22" i="30"/>
  <c r="BY21" i="30"/>
  <c r="BX21" i="30"/>
  <c r="BW21" i="30"/>
  <c r="BV21" i="30"/>
  <c r="BU21" i="30"/>
  <c r="BT21" i="30"/>
  <c r="BS21" i="30"/>
  <c r="BR21" i="30"/>
  <c r="BQ21" i="30"/>
  <c r="BP21" i="30"/>
  <c r="BY20" i="30"/>
  <c r="BX20" i="30"/>
  <c r="BW20" i="30"/>
  <c r="BV20" i="30"/>
  <c r="BU20" i="30"/>
  <c r="BT20" i="30"/>
  <c r="BS20" i="30"/>
  <c r="BR20" i="30"/>
  <c r="BQ20" i="30"/>
  <c r="BP20" i="30"/>
  <c r="BY19" i="30"/>
  <c r="BX19" i="30"/>
  <c r="BW19" i="30"/>
  <c r="BV19" i="30"/>
  <c r="BU19" i="30"/>
  <c r="BT19" i="30"/>
  <c r="BS19" i="30"/>
  <c r="BR19" i="30"/>
  <c r="BQ19" i="30"/>
  <c r="BP19" i="30"/>
  <c r="BY18" i="30"/>
  <c r="BX18" i="30"/>
  <c r="BW18" i="30"/>
  <c r="BV18" i="30"/>
  <c r="BU18" i="30"/>
  <c r="BT18" i="30"/>
  <c r="BS18" i="30"/>
  <c r="BR18" i="30"/>
  <c r="BQ18" i="30"/>
  <c r="BP18" i="30"/>
  <c r="BN35" i="30"/>
  <c r="BN34" i="30"/>
  <c r="BN33" i="30"/>
  <c r="BN32" i="30"/>
  <c r="BN31" i="30"/>
  <c r="BN30" i="30"/>
  <c r="BN29" i="30"/>
  <c r="BN28" i="30"/>
  <c r="BN27" i="30"/>
  <c r="BN26" i="30"/>
  <c r="BN25" i="30"/>
  <c r="BN24" i="30"/>
  <c r="BN23" i="30"/>
  <c r="BN22" i="30"/>
  <c r="BN21" i="30"/>
  <c r="BN20" i="30"/>
  <c r="BN19" i="30"/>
  <c r="BN18" i="30"/>
  <c r="BL35" i="30"/>
  <c r="BL34" i="30"/>
  <c r="BL33" i="30"/>
  <c r="BL32" i="30"/>
  <c r="BL31" i="30"/>
  <c r="BL30" i="30"/>
  <c r="BL29" i="30"/>
  <c r="BL28" i="30"/>
  <c r="BL27" i="30"/>
  <c r="BL26" i="30"/>
  <c r="BL25" i="30"/>
  <c r="BL24" i="30"/>
  <c r="BL23" i="30"/>
  <c r="BL22" i="30"/>
  <c r="BL21" i="30"/>
  <c r="BL20" i="30"/>
  <c r="BL19" i="30"/>
  <c r="BL18" i="30"/>
  <c r="BK35" i="30"/>
  <c r="BJ35" i="30"/>
  <c r="BI35" i="30"/>
  <c r="BH35" i="30"/>
  <c r="BG35" i="30"/>
  <c r="BF35" i="30"/>
  <c r="BE35" i="30"/>
  <c r="BD35" i="30"/>
  <c r="BC35" i="30"/>
  <c r="BB35" i="30"/>
  <c r="BA35" i="30"/>
  <c r="AZ35" i="30"/>
  <c r="BK34" i="30"/>
  <c r="BJ34" i="30"/>
  <c r="BI34" i="30"/>
  <c r="BH34" i="30"/>
  <c r="BG34" i="30"/>
  <c r="BF34" i="30"/>
  <c r="BE34" i="30"/>
  <c r="BD34" i="30"/>
  <c r="BC34" i="30"/>
  <c r="BB34" i="30"/>
  <c r="BA34" i="30"/>
  <c r="AZ34" i="30"/>
  <c r="BK33" i="30"/>
  <c r="BJ33" i="30"/>
  <c r="BI33" i="30"/>
  <c r="BH33" i="30"/>
  <c r="BG33" i="30"/>
  <c r="BF33" i="30"/>
  <c r="BE33" i="30"/>
  <c r="BD33" i="30"/>
  <c r="BC33" i="30"/>
  <c r="BB33" i="30"/>
  <c r="BA33" i="30"/>
  <c r="AZ33" i="30"/>
  <c r="BK32" i="30"/>
  <c r="BJ32" i="30"/>
  <c r="BI32" i="30"/>
  <c r="BH32" i="30"/>
  <c r="BG32" i="30"/>
  <c r="BF32" i="30"/>
  <c r="BE32" i="30"/>
  <c r="BD32" i="30"/>
  <c r="BC32" i="30"/>
  <c r="BB32" i="30"/>
  <c r="BA32" i="30"/>
  <c r="AZ32" i="30"/>
  <c r="BK31" i="30"/>
  <c r="BJ31" i="30"/>
  <c r="BI31" i="30"/>
  <c r="BH31" i="30"/>
  <c r="BG31" i="30"/>
  <c r="BF31" i="30"/>
  <c r="BE31" i="30"/>
  <c r="BD31" i="30"/>
  <c r="BC31" i="30"/>
  <c r="BB31" i="30"/>
  <c r="BA31" i="30"/>
  <c r="AZ31" i="30"/>
  <c r="BK30" i="30"/>
  <c r="BJ30" i="30"/>
  <c r="BI30" i="30"/>
  <c r="BH30" i="30"/>
  <c r="BG30" i="30"/>
  <c r="BF30" i="30"/>
  <c r="BE30" i="30"/>
  <c r="BD30" i="30"/>
  <c r="BC30" i="30"/>
  <c r="BB30" i="30"/>
  <c r="BA30" i="30"/>
  <c r="AZ30" i="30"/>
  <c r="BK29" i="30"/>
  <c r="BJ29" i="30"/>
  <c r="BI29" i="30"/>
  <c r="BH29" i="30"/>
  <c r="BG29" i="30"/>
  <c r="BF29" i="30"/>
  <c r="BE29" i="30"/>
  <c r="BD29" i="30"/>
  <c r="BC29" i="30"/>
  <c r="BB29" i="30"/>
  <c r="BA29" i="30"/>
  <c r="AZ29" i="30"/>
  <c r="BK28" i="30"/>
  <c r="BJ28" i="30"/>
  <c r="BI28" i="30"/>
  <c r="BH28" i="30"/>
  <c r="BG28" i="30"/>
  <c r="BF28" i="30"/>
  <c r="BE28" i="30"/>
  <c r="BD28" i="30"/>
  <c r="BC28" i="30"/>
  <c r="BB28" i="30"/>
  <c r="BA28" i="30"/>
  <c r="AZ28" i="30"/>
  <c r="BK27" i="30"/>
  <c r="BJ27" i="30"/>
  <c r="BI27" i="30"/>
  <c r="BH27" i="30"/>
  <c r="BG27" i="30"/>
  <c r="BF27" i="30"/>
  <c r="BE27" i="30"/>
  <c r="BD27" i="30"/>
  <c r="BC27" i="30"/>
  <c r="BB27" i="30"/>
  <c r="BA27" i="30"/>
  <c r="AZ27" i="30"/>
  <c r="BK26" i="30"/>
  <c r="BJ26" i="30"/>
  <c r="BI26" i="30"/>
  <c r="BH26" i="30"/>
  <c r="BG26" i="30"/>
  <c r="BF26" i="30"/>
  <c r="BE26" i="30"/>
  <c r="BD26" i="30"/>
  <c r="BC26" i="30"/>
  <c r="BB26" i="30"/>
  <c r="BA26" i="30"/>
  <c r="AZ26" i="30"/>
  <c r="BK25" i="30"/>
  <c r="BJ25" i="30"/>
  <c r="BI25" i="30"/>
  <c r="BH25" i="30"/>
  <c r="BG25" i="30"/>
  <c r="BF25" i="30"/>
  <c r="BE25" i="30"/>
  <c r="BD25" i="30"/>
  <c r="BC25" i="30"/>
  <c r="BB25" i="30"/>
  <c r="BA25" i="30"/>
  <c r="AZ25" i="30"/>
  <c r="BK24" i="30"/>
  <c r="BJ24" i="30"/>
  <c r="BI24" i="30"/>
  <c r="BH24" i="30"/>
  <c r="BG24" i="30"/>
  <c r="BF24" i="30"/>
  <c r="BE24" i="30"/>
  <c r="BD24" i="30"/>
  <c r="BC24" i="30"/>
  <c r="BB24" i="30"/>
  <c r="BA24" i="30"/>
  <c r="AZ24" i="30"/>
  <c r="BK23" i="30"/>
  <c r="BJ23" i="30"/>
  <c r="BI23" i="30"/>
  <c r="BH23" i="30"/>
  <c r="BG23" i="30"/>
  <c r="BF23" i="30"/>
  <c r="BE23" i="30"/>
  <c r="BD23" i="30"/>
  <c r="BC23" i="30"/>
  <c r="BB23" i="30"/>
  <c r="BA23" i="30"/>
  <c r="AZ23" i="30"/>
  <c r="BK22" i="30"/>
  <c r="BJ22" i="30"/>
  <c r="BI22" i="30"/>
  <c r="BH22" i="30"/>
  <c r="BG22" i="30"/>
  <c r="BF22" i="30"/>
  <c r="BE22" i="30"/>
  <c r="BD22" i="30"/>
  <c r="BC22" i="30"/>
  <c r="BB22" i="30"/>
  <c r="BA22" i="30"/>
  <c r="AZ22" i="30"/>
  <c r="BK21" i="30"/>
  <c r="BJ21" i="30"/>
  <c r="BI21" i="30"/>
  <c r="BH21" i="30"/>
  <c r="BG21" i="30"/>
  <c r="BF21" i="30"/>
  <c r="BE21" i="30"/>
  <c r="BD21" i="30"/>
  <c r="BC21" i="30"/>
  <c r="BB21" i="30"/>
  <c r="BA21" i="30"/>
  <c r="AZ21" i="30"/>
  <c r="BK20" i="30"/>
  <c r="BJ20" i="30"/>
  <c r="BI20" i="30"/>
  <c r="BH20" i="30"/>
  <c r="BG20" i="30"/>
  <c r="BF20" i="30"/>
  <c r="BE20" i="30"/>
  <c r="BD20" i="30"/>
  <c r="BC20" i="30"/>
  <c r="BB20" i="30"/>
  <c r="BA20" i="30"/>
  <c r="AZ20" i="30"/>
  <c r="BK19" i="30"/>
  <c r="BJ19" i="30"/>
  <c r="BI19" i="30"/>
  <c r="BH19" i="30"/>
  <c r="BG19" i="30"/>
  <c r="BF19" i="30"/>
  <c r="BE19" i="30"/>
  <c r="BD19" i="30"/>
  <c r="BC19" i="30"/>
  <c r="BB19" i="30"/>
  <c r="BA19" i="30"/>
  <c r="AZ19" i="30"/>
  <c r="BK18" i="30"/>
  <c r="BJ18" i="30"/>
  <c r="BI18" i="30"/>
  <c r="BH18" i="30"/>
  <c r="BG18" i="30"/>
  <c r="BF18" i="30"/>
  <c r="BE18" i="30"/>
  <c r="BD18" i="30"/>
  <c r="BC18" i="30"/>
  <c r="BB18" i="30"/>
  <c r="BA18" i="30"/>
  <c r="AZ18" i="30"/>
  <c r="AY35" i="30"/>
  <c r="AX35" i="30"/>
  <c r="AW35" i="30"/>
  <c r="AV35" i="30"/>
  <c r="AU35" i="30"/>
  <c r="AT35" i="30"/>
  <c r="AS35" i="30"/>
  <c r="AR35" i="30"/>
  <c r="AQ35" i="30"/>
  <c r="AP35" i="30"/>
  <c r="AO35" i="30"/>
  <c r="AN35" i="30"/>
  <c r="AY34" i="30"/>
  <c r="AX34" i="30"/>
  <c r="AW34" i="30"/>
  <c r="AV34" i="30"/>
  <c r="AU34" i="30"/>
  <c r="AT34" i="30"/>
  <c r="AS34" i="30"/>
  <c r="AR34" i="30"/>
  <c r="AQ34" i="30"/>
  <c r="AP34" i="30"/>
  <c r="AO34" i="30"/>
  <c r="AN34" i="30"/>
  <c r="AY33" i="30"/>
  <c r="AX33" i="30"/>
  <c r="AW33" i="30"/>
  <c r="AV33" i="30"/>
  <c r="AU33" i="30"/>
  <c r="AT33" i="30"/>
  <c r="AS33" i="30"/>
  <c r="AR33" i="30"/>
  <c r="AQ33" i="30"/>
  <c r="AP33" i="30"/>
  <c r="AO33" i="30"/>
  <c r="AN33" i="30"/>
  <c r="AY32" i="30"/>
  <c r="AX32" i="30"/>
  <c r="AW32" i="30"/>
  <c r="AV32" i="30"/>
  <c r="AU32" i="30"/>
  <c r="AT32" i="30"/>
  <c r="AS32" i="30"/>
  <c r="AR32" i="30"/>
  <c r="AQ32" i="30"/>
  <c r="AP32" i="30"/>
  <c r="AO32" i="30"/>
  <c r="AN32" i="30"/>
  <c r="AY31" i="30"/>
  <c r="AX31" i="30"/>
  <c r="AW31" i="30"/>
  <c r="AV31" i="30"/>
  <c r="AU31" i="30"/>
  <c r="AT31" i="30"/>
  <c r="AS31" i="30"/>
  <c r="AR31" i="30"/>
  <c r="AQ31" i="30"/>
  <c r="AP31" i="30"/>
  <c r="AO31" i="30"/>
  <c r="AN31" i="30"/>
  <c r="AY30" i="30"/>
  <c r="AX30" i="30"/>
  <c r="AW30" i="30"/>
  <c r="AV30" i="30"/>
  <c r="AU30" i="30"/>
  <c r="AT30" i="30"/>
  <c r="AS30" i="30"/>
  <c r="AR30" i="30"/>
  <c r="AQ30" i="30"/>
  <c r="AP30" i="30"/>
  <c r="AO30" i="30"/>
  <c r="AN30" i="30"/>
  <c r="AY29" i="30"/>
  <c r="AX29" i="30"/>
  <c r="AW29" i="30"/>
  <c r="AV29" i="30"/>
  <c r="AU29" i="30"/>
  <c r="AT29" i="30"/>
  <c r="AS29" i="30"/>
  <c r="AR29" i="30"/>
  <c r="AQ29" i="30"/>
  <c r="AP29" i="30"/>
  <c r="AO29" i="30"/>
  <c r="AN29" i="30"/>
  <c r="AY28" i="30"/>
  <c r="AX28" i="30"/>
  <c r="AW28" i="30"/>
  <c r="AV28" i="30"/>
  <c r="AU28" i="30"/>
  <c r="AT28" i="30"/>
  <c r="AS28" i="30"/>
  <c r="AR28" i="30"/>
  <c r="AQ28" i="30"/>
  <c r="AP28" i="30"/>
  <c r="AO28" i="30"/>
  <c r="AN28" i="30"/>
  <c r="AY27" i="30"/>
  <c r="AX27" i="30"/>
  <c r="AW27" i="30"/>
  <c r="AV27" i="30"/>
  <c r="AU27" i="30"/>
  <c r="AT27" i="30"/>
  <c r="AS27" i="30"/>
  <c r="AR27" i="30"/>
  <c r="AQ27" i="30"/>
  <c r="AP27" i="30"/>
  <c r="AO27" i="30"/>
  <c r="AN27" i="30"/>
  <c r="AY26" i="30"/>
  <c r="AX26" i="30"/>
  <c r="AW26" i="30"/>
  <c r="AV26" i="30"/>
  <c r="AU26" i="30"/>
  <c r="AT26" i="30"/>
  <c r="AS26" i="30"/>
  <c r="AR26" i="30"/>
  <c r="AQ26" i="30"/>
  <c r="AP26" i="30"/>
  <c r="AO26" i="30"/>
  <c r="AN26" i="30"/>
  <c r="AY25" i="30"/>
  <c r="AX25" i="30"/>
  <c r="AW25" i="30"/>
  <c r="AV25" i="30"/>
  <c r="AU25" i="30"/>
  <c r="AT25" i="30"/>
  <c r="AS25" i="30"/>
  <c r="AR25" i="30"/>
  <c r="AQ25" i="30"/>
  <c r="AP25" i="30"/>
  <c r="AO25" i="30"/>
  <c r="AN25" i="30"/>
  <c r="AY24" i="30"/>
  <c r="AX24" i="30"/>
  <c r="AW24" i="30"/>
  <c r="AV24" i="30"/>
  <c r="AU24" i="30"/>
  <c r="AT24" i="30"/>
  <c r="AS24" i="30"/>
  <c r="AR24" i="30"/>
  <c r="AQ24" i="30"/>
  <c r="AP24" i="30"/>
  <c r="AO24" i="30"/>
  <c r="AN24" i="30"/>
  <c r="AY23" i="30"/>
  <c r="AX23" i="30"/>
  <c r="AW23" i="30"/>
  <c r="AV23" i="30"/>
  <c r="AU23" i="30"/>
  <c r="AT23" i="30"/>
  <c r="AS23" i="30"/>
  <c r="AR23" i="30"/>
  <c r="AQ23" i="30"/>
  <c r="AP23" i="30"/>
  <c r="AO23" i="30"/>
  <c r="AN23" i="30"/>
  <c r="AY22" i="30"/>
  <c r="AX22" i="30"/>
  <c r="AW22" i="30"/>
  <c r="AV22" i="30"/>
  <c r="AU22" i="30"/>
  <c r="AT22" i="30"/>
  <c r="AS22" i="30"/>
  <c r="AR22" i="30"/>
  <c r="AQ22" i="30"/>
  <c r="AP22" i="30"/>
  <c r="AO22" i="30"/>
  <c r="AN22" i="30"/>
  <c r="AY21" i="30"/>
  <c r="AX21" i="30"/>
  <c r="AW21" i="30"/>
  <c r="AV21" i="30"/>
  <c r="AU21" i="30"/>
  <c r="AT21" i="30"/>
  <c r="AS21" i="30"/>
  <c r="AR21" i="30"/>
  <c r="AQ21" i="30"/>
  <c r="AP21" i="30"/>
  <c r="AO21" i="30"/>
  <c r="AN21" i="30"/>
  <c r="AY20" i="30"/>
  <c r="AX20" i="30"/>
  <c r="AW20" i="30"/>
  <c r="AV20" i="30"/>
  <c r="AU20" i="30"/>
  <c r="AT20" i="30"/>
  <c r="AS20" i="30"/>
  <c r="AR20" i="30"/>
  <c r="AQ20" i="30"/>
  <c r="AP20" i="30"/>
  <c r="AO20" i="30"/>
  <c r="AN20" i="30"/>
  <c r="AY19" i="30"/>
  <c r="AX19" i="30"/>
  <c r="AW19" i="30"/>
  <c r="AV19" i="30"/>
  <c r="AU19" i="30"/>
  <c r="AT19" i="30"/>
  <c r="AS19" i="30"/>
  <c r="AR19" i="30"/>
  <c r="AQ19" i="30"/>
  <c r="AP19" i="30"/>
  <c r="AO19" i="30"/>
  <c r="AN19" i="30"/>
  <c r="AY18" i="30"/>
  <c r="AX18" i="30"/>
  <c r="AW18" i="30"/>
  <c r="AV18" i="30"/>
  <c r="AU18" i="30"/>
  <c r="AT18" i="30"/>
  <c r="AS18" i="30"/>
  <c r="AR18" i="30"/>
  <c r="AQ18" i="30"/>
  <c r="AP18" i="30"/>
  <c r="AO18" i="30"/>
  <c r="AN18" i="30"/>
  <c r="AM35" i="30"/>
  <c r="AL35" i="30"/>
  <c r="AK35" i="30"/>
  <c r="AJ35" i="30"/>
  <c r="AI35" i="30"/>
  <c r="AH35" i="30"/>
  <c r="AG35" i="30"/>
  <c r="AF35" i="30"/>
  <c r="AE35" i="30"/>
  <c r="AD35" i="30"/>
  <c r="AC35" i="30"/>
  <c r="AB35" i="30"/>
  <c r="AM34" i="30"/>
  <c r="AL34" i="30"/>
  <c r="AK34" i="30"/>
  <c r="AJ34" i="30"/>
  <c r="AI34" i="30"/>
  <c r="AH34" i="30"/>
  <c r="AG34" i="30"/>
  <c r="AF34" i="30"/>
  <c r="AE34" i="30"/>
  <c r="AD34" i="30"/>
  <c r="AC34" i="30"/>
  <c r="AB34" i="30"/>
  <c r="AM33" i="30"/>
  <c r="AL33" i="30"/>
  <c r="AK33" i="30"/>
  <c r="AJ33" i="30"/>
  <c r="AI33" i="30"/>
  <c r="AH33" i="30"/>
  <c r="AG33" i="30"/>
  <c r="AF33" i="30"/>
  <c r="AE33" i="30"/>
  <c r="AD33" i="30"/>
  <c r="AC33" i="30"/>
  <c r="AB33" i="30"/>
  <c r="AM32" i="30"/>
  <c r="AL32" i="30"/>
  <c r="AK32" i="30"/>
  <c r="AJ32" i="30"/>
  <c r="AI32" i="30"/>
  <c r="AH32" i="30"/>
  <c r="AG32" i="30"/>
  <c r="AF32" i="30"/>
  <c r="AE32" i="30"/>
  <c r="AD32" i="30"/>
  <c r="AC32" i="30"/>
  <c r="AB32" i="30"/>
  <c r="AM31" i="30"/>
  <c r="AL31" i="30"/>
  <c r="AK31" i="30"/>
  <c r="AJ31" i="30"/>
  <c r="AI31" i="30"/>
  <c r="AH31" i="30"/>
  <c r="AG31" i="30"/>
  <c r="AF31" i="30"/>
  <c r="AE31" i="30"/>
  <c r="AD31" i="30"/>
  <c r="AC31" i="30"/>
  <c r="AB31" i="30"/>
  <c r="AM30" i="30"/>
  <c r="AL30" i="30"/>
  <c r="AK30" i="30"/>
  <c r="AJ30" i="30"/>
  <c r="AI30" i="30"/>
  <c r="AH30" i="30"/>
  <c r="AG30" i="30"/>
  <c r="AF30" i="30"/>
  <c r="AE30" i="30"/>
  <c r="AD30" i="30"/>
  <c r="AC30" i="30"/>
  <c r="AB30" i="30"/>
  <c r="AM29" i="30"/>
  <c r="AL29" i="30"/>
  <c r="AK29" i="30"/>
  <c r="AJ29" i="30"/>
  <c r="AI29" i="30"/>
  <c r="AH29" i="30"/>
  <c r="AG29" i="30"/>
  <c r="AF29" i="30"/>
  <c r="AE29" i="30"/>
  <c r="AD29" i="30"/>
  <c r="AC29" i="30"/>
  <c r="AB29" i="30"/>
  <c r="AM28" i="30"/>
  <c r="AL28" i="30"/>
  <c r="AK28" i="30"/>
  <c r="AJ28" i="30"/>
  <c r="AI28" i="30"/>
  <c r="AH28" i="30"/>
  <c r="AG28" i="30"/>
  <c r="AF28" i="30"/>
  <c r="AE28" i="30"/>
  <c r="AD28" i="30"/>
  <c r="AC28" i="30"/>
  <c r="AB28" i="30"/>
  <c r="AM27" i="30"/>
  <c r="AL27" i="30"/>
  <c r="AK27" i="30"/>
  <c r="AJ27" i="30"/>
  <c r="AI27" i="30"/>
  <c r="AH27" i="30"/>
  <c r="AG27" i="30"/>
  <c r="AF27" i="30"/>
  <c r="AE27" i="30"/>
  <c r="AD27" i="30"/>
  <c r="AC27" i="30"/>
  <c r="AB27" i="30"/>
  <c r="AM26" i="30"/>
  <c r="AL26" i="30"/>
  <c r="AK26" i="30"/>
  <c r="AJ26" i="30"/>
  <c r="AI26" i="30"/>
  <c r="AH26" i="30"/>
  <c r="AG26" i="30"/>
  <c r="AF26" i="30"/>
  <c r="AE26" i="30"/>
  <c r="AD26" i="30"/>
  <c r="AC26" i="30"/>
  <c r="AB26" i="30"/>
  <c r="AM25" i="30"/>
  <c r="AL25" i="30"/>
  <c r="AK25" i="30"/>
  <c r="AJ25" i="30"/>
  <c r="AI25" i="30"/>
  <c r="AH25" i="30"/>
  <c r="AG25" i="30"/>
  <c r="AF25" i="30"/>
  <c r="AE25" i="30"/>
  <c r="AD25" i="30"/>
  <c r="AC25" i="30"/>
  <c r="AB25" i="30"/>
  <c r="AM24" i="30"/>
  <c r="AL24" i="30"/>
  <c r="AK24" i="30"/>
  <c r="AJ24" i="30"/>
  <c r="AI24" i="30"/>
  <c r="AH24" i="30"/>
  <c r="AG24" i="30"/>
  <c r="AF24" i="30"/>
  <c r="AE24" i="30"/>
  <c r="AD24" i="30"/>
  <c r="AC24" i="30"/>
  <c r="AB24" i="30"/>
  <c r="AM23" i="30"/>
  <c r="AL23" i="30"/>
  <c r="AK23" i="30"/>
  <c r="AJ23" i="30"/>
  <c r="AI23" i="30"/>
  <c r="AH23" i="30"/>
  <c r="AG23" i="30"/>
  <c r="AF23" i="30"/>
  <c r="AE23" i="30"/>
  <c r="AD23" i="30"/>
  <c r="AC23" i="30"/>
  <c r="AB23" i="30"/>
  <c r="AM22" i="30"/>
  <c r="AL22" i="30"/>
  <c r="AK22" i="30"/>
  <c r="AJ22" i="30"/>
  <c r="AI22" i="30"/>
  <c r="AH22" i="30"/>
  <c r="AG22" i="30"/>
  <c r="AF22" i="30"/>
  <c r="AE22" i="30"/>
  <c r="AD22" i="30"/>
  <c r="AC22" i="30"/>
  <c r="AB22" i="30"/>
  <c r="AM21" i="30"/>
  <c r="AL21" i="30"/>
  <c r="AK21" i="30"/>
  <c r="AJ21" i="30"/>
  <c r="AI21" i="30"/>
  <c r="AH21" i="30"/>
  <c r="AG21" i="30"/>
  <c r="AF21" i="30"/>
  <c r="AE21" i="30"/>
  <c r="AD21" i="30"/>
  <c r="AC21" i="30"/>
  <c r="AB21" i="30"/>
  <c r="AM20" i="30"/>
  <c r="AL20" i="30"/>
  <c r="AK20" i="30"/>
  <c r="AJ20" i="30"/>
  <c r="AI20" i="30"/>
  <c r="AH20" i="30"/>
  <c r="AG20" i="30"/>
  <c r="AF20" i="30"/>
  <c r="AE20" i="30"/>
  <c r="AD20" i="30"/>
  <c r="AC20" i="30"/>
  <c r="AB20" i="30"/>
  <c r="AM19" i="30"/>
  <c r="AL19" i="30"/>
  <c r="AK19" i="30"/>
  <c r="AJ19" i="30"/>
  <c r="AI19" i="30"/>
  <c r="AH19" i="30"/>
  <c r="AG19" i="30"/>
  <c r="AF19" i="30"/>
  <c r="AE19" i="30"/>
  <c r="AD19" i="30"/>
  <c r="AC19" i="30"/>
  <c r="AB19" i="30"/>
  <c r="AM18" i="30"/>
  <c r="AL18" i="30"/>
  <c r="AK18" i="30"/>
  <c r="AJ18" i="30"/>
  <c r="AI18" i="30"/>
  <c r="AH18" i="30"/>
  <c r="AG18" i="30"/>
  <c r="AF18" i="30"/>
  <c r="AE18" i="30"/>
  <c r="AD18" i="30"/>
  <c r="AC18" i="30"/>
  <c r="AB18" i="30"/>
  <c r="AA35" i="30"/>
  <c r="Z35" i="30"/>
  <c r="Y35" i="30"/>
  <c r="X35" i="30"/>
  <c r="W35" i="30"/>
  <c r="V35" i="30"/>
  <c r="U35" i="30"/>
  <c r="T35" i="30"/>
  <c r="S35" i="30"/>
  <c r="R35" i="30"/>
  <c r="Q35" i="30"/>
  <c r="P35" i="30"/>
  <c r="AA34" i="30"/>
  <c r="Z34" i="30"/>
  <c r="Y34" i="30"/>
  <c r="X34" i="30"/>
  <c r="W34" i="30"/>
  <c r="V34" i="30"/>
  <c r="U34" i="30"/>
  <c r="T34" i="30"/>
  <c r="S34" i="30"/>
  <c r="R34" i="30"/>
  <c r="Q34" i="30"/>
  <c r="P34" i="30"/>
  <c r="AA33" i="30"/>
  <c r="Z33" i="30"/>
  <c r="Y33" i="30"/>
  <c r="X33" i="30"/>
  <c r="W33" i="30"/>
  <c r="V33" i="30"/>
  <c r="U33" i="30"/>
  <c r="T33" i="30"/>
  <c r="S33" i="30"/>
  <c r="R33" i="30"/>
  <c r="Q33" i="30"/>
  <c r="P33" i="30"/>
  <c r="AA32" i="30"/>
  <c r="Z32" i="30"/>
  <c r="Y32" i="30"/>
  <c r="X32" i="30"/>
  <c r="W32" i="30"/>
  <c r="V32" i="30"/>
  <c r="U32" i="30"/>
  <c r="T32" i="30"/>
  <c r="S32" i="30"/>
  <c r="R32" i="30"/>
  <c r="Q32" i="30"/>
  <c r="P32" i="30"/>
  <c r="AA31" i="30"/>
  <c r="Z31" i="30"/>
  <c r="Y31" i="30"/>
  <c r="X31" i="30"/>
  <c r="W31" i="30"/>
  <c r="V31" i="30"/>
  <c r="U31" i="30"/>
  <c r="T31" i="30"/>
  <c r="S31" i="30"/>
  <c r="R31" i="30"/>
  <c r="Q31" i="30"/>
  <c r="P31" i="30"/>
  <c r="AA30" i="30"/>
  <c r="Z30" i="30"/>
  <c r="Y30" i="30"/>
  <c r="X30" i="30"/>
  <c r="W30" i="30"/>
  <c r="V30" i="30"/>
  <c r="U30" i="30"/>
  <c r="T30" i="30"/>
  <c r="S30" i="30"/>
  <c r="R30" i="30"/>
  <c r="Q30" i="30"/>
  <c r="P30" i="30"/>
  <c r="AA29" i="30"/>
  <c r="Z29" i="30"/>
  <c r="Y29" i="30"/>
  <c r="X29" i="30"/>
  <c r="W29" i="30"/>
  <c r="V29" i="30"/>
  <c r="U29" i="30"/>
  <c r="T29" i="30"/>
  <c r="S29" i="30"/>
  <c r="R29" i="30"/>
  <c r="Q29" i="30"/>
  <c r="P29" i="30"/>
  <c r="AA28" i="30"/>
  <c r="Z28" i="30"/>
  <c r="Y28" i="30"/>
  <c r="X28" i="30"/>
  <c r="W28" i="30"/>
  <c r="V28" i="30"/>
  <c r="U28" i="30"/>
  <c r="T28" i="30"/>
  <c r="S28" i="30"/>
  <c r="R28" i="30"/>
  <c r="Q28" i="30"/>
  <c r="P28" i="30"/>
  <c r="AA27" i="30"/>
  <c r="Z27" i="30"/>
  <c r="Y27" i="30"/>
  <c r="X27" i="30"/>
  <c r="W27" i="30"/>
  <c r="V27" i="30"/>
  <c r="U27" i="30"/>
  <c r="T27" i="30"/>
  <c r="S27" i="30"/>
  <c r="R27" i="30"/>
  <c r="Q27" i="30"/>
  <c r="P27" i="30"/>
  <c r="AA26" i="30"/>
  <c r="Z26" i="30"/>
  <c r="Y26" i="30"/>
  <c r="X26" i="30"/>
  <c r="W26" i="30"/>
  <c r="V26" i="30"/>
  <c r="U26" i="30"/>
  <c r="T26" i="30"/>
  <c r="S26" i="30"/>
  <c r="R26" i="30"/>
  <c r="Q26" i="30"/>
  <c r="P26" i="30"/>
  <c r="AA25" i="30"/>
  <c r="Z25" i="30"/>
  <c r="Y25" i="30"/>
  <c r="X25" i="30"/>
  <c r="W25" i="30"/>
  <c r="V25" i="30"/>
  <c r="U25" i="30"/>
  <c r="T25" i="30"/>
  <c r="S25" i="30"/>
  <c r="R25" i="30"/>
  <c r="Q25" i="30"/>
  <c r="P25" i="30"/>
  <c r="AA24" i="30"/>
  <c r="Z24" i="30"/>
  <c r="Y24" i="30"/>
  <c r="X24" i="30"/>
  <c r="W24" i="30"/>
  <c r="V24" i="30"/>
  <c r="U24" i="30"/>
  <c r="T24" i="30"/>
  <c r="S24" i="30"/>
  <c r="R24" i="30"/>
  <c r="Q24" i="30"/>
  <c r="P24" i="30"/>
  <c r="AA23" i="30"/>
  <c r="Z23" i="30"/>
  <c r="Y23" i="30"/>
  <c r="X23" i="30"/>
  <c r="W23" i="30"/>
  <c r="V23" i="30"/>
  <c r="U23" i="30"/>
  <c r="T23" i="30"/>
  <c r="S23" i="30"/>
  <c r="R23" i="30"/>
  <c r="Q23" i="30"/>
  <c r="P23" i="30"/>
  <c r="AA22" i="30"/>
  <c r="Z22" i="30"/>
  <c r="Y22" i="30"/>
  <c r="X22" i="30"/>
  <c r="W22" i="30"/>
  <c r="V22" i="30"/>
  <c r="U22" i="30"/>
  <c r="T22" i="30"/>
  <c r="S22" i="30"/>
  <c r="R22" i="30"/>
  <c r="Q22" i="30"/>
  <c r="P22" i="30"/>
  <c r="AA21" i="30"/>
  <c r="Z21" i="30"/>
  <c r="Y21" i="30"/>
  <c r="X21" i="30"/>
  <c r="W21" i="30"/>
  <c r="V21" i="30"/>
  <c r="U21" i="30"/>
  <c r="T21" i="30"/>
  <c r="S21" i="30"/>
  <c r="R21" i="30"/>
  <c r="Q21" i="30"/>
  <c r="P21" i="30"/>
  <c r="AA20" i="30"/>
  <c r="Z20" i="30"/>
  <c r="Y20" i="30"/>
  <c r="X20" i="30"/>
  <c r="W20" i="30"/>
  <c r="V20" i="30"/>
  <c r="U20" i="30"/>
  <c r="T20" i="30"/>
  <c r="S20" i="30"/>
  <c r="R20" i="30"/>
  <c r="Q20" i="30"/>
  <c r="P20" i="30"/>
  <c r="AA19" i="30"/>
  <c r="Z19" i="30"/>
  <c r="Y19" i="30"/>
  <c r="X19" i="30"/>
  <c r="W19" i="30"/>
  <c r="V19" i="30"/>
  <c r="U19" i="30"/>
  <c r="T19" i="30"/>
  <c r="S19" i="30"/>
  <c r="R19" i="30"/>
  <c r="Q19" i="30"/>
  <c r="P19" i="30"/>
  <c r="AA18" i="30"/>
  <c r="Z18" i="30"/>
  <c r="Y18" i="30"/>
  <c r="X18" i="30"/>
  <c r="W18" i="30"/>
  <c r="V18" i="30"/>
  <c r="U18" i="30"/>
  <c r="T18" i="30"/>
  <c r="S18" i="30"/>
  <c r="R18" i="30"/>
  <c r="Q18" i="30"/>
  <c r="P18" i="30"/>
  <c r="O35" i="30"/>
  <c r="N35" i="30"/>
  <c r="M35" i="30"/>
  <c r="L35" i="30"/>
  <c r="K35" i="30"/>
  <c r="J35" i="30"/>
  <c r="I35" i="30"/>
  <c r="H35" i="30"/>
  <c r="G35" i="30"/>
  <c r="O34" i="30"/>
  <c r="N34" i="30"/>
  <c r="M34" i="30"/>
  <c r="L34" i="30"/>
  <c r="K34" i="30"/>
  <c r="J34" i="30"/>
  <c r="I34" i="30"/>
  <c r="H34" i="30"/>
  <c r="G34" i="30"/>
  <c r="O33" i="30"/>
  <c r="N33" i="30"/>
  <c r="M33" i="30"/>
  <c r="L33" i="30"/>
  <c r="K33" i="30"/>
  <c r="J33" i="30"/>
  <c r="I33" i="30"/>
  <c r="H33" i="30"/>
  <c r="G33" i="30"/>
  <c r="O32" i="30"/>
  <c r="N32" i="30"/>
  <c r="M32" i="30"/>
  <c r="L32" i="30"/>
  <c r="K32" i="30"/>
  <c r="J32" i="30"/>
  <c r="I32" i="30"/>
  <c r="H32" i="30"/>
  <c r="G32" i="30"/>
  <c r="O31" i="30"/>
  <c r="N31" i="30"/>
  <c r="M31" i="30"/>
  <c r="L31" i="30"/>
  <c r="K31" i="30"/>
  <c r="J31" i="30"/>
  <c r="I31" i="30"/>
  <c r="H31" i="30"/>
  <c r="G31" i="30"/>
  <c r="O30" i="30"/>
  <c r="N30" i="30"/>
  <c r="M30" i="30"/>
  <c r="L30" i="30"/>
  <c r="K30" i="30"/>
  <c r="J30" i="30"/>
  <c r="I30" i="30"/>
  <c r="H30" i="30"/>
  <c r="G30" i="30"/>
  <c r="O29" i="30"/>
  <c r="N29" i="30"/>
  <c r="M29" i="30"/>
  <c r="L29" i="30"/>
  <c r="K29" i="30"/>
  <c r="J29" i="30"/>
  <c r="I29" i="30"/>
  <c r="H29" i="30"/>
  <c r="G29" i="30"/>
  <c r="O28" i="30"/>
  <c r="N28" i="30"/>
  <c r="M28" i="30"/>
  <c r="L28" i="30"/>
  <c r="K28" i="30"/>
  <c r="J28" i="30"/>
  <c r="I28" i="30"/>
  <c r="H28" i="30"/>
  <c r="G28" i="30"/>
  <c r="O27" i="30"/>
  <c r="N27" i="30"/>
  <c r="M27" i="30"/>
  <c r="L27" i="30"/>
  <c r="K27" i="30"/>
  <c r="J27" i="30"/>
  <c r="I27" i="30"/>
  <c r="H27" i="30"/>
  <c r="G27" i="30"/>
  <c r="O26" i="30"/>
  <c r="N26" i="30"/>
  <c r="M26" i="30"/>
  <c r="L26" i="30"/>
  <c r="K26" i="30"/>
  <c r="J26" i="30"/>
  <c r="I26" i="30"/>
  <c r="H26" i="30"/>
  <c r="G26" i="30"/>
  <c r="O25" i="30"/>
  <c r="N25" i="30"/>
  <c r="M25" i="30"/>
  <c r="L25" i="30"/>
  <c r="K25" i="30"/>
  <c r="J25" i="30"/>
  <c r="I25" i="30"/>
  <c r="H25" i="30"/>
  <c r="G25" i="30"/>
  <c r="O24" i="30"/>
  <c r="N24" i="30"/>
  <c r="M24" i="30"/>
  <c r="L24" i="30"/>
  <c r="K24" i="30"/>
  <c r="J24" i="30"/>
  <c r="I24" i="30"/>
  <c r="H24" i="30"/>
  <c r="G24" i="30"/>
  <c r="O23" i="30"/>
  <c r="N23" i="30"/>
  <c r="M23" i="30"/>
  <c r="L23" i="30"/>
  <c r="K23" i="30"/>
  <c r="J23" i="30"/>
  <c r="I23" i="30"/>
  <c r="H23" i="30"/>
  <c r="G23" i="30"/>
  <c r="O22" i="30"/>
  <c r="N22" i="30"/>
  <c r="M22" i="30"/>
  <c r="L22" i="30"/>
  <c r="K22" i="30"/>
  <c r="J22" i="30"/>
  <c r="I22" i="30"/>
  <c r="H22" i="30"/>
  <c r="G22" i="30"/>
  <c r="O21" i="30"/>
  <c r="N21" i="30"/>
  <c r="M21" i="30"/>
  <c r="L21" i="30"/>
  <c r="K21" i="30"/>
  <c r="J21" i="30"/>
  <c r="I21" i="30"/>
  <c r="H21" i="30"/>
  <c r="G21" i="30"/>
  <c r="O20" i="30"/>
  <c r="N20" i="30"/>
  <c r="M20" i="30"/>
  <c r="L20" i="30"/>
  <c r="K20" i="30"/>
  <c r="J20" i="30"/>
  <c r="I20" i="30"/>
  <c r="H20" i="30"/>
  <c r="G20" i="30"/>
  <c r="O19" i="30"/>
  <c r="N19" i="30"/>
  <c r="M19" i="30"/>
  <c r="L19" i="30"/>
  <c r="K19" i="30"/>
  <c r="J19" i="30"/>
  <c r="I19" i="30"/>
  <c r="H19" i="30"/>
  <c r="G19" i="30"/>
  <c r="O18" i="30"/>
  <c r="N18" i="30"/>
  <c r="M18" i="30"/>
  <c r="L18" i="30"/>
  <c r="K18" i="30"/>
  <c r="J18" i="30"/>
  <c r="I18" i="30"/>
  <c r="H18" i="30"/>
  <c r="G18" i="30"/>
  <c r="F35" i="30"/>
  <c r="E35" i="30"/>
  <c r="D35" i="30"/>
  <c r="F34" i="30"/>
  <c r="E34" i="30"/>
  <c r="D34" i="30"/>
  <c r="F33" i="30"/>
  <c r="E33" i="30"/>
  <c r="D33" i="30"/>
  <c r="F32" i="30"/>
  <c r="E32" i="30"/>
  <c r="D32" i="30"/>
  <c r="F31" i="30"/>
  <c r="E31" i="30"/>
  <c r="D31" i="30"/>
  <c r="F30" i="30"/>
  <c r="E30" i="30"/>
  <c r="D30" i="30"/>
  <c r="F29" i="30"/>
  <c r="E29" i="30"/>
  <c r="D29" i="30"/>
  <c r="F28" i="30"/>
  <c r="E28" i="30"/>
  <c r="D28" i="30"/>
  <c r="F27" i="30"/>
  <c r="E27" i="30"/>
  <c r="D27" i="30"/>
  <c r="F26" i="30"/>
  <c r="E26" i="30"/>
  <c r="D26" i="30"/>
  <c r="F25" i="30"/>
  <c r="E25" i="30"/>
  <c r="D25" i="30"/>
  <c r="F24" i="30"/>
  <c r="E24" i="30"/>
  <c r="D24" i="30"/>
  <c r="F23" i="30"/>
  <c r="E23" i="30"/>
  <c r="D23" i="30"/>
  <c r="F22" i="30"/>
  <c r="E22" i="30"/>
  <c r="D22" i="30"/>
  <c r="F21" i="30"/>
  <c r="E21" i="30"/>
  <c r="D21" i="30"/>
  <c r="F20" i="30"/>
  <c r="E20" i="30"/>
  <c r="D20" i="30"/>
  <c r="F19" i="30"/>
  <c r="E19" i="30"/>
  <c r="D19" i="30"/>
  <c r="F18" i="30"/>
  <c r="E18" i="30"/>
  <c r="D18" i="30"/>
  <c r="BG35" i="23"/>
  <c r="BF35" i="23"/>
  <c r="BE35" i="23"/>
  <c r="BD35" i="23"/>
  <c r="BC35" i="23"/>
  <c r="BB35" i="23"/>
  <c r="BA35" i="23"/>
  <c r="BG34" i="23"/>
  <c r="BF34" i="23"/>
  <c r="BE34" i="23"/>
  <c r="BD34" i="23"/>
  <c r="BC34" i="23"/>
  <c r="BB34" i="23"/>
  <c r="BA34" i="23"/>
  <c r="BG33" i="23"/>
  <c r="BF33" i="23"/>
  <c r="BE33" i="23"/>
  <c r="BD33" i="23"/>
  <c r="BC33" i="23"/>
  <c r="BB33" i="23"/>
  <c r="BA33" i="23"/>
  <c r="BG32" i="23"/>
  <c r="BF32" i="23"/>
  <c r="BE32" i="23"/>
  <c r="BD32" i="23"/>
  <c r="BC32" i="23"/>
  <c r="BB32" i="23"/>
  <c r="BA32" i="23"/>
  <c r="BG31" i="23"/>
  <c r="BF31" i="23"/>
  <c r="BE31" i="23"/>
  <c r="BD31" i="23"/>
  <c r="BC31" i="23"/>
  <c r="BB31" i="23"/>
  <c r="BA31" i="23"/>
  <c r="BG30" i="23"/>
  <c r="BF30" i="23"/>
  <c r="BE30" i="23"/>
  <c r="BD30" i="23"/>
  <c r="BC30" i="23"/>
  <c r="BB30" i="23"/>
  <c r="BA30" i="23"/>
  <c r="BG29" i="23"/>
  <c r="BF29" i="23"/>
  <c r="BE29" i="23"/>
  <c r="BD29" i="23"/>
  <c r="BC29" i="23"/>
  <c r="BB29" i="23"/>
  <c r="BA29" i="23"/>
  <c r="BG28" i="23"/>
  <c r="BF28" i="23"/>
  <c r="BE28" i="23"/>
  <c r="BD28" i="23"/>
  <c r="BC28" i="23"/>
  <c r="BB28" i="23"/>
  <c r="BA28" i="23"/>
  <c r="BG27" i="23"/>
  <c r="BF27" i="23"/>
  <c r="BE27" i="23"/>
  <c r="BD27" i="23"/>
  <c r="BC27" i="23"/>
  <c r="BB27" i="23"/>
  <c r="BA27" i="23"/>
  <c r="BG26" i="23"/>
  <c r="BF26" i="23"/>
  <c r="BE26" i="23"/>
  <c r="BD26" i="23"/>
  <c r="BC26" i="23"/>
  <c r="BB26" i="23"/>
  <c r="BA26" i="23"/>
  <c r="BG25" i="23"/>
  <c r="BF25" i="23"/>
  <c r="BE25" i="23"/>
  <c r="BD25" i="23"/>
  <c r="BC25" i="23"/>
  <c r="BB25" i="23"/>
  <c r="BA25" i="23"/>
  <c r="BG24" i="23"/>
  <c r="BF24" i="23"/>
  <c r="BE24" i="23"/>
  <c r="BD24" i="23"/>
  <c r="BC24" i="23"/>
  <c r="BB24" i="23"/>
  <c r="BA24" i="23"/>
  <c r="BG23" i="23"/>
  <c r="BF23" i="23"/>
  <c r="BE23" i="23"/>
  <c r="BD23" i="23"/>
  <c r="BC23" i="23"/>
  <c r="BB23" i="23"/>
  <c r="BA23" i="23"/>
  <c r="BG22" i="23"/>
  <c r="BF22" i="23"/>
  <c r="BE22" i="23"/>
  <c r="BD22" i="23"/>
  <c r="BC22" i="23"/>
  <c r="BB22" i="23"/>
  <c r="BA22" i="23"/>
  <c r="BG21" i="23"/>
  <c r="BF21" i="23"/>
  <c r="BE21" i="23"/>
  <c r="BD21" i="23"/>
  <c r="BC21" i="23"/>
  <c r="BB21" i="23"/>
  <c r="BA21" i="23"/>
  <c r="BG20" i="23"/>
  <c r="BF20" i="23"/>
  <c r="BE20" i="23"/>
  <c r="BD20" i="23"/>
  <c r="BC20" i="23"/>
  <c r="BB20" i="23"/>
  <c r="BA20" i="23"/>
  <c r="BG19" i="23"/>
  <c r="BF19" i="23"/>
  <c r="BE19" i="23"/>
  <c r="BD19" i="23"/>
  <c r="BC19" i="23"/>
  <c r="BB19" i="23"/>
  <c r="BA19" i="23"/>
  <c r="BG18" i="23"/>
  <c r="BF18" i="23"/>
  <c r="BE18" i="23"/>
  <c r="BD18" i="23"/>
  <c r="BC18" i="23"/>
  <c r="BB18" i="23"/>
  <c r="BA18" i="23"/>
  <c r="AV35" i="23"/>
  <c r="AU35" i="23"/>
  <c r="AT35" i="23"/>
  <c r="AS35" i="23"/>
  <c r="AR35" i="23"/>
  <c r="AQ35" i="23"/>
  <c r="AP35" i="23"/>
  <c r="AV34" i="23"/>
  <c r="AU34" i="23"/>
  <c r="AT34" i="23"/>
  <c r="AS34" i="23"/>
  <c r="AR34" i="23"/>
  <c r="AQ34" i="23"/>
  <c r="AP34" i="23"/>
  <c r="AV33" i="23"/>
  <c r="AU33" i="23"/>
  <c r="AT33" i="23"/>
  <c r="AS33" i="23"/>
  <c r="AR33" i="23"/>
  <c r="AQ33" i="23"/>
  <c r="AP33" i="23"/>
  <c r="AV32" i="23"/>
  <c r="AU32" i="23"/>
  <c r="AT32" i="23"/>
  <c r="AS32" i="23"/>
  <c r="AR32" i="23"/>
  <c r="AQ32" i="23"/>
  <c r="AP32" i="23"/>
  <c r="AV31" i="23"/>
  <c r="AU31" i="23"/>
  <c r="AT31" i="23"/>
  <c r="AS31" i="23"/>
  <c r="AR31" i="23"/>
  <c r="AQ31" i="23"/>
  <c r="AP31" i="23"/>
  <c r="AV30" i="23"/>
  <c r="AU30" i="23"/>
  <c r="AT30" i="23"/>
  <c r="AS30" i="23"/>
  <c r="AR30" i="23"/>
  <c r="AQ30" i="23"/>
  <c r="AP30" i="23"/>
  <c r="AV29" i="23"/>
  <c r="AU29" i="23"/>
  <c r="AT29" i="23"/>
  <c r="AS29" i="23"/>
  <c r="AR29" i="23"/>
  <c r="AQ29" i="23"/>
  <c r="AP29" i="23"/>
  <c r="AV28" i="23"/>
  <c r="AU28" i="23"/>
  <c r="AT28" i="23"/>
  <c r="AS28" i="23"/>
  <c r="AR28" i="23"/>
  <c r="AQ28" i="23"/>
  <c r="AP28" i="23"/>
  <c r="AV27" i="23"/>
  <c r="AU27" i="23"/>
  <c r="AT27" i="23"/>
  <c r="AS27" i="23"/>
  <c r="AR27" i="23"/>
  <c r="AQ27" i="23"/>
  <c r="AP27" i="23"/>
  <c r="AV26" i="23"/>
  <c r="AU26" i="23"/>
  <c r="AT26" i="23"/>
  <c r="AS26" i="23"/>
  <c r="AR26" i="23"/>
  <c r="AQ26" i="23"/>
  <c r="AP26" i="23"/>
  <c r="AV25" i="23"/>
  <c r="AU25" i="23"/>
  <c r="AT25" i="23"/>
  <c r="AS25" i="23"/>
  <c r="AR25" i="23"/>
  <c r="AQ25" i="23"/>
  <c r="AP25" i="23"/>
  <c r="AV24" i="23"/>
  <c r="AU24" i="23"/>
  <c r="AT24" i="23"/>
  <c r="AS24" i="23"/>
  <c r="AR24" i="23"/>
  <c r="AQ24" i="23"/>
  <c r="AP24" i="23"/>
  <c r="AV23" i="23"/>
  <c r="AU23" i="23"/>
  <c r="AT23" i="23"/>
  <c r="AS23" i="23"/>
  <c r="AR23" i="23"/>
  <c r="AQ23" i="23"/>
  <c r="AP23" i="23"/>
  <c r="AV22" i="23"/>
  <c r="AU22" i="23"/>
  <c r="AT22" i="23"/>
  <c r="AS22" i="23"/>
  <c r="AR22" i="23"/>
  <c r="AQ22" i="23"/>
  <c r="AP22" i="23"/>
  <c r="AV21" i="23"/>
  <c r="AU21" i="23"/>
  <c r="AT21" i="23"/>
  <c r="AS21" i="23"/>
  <c r="AR21" i="23"/>
  <c r="AQ21" i="23"/>
  <c r="AP21" i="23"/>
  <c r="AV20" i="23"/>
  <c r="AU20" i="23"/>
  <c r="AT20" i="23"/>
  <c r="AS20" i="23"/>
  <c r="AR20" i="23"/>
  <c r="AQ20" i="23"/>
  <c r="AP20" i="23"/>
  <c r="AV19" i="23"/>
  <c r="AU19" i="23"/>
  <c r="AT19" i="23"/>
  <c r="AS19" i="23"/>
  <c r="AR19" i="23"/>
  <c r="AQ19" i="23"/>
  <c r="AP19" i="23"/>
  <c r="AV18" i="23"/>
  <c r="AU18" i="23"/>
  <c r="AT18" i="23"/>
  <c r="AS18" i="23"/>
  <c r="AR18" i="23"/>
  <c r="AQ18" i="23"/>
  <c r="AP18" i="23"/>
  <c r="AM35" i="23"/>
  <c r="AL35" i="23"/>
  <c r="AK35" i="23"/>
  <c r="AJ35" i="23"/>
  <c r="AI35" i="23"/>
  <c r="AH35" i="23"/>
  <c r="AG35" i="23"/>
  <c r="AM34" i="23"/>
  <c r="AL34" i="23"/>
  <c r="AK34" i="23"/>
  <c r="AJ34" i="23"/>
  <c r="AI34" i="23"/>
  <c r="AH34" i="23"/>
  <c r="AG34" i="23"/>
  <c r="AM33" i="23"/>
  <c r="AL33" i="23"/>
  <c r="AK33" i="23"/>
  <c r="AJ33" i="23"/>
  <c r="AI33" i="23"/>
  <c r="AH33" i="23"/>
  <c r="AG33" i="23"/>
  <c r="AM32" i="23"/>
  <c r="AL32" i="23"/>
  <c r="AK32" i="23"/>
  <c r="AJ32" i="23"/>
  <c r="AI32" i="23"/>
  <c r="AH32" i="23"/>
  <c r="AG32" i="23"/>
  <c r="AM31" i="23"/>
  <c r="AL31" i="23"/>
  <c r="AK31" i="23"/>
  <c r="AJ31" i="23"/>
  <c r="AI31" i="23"/>
  <c r="AH31" i="23"/>
  <c r="AG31" i="23"/>
  <c r="AM30" i="23"/>
  <c r="AL30" i="23"/>
  <c r="AK30" i="23"/>
  <c r="AJ30" i="23"/>
  <c r="AI30" i="23"/>
  <c r="AH30" i="23"/>
  <c r="AG30" i="23"/>
  <c r="AM29" i="23"/>
  <c r="AL29" i="23"/>
  <c r="AK29" i="23"/>
  <c r="AJ29" i="23"/>
  <c r="AI29" i="23"/>
  <c r="AH29" i="23"/>
  <c r="AG29" i="23"/>
  <c r="AM28" i="23"/>
  <c r="AL28" i="23"/>
  <c r="AK28" i="23"/>
  <c r="AJ28" i="23"/>
  <c r="AI28" i="23"/>
  <c r="AH28" i="23"/>
  <c r="AG28" i="23"/>
  <c r="AM27" i="23"/>
  <c r="AL27" i="23"/>
  <c r="AK27" i="23"/>
  <c r="AJ27" i="23"/>
  <c r="AI27" i="23"/>
  <c r="AH27" i="23"/>
  <c r="AG27" i="23"/>
  <c r="AM26" i="23"/>
  <c r="AL26" i="23"/>
  <c r="AK26" i="23"/>
  <c r="AJ26" i="23"/>
  <c r="AI26" i="23"/>
  <c r="AH26" i="23"/>
  <c r="AG26" i="23"/>
  <c r="AM25" i="23"/>
  <c r="AL25" i="23"/>
  <c r="AK25" i="23"/>
  <c r="AJ25" i="23"/>
  <c r="AI25" i="23"/>
  <c r="AH25" i="23"/>
  <c r="AG25" i="23"/>
  <c r="AM24" i="23"/>
  <c r="AL24" i="23"/>
  <c r="AK24" i="23"/>
  <c r="AJ24" i="23"/>
  <c r="AI24" i="23"/>
  <c r="AH24" i="23"/>
  <c r="AG24" i="23"/>
  <c r="AM23" i="23"/>
  <c r="AL23" i="23"/>
  <c r="AK23" i="23"/>
  <c r="AJ23" i="23"/>
  <c r="AI23" i="23"/>
  <c r="AH23" i="23"/>
  <c r="AG23" i="23"/>
  <c r="AM22" i="23"/>
  <c r="AL22" i="23"/>
  <c r="AK22" i="23"/>
  <c r="AJ22" i="23"/>
  <c r="AI22" i="23"/>
  <c r="AH22" i="23"/>
  <c r="AG22" i="23"/>
  <c r="AM21" i="23"/>
  <c r="AL21" i="23"/>
  <c r="AK21" i="23"/>
  <c r="AJ21" i="23"/>
  <c r="AI21" i="23"/>
  <c r="AH21" i="23"/>
  <c r="AG21" i="23"/>
  <c r="AM20" i="23"/>
  <c r="AL20" i="23"/>
  <c r="AK20" i="23"/>
  <c r="AJ20" i="23"/>
  <c r="AI20" i="23"/>
  <c r="AH20" i="23"/>
  <c r="AG20" i="23"/>
  <c r="AM19" i="23"/>
  <c r="AL19" i="23"/>
  <c r="AK19" i="23"/>
  <c r="AJ19" i="23"/>
  <c r="AI19" i="23"/>
  <c r="AH19" i="23"/>
  <c r="AG19" i="23"/>
  <c r="AM18" i="23"/>
  <c r="AL18" i="23"/>
  <c r="AK18" i="23"/>
  <c r="AJ18" i="23"/>
  <c r="AI18" i="23"/>
  <c r="AH18" i="23"/>
  <c r="AG18" i="23"/>
  <c r="AD35" i="23"/>
  <c r="AC35" i="23"/>
  <c r="AB35" i="23"/>
  <c r="AA35" i="23"/>
  <c r="Z35" i="23"/>
  <c r="Y35" i="23"/>
  <c r="X35" i="23"/>
  <c r="AD34" i="23"/>
  <c r="AC34" i="23"/>
  <c r="AB34" i="23"/>
  <c r="AA34" i="23"/>
  <c r="Z34" i="23"/>
  <c r="Y34" i="23"/>
  <c r="X34" i="23"/>
  <c r="AD33" i="23"/>
  <c r="AC33" i="23"/>
  <c r="AB33" i="23"/>
  <c r="AA33" i="23"/>
  <c r="Z33" i="23"/>
  <c r="Y33" i="23"/>
  <c r="X33" i="23"/>
  <c r="AD32" i="23"/>
  <c r="AC32" i="23"/>
  <c r="AB32" i="23"/>
  <c r="AA32" i="23"/>
  <c r="Z32" i="23"/>
  <c r="Y32" i="23"/>
  <c r="X32" i="23"/>
  <c r="AD31" i="23"/>
  <c r="AC31" i="23"/>
  <c r="AB31" i="23"/>
  <c r="AA31" i="23"/>
  <c r="Z31" i="23"/>
  <c r="Y31" i="23"/>
  <c r="X31" i="23"/>
  <c r="AD30" i="23"/>
  <c r="AC30" i="23"/>
  <c r="AB30" i="23"/>
  <c r="AA30" i="23"/>
  <c r="Z30" i="23"/>
  <c r="Y30" i="23"/>
  <c r="X30" i="23"/>
  <c r="AD29" i="23"/>
  <c r="AC29" i="23"/>
  <c r="AB29" i="23"/>
  <c r="AA29" i="23"/>
  <c r="Z29" i="23"/>
  <c r="Y29" i="23"/>
  <c r="X29" i="23"/>
  <c r="AD28" i="23"/>
  <c r="AC28" i="23"/>
  <c r="AB28" i="23"/>
  <c r="AA28" i="23"/>
  <c r="Z28" i="23"/>
  <c r="Y28" i="23"/>
  <c r="X28" i="23"/>
  <c r="AD27" i="23"/>
  <c r="AC27" i="23"/>
  <c r="AB27" i="23"/>
  <c r="AA27" i="23"/>
  <c r="Z27" i="23"/>
  <c r="Y27" i="23"/>
  <c r="X27" i="23"/>
  <c r="AD26" i="23"/>
  <c r="AC26" i="23"/>
  <c r="AB26" i="23"/>
  <c r="AA26" i="23"/>
  <c r="Z26" i="23"/>
  <c r="Y26" i="23"/>
  <c r="X26" i="23"/>
  <c r="AD25" i="23"/>
  <c r="AC25" i="23"/>
  <c r="AB25" i="23"/>
  <c r="AA25" i="23"/>
  <c r="Z25" i="23"/>
  <c r="Y25" i="23"/>
  <c r="X25" i="23"/>
  <c r="AD24" i="23"/>
  <c r="AC24" i="23"/>
  <c r="AB24" i="23"/>
  <c r="AA24" i="23"/>
  <c r="Z24" i="23"/>
  <c r="Y24" i="23"/>
  <c r="X24" i="23"/>
  <c r="AD23" i="23"/>
  <c r="AC23" i="23"/>
  <c r="AB23" i="23"/>
  <c r="AA23" i="23"/>
  <c r="Z23" i="23"/>
  <c r="Y23" i="23"/>
  <c r="X23" i="23"/>
  <c r="AD22" i="23"/>
  <c r="AC22" i="23"/>
  <c r="AB22" i="23"/>
  <c r="AA22" i="23"/>
  <c r="Z22" i="23"/>
  <c r="Y22" i="23"/>
  <c r="X22" i="23"/>
  <c r="AD21" i="23"/>
  <c r="AC21" i="23"/>
  <c r="AB21" i="23"/>
  <c r="AA21" i="23"/>
  <c r="Z21" i="23"/>
  <c r="Y21" i="23"/>
  <c r="X21" i="23"/>
  <c r="AD20" i="23"/>
  <c r="AC20" i="23"/>
  <c r="AB20" i="23"/>
  <c r="AA20" i="23"/>
  <c r="Z20" i="23"/>
  <c r="Y20" i="23"/>
  <c r="X20" i="23"/>
  <c r="AD19" i="23"/>
  <c r="AC19" i="23"/>
  <c r="AB19" i="23"/>
  <c r="AA19" i="23"/>
  <c r="Z19" i="23"/>
  <c r="Y19" i="23"/>
  <c r="X19" i="23"/>
  <c r="AD18" i="23"/>
  <c r="AC18" i="23"/>
  <c r="AB18" i="23"/>
  <c r="AA18" i="23"/>
  <c r="Z18" i="23"/>
  <c r="Y18" i="23"/>
  <c r="X18" i="23"/>
  <c r="U35" i="23"/>
  <c r="T35" i="23"/>
  <c r="S35" i="23"/>
  <c r="R35" i="23"/>
  <c r="Q35" i="23"/>
  <c r="P35" i="23"/>
  <c r="O35" i="23"/>
  <c r="U34" i="23"/>
  <c r="T34" i="23"/>
  <c r="S34" i="23"/>
  <c r="R34" i="23"/>
  <c r="Q34" i="23"/>
  <c r="P34" i="23"/>
  <c r="O34" i="23"/>
  <c r="U33" i="23"/>
  <c r="T33" i="23"/>
  <c r="S33" i="23"/>
  <c r="R33" i="23"/>
  <c r="Q33" i="23"/>
  <c r="P33" i="23"/>
  <c r="O33" i="23"/>
  <c r="U32" i="23"/>
  <c r="T32" i="23"/>
  <c r="S32" i="23"/>
  <c r="R32" i="23"/>
  <c r="Q32" i="23"/>
  <c r="P32" i="23"/>
  <c r="O32" i="23"/>
  <c r="U31" i="23"/>
  <c r="T31" i="23"/>
  <c r="S31" i="23"/>
  <c r="R31" i="23"/>
  <c r="Q31" i="23"/>
  <c r="P31" i="23"/>
  <c r="O31" i="23"/>
  <c r="U30" i="23"/>
  <c r="T30" i="23"/>
  <c r="S30" i="23"/>
  <c r="R30" i="23"/>
  <c r="Q30" i="23"/>
  <c r="P30" i="23"/>
  <c r="O30" i="23"/>
  <c r="U29" i="23"/>
  <c r="T29" i="23"/>
  <c r="S29" i="23"/>
  <c r="R29" i="23"/>
  <c r="Q29" i="23"/>
  <c r="P29" i="23"/>
  <c r="O29" i="23"/>
  <c r="U28" i="23"/>
  <c r="T28" i="23"/>
  <c r="S28" i="23"/>
  <c r="R28" i="23"/>
  <c r="Q28" i="23"/>
  <c r="P28" i="23"/>
  <c r="O28" i="23"/>
  <c r="U27" i="23"/>
  <c r="T27" i="23"/>
  <c r="S27" i="23"/>
  <c r="R27" i="23"/>
  <c r="Q27" i="23"/>
  <c r="P27" i="23"/>
  <c r="O27" i="23"/>
  <c r="U26" i="23"/>
  <c r="T26" i="23"/>
  <c r="S26" i="23"/>
  <c r="R26" i="23"/>
  <c r="Q26" i="23"/>
  <c r="P26" i="23"/>
  <c r="O26" i="23"/>
  <c r="U25" i="23"/>
  <c r="T25" i="23"/>
  <c r="S25" i="23"/>
  <c r="R25" i="23"/>
  <c r="Q25" i="23"/>
  <c r="P25" i="23"/>
  <c r="O25" i="23"/>
  <c r="U24" i="23"/>
  <c r="T24" i="23"/>
  <c r="S24" i="23"/>
  <c r="R24" i="23"/>
  <c r="Q24" i="23"/>
  <c r="P24" i="23"/>
  <c r="O24" i="23"/>
  <c r="U23" i="23"/>
  <c r="T23" i="23"/>
  <c r="S23" i="23"/>
  <c r="R23" i="23"/>
  <c r="Q23" i="23"/>
  <c r="P23" i="23"/>
  <c r="O23" i="23"/>
  <c r="U22" i="23"/>
  <c r="T22" i="23"/>
  <c r="S22" i="23"/>
  <c r="R22" i="23"/>
  <c r="Q22" i="23"/>
  <c r="P22" i="23"/>
  <c r="O22" i="23"/>
  <c r="U21" i="23"/>
  <c r="T21" i="23"/>
  <c r="S21" i="23"/>
  <c r="R21" i="23"/>
  <c r="Q21" i="23"/>
  <c r="P21" i="23"/>
  <c r="O21" i="23"/>
  <c r="U20" i="23"/>
  <c r="T20" i="23"/>
  <c r="S20" i="23"/>
  <c r="R20" i="23"/>
  <c r="Q20" i="23"/>
  <c r="P20" i="23"/>
  <c r="O20" i="23"/>
  <c r="U19" i="23"/>
  <c r="T19" i="23"/>
  <c r="S19" i="23"/>
  <c r="R19" i="23"/>
  <c r="Q19" i="23"/>
  <c r="P19" i="23"/>
  <c r="O19" i="23"/>
  <c r="U18" i="23"/>
  <c r="T18" i="23"/>
  <c r="S18" i="23"/>
  <c r="R18" i="23"/>
  <c r="Q18" i="23"/>
  <c r="P18" i="23"/>
  <c r="O18" i="23"/>
  <c r="L35" i="23"/>
  <c r="L34" i="23"/>
  <c r="L33" i="23"/>
  <c r="L32" i="23"/>
  <c r="L31" i="23"/>
  <c r="L30" i="23"/>
  <c r="L29" i="23"/>
  <c r="L28" i="23"/>
  <c r="L27" i="23"/>
  <c r="L26" i="23"/>
  <c r="L25" i="23"/>
  <c r="L24" i="23"/>
  <c r="L23" i="23"/>
  <c r="L22" i="23"/>
  <c r="L21" i="23"/>
  <c r="L20" i="23"/>
  <c r="L19" i="23"/>
  <c r="L18" i="23"/>
  <c r="K35" i="23"/>
  <c r="K34" i="23"/>
  <c r="K33" i="23"/>
  <c r="K32" i="23"/>
  <c r="K31" i="23"/>
  <c r="K30" i="23"/>
  <c r="K29" i="23"/>
  <c r="K28" i="23"/>
  <c r="K27" i="23"/>
  <c r="K26" i="23"/>
  <c r="K25" i="23"/>
  <c r="K24" i="23"/>
  <c r="K23" i="23"/>
  <c r="K22" i="23"/>
  <c r="K21" i="23"/>
  <c r="K20" i="23"/>
  <c r="K19" i="23"/>
  <c r="K18" i="23"/>
  <c r="J35" i="23"/>
  <c r="J34" i="23"/>
  <c r="J33" i="23"/>
  <c r="J32" i="23"/>
  <c r="J31" i="23"/>
  <c r="J30" i="23"/>
  <c r="J29" i="23"/>
  <c r="J28" i="23"/>
  <c r="J27" i="23"/>
  <c r="J26" i="23"/>
  <c r="J25" i="23"/>
  <c r="J24" i="23"/>
  <c r="J23" i="23"/>
  <c r="J22" i="23"/>
  <c r="J21" i="23"/>
  <c r="J20" i="23"/>
  <c r="J19" i="23"/>
  <c r="J18" i="23"/>
  <c r="I35" i="23"/>
  <c r="I34" i="23"/>
  <c r="I33" i="23"/>
  <c r="I32" i="23"/>
  <c r="I31" i="23"/>
  <c r="I30" i="23"/>
  <c r="I29" i="23"/>
  <c r="I28" i="23"/>
  <c r="I27" i="23"/>
  <c r="I26" i="23"/>
  <c r="I25" i="23"/>
  <c r="I24" i="23"/>
  <c r="I23" i="23"/>
  <c r="I22" i="23"/>
  <c r="I21" i="23"/>
  <c r="I20" i="23"/>
  <c r="I19" i="23"/>
  <c r="I18" i="23"/>
  <c r="H35" i="23"/>
  <c r="H34" i="23"/>
  <c r="H33" i="23"/>
  <c r="H32" i="23"/>
  <c r="H31" i="23"/>
  <c r="H30" i="23"/>
  <c r="H29" i="23"/>
  <c r="H28" i="23"/>
  <c r="H27" i="23"/>
  <c r="H26" i="23"/>
  <c r="H25" i="23"/>
  <c r="H24" i="23"/>
  <c r="H23" i="23"/>
  <c r="H22" i="23"/>
  <c r="H21" i="23"/>
  <c r="H20" i="23"/>
  <c r="H19" i="23"/>
  <c r="H18" i="23"/>
  <c r="G35" i="23"/>
  <c r="G34" i="23"/>
  <c r="G33" i="23"/>
  <c r="G32" i="23"/>
  <c r="G31" i="23"/>
  <c r="G30" i="23"/>
  <c r="G29" i="23"/>
  <c r="G28" i="23"/>
  <c r="G27" i="23"/>
  <c r="G26" i="23"/>
  <c r="G25" i="23"/>
  <c r="G24" i="23"/>
  <c r="G23" i="23"/>
  <c r="G22" i="23"/>
  <c r="G21" i="23"/>
  <c r="G20" i="23"/>
  <c r="G19" i="23"/>
  <c r="G18" i="23"/>
  <c r="F33" i="23"/>
  <c r="F32" i="23"/>
  <c r="F31" i="23"/>
  <c r="F30" i="23"/>
  <c r="F29" i="23"/>
  <c r="F28" i="23"/>
  <c r="F27" i="23"/>
  <c r="F26" i="23"/>
  <c r="F25" i="23"/>
  <c r="F24" i="23"/>
  <c r="F19" i="23"/>
  <c r="F18" i="23"/>
  <c r="F20" i="23"/>
  <c r="F21" i="23"/>
  <c r="F23" i="23"/>
  <c r="F22" i="23"/>
  <c r="F34" i="23"/>
  <c r="F35" i="23"/>
  <c r="AY35" i="23"/>
  <c r="AY34" i="23"/>
  <c r="AY33" i="23"/>
  <c r="AY32" i="23"/>
  <c r="AY31" i="23"/>
  <c r="AY30" i="23"/>
  <c r="AY29" i="23"/>
  <c r="AY28" i="23"/>
  <c r="AY27" i="23"/>
  <c r="AY26" i="23"/>
  <c r="AY25" i="23"/>
  <c r="AY24" i="23"/>
  <c r="AW35" i="23"/>
  <c r="AW34" i="23"/>
  <c r="AW33" i="23"/>
  <c r="AW32" i="23"/>
  <c r="AW31" i="23"/>
  <c r="AW30" i="23"/>
  <c r="AW29" i="23"/>
  <c r="AW28" i="23"/>
  <c r="AW27" i="23"/>
  <c r="AW26" i="23"/>
  <c r="AW25" i="23"/>
  <c r="AW24" i="23"/>
  <c r="AO35" i="23"/>
  <c r="AN35" i="23"/>
  <c r="AO34" i="23"/>
  <c r="AN34" i="23"/>
  <c r="AO33" i="23"/>
  <c r="AN33" i="23"/>
  <c r="AO32" i="23"/>
  <c r="AN32" i="23"/>
  <c r="AO31" i="23"/>
  <c r="AN31" i="23"/>
  <c r="AO30" i="23"/>
  <c r="AN30" i="23"/>
  <c r="AO29" i="23"/>
  <c r="AN29" i="23"/>
  <c r="AO28" i="23"/>
  <c r="AN28" i="23"/>
  <c r="AO27" i="23"/>
  <c r="AN27" i="23"/>
  <c r="AO26" i="23"/>
  <c r="AN26" i="23"/>
  <c r="AO25" i="23"/>
  <c r="AN25" i="23"/>
  <c r="AO24" i="23"/>
  <c r="AN24" i="23"/>
  <c r="AF35" i="23"/>
  <c r="AE35" i="23"/>
  <c r="AF34" i="23"/>
  <c r="AE34" i="23"/>
  <c r="AF33" i="23"/>
  <c r="AE33" i="23"/>
  <c r="AF32" i="23"/>
  <c r="AE32" i="23"/>
  <c r="AF31" i="23"/>
  <c r="AE31" i="23"/>
  <c r="AF30" i="23"/>
  <c r="AE30" i="23"/>
  <c r="AF29" i="23"/>
  <c r="AE29" i="23"/>
  <c r="AF28" i="23"/>
  <c r="AE28" i="23"/>
  <c r="AF27" i="23"/>
  <c r="AE27" i="23"/>
  <c r="AF26" i="23"/>
  <c r="AE26" i="23"/>
  <c r="AF25" i="23"/>
  <c r="AE25" i="23"/>
  <c r="AF24" i="23"/>
  <c r="AE24" i="23"/>
  <c r="W35" i="23"/>
  <c r="V35" i="23"/>
  <c r="W34" i="23"/>
  <c r="V34" i="23"/>
  <c r="W33" i="23"/>
  <c r="V33" i="23"/>
  <c r="W32" i="23"/>
  <c r="V32" i="23"/>
  <c r="W31" i="23"/>
  <c r="V31" i="23"/>
  <c r="W30" i="23"/>
  <c r="V30" i="23"/>
  <c r="W29" i="23"/>
  <c r="V29" i="23"/>
  <c r="W28" i="23"/>
  <c r="V28" i="23"/>
  <c r="W27" i="23"/>
  <c r="V27" i="23"/>
  <c r="W26" i="23"/>
  <c r="V26" i="23"/>
  <c r="W25" i="23"/>
  <c r="V25" i="23"/>
  <c r="W24" i="23"/>
  <c r="V24" i="23"/>
  <c r="N35" i="23"/>
  <c r="M35" i="23"/>
  <c r="N34" i="23"/>
  <c r="M34" i="23"/>
  <c r="N33" i="23"/>
  <c r="M33" i="23"/>
  <c r="N32" i="23"/>
  <c r="M32" i="23"/>
  <c r="N31" i="23"/>
  <c r="M31" i="23"/>
  <c r="N30" i="23"/>
  <c r="M30" i="23"/>
  <c r="N29" i="23"/>
  <c r="M29" i="23"/>
  <c r="N28" i="23"/>
  <c r="M28" i="23"/>
  <c r="N27" i="23"/>
  <c r="M27" i="23"/>
  <c r="N26" i="23"/>
  <c r="M26" i="23"/>
  <c r="N25" i="23"/>
  <c r="M25" i="23"/>
  <c r="N24" i="23"/>
  <c r="M24" i="23"/>
  <c r="E35" i="23"/>
  <c r="D35" i="23"/>
  <c r="E34" i="23"/>
  <c r="D34" i="23"/>
  <c r="E33" i="23"/>
  <c r="D33" i="23"/>
  <c r="E32" i="23"/>
  <c r="D32" i="23"/>
  <c r="E31" i="23"/>
  <c r="D31" i="23"/>
  <c r="E30" i="23"/>
  <c r="D30" i="23"/>
  <c r="E29" i="23"/>
  <c r="E28" i="23"/>
  <c r="E27" i="23"/>
  <c r="E26" i="23"/>
  <c r="E25" i="23"/>
  <c r="E24" i="23"/>
  <c r="D29" i="23"/>
  <c r="D28" i="23"/>
  <c r="D27" i="23"/>
  <c r="D26" i="23"/>
  <c r="D25" i="23"/>
  <c r="D24" i="23"/>
  <c r="E188" i="23"/>
  <c r="AY23" i="23"/>
  <c r="AY22" i="23"/>
  <c r="AY21" i="23"/>
  <c r="AY20" i="23"/>
  <c r="AY19" i="23"/>
  <c r="AY18" i="23"/>
  <c r="AW23" i="23"/>
  <c r="AW22" i="23"/>
  <c r="AW21" i="23"/>
  <c r="AW20" i="23"/>
  <c r="AW19" i="23"/>
  <c r="AW18" i="23"/>
  <c r="AO23" i="23"/>
  <c r="AN23" i="23"/>
  <c r="AO22" i="23"/>
  <c r="AN22" i="23"/>
  <c r="AO21" i="23"/>
  <c r="AN21" i="23"/>
  <c r="AO20" i="23"/>
  <c r="AN20" i="23"/>
  <c r="AO19" i="23"/>
  <c r="AN19" i="23"/>
  <c r="AO18" i="23"/>
  <c r="AN18" i="23"/>
  <c r="AF23" i="23"/>
  <c r="AE23" i="23"/>
  <c r="AF22" i="23"/>
  <c r="AE22" i="23"/>
  <c r="AF21" i="23"/>
  <c r="AE21" i="23"/>
  <c r="AF20" i="23"/>
  <c r="AE20" i="23"/>
  <c r="AF19" i="23"/>
  <c r="AE19" i="23"/>
  <c r="AF18" i="23"/>
  <c r="AE18" i="23"/>
  <c r="W23" i="23"/>
  <c r="V23" i="23"/>
  <c r="W22" i="23"/>
  <c r="V22" i="23"/>
  <c r="W21" i="23"/>
  <c r="V21" i="23"/>
  <c r="W20" i="23"/>
  <c r="V20" i="23"/>
  <c r="W19" i="23"/>
  <c r="V19" i="23"/>
  <c r="W18" i="23"/>
  <c r="V18" i="23"/>
  <c r="N23" i="23"/>
  <c r="M23" i="23"/>
  <c r="N22" i="23"/>
  <c r="M22" i="23"/>
  <c r="N21" i="23"/>
  <c r="M21" i="23"/>
  <c r="N20" i="23"/>
  <c r="M20" i="23"/>
  <c r="N19" i="23"/>
  <c r="M19" i="23"/>
  <c r="N18" i="23"/>
  <c r="M18" i="23"/>
  <c r="E23" i="23"/>
  <c r="E22" i="23"/>
  <c r="E21" i="23"/>
  <c r="E20" i="23"/>
  <c r="E19" i="23"/>
  <c r="E18" i="23"/>
  <c r="D23" i="23"/>
  <c r="D22" i="23"/>
  <c r="D21" i="23"/>
  <c r="D20" i="23"/>
  <c r="D19" i="23"/>
  <c r="D18" i="23"/>
  <c r="T35" i="3"/>
  <c r="R35" i="3"/>
  <c r="Q35" i="3"/>
  <c r="P35" i="3"/>
  <c r="O35" i="3"/>
  <c r="N35" i="3"/>
  <c r="M35" i="3"/>
  <c r="L35" i="3"/>
  <c r="K35" i="3"/>
  <c r="J35" i="3"/>
  <c r="I35" i="3"/>
  <c r="H35" i="3"/>
  <c r="F35" i="3"/>
  <c r="D35" i="3"/>
  <c r="T34" i="3"/>
  <c r="R34" i="3"/>
  <c r="Q34" i="3"/>
  <c r="P34" i="3"/>
  <c r="O34" i="3"/>
  <c r="N34" i="3"/>
  <c r="M34" i="3"/>
  <c r="L34" i="3"/>
  <c r="K34" i="3"/>
  <c r="J34" i="3"/>
  <c r="I34" i="3"/>
  <c r="H34" i="3"/>
  <c r="F34" i="3"/>
  <c r="D34" i="3"/>
  <c r="T33" i="3"/>
  <c r="R33" i="3"/>
  <c r="Q33" i="3"/>
  <c r="P33" i="3"/>
  <c r="O33" i="3"/>
  <c r="N33" i="3"/>
  <c r="M33" i="3"/>
  <c r="L33" i="3"/>
  <c r="K33" i="3"/>
  <c r="J33" i="3"/>
  <c r="I33" i="3"/>
  <c r="H33" i="3"/>
  <c r="F33" i="3"/>
  <c r="D33" i="3"/>
  <c r="T32" i="3"/>
  <c r="R32" i="3"/>
  <c r="Q32" i="3"/>
  <c r="P32" i="3"/>
  <c r="O32" i="3"/>
  <c r="N32" i="3"/>
  <c r="M32" i="3"/>
  <c r="L32" i="3"/>
  <c r="K32" i="3"/>
  <c r="J32" i="3"/>
  <c r="I32" i="3"/>
  <c r="H32" i="3"/>
  <c r="F32" i="3"/>
  <c r="D32" i="3"/>
  <c r="T31" i="3"/>
  <c r="R31" i="3"/>
  <c r="Q31" i="3"/>
  <c r="P31" i="3"/>
  <c r="O31" i="3"/>
  <c r="N31" i="3"/>
  <c r="M31" i="3"/>
  <c r="L31" i="3"/>
  <c r="K31" i="3"/>
  <c r="J31" i="3"/>
  <c r="I31" i="3"/>
  <c r="H31" i="3"/>
  <c r="F31" i="3"/>
  <c r="D31" i="3"/>
  <c r="T30" i="3"/>
  <c r="R30" i="3"/>
  <c r="Q30" i="3"/>
  <c r="P30" i="3"/>
  <c r="O30" i="3"/>
  <c r="N30" i="3"/>
  <c r="M30" i="3"/>
  <c r="L30" i="3"/>
  <c r="K30" i="3"/>
  <c r="J30" i="3"/>
  <c r="I30" i="3"/>
  <c r="H30" i="3"/>
  <c r="F30" i="3"/>
  <c r="D30" i="3"/>
  <c r="T29" i="3"/>
  <c r="T28" i="3"/>
  <c r="T27" i="3"/>
  <c r="T26" i="3"/>
  <c r="T25" i="3"/>
  <c r="T24" i="3"/>
  <c r="R29" i="3"/>
  <c r="Q29" i="3"/>
  <c r="P29" i="3"/>
  <c r="O29" i="3"/>
  <c r="N29" i="3"/>
  <c r="M29" i="3"/>
  <c r="L29" i="3"/>
  <c r="K29" i="3"/>
  <c r="J29" i="3"/>
  <c r="I29" i="3"/>
  <c r="R28" i="3"/>
  <c r="Q28" i="3"/>
  <c r="P28" i="3"/>
  <c r="O28" i="3"/>
  <c r="N28" i="3"/>
  <c r="M28" i="3"/>
  <c r="L28" i="3"/>
  <c r="K28" i="3"/>
  <c r="J28" i="3"/>
  <c r="I28" i="3"/>
  <c r="R27" i="3"/>
  <c r="Q27" i="3"/>
  <c r="P27" i="3"/>
  <c r="O27" i="3"/>
  <c r="N27" i="3"/>
  <c r="M27" i="3"/>
  <c r="L27" i="3"/>
  <c r="K27" i="3"/>
  <c r="J27" i="3"/>
  <c r="I27" i="3"/>
  <c r="R26" i="3"/>
  <c r="Q26" i="3"/>
  <c r="P26" i="3"/>
  <c r="O26" i="3"/>
  <c r="N26" i="3"/>
  <c r="M26" i="3"/>
  <c r="L26" i="3"/>
  <c r="K26" i="3"/>
  <c r="J26" i="3"/>
  <c r="I26" i="3"/>
  <c r="R25" i="3"/>
  <c r="Q25" i="3"/>
  <c r="P25" i="3"/>
  <c r="O25" i="3"/>
  <c r="N25" i="3"/>
  <c r="M25" i="3"/>
  <c r="L25" i="3"/>
  <c r="K25" i="3"/>
  <c r="J25" i="3"/>
  <c r="I25" i="3"/>
  <c r="R24" i="3"/>
  <c r="Q24" i="3"/>
  <c r="P24" i="3"/>
  <c r="O24" i="3"/>
  <c r="N24" i="3"/>
  <c r="M24" i="3"/>
  <c r="L24" i="3"/>
  <c r="K24" i="3"/>
  <c r="J24" i="3"/>
  <c r="I24" i="3"/>
  <c r="H29" i="3"/>
  <c r="H28" i="3"/>
  <c r="H27" i="3"/>
  <c r="H26" i="3"/>
  <c r="H25" i="3"/>
  <c r="H24" i="3"/>
  <c r="F29" i="3"/>
  <c r="F28" i="3"/>
  <c r="F27" i="3"/>
  <c r="F26" i="3"/>
  <c r="F25" i="3"/>
  <c r="F24" i="3"/>
  <c r="D29" i="3"/>
  <c r="D28" i="3"/>
  <c r="D27" i="3"/>
  <c r="D26" i="3"/>
  <c r="D25" i="3"/>
  <c r="D24" i="3"/>
  <c r="T23" i="3"/>
  <c r="T22" i="3"/>
  <c r="T21" i="3"/>
  <c r="T20" i="3"/>
  <c r="T19" i="3"/>
  <c r="T18" i="3"/>
  <c r="Q23" i="3"/>
  <c r="Q22" i="3"/>
  <c r="Q21" i="3"/>
  <c r="Q20" i="3"/>
  <c r="Q19" i="3"/>
  <c r="Q18" i="3"/>
  <c r="O23" i="3"/>
  <c r="O22" i="3"/>
  <c r="O21" i="3"/>
  <c r="O20" i="3"/>
  <c r="O19" i="3"/>
  <c r="O18" i="3"/>
  <c r="M23" i="3"/>
  <c r="M22" i="3"/>
  <c r="M21" i="3"/>
  <c r="M20" i="3"/>
  <c r="M19" i="3"/>
  <c r="M18" i="3"/>
  <c r="K23" i="3"/>
  <c r="K22" i="3"/>
  <c r="K21" i="3"/>
  <c r="K20" i="3"/>
  <c r="K19" i="3"/>
  <c r="K18" i="3"/>
  <c r="I23" i="3"/>
  <c r="I22" i="3"/>
  <c r="I21" i="3"/>
  <c r="I20" i="3"/>
  <c r="I19" i="3"/>
  <c r="I18" i="3"/>
  <c r="R23" i="3"/>
  <c r="R22" i="3"/>
  <c r="R21" i="3"/>
  <c r="R20" i="3"/>
  <c r="R19" i="3"/>
  <c r="R18" i="3"/>
  <c r="P23" i="3"/>
  <c r="P22" i="3"/>
  <c r="P21" i="3"/>
  <c r="P20" i="3"/>
  <c r="P19" i="3"/>
  <c r="P18" i="3"/>
  <c r="N23" i="3"/>
  <c r="N22" i="3"/>
  <c r="N21" i="3"/>
  <c r="N20" i="3"/>
  <c r="N19" i="3"/>
  <c r="N18" i="3"/>
  <c r="L23" i="3"/>
  <c r="L22" i="3"/>
  <c r="L21" i="3"/>
  <c r="L20" i="3"/>
  <c r="L19" i="3"/>
  <c r="L18" i="3"/>
  <c r="J23" i="3"/>
  <c r="J22" i="3"/>
  <c r="J21" i="3"/>
  <c r="J20" i="3"/>
  <c r="J19" i="3"/>
  <c r="J18" i="3"/>
  <c r="H18" i="3"/>
  <c r="H23" i="3"/>
  <c r="H22" i="3"/>
  <c r="H21" i="3"/>
  <c r="H20" i="3"/>
  <c r="H19" i="3"/>
  <c r="F23" i="3"/>
  <c r="F22" i="3"/>
  <c r="F21" i="3"/>
  <c r="F20" i="3"/>
  <c r="F19" i="3"/>
  <c r="D23" i="3"/>
  <c r="D22" i="3"/>
  <c r="D21" i="3"/>
  <c r="D20" i="3"/>
  <c r="D19" i="3"/>
  <c r="F18" i="3"/>
  <c r="D18" i="3"/>
  <c r="AN270" i="23"/>
  <c r="AM270" i="23"/>
  <c r="AL270" i="23"/>
  <c r="AK270" i="23"/>
  <c r="AJ270" i="23"/>
  <c r="AI270" i="23"/>
  <c r="AH270" i="23"/>
  <c r="AG270" i="23"/>
  <c r="AF270" i="23"/>
  <c r="AE270" i="23"/>
  <c r="AD270" i="23"/>
  <c r="AC270" i="23"/>
  <c r="AB270" i="23"/>
  <c r="AA270" i="23"/>
  <c r="Z270" i="23"/>
  <c r="Y270" i="23"/>
  <c r="X270" i="23"/>
  <c r="W270" i="23"/>
  <c r="V270" i="23"/>
  <c r="U270" i="23"/>
  <c r="T270" i="23"/>
  <c r="S270" i="23"/>
  <c r="R270" i="23"/>
  <c r="Q270" i="23"/>
  <c r="P270" i="23"/>
  <c r="O270" i="23"/>
  <c r="N270" i="23"/>
  <c r="M270" i="23"/>
  <c r="L270" i="23"/>
  <c r="K270" i="23"/>
  <c r="J270" i="23"/>
  <c r="I270" i="23"/>
  <c r="H270" i="23"/>
  <c r="G270" i="23"/>
  <c r="F270" i="23"/>
  <c r="E270" i="23"/>
  <c r="AN269" i="23"/>
  <c r="AM269" i="23"/>
  <c r="AL269" i="23"/>
  <c r="AK269" i="23"/>
  <c r="AJ269" i="23"/>
  <c r="AI269" i="23"/>
  <c r="AH269" i="23"/>
  <c r="AG269" i="23"/>
  <c r="AF269" i="23"/>
  <c r="AE269" i="23"/>
  <c r="AD269" i="23"/>
  <c r="AC269" i="23"/>
  <c r="AB269" i="23"/>
  <c r="AA269" i="23"/>
  <c r="Z269" i="23"/>
  <c r="Y269" i="23"/>
  <c r="X269" i="23"/>
  <c r="W269" i="23"/>
  <c r="V269" i="23"/>
  <c r="U269" i="23"/>
  <c r="T269" i="23"/>
  <c r="S269" i="23"/>
  <c r="R269" i="23"/>
  <c r="Q269" i="23"/>
  <c r="P269" i="23"/>
  <c r="O269" i="23"/>
  <c r="N269" i="23"/>
  <c r="M269" i="23"/>
  <c r="L269" i="23"/>
  <c r="K269" i="23"/>
  <c r="J269" i="23"/>
  <c r="I269" i="23"/>
  <c r="H269" i="23"/>
  <c r="G269" i="23"/>
  <c r="F269" i="23"/>
  <c r="E269" i="23"/>
  <c r="AN268" i="23"/>
  <c r="AM268" i="23"/>
  <c r="AL268" i="23"/>
  <c r="AK268" i="23"/>
  <c r="AJ268" i="23"/>
  <c r="AI268" i="23"/>
  <c r="AH268" i="23"/>
  <c r="AG268" i="23"/>
  <c r="AF268" i="23"/>
  <c r="AE268" i="23"/>
  <c r="AD268" i="23"/>
  <c r="AC268" i="23"/>
  <c r="AB268" i="23"/>
  <c r="AA268" i="23"/>
  <c r="Z268" i="23"/>
  <c r="Y268" i="23"/>
  <c r="X268" i="23"/>
  <c r="W268" i="23"/>
  <c r="V268" i="23"/>
  <c r="U268" i="23"/>
  <c r="T268" i="23"/>
  <c r="S268" i="23"/>
  <c r="R268" i="23"/>
  <c r="Q268" i="23"/>
  <c r="P268" i="23"/>
  <c r="O268" i="23"/>
  <c r="N268" i="23"/>
  <c r="M268" i="23"/>
  <c r="L268" i="23"/>
  <c r="K268" i="23"/>
  <c r="J268" i="23"/>
  <c r="I268" i="23"/>
  <c r="H268" i="23"/>
  <c r="G268" i="23"/>
  <c r="F268" i="23"/>
  <c r="E268" i="23"/>
  <c r="AN267" i="23"/>
  <c r="AM267" i="23"/>
  <c r="AL267" i="23"/>
  <c r="AK267" i="23"/>
  <c r="AJ267" i="23"/>
  <c r="AI267" i="23"/>
  <c r="AH267" i="23"/>
  <c r="AG267" i="23"/>
  <c r="AF267" i="23"/>
  <c r="AE267" i="23"/>
  <c r="AD267" i="23"/>
  <c r="AC267" i="23"/>
  <c r="AB267" i="23"/>
  <c r="AA267" i="23"/>
  <c r="Z267" i="23"/>
  <c r="Y267" i="23"/>
  <c r="X267" i="23"/>
  <c r="W267" i="23"/>
  <c r="V267" i="23"/>
  <c r="U267" i="23"/>
  <c r="T267" i="23"/>
  <c r="S267" i="23"/>
  <c r="R267" i="23"/>
  <c r="Q267" i="23"/>
  <c r="P267" i="23"/>
  <c r="O267" i="23"/>
  <c r="N267" i="23"/>
  <c r="M267" i="23"/>
  <c r="L267" i="23"/>
  <c r="K267" i="23"/>
  <c r="J267" i="23"/>
  <c r="I267" i="23"/>
  <c r="H267" i="23"/>
  <c r="G267" i="23"/>
  <c r="F267" i="23"/>
  <c r="E267" i="23"/>
  <c r="AN266" i="23"/>
  <c r="AM266" i="23"/>
  <c r="AL266" i="23"/>
  <c r="AK266" i="23"/>
  <c r="AJ266" i="23"/>
  <c r="AI266" i="23"/>
  <c r="AH266" i="23"/>
  <c r="AG266" i="23"/>
  <c r="AF266" i="23"/>
  <c r="AE266" i="23"/>
  <c r="AD266" i="23"/>
  <c r="AC266" i="23"/>
  <c r="AB266" i="23"/>
  <c r="AA266" i="23"/>
  <c r="Z266" i="23"/>
  <c r="Y266" i="23"/>
  <c r="X266" i="23"/>
  <c r="W266" i="23"/>
  <c r="V266" i="23"/>
  <c r="U266" i="23"/>
  <c r="T266" i="23"/>
  <c r="S266" i="23"/>
  <c r="R266" i="23"/>
  <c r="Q266" i="23"/>
  <c r="P266" i="23"/>
  <c r="O266" i="23"/>
  <c r="N266" i="23"/>
  <c r="M266" i="23"/>
  <c r="L266" i="23"/>
  <c r="K266" i="23"/>
  <c r="J266" i="23"/>
  <c r="I266" i="23"/>
  <c r="H266" i="23"/>
  <c r="G266" i="23"/>
  <c r="F266" i="23"/>
  <c r="E266" i="23"/>
  <c r="AN265" i="23"/>
  <c r="AM265" i="23"/>
  <c r="AL265" i="23"/>
  <c r="AK265" i="23"/>
  <c r="AJ265" i="23"/>
  <c r="AI265" i="23"/>
  <c r="AH265" i="23"/>
  <c r="AG265" i="23"/>
  <c r="AF265" i="23"/>
  <c r="AE265" i="23"/>
  <c r="AD265" i="23"/>
  <c r="AC265" i="23"/>
  <c r="AB265" i="23"/>
  <c r="AA265" i="23"/>
  <c r="Z265" i="23"/>
  <c r="Y265" i="23"/>
  <c r="X265" i="23"/>
  <c r="W265" i="23"/>
  <c r="V265" i="23"/>
  <c r="U265" i="23"/>
  <c r="T265" i="23"/>
  <c r="S265" i="23"/>
  <c r="R265" i="23"/>
  <c r="Q265" i="23"/>
  <c r="P265" i="23"/>
  <c r="O265" i="23"/>
  <c r="N265" i="23"/>
  <c r="M265" i="23"/>
  <c r="L265" i="23"/>
  <c r="K265" i="23"/>
  <c r="J265" i="23"/>
  <c r="I265" i="23"/>
  <c r="H265" i="23"/>
  <c r="G265" i="23"/>
  <c r="F265" i="23"/>
  <c r="E265" i="23"/>
  <c r="V260" i="23"/>
  <c r="U260" i="23"/>
  <c r="T260" i="23"/>
  <c r="S260" i="23"/>
  <c r="R260" i="23"/>
  <c r="Q260" i="23"/>
  <c r="P260" i="23"/>
  <c r="O260" i="23"/>
  <c r="N260" i="23"/>
  <c r="M260" i="23"/>
  <c r="L260" i="23"/>
  <c r="K260" i="23"/>
  <c r="J260" i="23"/>
  <c r="I260" i="23"/>
  <c r="H260" i="23"/>
  <c r="G260" i="23"/>
  <c r="F260" i="23"/>
  <c r="E260" i="23"/>
  <c r="V259" i="23"/>
  <c r="U259" i="23"/>
  <c r="T259" i="23"/>
  <c r="S259" i="23"/>
  <c r="R259" i="23"/>
  <c r="Q259" i="23"/>
  <c r="P259" i="23"/>
  <c r="O259" i="23"/>
  <c r="N259" i="23"/>
  <c r="M259" i="23"/>
  <c r="L259" i="23"/>
  <c r="K259" i="23"/>
  <c r="J259" i="23"/>
  <c r="I259" i="23"/>
  <c r="H259" i="23"/>
  <c r="G259" i="23"/>
  <c r="F259" i="23"/>
  <c r="E259" i="23"/>
  <c r="V258" i="23"/>
  <c r="U258" i="23"/>
  <c r="T258" i="23"/>
  <c r="S258" i="23"/>
  <c r="R258" i="23"/>
  <c r="Q258" i="23"/>
  <c r="P258" i="23"/>
  <c r="O258" i="23"/>
  <c r="N258" i="23"/>
  <c r="M258" i="23"/>
  <c r="L258" i="23"/>
  <c r="K258" i="23"/>
  <c r="J258" i="23"/>
  <c r="I258" i="23"/>
  <c r="H258" i="23"/>
  <c r="G258" i="23"/>
  <c r="F258" i="23"/>
  <c r="E258" i="23"/>
  <c r="V257" i="23"/>
  <c r="U257" i="23"/>
  <c r="T257" i="23"/>
  <c r="S257" i="23"/>
  <c r="R257" i="23"/>
  <c r="Q257" i="23"/>
  <c r="P257" i="23"/>
  <c r="O257" i="23"/>
  <c r="N257" i="23"/>
  <c r="M257" i="23"/>
  <c r="L257" i="23"/>
  <c r="K257" i="23"/>
  <c r="J257" i="23"/>
  <c r="I257" i="23"/>
  <c r="H257" i="23"/>
  <c r="G257" i="23"/>
  <c r="F257" i="23"/>
  <c r="E257" i="23"/>
  <c r="V256" i="23"/>
  <c r="U256" i="23"/>
  <c r="T256" i="23"/>
  <c r="S256" i="23"/>
  <c r="R256" i="23"/>
  <c r="Q256" i="23"/>
  <c r="P256" i="23"/>
  <c r="O256" i="23"/>
  <c r="N256" i="23"/>
  <c r="M256" i="23"/>
  <c r="L256" i="23"/>
  <c r="K256" i="23"/>
  <c r="J256" i="23"/>
  <c r="I256" i="23"/>
  <c r="H256" i="23"/>
  <c r="G256" i="23"/>
  <c r="F256" i="23"/>
  <c r="E256" i="23"/>
  <c r="V255" i="23"/>
  <c r="U255" i="23"/>
  <c r="T255" i="23"/>
  <c r="S255" i="23"/>
  <c r="R255" i="23"/>
  <c r="Q255" i="23"/>
  <c r="P255" i="23"/>
  <c r="O255" i="23"/>
  <c r="N255" i="23"/>
  <c r="M255" i="23"/>
  <c r="L255" i="23"/>
  <c r="K255" i="23"/>
  <c r="J255" i="23"/>
  <c r="I255" i="23"/>
  <c r="H255" i="23"/>
  <c r="G255" i="23"/>
  <c r="F255" i="23"/>
  <c r="E255" i="23"/>
  <c r="AZ249" i="23"/>
  <c r="AY249" i="23"/>
  <c r="AX249" i="23"/>
  <c r="AW249" i="23"/>
  <c r="AV249" i="23"/>
  <c r="AU249" i="23"/>
  <c r="AT249" i="23"/>
  <c r="AS249" i="23"/>
  <c r="AR249" i="23"/>
  <c r="AQ249" i="23"/>
  <c r="AP249" i="23"/>
  <c r="AO249" i="23"/>
  <c r="AN249" i="23"/>
  <c r="AM249" i="23"/>
  <c r="AL249" i="23"/>
  <c r="AK249" i="23"/>
  <c r="AJ249" i="23"/>
  <c r="AI249" i="23"/>
  <c r="AH249" i="23"/>
  <c r="AG249" i="23"/>
  <c r="AF249" i="23"/>
  <c r="AE249" i="23"/>
  <c r="AD249" i="23"/>
  <c r="AC249" i="23"/>
  <c r="AB249" i="23"/>
  <c r="AA249" i="23"/>
  <c r="Z249" i="23"/>
  <c r="Y249" i="23"/>
  <c r="X249" i="23"/>
  <c r="W249" i="23"/>
  <c r="V249" i="23"/>
  <c r="U249" i="23"/>
  <c r="T249" i="23"/>
  <c r="S249" i="23"/>
  <c r="R249" i="23"/>
  <c r="Q249" i="23"/>
  <c r="P249" i="23"/>
  <c r="O249" i="23"/>
  <c r="N249" i="23"/>
  <c r="M249" i="23"/>
  <c r="L249" i="23"/>
  <c r="K249" i="23"/>
  <c r="J249" i="23"/>
  <c r="I249" i="23"/>
  <c r="H249" i="23"/>
  <c r="G249" i="23"/>
  <c r="F249" i="23"/>
  <c r="E249" i="23"/>
  <c r="AZ248" i="23"/>
  <c r="AY248" i="23"/>
  <c r="AX248" i="23"/>
  <c r="AW248" i="23"/>
  <c r="AV248" i="23"/>
  <c r="AU248" i="23"/>
  <c r="AT248" i="23"/>
  <c r="AS248" i="23"/>
  <c r="AR248" i="23"/>
  <c r="AQ248" i="23"/>
  <c r="AP248" i="23"/>
  <c r="AO248" i="23"/>
  <c r="AN248" i="23"/>
  <c r="AM248" i="23"/>
  <c r="AL248" i="23"/>
  <c r="AK248" i="23"/>
  <c r="AJ248" i="23"/>
  <c r="AI248" i="23"/>
  <c r="AH248" i="23"/>
  <c r="AG248" i="23"/>
  <c r="AF248" i="23"/>
  <c r="AE248" i="23"/>
  <c r="AD248" i="23"/>
  <c r="AC248" i="23"/>
  <c r="AB248" i="23"/>
  <c r="AA248" i="23"/>
  <c r="Z248" i="23"/>
  <c r="Y248" i="23"/>
  <c r="X248" i="23"/>
  <c r="W248" i="23"/>
  <c r="V248" i="23"/>
  <c r="U248" i="23"/>
  <c r="T248" i="23"/>
  <c r="S248" i="23"/>
  <c r="R248" i="23"/>
  <c r="Q248" i="23"/>
  <c r="P248" i="23"/>
  <c r="O248" i="23"/>
  <c r="N248" i="23"/>
  <c r="M248" i="23"/>
  <c r="L248" i="23"/>
  <c r="K248" i="23"/>
  <c r="J248" i="23"/>
  <c r="I248" i="23"/>
  <c r="H248" i="23"/>
  <c r="G248" i="23"/>
  <c r="F248" i="23"/>
  <c r="E248" i="23"/>
  <c r="AZ247" i="23"/>
  <c r="AY247" i="23"/>
  <c r="AX247" i="23"/>
  <c r="AW247" i="23"/>
  <c r="AV247" i="23"/>
  <c r="AU247" i="23"/>
  <c r="AT247" i="23"/>
  <c r="AS247" i="23"/>
  <c r="AR247" i="23"/>
  <c r="AQ247" i="23"/>
  <c r="AP247" i="23"/>
  <c r="AO247" i="23"/>
  <c r="AN247" i="23"/>
  <c r="AM247" i="23"/>
  <c r="AL247" i="23"/>
  <c r="AK247" i="23"/>
  <c r="AJ247" i="23"/>
  <c r="AI247" i="23"/>
  <c r="AH247" i="23"/>
  <c r="AG247" i="23"/>
  <c r="AF247" i="23"/>
  <c r="AE247" i="23"/>
  <c r="AD247" i="23"/>
  <c r="AC247" i="23"/>
  <c r="AB247" i="23"/>
  <c r="AA247" i="23"/>
  <c r="Z247" i="23"/>
  <c r="Y247" i="23"/>
  <c r="X247" i="23"/>
  <c r="W247" i="23"/>
  <c r="V247" i="23"/>
  <c r="U247" i="23"/>
  <c r="T247" i="23"/>
  <c r="S247" i="23"/>
  <c r="R247" i="23"/>
  <c r="Q247" i="23"/>
  <c r="P247" i="23"/>
  <c r="O247" i="23"/>
  <c r="N247" i="23"/>
  <c r="M247" i="23"/>
  <c r="L247" i="23"/>
  <c r="K247" i="23"/>
  <c r="J247" i="23"/>
  <c r="I247" i="23"/>
  <c r="H247" i="23"/>
  <c r="G247" i="23"/>
  <c r="F247" i="23"/>
  <c r="E247" i="23"/>
  <c r="AZ246" i="23"/>
  <c r="AY246" i="23"/>
  <c r="AX246" i="23"/>
  <c r="AW246" i="23"/>
  <c r="AV246" i="23"/>
  <c r="AU246" i="23"/>
  <c r="AT246" i="23"/>
  <c r="AS246" i="23"/>
  <c r="AR246" i="23"/>
  <c r="AQ246" i="23"/>
  <c r="AP246" i="23"/>
  <c r="AO246" i="23"/>
  <c r="AN246" i="23"/>
  <c r="AM246" i="23"/>
  <c r="AL246" i="23"/>
  <c r="AK246" i="23"/>
  <c r="AJ246" i="23"/>
  <c r="AI246" i="23"/>
  <c r="AH246" i="23"/>
  <c r="AG246" i="23"/>
  <c r="AF246" i="23"/>
  <c r="AE246" i="23"/>
  <c r="AD246" i="23"/>
  <c r="AC246" i="23"/>
  <c r="AB246" i="23"/>
  <c r="AA246" i="23"/>
  <c r="Z246" i="23"/>
  <c r="Y246" i="23"/>
  <c r="X246" i="23"/>
  <c r="W246" i="23"/>
  <c r="V246" i="23"/>
  <c r="U246" i="23"/>
  <c r="T246" i="23"/>
  <c r="S246" i="23"/>
  <c r="R246" i="23"/>
  <c r="Q246" i="23"/>
  <c r="P246" i="23"/>
  <c r="O246" i="23"/>
  <c r="N246" i="23"/>
  <c r="M246" i="23"/>
  <c r="L246" i="23"/>
  <c r="K246" i="23"/>
  <c r="J246" i="23"/>
  <c r="I246" i="23"/>
  <c r="H246" i="23"/>
  <c r="G246" i="23"/>
  <c r="F246" i="23"/>
  <c r="E246" i="23"/>
  <c r="AZ245" i="23"/>
  <c r="AY245" i="23"/>
  <c r="AX245" i="23"/>
  <c r="AW245" i="23"/>
  <c r="AV245" i="23"/>
  <c r="AU245" i="23"/>
  <c r="AT245" i="23"/>
  <c r="AS245" i="23"/>
  <c r="AR245" i="23"/>
  <c r="AQ245" i="23"/>
  <c r="AP245" i="23"/>
  <c r="AO245" i="23"/>
  <c r="AN245" i="23"/>
  <c r="AM245" i="23"/>
  <c r="AL245" i="23"/>
  <c r="AK245" i="23"/>
  <c r="AJ245" i="23"/>
  <c r="AI245" i="23"/>
  <c r="AH245" i="23"/>
  <c r="AG245" i="23"/>
  <c r="AF245" i="23"/>
  <c r="AE245" i="23"/>
  <c r="AD245" i="23"/>
  <c r="AC245" i="23"/>
  <c r="AB245" i="23"/>
  <c r="AA245" i="23"/>
  <c r="Z245" i="23"/>
  <c r="Y245" i="23"/>
  <c r="X245" i="23"/>
  <c r="W245" i="23"/>
  <c r="V245" i="23"/>
  <c r="U245" i="23"/>
  <c r="T245" i="23"/>
  <c r="S245" i="23"/>
  <c r="R245" i="23"/>
  <c r="Q245" i="23"/>
  <c r="P245" i="23"/>
  <c r="O245" i="23"/>
  <c r="N245" i="23"/>
  <c r="M245" i="23"/>
  <c r="L245" i="23"/>
  <c r="K245" i="23"/>
  <c r="J245" i="23"/>
  <c r="I245" i="23"/>
  <c r="H245" i="23"/>
  <c r="G245" i="23"/>
  <c r="F245" i="23"/>
  <c r="E245" i="23"/>
  <c r="AZ244" i="23"/>
  <c r="AY244" i="23"/>
  <c r="AX244" i="23"/>
  <c r="AW244" i="23"/>
  <c r="AV244" i="23"/>
  <c r="AU244" i="23"/>
  <c r="AT244" i="23"/>
  <c r="AS244" i="23"/>
  <c r="AR244" i="23"/>
  <c r="AQ244" i="23"/>
  <c r="AP244" i="23"/>
  <c r="AO244" i="23"/>
  <c r="AN244" i="23"/>
  <c r="AM244" i="23"/>
  <c r="AL244" i="23"/>
  <c r="AK244" i="23"/>
  <c r="AJ244" i="23"/>
  <c r="AI244" i="23"/>
  <c r="AH244" i="23"/>
  <c r="AG244" i="23"/>
  <c r="AF244" i="23"/>
  <c r="AE244" i="23"/>
  <c r="AD244" i="23"/>
  <c r="AC244" i="23"/>
  <c r="AB244" i="23"/>
  <c r="AA244" i="23"/>
  <c r="Z244" i="23"/>
  <c r="Y244" i="23"/>
  <c r="X244" i="23"/>
  <c r="W244" i="23"/>
  <c r="V244" i="23"/>
  <c r="U244" i="23"/>
  <c r="T244" i="23"/>
  <c r="S244" i="23"/>
  <c r="R244" i="23"/>
  <c r="Q244" i="23"/>
  <c r="P244" i="23"/>
  <c r="O244" i="23"/>
  <c r="N244" i="23"/>
  <c r="M244" i="23"/>
  <c r="L244" i="23"/>
  <c r="K244" i="23"/>
  <c r="J244" i="23"/>
  <c r="I244" i="23"/>
  <c r="H244" i="23"/>
  <c r="G244" i="23"/>
  <c r="F244" i="23"/>
  <c r="E244" i="23"/>
  <c r="BG14" i="23"/>
  <c r="BF14" i="23"/>
  <c r="BE14" i="23"/>
  <c r="BG13" i="23"/>
  <c r="BF13" i="23"/>
  <c r="BE13" i="23"/>
  <c r="BG12" i="23"/>
  <c r="BF12" i="23"/>
  <c r="BE12" i="23"/>
  <c r="BG14" i="16"/>
  <c r="BF14" i="16"/>
  <c r="BE14" i="16"/>
  <c r="BG13" i="16"/>
  <c r="BF13" i="16"/>
  <c r="BE13" i="16"/>
  <c r="BG12" i="16"/>
  <c r="BF12" i="16"/>
  <c r="BE12" i="16"/>
  <c r="O95" i="64" l="1"/>
  <c r="P277" i="64"/>
  <c r="O220" i="64"/>
  <c r="O38" i="64"/>
  <c r="P278" i="64"/>
  <c r="O218" i="64"/>
  <c r="O159" i="64"/>
  <c r="O158" i="64"/>
  <c r="O94" i="64"/>
  <c r="O219" i="64"/>
  <c r="O36" i="64"/>
  <c r="P276" i="64"/>
  <c r="P274" i="64"/>
  <c r="O217" i="64"/>
  <c r="O19" i="64"/>
  <c r="O216" i="64"/>
  <c r="P275" i="64"/>
  <c r="P273" i="64"/>
  <c r="O215" i="64"/>
  <c r="O155" i="64"/>
  <c r="O154" i="64"/>
  <c r="O34" i="64"/>
  <c r="O92" i="64"/>
  <c r="O156" i="64"/>
  <c r="O77" i="64"/>
  <c r="O35" i="64"/>
  <c r="O33" i="64"/>
  <c r="O90" i="64"/>
  <c r="O31" i="64"/>
  <c r="O91" i="64"/>
  <c r="O83" i="64"/>
  <c r="P265" i="64"/>
  <c r="P259" i="64"/>
  <c r="O87" i="64"/>
  <c r="O145" i="64"/>
  <c r="O23" i="64"/>
  <c r="O140" i="64"/>
  <c r="O79" i="64"/>
  <c r="O88" i="64"/>
  <c r="O76" i="64"/>
  <c r="P256" i="64"/>
  <c r="O201" i="64"/>
  <c r="O210" i="64"/>
  <c r="O152" i="64"/>
  <c r="O27" i="64"/>
  <c r="P255" i="64"/>
  <c r="O32" i="64"/>
  <c r="O150" i="64"/>
  <c r="O80" i="64"/>
  <c r="O17" i="64"/>
  <c r="O208" i="64"/>
  <c r="O74" i="64"/>
  <c r="P272" i="64"/>
  <c r="O20" i="64"/>
  <c r="P260" i="64"/>
  <c r="O214" i="64"/>
  <c r="O147" i="64"/>
  <c r="O26" i="64"/>
  <c r="O29" i="64"/>
  <c r="O211" i="64"/>
  <c r="O138" i="64"/>
  <c r="P266" i="64"/>
  <c r="O73" i="64"/>
  <c r="O149" i="64"/>
  <c r="O85" i="64"/>
  <c r="O198" i="64"/>
  <c r="O22" i="64"/>
  <c r="O206" i="64"/>
  <c r="O84" i="64"/>
  <c r="O75" i="64"/>
  <c r="O200" i="64"/>
  <c r="P257" i="64"/>
  <c r="P263" i="64"/>
  <c r="P269" i="64"/>
  <c r="P267" i="64"/>
  <c r="O209" i="64"/>
  <c r="O141" i="64"/>
  <c r="O89" i="64"/>
  <c r="O86" i="64"/>
  <c r="O139" i="64"/>
  <c r="O148" i="64"/>
  <c r="O151" i="64"/>
  <c r="O30" i="64"/>
  <c r="O136" i="64"/>
  <c r="P262" i="64"/>
  <c r="O21" i="64"/>
  <c r="O207" i="64"/>
  <c r="O18" i="64"/>
  <c r="O204" i="64"/>
  <c r="O72" i="64"/>
  <c r="O16" i="64"/>
  <c r="P264" i="64"/>
  <c r="O203" i="64"/>
  <c r="P258" i="64"/>
  <c r="O146" i="64"/>
  <c r="O82" i="64"/>
  <c r="O205" i="64"/>
  <c r="O199" i="64"/>
  <c r="P261" i="64"/>
  <c r="O81" i="64"/>
  <c r="O28" i="64"/>
  <c r="P271" i="64"/>
  <c r="O143" i="64"/>
  <c r="O15" i="64"/>
  <c r="O153" i="64"/>
  <c r="O142" i="64"/>
  <c r="P270" i="64"/>
  <c r="O78" i="64"/>
  <c r="O202" i="64"/>
  <c r="O144" i="64"/>
  <c r="P268" i="64"/>
  <c r="O24" i="64"/>
  <c r="O25" i="64"/>
  <c r="O213" i="64"/>
  <c r="O197" i="64"/>
  <c r="O137" i="64"/>
  <c r="O212" i="64"/>
  <c r="AB238" i="23"/>
  <c r="AA238" i="23"/>
  <c r="Z238" i="23"/>
  <c r="Y238" i="23"/>
  <c r="AB237" i="23"/>
  <c r="AA237" i="23"/>
  <c r="Z237" i="23"/>
  <c r="Y237" i="23"/>
  <c r="AB236" i="23"/>
  <c r="AA236" i="23"/>
  <c r="Z236" i="23"/>
  <c r="Y236" i="23"/>
  <c r="AB235" i="23"/>
  <c r="AA235" i="23"/>
  <c r="Z235" i="23"/>
  <c r="Y235" i="23"/>
  <c r="AB234" i="23"/>
  <c r="AA234" i="23"/>
  <c r="Z234" i="23"/>
  <c r="Y234" i="23"/>
  <c r="AB233" i="23"/>
  <c r="AA233" i="23"/>
  <c r="Z233" i="23"/>
  <c r="Y233" i="23"/>
  <c r="P181" i="23"/>
  <c r="P180" i="23"/>
  <c r="P179" i="23"/>
  <c r="P178" i="23"/>
  <c r="P177" i="23"/>
  <c r="O181" i="23"/>
  <c r="O180" i="23"/>
  <c r="O179" i="23"/>
  <c r="O178" i="23"/>
  <c r="O177" i="23"/>
  <c r="P176" i="23"/>
  <c r="O176" i="23"/>
  <c r="AB193" i="23"/>
  <c r="AB192" i="23"/>
  <c r="AB191" i="23"/>
  <c r="AB190" i="23"/>
  <c r="AB189" i="23"/>
  <c r="AA193" i="23"/>
  <c r="AA192" i="23"/>
  <c r="AA191" i="23"/>
  <c r="AA190" i="23"/>
  <c r="AA189" i="23"/>
  <c r="AB188" i="23"/>
  <c r="AA188" i="23"/>
  <c r="Z193" i="23"/>
  <c r="Z192" i="23"/>
  <c r="Z191" i="23"/>
  <c r="Z190" i="23"/>
  <c r="Z189" i="23"/>
  <c r="Z188" i="23"/>
  <c r="Y193" i="23"/>
  <c r="Y192" i="23"/>
  <c r="Y191" i="23"/>
  <c r="Y190" i="23"/>
  <c r="Y189" i="23"/>
  <c r="Y188" i="23"/>
  <c r="AO276" i="16"/>
  <c r="AO275" i="16"/>
  <c r="AO274" i="16"/>
  <c r="AO273" i="16"/>
  <c r="AO272" i="16"/>
  <c r="AN276" i="16"/>
  <c r="AN275" i="16"/>
  <c r="AN274" i="16"/>
  <c r="AN273" i="16"/>
  <c r="AN272" i="16"/>
  <c r="AM276" i="16"/>
  <c r="AM275" i="16"/>
  <c r="AM274" i="16"/>
  <c r="AM273" i="16"/>
  <c r="AM272" i="16"/>
  <c r="AL276" i="16"/>
  <c r="AL275" i="16"/>
  <c r="AL274" i="16"/>
  <c r="AL273" i="16"/>
  <c r="AL272" i="16"/>
  <c r="AK276" i="16"/>
  <c r="AK275" i="16"/>
  <c r="AK274" i="16"/>
  <c r="AK273" i="16"/>
  <c r="AK272" i="16"/>
  <c r="AJ276" i="16"/>
  <c r="AJ275" i="16"/>
  <c r="AJ274" i="16"/>
  <c r="AJ273" i="16"/>
  <c r="AJ272" i="16"/>
  <c r="AJ271" i="16"/>
  <c r="AK271" i="16"/>
  <c r="AO271" i="16"/>
  <c r="AN271" i="16"/>
  <c r="AM271" i="16"/>
  <c r="AL271" i="16"/>
  <c r="AI276" i="16"/>
  <c r="AI275" i="16"/>
  <c r="AI274" i="16"/>
  <c r="AI273" i="16"/>
  <c r="AI272" i="16"/>
  <c r="AH271" i="16"/>
  <c r="AH272" i="16"/>
  <c r="AH273" i="16"/>
  <c r="AH274" i="16"/>
  <c r="AH275" i="16"/>
  <c r="AH276" i="16"/>
  <c r="AG276" i="16"/>
  <c r="AG275" i="16"/>
  <c r="AG274" i="16"/>
  <c r="AG273" i="16"/>
  <c r="AG272" i="16"/>
  <c r="AF276" i="16"/>
  <c r="AF275" i="16"/>
  <c r="AF274" i="16"/>
  <c r="AF273" i="16"/>
  <c r="AF272" i="16"/>
  <c r="AE276" i="16"/>
  <c r="AE275" i="16"/>
  <c r="AE274" i="16"/>
  <c r="AE273" i="16"/>
  <c r="AE272" i="16"/>
  <c r="AD276" i="16"/>
  <c r="AD275" i="16"/>
  <c r="AD274" i="16"/>
  <c r="AD273" i="16"/>
  <c r="AD272" i="16"/>
  <c r="AI271" i="16"/>
  <c r="AG271" i="16"/>
  <c r="AF271" i="16"/>
  <c r="AE271" i="16"/>
  <c r="AD271" i="16"/>
  <c r="AB276" i="16" l="1"/>
  <c r="AB275" i="16"/>
  <c r="AB274" i="16"/>
  <c r="AB273" i="16"/>
  <c r="AB272" i="16"/>
  <c r="AA276" i="16"/>
  <c r="AA275" i="16"/>
  <c r="AA274" i="16"/>
  <c r="AA273" i="16"/>
  <c r="AA272" i="16"/>
  <c r="AC276" i="16"/>
  <c r="AC272" i="16"/>
  <c r="AC273" i="16"/>
  <c r="AC274" i="16"/>
  <c r="AC275" i="16"/>
  <c r="AC271" i="16"/>
  <c r="AB271" i="16"/>
  <c r="AA271" i="16"/>
  <c r="Z276" i="16"/>
  <c r="Z275" i="16"/>
  <c r="Z274" i="16"/>
  <c r="Z273" i="16"/>
  <c r="Z272" i="16"/>
  <c r="Z271" i="16"/>
  <c r="Y276" i="16"/>
  <c r="Y275" i="16"/>
  <c r="Y274" i="16"/>
  <c r="Y273" i="16"/>
  <c r="Y272" i="16"/>
  <c r="X276" i="16"/>
  <c r="X275" i="16"/>
  <c r="X274" i="16"/>
  <c r="X273" i="16"/>
  <c r="X272" i="16"/>
  <c r="Y271" i="16"/>
  <c r="X271" i="16"/>
  <c r="W276" i="16"/>
  <c r="W275" i="16"/>
  <c r="W274" i="16"/>
  <c r="W273" i="16"/>
  <c r="W272" i="16"/>
  <c r="V276" i="16"/>
  <c r="V275" i="16"/>
  <c r="V274" i="16"/>
  <c r="V273" i="16"/>
  <c r="V272" i="16"/>
  <c r="U276" i="16"/>
  <c r="U275" i="16"/>
  <c r="U274" i="16"/>
  <c r="U273" i="16"/>
  <c r="U272" i="16"/>
  <c r="W271" i="16"/>
  <c r="V271" i="16"/>
  <c r="U271" i="16"/>
  <c r="T276" i="16"/>
  <c r="T275" i="16"/>
  <c r="T274" i="16"/>
  <c r="T273" i="16"/>
  <c r="T272" i="16"/>
  <c r="S276" i="16"/>
  <c r="S275" i="16"/>
  <c r="S274" i="16"/>
  <c r="S273" i="16"/>
  <c r="S272" i="16"/>
  <c r="R276" i="16"/>
  <c r="R275" i="16"/>
  <c r="R274" i="16"/>
  <c r="R273" i="16"/>
  <c r="R272" i="16"/>
  <c r="T271" i="16"/>
  <c r="S271" i="16"/>
  <c r="R271" i="16"/>
  <c r="Q276" i="16"/>
  <c r="Q275" i="16"/>
  <c r="Q274" i="16"/>
  <c r="Q273" i="16"/>
  <c r="Q272" i="16"/>
  <c r="P276" i="16"/>
  <c r="P275" i="16"/>
  <c r="P274" i="16"/>
  <c r="P273" i="16"/>
  <c r="P272" i="16"/>
  <c r="O276" i="16"/>
  <c r="O275" i="16"/>
  <c r="O274" i="16"/>
  <c r="O273" i="16"/>
  <c r="O272" i="16"/>
  <c r="Q271" i="16"/>
  <c r="P271" i="16"/>
  <c r="O271" i="16"/>
  <c r="N276" i="16"/>
  <c r="N275" i="16"/>
  <c r="N274" i="16"/>
  <c r="N273" i="16"/>
  <c r="N272" i="16"/>
  <c r="M276" i="16"/>
  <c r="M275" i="16"/>
  <c r="M274" i="16"/>
  <c r="M273" i="16"/>
  <c r="M272" i="16"/>
  <c r="L276" i="16"/>
  <c r="L275" i="16"/>
  <c r="L274" i="16"/>
  <c r="L273" i="16"/>
  <c r="L272" i="16"/>
  <c r="N271" i="16"/>
  <c r="M271" i="16"/>
  <c r="L271" i="16"/>
  <c r="K276" i="16"/>
  <c r="K275" i="16"/>
  <c r="K274" i="16"/>
  <c r="K273" i="16"/>
  <c r="K272" i="16"/>
  <c r="J276" i="16"/>
  <c r="J275" i="16"/>
  <c r="J274" i="16"/>
  <c r="J273" i="16"/>
  <c r="J272" i="16"/>
  <c r="I276" i="16"/>
  <c r="I275" i="16"/>
  <c r="I274" i="16"/>
  <c r="I273" i="16"/>
  <c r="I272" i="16"/>
  <c r="K271" i="16"/>
  <c r="J271" i="16"/>
  <c r="I271" i="16"/>
  <c r="H276" i="16"/>
  <c r="H275" i="16"/>
  <c r="H274" i="16"/>
  <c r="H273" i="16"/>
  <c r="H272" i="16"/>
  <c r="G276" i="16"/>
  <c r="G275" i="16"/>
  <c r="G274" i="16"/>
  <c r="G273" i="16"/>
  <c r="G272" i="16"/>
  <c r="F276" i="16"/>
  <c r="F275" i="16"/>
  <c r="F274" i="16"/>
  <c r="F273" i="16"/>
  <c r="F272" i="16"/>
  <c r="H271" i="16"/>
  <c r="G271" i="16"/>
  <c r="F271" i="16"/>
  <c r="W266" i="16"/>
  <c r="W265" i="16"/>
  <c r="W264" i="16"/>
  <c r="W263" i="16"/>
  <c r="W262" i="16"/>
  <c r="V266" i="16"/>
  <c r="V265" i="16"/>
  <c r="V264" i="16"/>
  <c r="V263" i="16"/>
  <c r="V262" i="16"/>
  <c r="U266" i="16"/>
  <c r="U265" i="16"/>
  <c r="U264" i="16"/>
  <c r="U263" i="16"/>
  <c r="U262" i="16"/>
  <c r="W261" i="16"/>
  <c r="V261" i="16"/>
  <c r="U261" i="16"/>
  <c r="T266" i="16"/>
  <c r="T265" i="16"/>
  <c r="T264" i="16"/>
  <c r="T263" i="16"/>
  <c r="T262" i="16"/>
  <c r="S266" i="16"/>
  <c r="S265" i="16"/>
  <c r="S264" i="16"/>
  <c r="S263" i="16"/>
  <c r="S262" i="16"/>
  <c r="R266" i="16"/>
  <c r="R265" i="16"/>
  <c r="R264" i="16"/>
  <c r="R263" i="16"/>
  <c r="R262" i="16"/>
  <c r="T261" i="16"/>
  <c r="S261" i="16"/>
  <c r="R261" i="16"/>
  <c r="Q266" i="16"/>
  <c r="Q265" i="16"/>
  <c r="Q264" i="16"/>
  <c r="Q263" i="16"/>
  <c r="Q262" i="16"/>
  <c r="P266" i="16"/>
  <c r="P265" i="16"/>
  <c r="P264" i="16"/>
  <c r="P263" i="16"/>
  <c r="P262" i="16"/>
  <c r="O266" i="16"/>
  <c r="O265" i="16"/>
  <c r="O264" i="16"/>
  <c r="O263" i="16"/>
  <c r="O262" i="16"/>
  <c r="Q261" i="16"/>
  <c r="P261" i="16"/>
  <c r="O261" i="16"/>
  <c r="N266" i="16"/>
  <c r="N265" i="16"/>
  <c r="N264" i="16"/>
  <c r="N263" i="16"/>
  <c r="N262" i="16"/>
  <c r="M266" i="16"/>
  <c r="M265" i="16"/>
  <c r="M264" i="16"/>
  <c r="M263" i="16"/>
  <c r="M262" i="16"/>
  <c r="N261" i="16"/>
  <c r="M261" i="16"/>
  <c r="L266" i="16"/>
  <c r="L265" i="16"/>
  <c r="L264" i="16"/>
  <c r="L263" i="16"/>
  <c r="L262" i="16"/>
  <c r="L261" i="16"/>
  <c r="K266" i="16"/>
  <c r="K265" i="16"/>
  <c r="K264" i="16"/>
  <c r="K263" i="16"/>
  <c r="K262" i="16"/>
  <c r="K261" i="16"/>
  <c r="J266" i="16"/>
  <c r="J265" i="16"/>
  <c r="J264" i="16"/>
  <c r="J263" i="16"/>
  <c r="J262" i="16"/>
  <c r="J261" i="16"/>
  <c r="I266" i="16"/>
  <c r="I265" i="16"/>
  <c r="I264" i="16"/>
  <c r="I263" i="16"/>
  <c r="I262" i="16"/>
  <c r="I261" i="16"/>
  <c r="H266" i="16"/>
  <c r="H265" i="16"/>
  <c r="H264" i="16"/>
  <c r="H263" i="16"/>
  <c r="H262" i="16"/>
  <c r="H261" i="16"/>
  <c r="G266" i="16"/>
  <c r="G265" i="16"/>
  <c r="G264" i="16"/>
  <c r="G263" i="16"/>
  <c r="G262" i="16"/>
  <c r="G261" i="16"/>
  <c r="F266" i="16"/>
  <c r="F265" i="16"/>
  <c r="F264" i="16"/>
  <c r="F263" i="16"/>
  <c r="F262" i="16"/>
  <c r="F261" i="16"/>
  <c r="BA257" i="16" l="1"/>
  <c r="BA256" i="16"/>
  <c r="BA255" i="16"/>
  <c r="BA254" i="16"/>
  <c r="BA253" i="16"/>
  <c r="AZ257" i="16"/>
  <c r="AZ256" i="16"/>
  <c r="AZ255" i="16"/>
  <c r="AZ254" i="16"/>
  <c r="AZ253" i="16"/>
  <c r="AY257" i="16"/>
  <c r="AY256" i="16"/>
  <c r="AY255" i="16"/>
  <c r="AY254" i="16"/>
  <c r="AY253" i="16"/>
  <c r="AX257" i="16"/>
  <c r="AX256" i="16"/>
  <c r="AX255" i="16"/>
  <c r="AX254" i="16"/>
  <c r="AX253" i="16"/>
  <c r="BA252" i="16"/>
  <c r="AZ252" i="16"/>
  <c r="AY252" i="16"/>
  <c r="AX252" i="16"/>
  <c r="AW257" i="16"/>
  <c r="AW256" i="16"/>
  <c r="AW255" i="16"/>
  <c r="AW254" i="16"/>
  <c r="AW253" i="16"/>
  <c r="AV257" i="16"/>
  <c r="AV256" i="16"/>
  <c r="AV255" i="16"/>
  <c r="AV254" i="16"/>
  <c r="AV253" i="16"/>
  <c r="AU257" i="16"/>
  <c r="AU256" i="16"/>
  <c r="AU255" i="16"/>
  <c r="AU254" i="16"/>
  <c r="AU253" i="16"/>
  <c r="AT257" i="16"/>
  <c r="AT256" i="16"/>
  <c r="AT255" i="16"/>
  <c r="AT254" i="16"/>
  <c r="AT253" i="16"/>
  <c r="AW252" i="16"/>
  <c r="AV252" i="16"/>
  <c r="AU252" i="16"/>
  <c r="AT252" i="16"/>
  <c r="AS257" i="16"/>
  <c r="AS256" i="16"/>
  <c r="AS255" i="16"/>
  <c r="AS254" i="16"/>
  <c r="AS253" i="16"/>
  <c r="AR257" i="16"/>
  <c r="AR256" i="16"/>
  <c r="AR255" i="16"/>
  <c r="AR254" i="16"/>
  <c r="AR253" i="16"/>
  <c r="AQ257" i="16"/>
  <c r="AQ256" i="16"/>
  <c r="AQ255" i="16"/>
  <c r="AQ254" i="16"/>
  <c r="AQ253" i="16"/>
  <c r="AP257" i="16"/>
  <c r="AP256" i="16"/>
  <c r="AP255" i="16"/>
  <c r="AP254" i="16"/>
  <c r="AP253" i="16"/>
  <c r="AS252" i="16"/>
  <c r="AR252" i="16"/>
  <c r="AQ252" i="16"/>
  <c r="AP252" i="16"/>
  <c r="AO257" i="16"/>
  <c r="AO256" i="16"/>
  <c r="AO255" i="16"/>
  <c r="AO254" i="16"/>
  <c r="AO253" i="16"/>
  <c r="AN257" i="16"/>
  <c r="AN256" i="16"/>
  <c r="AN255" i="16"/>
  <c r="AN254" i="16"/>
  <c r="AN253" i="16"/>
  <c r="AM257" i="16"/>
  <c r="AM256" i="16"/>
  <c r="AM255" i="16"/>
  <c r="AM254" i="16"/>
  <c r="AM253" i="16"/>
  <c r="AL257" i="16"/>
  <c r="AL256" i="16"/>
  <c r="AL255" i="16"/>
  <c r="AL254" i="16"/>
  <c r="AL253" i="16"/>
  <c r="AO252" i="16"/>
  <c r="AN252" i="16"/>
  <c r="AM252" i="16"/>
  <c r="AL252" i="16"/>
  <c r="AK257" i="16"/>
  <c r="AK256" i="16"/>
  <c r="AK255" i="16"/>
  <c r="AK254" i="16"/>
  <c r="AK253" i="16"/>
  <c r="AJ257" i="16"/>
  <c r="AJ256" i="16"/>
  <c r="AJ255" i="16"/>
  <c r="AJ254" i="16"/>
  <c r="AJ253" i="16"/>
  <c r="AI257" i="16"/>
  <c r="AI256" i="16"/>
  <c r="AI255" i="16"/>
  <c r="AI254" i="16"/>
  <c r="AI253" i="16"/>
  <c r="AH257" i="16"/>
  <c r="AH256" i="16"/>
  <c r="AH255" i="16"/>
  <c r="AH254" i="16"/>
  <c r="AH253" i="16"/>
  <c r="AK252" i="16"/>
  <c r="AJ252" i="16"/>
  <c r="AI252" i="16"/>
  <c r="AH252" i="16"/>
  <c r="AG257" i="16"/>
  <c r="AG256" i="16"/>
  <c r="AG255" i="16"/>
  <c r="AG254" i="16"/>
  <c r="AG253" i="16"/>
  <c r="AF257" i="16"/>
  <c r="AF256" i="16"/>
  <c r="AF255" i="16"/>
  <c r="AF254" i="16"/>
  <c r="AF253" i="16"/>
  <c r="AE257" i="16"/>
  <c r="AE256" i="16"/>
  <c r="AE255" i="16"/>
  <c r="AE254" i="16"/>
  <c r="AE253" i="16"/>
  <c r="AD257" i="16"/>
  <c r="AD256" i="16"/>
  <c r="AD255" i="16"/>
  <c r="AD254" i="16"/>
  <c r="AD253" i="16"/>
  <c r="AG252" i="16"/>
  <c r="AF252" i="16"/>
  <c r="AE252" i="16"/>
  <c r="AD252" i="16"/>
  <c r="AC257" i="16"/>
  <c r="AC256" i="16"/>
  <c r="AC255" i="16"/>
  <c r="AC254" i="16"/>
  <c r="AC253" i="16"/>
  <c r="AB257" i="16"/>
  <c r="AB256" i="16"/>
  <c r="AB255" i="16"/>
  <c r="AB254" i="16"/>
  <c r="AB253" i="16"/>
  <c r="AA257" i="16"/>
  <c r="AA256" i="16"/>
  <c r="AA255" i="16"/>
  <c r="AA254" i="16"/>
  <c r="AA253" i="16"/>
  <c r="Z257" i="16"/>
  <c r="Z256" i="16"/>
  <c r="Z255" i="16"/>
  <c r="Z254" i="16"/>
  <c r="Z253" i="16"/>
  <c r="AC252" i="16"/>
  <c r="AB252" i="16"/>
  <c r="AA252" i="16"/>
  <c r="Z252" i="16"/>
  <c r="Y257" i="16"/>
  <c r="Y256" i="16"/>
  <c r="Y255" i="16"/>
  <c r="Y254" i="16"/>
  <c r="Y253" i="16"/>
  <c r="X257" i="16"/>
  <c r="X256" i="16"/>
  <c r="X255" i="16"/>
  <c r="X254" i="16"/>
  <c r="X253" i="16"/>
  <c r="W257" i="16"/>
  <c r="W256" i="16"/>
  <c r="W255" i="16"/>
  <c r="W254" i="16"/>
  <c r="W253" i="16"/>
  <c r="V257" i="16"/>
  <c r="V256" i="16"/>
  <c r="V255" i="16"/>
  <c r="V254" i="16"/>
  <c r="V253" i="16"/>
  <c r="Y252" i="16"/>
  <c r="X252" i="16"/>
  <c r="W252" i="16"/>
  <c r="V252" i="16"/>
  <c r="U257" i="16"/>
  <c r="U256" i="16"/>
  <c r="U255" i="16"/>
  <c r="U254" i="16"/>
  <c r="U253" i="16"/>
  <c r="T257" i="16"/>
  <c r="T256" i="16"/>
  <c r="T255" i="16"/>
  <c r="T254" i="16"/>
  <c r="T253" i="16"/>
  <c r="S257" i="16"/>
  <c r="S256" i="16"/>
  <c r="S255" i="16"/>
  <c r="S254" i="16"/>
  <c r="S253" i="16"/>
  <c r="R257" i="16"/>
  <c r="R256" i="16"/>
  <c r="R255" i="16"/>
  <c r="R254" i="16"/>
  <c r="R253" i="16"/>
  <c r="Q257" i="16"/>
  <c r="Q256" i="16"/>
  <c r="Q255" i="16"/>
  <c r="Q254" i="16"/>
  <c r="Q253" i="16"/>
  <c r="P257" i="16"/>
  <c r="P256" i="16"/>
  <c r="P255" i="16"/>
  <c r="P254" i="16"/>
  <c r="P253" i="16"/>
  <c r="O257" i="16"/>
  <c r="O256" i="16"/>
  <c r="O255" i="16"/>
  <c r="O254" i="16"/>
  <c r="O253" i="16"/>
  <c r="N257" i="16"/>
  <c r="N256" i="16"/>
  <c r="N255" i="16"/>
  <c r="N254" i="16"/>
  <c r="N253" i="16"/>
  <c r="U252" i="16"/>
  <c r="T252" i="16"/>
  <c r="S252" i="16"/>
  <c r="R252" i="16"/>
  <c r="Q252" i="16"/>
  <c r="P252" i="16"/>
  <c r="O252" i="16"/>
  <c r="N252" i="16"/>
  <c r="M257" i="16"/>
  <c r="M256" i="16"/>
  <c r="M255" i="16"/>
  <c r="M254" i="16"/>
  <c r="M253" i="16"/>
  <c r="L257" i="16"/>
  <c r="L256" i="16"/>
  <c r="L255" i="16"/>
  <c r="L254" i="16"/>
  <c r="L253" i="16"/>
  <c r="K257" i="16"/>
  <c r="K256" i="16"/>
  <c r="K255" i="16"/>
  <c r="K254" i="16"/>
  <c r="K253" i="16"/>
  <c r="J257" i="16"/>
  <c r="J256" i="16"/>
  <c r="J255" i="16"/>
  <c r="J254" i="16"/>
  <c r="J253" i="16"/>
  <c r="M252" i="16"/>
  <c r="L252" i="16"/>
  <c r="K252" i="16"/>
  <c r="J252" i="16"/>
  <c r="I257" i="16"/>
  <c r="I256" i="16"/>
  <c r="I255" i="16"/>
  <c r="I254" i="16"/>
  <c r="I253" i="16"/>
  <c r="H257" i="16"/>
  <c r="H256" i="16"/>
  <c r="H255" i="16"/>
  <c r="H254" i="16"/>
  <c r="H253" i="16"/>
  <c r="G257" i="16"/>
  <c r="G256" i="16"/>
  <c r="G255" i="16"/>
  <c r="G254" i="16"/>
  <c r="G253" i="16"/>
  <c r="F257" i="16"/>
  <c r="F256" i="16"/>
  <c r="F255" i="16"/>
  <c r="F254" i="16"/>
  <c r="F253" i="16"/>
  <c r="I252" i="16"/>
  <c r="H252" i="16"/>
  <c r="G252" i="16"/>
  <c r="F252" i="16"/>
  <c r="F242" i="16"/>
  <c r="C243" i="16"/>
  <c r="G189" i="16"/>
  <c r="F189" i="16"/>
  <c r="E189" i="16"/>
  <c r="D189" i="16"/>
  <c r="C189" i="16"/>
  <c r="AC247" i="16"/>
  <c r="AC246" i="16"/>
  <c r="AC245" i="16"/>
  <c r="AC244" i="16"/>
  <c r="AC243" i="16"/>
  <c r="AC242" i="16"/>
  <c r="AB247" i="16"/>
  <c r="AB246" i="16"/>
  <c r="AB245" i="16"/>
  <c r="AB244" i="16"/>
  <c r="AB243" i="16"/>
  <c r="AB242" i="16"/>
  <c r="AA247" i="16"/>
  <c r="AA246" i="16"/>
  <c r="AA245" i="16"/>
  <c r="AA244" i="16"/>
  <c r="AA243" i="16"/>
  <c r="AA242" i="16"/>
  <c r="Z247" i="16"/>
  <c r="Z246" i="16"/>
  <c r="Z245" i="16"/>
  <c r="Z244" i="16"/>
  <c r="Z243" i="16"/>
  <c r="Z242" i="16"/>
  <c r="N182" i="16"/>
  <c r="N181" i="16"/>
  <c r="N180" i="16"/>
  <c r="N179" i="16"/>
  <c r="N178" i="16"/>
  <c r="N177" i="16"/>
  <c r="M182" i="16"/>
  <c r="M181" i="16"/>
  <c r="M180" i="16"/>
  <c r="M179" i="16"/>
  <c r="M178" i="16"/>
  <c r="M177" i="16"/>
  <c r="Z194" i="16"/>
  <c r="Z193" i="16"/>
  <c r="Z192" i="16"/>
  <c r="Z191" i="16"/>
  <c r="Z190" i="16"/>
  <c r="Z189" i="16"/>
  <c r="X194" i="16"/>
  <c r="X193" i="16"/>
  <c r="X192" i="16"/>
  <c r="X191" i="16"/>
  <c r="X190" i="16"/>
  <c r="X189" i="16"/>
  <c r="Y194" i="16"/>
  <c r="Y193" i="16"/>
  <c r="Y192" i="16"/>
  <c r="Y191" i="16"/>
  <c r="Y190" i="16"/>
  <c r="Y189" i="16"/>
  <c r="W194" i="16"/>
  <c r="W193" i="16"/>
  <c r="W192" i="16"/>
  <c r="W191" i="16"/>
  <c r="W190" i="16"/>
  <c r="W189" i="16"/>
  <c r="AW190" i="16"/>
  <c r="AW189" i="16"/>
  <c r="AW188" i="16"/>
  <c r="AW187" i="16"/>
  <c r="AV190" i="16"/>
  <c r="AV189" i="16"/>
  <c r="AV188" i="16"/>
  <c r="AV187" i="16"/>
  <c r="AU190" i="16"/>
  <c r="AU189" i="16"/>
  <c r="AU188" i="16"/>
  <c r="AU187" i="16"/>
  <c r="AT190" i="16"/>
  <c r="AT189" i="16"/>
  <c r="AT188" i="16"/>
  <c r="AT187" i="16"/>
  <c r="AS190" i="16"/>
  <c r="AS189" i="16"/>
  <c r="AS188" i="16"/>
  <c r="AS187" i="16"/>
  <c r="AR190" i="16"/>
  <c r="AR189" i="16"/>
  <c r="AR188" i="16"/>
  <c r="AR187" i="16"/>
  <c r="AQ190" i="16"/>
  <c r="AQ189" i="16"/>
  <c r="AQ188" i="16"/>
  <c r="AQ187" i="16"/>
  <c r="AP190" i="16"/>
  <c r="AP189" i="16"/>
  <c r="AP188" i="16"/>
  <c r="AP187" i="16"/>
  <c r="AO190" i="16"/>
  <c r="AO189" i="16"/>
  <c r="AO188" i="16"/>
  <c r="AO187" i="16"/>
  <c r="AN190" i="16"/>
  <c r="AN189" i="16"/>
  <c r="AN188" i="16"/>
  <c r="AN187" i="16"/>
  <c r="AM190" i="16"/>
  <c r="AM189" i="16"/>
  <c r="AM188" i="16"/>
  <c r="AM187" i="16"/>
  <c r="AL190" i="16"/>
  <c r="AL189" i="16"/>
  <c r="AL188" i="16"/>
  <c r="AL187" i="16"/>
  <c r="AD185" i="3"/>
  <c r="AB185" i="3"/>
  <c r="R173" i="3"/>
  <c r="S178" i="3"/>
  <c r="S177" i="3"/>
  <c r="S176" i="3"/>
  <c r="S175" i="3"/>
  <c r="S174" i="3"/>
  <c r="S173" i="3"/>
  <c r="R178" i="3"/>
  <c r="R177" i="3"/>
  <c r="R176" i="3"/>
  <c r="R175" i="3"/>
  <c r="R174" i="3"/>
  <c r="P173" i="3"/>
  <c r="AE190" i="3"/>
  <c r="AE189" i="3"/>
  <c r="AE188" i="3"/>
  <c r="AE187" i="3"/>
  <c r="AE186" i="3"/>
  <c r="AE185" i="3"/>
  <c r="AD190" i="3"/>
  <c r="AD189" i="3"/>
  <c r="AD188" i="3"/>
  <c r="AD187" i="3"/>
  <c r="AD186" i="3"/>
  <c r="AC190" i="3"/>
  <c r="AC189" i="3"/>
  <c r="AC188" i="3"/>
  <c r="AC187" i="3"/>
  <c r="AC186" i="3"/>
  <c r="AC185" i="3"/>
  <c r="AB190" i="3"/>
  <c r="AB189" i="3"/>
  <c r="AB188" i="3"/>
  <c r="AB187" i="3"/>
  <c r="AB186" i="3"/>
  <c r="N14" i="37"/>
  <c r="O14" i="37"/>
  <c r="P14" i="37"/>
  <c r="Q14" i="37"/>
  <c r="R14" i="37"/>
  <c r="S14" i="37"/>
  <c r="T14" i="37"/>
  <c r="U14" i="37"/>
  <c r="V14" i="37"/>
  <c r="W14" i="37"/>
  <c r="X14" i="37"/>
  <c r="Y14" i="37"/>
  <c r="Z14" i="37"/>
  <c r="AA14" i="37"/>
  <c r="AB14" i="37"/>
  <c r="AC14" i="37"/>
  <c r="AD14" i="37"/>
  <c r="AE14" i="37"/>
  <c r="AF14" i="37"/>
  <c r="AG14" i="37"/>
  <c r="M14" i="37"/>
  <c r="L14" i="37"/>
  <c r="EE12" i="37" l="1"/>
  <c r="EF12" i="37"/>
  <c r="EG12" i="37"/>
  <c r="EH12" i="37"/>
  <c r="EI12" i="37"/>
  <c r="EJ12" i="37"/>
  <c r="EK12" i="37"/>
  <c r="EL12" i="37"/>
  <c r="EM12" i="37"/>
  <c r="EN12" i="37"/>
  <c r="EO12" i="37"/>
  <c r="EP12" i="37"/>
  <c r="EQ12" i="37"/>
  <c r="ER12" i="37"/>
  <c r="ES12" i="37"/>
  <c r="ET12" i="37"/>
  <c r="EU12" i="37"/>
  <c r="EV12" i="37"/>
  <c r="EW12" i="37"/>
  <c r="EX12" i="37"/>
  <c r="EY12" i="37"/>
  <c r="EZ12" i="37"/>
  <c r="FA12" i="37"/>
  <c r="EE13" i="37"/>
  <c r="EF13" i="37"/>
  <c r="EG13" i="37"/>
  <c r="EH13" i="37"/>
  <c r="EI13" i="37"/>
  <c r="EJ13" i="37"/>
  <c r="EK13" i="37"/>
  <c r="EL13" i="37"/>
  <c r="EM13" i="37"/>
  <c r="EN13" i="37"/>
  <c r="EO13" i="37"/>
  <c r="EP13" i="37"/>
  <c r="EQ13" i="37"/>
  <c r="ER13" i="37"/>
  <c r="ES13" i="37"/>
  <c r="ET13" i="37"/>
  <c r="EU13" i="37"/>
  <c r="EV13" i="37"/>
  <c r="EW13" i="37"/>
  <c r="EX13" i="37"/>
  <c r="EY13" i="37"/>
  <c r="EZ13" i="37"/>
  <c r="FA13" i="37"/>
  <c r="EE14" i="37"/>
  <c r="EF14" i="37"/>
  <c r="EG14" i="37"/>
  <c r="EH14" i="37"/>
  <c r="EI14" i="37"/>
  <c r="EJ14" i="37"/>
  <c r="EK14" i="37"/>
  <c r="EL14" i="37"/>
  <c r="EM14" i="37"/>
  <c r="EN14" i="37"/>
  <c r="EO14" i="37"/>
  <c r="EP14" i="37"/>
  <c r="EQ14" i="37"/>
  <c r="ER14" i="37"/>
  <c r="ES14" i="37"/>
  <c r="ET14" i="37"/>
  <c r="EU14" i="37"/>
  <c r="EV14" i="37"/>
  <c r="EW14" i="37"/>
  <c r="EX14" i="37"/>
  <c r="EY14" i="37"/>
  <c r="EZ14" i="37"/>
  <c r="FA14" i="37"/>
  <c r="ED14" i="37"/>
  <c r="ED13" i="37"/>
  <c r="ED12" i="37"/>
  <c r="CZ12" i="37"/>
  <c r="DA12" i="37"/>
  <c r="DB12" i="37"/>
  <c r="DC12" i="37"/>
  <c r="DD12" i="37"/>
  <c r="DE12" i="37"/>
  <c r="DF12" i="37"/>
  <c r="DG12" i="37"/>
  <c r="DH12" i="37"/>
  <c r="DI12" i="37"/>
  <c r="DJ12" i="37"/>
  <c r="DK12" i="37"/>
  <c r="DL12" i="37"/>
  <c r="DM12" i="37"/>
  <c r="DN12" i="37"/>
  <c r="DO12" i="37"/>
  <c r="DP12" i="37"/>
  <c r="DQ12" i="37"/>
  <c r="DR12" i="37"/>
  <c r="DS12" i="37"/>
  <c r="DT12" i="37"/>
  <c r="DU12" i="37"/>
  <c r="DV12" i="37"/>
  <c r="DW12" i="37"/>
  <c r="CZ13" i="37"/>
  <c r="DA13" i="37"/>
  <c r="DB13" i="37"/>
  <c r="DC13" i="37"/>
  <c r="DD13" i="37"/>
  <c r="DE13" i="37"/>
  <c r="DF13" i="37"/>
  <c r="DG13" i="37"/>
  <c r="DH13" i="37"/>
  <c r="DI13" i="37"/>
  <c r="DJ13" i="37"/>
  <c r="DK13" i="37"/>
  <c r="DL13" i="37"/>
  <c r="DM13" i="37"/>
  <c r="DN13" i="37"/>
  <c r="DO13" i="37"/>
  <c r="DP13" i="37"/>
  <c r="DQ13" i="37"/>
  <c r="DR13" i="37"/>
  <c r="DS13" i="37"/>
  <c r="DT13" i="37"/>
  <c r="DU13" i="37"/>
  <c r="DV13" i="37"/>
  <c r="DW13" i="37"/>
  <c r="CZ14" i="37"/>
  <c r="DA14" i="37"/>
  <c r="DB14" i="37"/>
  <c r="DC14" i="37"/>
  <c r="DD14" i="37"/>
  <c r="DE14" i="37"/>
  <c r="DF14" i="37"/>
  <c r="DG14" i="37"/>
  <c r="DH14" i="37"/>
  <c r="DI14" i="37"/>
  <c r="DJ14" i="37"/>
  <c r="DK14" i="37"/>
  <c r="DL14" i="37"/>
  <c r="DM14" i="37"/>
  <c r="DN14" i="37"/>
  <c r="DO14" i="37"/>
  <c r="DP14" i="37"/>
  <c r="DQ14" i="37"/>
  <c r="DR14" i="37"/>
  <c r="DS14" i="37"/>
  <c r="DT14" i="37"/>
  <c r="DU14" i="37"/>
  <c r="DV14" i="37"/>
  <c r="DW14" i="37"/>
  <c r="CY14" i="37"/>
  <c r="CY13" i="37"/>
  <c r="CY12" i="37"/>
  <c r="BT12" i="37"/>
  <c r="BU12" i="37"/>
  <c r="BV12" i="37"/>
  <c r="BW12" i="37"/>
  <c r="BX12" i="37"/>
  <c r="BY12" i="37"/>
  <c r="BZ12" i="37"/>
  <c r="CA12" i="37"/>
  <c r="CB12" i="37"/>
  <c r="CC12" i="37"/>
  <c r="CD12" i="37"/>
  <c r="CE12" i="37"/>
  <c r="CF12" i="37"/>
  <c r="CG12" i="37"/>
  <c r="CH12" i="37"/>
  <c r="CI12" i="37"/>
  <c r="CJ12" i="37"/>
  <c r="CK12" i="37"/>
  <c r="CL12" i="37"/>
  <c r="CM12" i="37"/>
  <c r="CN12" i="37"/>
  <c r="CO12" i="37"/>
  <c r="CP12" i="37"/>
  <c r="CQ12" i="37"/>
  <c r="CR12" i="37"/>
  <c r="BT13" i="37"/>
  <c r="BU13" i="37"/>
  <c r="BV13" i="37"/>
  <c r="BW13" i="37"/>
  <c r="BX13" i="37"/>
  <c r="BY13" i="37"/>
  <c r="BZ13" i="37"/>
  <c r="CA13" i="37"/>
  <c r="CB13" i="37"/>
  <c r="CC13" i="37"/>
  <c r="CD13" i="37"/>
  <c r="CE13" i="37"/>
  <c r="CF13" i="37"/>
  <c r="CG13" i="37"/>
  <c r="CH13" i="37"/>
  <c r="CI13" i="37"/>
  <c r="CJ13" i="37"/>
  <c r="CK13" i="37"/>
  <c r="CL13" i="37"/>
  <c r="CM13" i="37"/>
  <c r="CN13" i="37"/>
  <c r="CO13" i="37"/>
  <c r="CP13" i="37"/>
  <c r="CQ13" i="37"/>
  <c r="CR13" i="37"/>
  <c r="BT14" i="37"/>
  <c r="BU14" i="37"/>
  <c r="BV14" i="37"/>
  <c r="BW14" i="37"/>
  <c r="BX14" i="37"/>
  <c r="BY14" i="37"/>
  <c r="BZ14" i="37"/>
  <c r="CA14" i="37"/>
  <c r="CB14" i="37"/>
  <c r="CC14" i="37"/>
  <c r="CD14" i="37"/>
  <c r="CE14" i="37"/>
  <c r="CF14" i="37"/>
  <c r="CG14" i="37"/>
  <c r="CH14" i="37"/>
  <c r="CI14" i="37"/>
  <c r="CJ14" i="37"/>
  <c r="CK14" i="37"/>
  <c r="CL14" i="37"/>
  <c r="CM14" i="37"/>
  <c r="CN14" i="37"/>
  <c r="CO14" i="37"/>
  <c r="CP14" i="37"/>
  <c r="CQ14" i="37"/>
  <c r="CR14" i="37"/>
  <c r="BS14" i="37"/>
  <c r="BS13" i="37"/>
  <c r="BS12" i="37"/>
  <c r="AO12" i="37"/>
  <c r="AP12" i="37"/>
  <c r="AQ12" i="37"/>
  <c r="AR12" i="37"/>
  <c r="AS12" i="37"/>
  <c r="AT12" i="37"/>
  <c r="AU12" i="37"/>
  <c r="AV12" i="37"/>
  <c r="AW12" i="37"/>
  <c r="AX12" i="37"/>
  <c r="AY12" i="37"/>
  <c r="AZ12" i="37"/>
  <c r="BA12" i="37"/>
  <c r="BB12" i="37"/>
  <c r="BC12" i="37"/>
  <c r="BD12" i="37"/>
  <c r="BE12" i="37"/>
  <c r="BF12" i="37"/>
  <c r="BG12" i="37"/>
  <c r="BH12" i="37"/>
  <c r="BI12" i="37"/>
  <c r="BJ12" i="37"/>
  <c r="BK12" i="37"/>
  <c r="BL12" i="37"/>
  <c r="AO13" i="37"/>
  <c r="AP13" i="37"/>
  <c r="AQ13" i="37"/>
  <c r="AR13" i="37"/>
  <c r="AS13" i="37"/>
  <c r="AT13" i="37"/>
  <c r="AU13" i="37"/>
  <c r="AV13" i="37"/>
  <c r="AW13" i="37"/>
  <c r="AX13" i="37"/>
  <c r="AY13" i="37"/>
  <c r="AZ13" i="37"/>
  <c r="BA13" i="37"/>
  <c r="BB13" i="37"/>
  <c r="BC13" i="37"/>
  <c r="BD13" i="37"/>
  <c r="BE13" i="37"/>
  <c r="BF13" i="37"/>
  <c r="BG13" i="37"/>
  <c r="BH13" i="37"/>
  <c r="BI13" i="37"/>
  <c r="BJ13" i="37"/>
  <c r="BK13" i="37"/>
  <c r="BL13" i="37"/>
  <c r="AO14" i="37"/>
  <c r="AP14" i="37"/>
  <c r="AQ14" i="37"/>
  <c r="AR14" i="37"/>
  <c r="AS14" i="37"/>
  <c r="AT14" i="37"/>
  <c r="AU14" i="37"/>
  <c r="AV14" i="37"/>
  <c r="AW14" i="37"/>
  <c r="AX14" i="37"/>
  <c r="AY14" i="37"/>
  <c r="AZ14" i="37"/>
  <c r="BA14" i="37"/>
  <c r="BB14" i="37"/>
  <c r="BC14" i="37"/>
  <c r="BD14" i="37"/>
  <c r="BE14" i="37"/>
  <c r="BF14" i="37"/>
  <c r="BG14" i="37"/>
  <c r="BH14" i="37"/>
  <c r="BI14" i="37"/>
  <c r="BJ14" i="37"/>
  <c r="BK14" i="37"/>
  <c r="BL14" i="37"/>
  <c r="AN14" i="37"/>
  <c r="AN13" i="37"/>
  <c r="AN12" i="37"/>
  <c r="P12" i="37"/>
  <c r="Q12" i="37"/>
  <c r="R12" i="37"/>
  <c r="S12" i="37"/>
  <c r="T12" i="37"/>
  <c r="U12" i="37"/>
  <c r="V12" i="37"/>
  <c r="W12" i="37"/>
  <c r="X12" i="37"/>
  <c r="Y12" i="37"/>
  <c r="Z12" i="37"/>
  <c r="AA12" i="37"/>
  <c r="AB12" i="37"/>
  <c r="AC12" i="37"/>
  <c r="AD12" i="37"/>
  <c r="AE12" i="37"/>
  <c r="AF12" i="37"/>
  <c r="AG12" i="37"/>
  <c r="P13" i="37"/>
  <c r="Q13" i="37"/>
  <c r="R13" i="37"/>
  <c r="S13" i="37"/>
  <c r="T13" i="37"/>
  <c r="U13" i="37"/>
  <c r="V13" i="37"/>
  <c r="W13" i="37"/>
  <c r="X13" i="37"/>
  <c r="Y13" i="37"/>
  <c r="Z13" i="37"/>
  <c r="AA13" i="37"/>
  <c r="AB13" i="37"/>
  <c r="AC13" i="37"/>
  <c r="AD13" i="37"/>
  <c r="AE13" i="37"/>
  <c r="AF13" i="37"/>
  <c r="AG13" i="37"/>
  <c r="K14" i="37"/>
  <c r="J14" i="37"/>
  <c r="O13" i="37"/>
  <c r="N13" i="37"/>
  <c r="M13" i="37"/>
  <c r="L13" i="37"/>
  <c r="K13" i="37"/>
  <c r="J13" i="37"/>
  <c r="O12" i="37"/>
  <c r="N12" i="37"/>
  <c r="M12" i="37"/>
  <c r="L12" i="37"/>
  <c r="K12" i="37"/>
  <c r="J12" i="37"/>
  <c r="BH14" i="30"/>
  <c r="BG14" i="30"/>
  <c r="BF14" i="30"/>
  <c r="BK13" i="30"/>
  <c r="BJ13" i="30"/>
  <c r="BI13" i="30"/>
  <c r="BH13" i="30"/>
  <c r="BG13" i="30"/>
  <c r="BF13" i="30"/>
  <c r="BK12" i="30"/>
  <c r="BJ12" i="30"/>
  <c r="BI12" i="30"/>
  <c r="BH12" i="30"/>
  <c r="BG12" i="30"/>
  <c r="BF12" i="30"/>
  <c r="AV14" i="30"/>
  <c r="AU14" i="30"/>
  <c r="AT14" i="30"/>
  <c r="AY13" i="30"/>
  <c r="AX13" i="30"/>
  <c r="AW13" i="30"/>
  <c r="AV13" i="30"/>
  <c r="AU13" i="30"/>
  <c r="AT13" i="30"/>
  <c r="AY12" i="30"/>
  <c r="AX12" i="30"/>
  <c r="AW12" i="30"/>
  <c r="AV12" i="30"/>
  <c r="AU12" i="30"/>
  <c r="AT12" i="30"/>
  <c r="AJ14" i="30"/>
  <c r="AI14" i="30"/>
  <c r="AH14" i="30"/>
  <c r="AM13" i="30"/>
  <c r="AL13" i="30"/>
  <c r="AK13" i="30"/>
  <c r="AJ13" i="30"/>
  <c r="AI13" i="30"/>
  <c r="AH13" i="30"/>
  <c r="AM12" i="30"/>
  <c r="AL12" i="30"/>
  <c r="AK12" i="30"/>
  <c r="AJ12" i="30"/>
  <c r="AI12" i="30"/>
  <c r="AH12" i="30"/>
  <c r="X14" i="30"/>
  <c r="W14" i="30"/>
  <c r="V14" i="30"/>
  <c r="AA13" i="30"/>
  <c r="Z13" i="30"/>
  <c r="Y13" i="30"/>
  <c r="X13" i="30"/>
  <c r="W13" i="30"/>
  <c r="V13" i="30"/>
  <c r="AA12" i="30"/>
  <c r="Z12" i="30"/>
  <c r="Y12" i="30"/>
  <c r="X12" i="30"/>
  <c r="W12" i="30"/>
  <c r="V12" i="30"/>
  <c r="M13" i="30"/>
  <c r="N13" i="30"/>
  <c r="O13" i="30"/>
  <c r="M12" i="30"/>
  <c r="N12" i="30"/>
  <c r="O12" i="30"/>
  <c r="L14" i="30"/>
  <c r="K14" i="30"/>
  <c r="J14" i="30"/>
  <c r="L13" i="30"/>
  <c r="K13" i="30"/>
  <c r="J13" i="30"/>
  <c r="L12" i="30"/>
  <c r="K12" i="30"/>
  <c r="J12" i="30"/>
  <c r="AV14" i="23"/>
  <c r="AU14" i="23"/>
  <c r="AT14" i="23"/>
  <c r="AV13" i="23"/>
  <c r="AU13" i="23"/>
  <c r="AT13" i="23"/>
  <c r="AV12" i="23"/>
  <c r="AU12" i="23"/>
  <c r="AT12" i="23"/>
  <c r="AM14" i="23"/>
  <c r="AL14" i="23"/>
  <c r="AK14" i="23"/>
  <c r="AM13" i="23"/>
  <c r="AL13" i="23"/>
  <c r="AK13" i="23"/>
  <c r="AM12" i="23"/>
  <c r="AL12" i="23"/>
  <c r="AK12" i="23"/>
  <c r="AD14" i="23"/>
  <c r="AC14" i="23"/>
  <c r="AB14" i="23"/>
  <c r="AD13" i="23"/>
  <c r="AC13" i="23"/>
  <c r="AB13" i="23"/>
  <c r="AD12" i="23"/>
  <c r="AC12" i="23"/>
  <c r="AB12" i="23"/>
  <c r="U14" i="23"/>
  <c r="T14" i="23"/>
  <c r="S14" i="23"/>
  <c r="U13" i="23"/>
  <c r="T13" i="23"/>
  <c r="S13" i="23"/>
  <c r="U12" i="23"/>
  <c r="T12" i="23"/>
  <c r="S12" i="23"/>
  <c r="J12" i="23"/>
  <c r="L14" i="23"/>
  <c r="K14" i="23"/>
  <c r="J14" i="23"/>
  <c r="L13" i="23"/>
  <c r="K13" i="23"/>
  <c r="J13" i="23"/>
  <c r="L12" i="23"/>
  <c r="K12" i="23"/>
  <c r="AU14" i="16"/>
  <c r="AV14" i="16"/>
  <c r="AT14" i="16"/>
  <c r="AL14" i="16"/>
  <c r="AM14" i="16"/>
  <c r="AK14" i="16"/>
  <c r="AC14" i="16"/>
  <c r="AD14" i="16"/>
  <c r="AB14" i="16"/>
  <c r="T14" i="16"/>
  <c r="U14" i="16"/>
  <c r="S14" i="16"/>
  <c r="J14" i="16"/>
  <c r="AU12" i="16"/>
  <c r="AV12" i="16"/>
  <c r="AT12" i="16"/>
  <c r="AL12" i="16"/>
  <c r="AM12" i="16"/>
  <c r="AK12" i="16"/>
  <c r="AC12" i="16"/>
  <c r="AD12" i="16"/>
  <c r="AB12" i="16"/>
  <c r="T12" i="16"/>
  <c r="U12" i="16"/>
  <c r="S12" i="16"/>
  <c r="J12" i="16"/>
  <c r="K14" i="16"/>
  <c r="L14" i="16"/>
  <c r="K12" i="16"/>
  <c r="L12" i="16"/>
  <c r="AT18" i="16"/>
  <c r="AV23" i="16"/>
  <c r="AU23" i="16"/>
  <c r="AT23" i="16"/>
  <c r="AV22" i="16"/>
  <c r="AU22" i="16"/>
  <c r="AT22" i="16"/>
  <c r="AV21" i="16"/>
  <c r="AU21" i="16"/>
  <c r="AT21" i="16"/>
  <c r="AV20" i="16"/>
  <c r="AU20" i="16"/>
  <c r="AT20" i="16"/>
  <c r="AV19" i="16"/>
  <c r="AU19" i="16"/>
  <c r="AT19" i="16"/>
  <c r="AV18" i="16"/>
  <c r="AU18" i="16"/>
  <c r="AM23" i="16"/>
  <c r="AL23" i="16"/>
  <c r="AK23" i="16"/>
  <c r="AM22" i="16"/>
  <c r="AL22" i="16"/>
  <c r="AK22" i="16"/>
  <c r="AM21" i="16"/>
  <c r="AL21" i="16"/>
  <c r="AK21" i="16"/>
  <c r="AM20" i="16"/>
  <c r="AL20" i="16"/>
  <c r="AK20" i="16"/>
  <c r="AM19" i="16"/>
  <c r="AL19" i="16"/>
  <c r="AK19" i="16"/>
  <c r="AM18" i="16"/>
  <c r="AL18" i="16"/>
  <c r="AK18" i="16"/>
  <c r="AD23" i="16"/>
  <c r="AC23" i="16"/>
  <c r="AB23" i="16"/>
  <c r="AD22" i="16"/>
  <c r="AC22" i="16"/>
  <c r="AB22" i="16"/>
  <c r="AD21" i="16"/>
  <c r="AC21" i="16"/>
  <c r="AB21" i="16"/>
  <c r="AD20" i="16"/>
  <c r="AC20" i="16"/>
  <c r="AB20" i="16"/>
  <c r="AD19" i="16"/>
  <c r="AC19" i="16"/>
  <c r="AB19" i="16"/>
  <c r="AD18" i="16"/>
  <c r="AC18" i="16"/>
  <c r="AB18" i="16"/>
  <c r="U23" i="16"/>
  <c r="T23" i="16"/>
  <c r="S23" i="16"/>
  <c r="U22" i="16"/>
  <c r="T22" i="16"/>
  <c r="S22" i="16"/>
  <c r="U21" i="16"/>
  <c r="T21" i="16"/>
  <c r="S21" i="16"/>
  <c r="U20" i="16"/>
  <c r="T20" i="16"/>
  <c r="S20" i="16"/>
  <c r="U19" i="16"/>
  <c r="T19" i="16"/>
  <c r="S19" i="16"/>
  <c r="U18" i="16"/>
  <c r="T18" i="16"/>
  <c r="S18" i="16"/>
  <c r="K18" i="16"/>
  <c r="L18" i="16"/>
  <c r="K19" i="16"/>
  <c r="L19" i="16"/>
  <c r="K20" i="16"/>
  <c r="L20" i="16"/>
  <c r="K21" i="16"/>
  <c r="L21" i="16"/>
  <c r="K22" i="16"/>
  <c r="L22" i="16"/>
  <c r="K23" i="16"/>
  <c r="L23" i="16"/>
  <c r="J23" i="16"/>
  <c r="J22" i="16"/>
  <c r="J21" i="16"/>
  <c r="J20" i="16"/>
  <c r="J19" i="16"/>
  <c r="J18" i="16"/>
  <c r="AU13" i="16"/>
  <c r="AV13" i="16"/>
  <c r="AT13" i="16"/>
  <c r="AL13" i="16"/>
  <c r="AM13" i="16"/>
  <c r="AK13" i="16"/>
  <c r="AC13" i="16"/>
  <c r="AD13" i="16"/>
  <c r="AB13" i="16"/>
  <c r="T13" i="16"/>
  <c r="U13" i="16"/>
  <c r="S13" i="16"/>
  <c r="K13" i="16"/>
  <c r="L13" i="16"/>
  <c r="J13" i="16"/>
  <c r="D11" i="53" l="1"/>
  <c r="E10" i="52"/>
  <c r="E9" i="51"/>
  <c r="E9" i="48"/>
  <c r="G22" i="48" l="1"/>
  <c r="I22" i="48"/>
  <c r="H22" i="48"/>
  <c r="F22" i="48"/>
  <c r="E22" i="48"/>
  <c r="D22" i="48"/>
  <c r="C22" i="51"/>
  <c r="H22" i="51"/>
  <c r="D22" i="51"/>
  <c r="J22" i="51"/>
  <c r="I22" i="51"/>
  <c r="G22" i="51"/>
  <c r="F22" i="51"/>
  <c r="E22" i="51"/>
  <c r="C23" i="52"/>
  <c r="I23" i="52"/>
  <c r="H23" i="52"/>
  <c r="J23" i="52"/>
  <c r="D23" i="52"/>
  <c r="G23" i="52"/>
  <c r="F23" i="52"/>
  <c r="E23" i="52"/>
  <c r="L22" i="47"/>
  <c r="J22" i="47"/>
  <c r="K22" i="47"/>
  <c r="D24" i="53"/>
  <c r="E24" i="53"/>
  <c r="L21" i="47"/>
  <c r="K21" i="47"/>
  <c r="J21" i="47"/>
  <c r="G21" i="48"/>
  <c r="F21" i="48"/>
  <c r="H21" i="48"/>
  <c r="E21" i="48"/>
  <c r="D21" i="48"/>
  <c r="I21" i="48"/>
  <c r="H21" i="51"/>
  <c r="I21" i="51"/>
  <c r="G21" i="51"/>
  <c r="F21" i="51"/>
  <c r="E21" i="51"/>
  <c r="D21" i="51"/>
  <c r="C21" i="51"/>
  <c r="J21" i="51"/>
  <c r="H22" i="52"/>
  <c r="G22" i="52"/>
  <c r="F22" i="52"/>
  <c r="E22" i="52"/>
  <c r="D22" i="52"/>
  <c r="C22" i="52"/>
  <c r="I22" i="52"/>
  <c r="J22" i="52"/>
  <c r="K21" i="46"/>
  <c r="J21" i="46"/>
  <c r="I21" i="46"/>
  <c r="E23" i="53"/>
  <c r="D23" i="53"/>
  <c r="K20" i="46"/>
  <c r="I20" i="46"/>
  <c r="J20" i="46"/>
  <c r="F21" i="52"/>
  <c r="E21" i="52"/>
  <c r="D21" i="52"/>
  <c r="C21" i="52"/>
  <c r="J21" i="52"/>
  <c r="I21" i="52"/>
  <c r="H21" i="52"/>
  <c r="G21" i="52"/>
  <c r="L20" i="47"/>
  <c r="K20" i="47"/>
  <c r="J20" i="47"/>
  <c r="E20" i="48"/>
  <c r="D20" i="48"/>
  <c r="F20" i="48"/>
  <c r="I20" i="48"/>
  <c r="H20" i="48"/>
  <c r="G20" i="48"/>
  <c r="F20" i="51"/>
  <c r="E20" i="51"/>
  <c r="C20" i="51"/>
  <c r="D20" i="51"/>
  <c r="G20" i="51"/>
  <c r="J20" i="51"/>
  <c r="I20" i="51"/>
  <c r="H20" i="51"/>
  <c r="E22" i="53"/>
  <c r="D22" i="53"/>
  <c r="D21" i="53"/>
  <c r="D20" i="53"/>
  <c r="D19" i="53"/>
  <c r="D18" i="53"/>
  <c r="E21" i="53"/>
  <c r="E20" i="53"/>
  <c r="E19" i="53"/>
  <c r="E18" i="53"/>
  <c r="E17" i="53"/>
  <c r="J20" i="52"/>
  <c r="J19" i="52"/>
  <c r="J18" i="52"/>
  <c r="J17" i="52"/>
  <c r="J16" i="52"/>
  <c r="I20" i="52"/>
  <c r="I19" i="52"/>
  <c r="I18" i="52"/>
  <c r="I17" i="52"/>
  <c r="I16" i="52"/>
  <c r="H20" i="52"/>
  <c r="H19" i="52"/>
  <c r="H18" i="52"/>
  <c r="H17" i="52"/>
  <c r="H16" i="52"/>
  <c r="G20" i="52"/>
  <c r="E17" i="52"/>
  <c r="E18" i="52"/>
  <c r="E20" i="52"/>
  <c r="E19" i="52"/>
  <c r="G19" i="52"/>
  <c r="G18" i="52"/>
  <c r="G17" i="52"/>
  <c r="G16" i="52"/>
  <c r="F20" i="52"/>
  <c r="F19" i="52"/>
  <c r="F18" i="52"/>
  <c r="F17" i="52"/>
  <c r="E16" i="52"/>
  <c r="D20" i="52"/>
  <c r="D19" i="52"/>
  <c r="D18" i="52"/>
  <c r="D17" i="52"/>
  <c r="D16" i="52"/>
  <c r="C20" i="52"/>
  <c r="C19" i="52"/>
  <c r="C18" i="52"/>
  <c r="C17" i="52"/>
  <c r="C16" i="52"/>
  <c r="J19" i="51"/>
  <c r="J18" i="51"/>
  <c r="J17" i="51"/>
  <c r="J16" i="51"/>
  <c r="J15" i="51"/>
  <c r="I19" i="51"/>
  <c r="I18" i="51"/>
  <c r="I17" i="51"/>
  <c r="I16" i="51"/>
  <c r="I15" i="51"/>
  <c r="H19" i="51"/>
  <c r="H18" i="51"/>
  <c r="H17" i="51"/>
  <c r="H16" i="51"/>
  <c r="H15" i="51"/>
  <c r="G19" i="51"/>
  <c r="G18" i="51"/>
  <c r="G17" i="51"/>
  <c r="G16" i="51"/>
  <c r="G15" i="51"/>
  <c r="F19" i="51"/>
  <c r="F18" i="51"/>
  <c r="F17" i="51"/>
  <c r="F16" i="51"/>
  <c r="F15" i="51"/>
  <c r="E19" i="51"/>
  <c r="E18" i="51"/>
  <c r="E17" i="51"/>
  <c r="E16" i="51"/>
  <c r="E15" i="51"/>
  <c r="D19" i="51"/>
  <c r="D18" i="51"/>
  <c r="D17" i="51"/>
  <c r="D16" i="51"/>
  <c r="D15" i="51"/>
  <c r="C17" i="51"/>
  <c r="C16" i="51"/>
  <c r="C15" i="51"/>
  <c r="I19" i="48"/>
  <c r="I18" i="48"/>
  <c r="I17" i="48"/>
  <c r="I16" i="48"/>
  <c r="I15" i="48"/>
  <c r="H19" i="48"/>
  <c r="H18" i="48"/>
  <c r="H17" i="48"/>
  <c r="H16" i="48"/>
  <c r="H15" i="48"/>
  <c r="G19" i="48"/>
  <c r="G18" i="48"/>
  <c r="G17" i="48"/>
  <c r="G16" i="48"/>
  <c r="G15" i="48"/>
  <c r="F19" i="48"/>
  <c r="F18" i="48"/>
  <c r="F17" i="48"/>
  <c r="F16" i="48"/>
  <c r="F15" i="48"/>
  <c r="E19" i="48"/>
  <c r="E18" i="48"/>
  <c r="E17" i="48"/>
  <c r="E16" i="48"/>
  <c r="E15" i="48"/>
  <c r="D19" i="48"/>
  <c r="D18" i="48"/>
  <c r="D17" i="48"/>
  <c r="D16" i="48"/>
  <c r="D15" i="48"/>
  <c r="L19" i="47"/>
  <c r="L18" i="47"/>
  <c r="L17" i="47"/>
  <c r="L16" i="47"/>
  <c r="L15" i="47"/>
  <c r="K19" i="47"/>
  <c r="K18" i="47"/>
  <c r="K17" i="47"/>
  <c r="K16" i="47"/>
  <c r="K15" i="47"/>
  <c r="J19" i="47"/>
  <c r="J18" i="47"/>
  <c r="J17" i="47"/>
  <c r="J16" i="47"/>
  <c r="J15" i="47"/>
  <c r="K19" i="46"/>
  <c r="K18" i="46"/>
  <c r="K17" i="46"/>
  <c r="K16" i="46"/>
  <c r="K15" i="46"/>
  <c r="J19" i="46"/>
  <c r="J18" i="46"/>
  <c r="J17" i="46"/>
  <c r="J16" i="46"/>
  <c r="J15" i="46"/>
  <c r="I19" i="46"/>
  <c r="I18" i="46"/>
  <c r="I17" i="46"/>
  <c r="I16" i="46"/>
  <c r="I15" i="46"/>
  <c r="E14" i="54" l="1"/>
  <c r="D14" i="54"/>
  <c r="D186" i="3"/>
  <c r="C14" i="54"/>
  <c r="AC292" i="44" l="1"/>
  <c r="AC291" i="44"/>
  <c r="AC290" i="44"/>
  <c r="AC289" i="44"/>
  <c r="AC288" i="44"/>
  <c r="AB292" i="44"/>
  <c r="AB291" i="44"/>
  <c r="AB290" i="44"/>
  <c r="AB289" i="44"/>
  <c r="AB288" i="44"/>
  <c r="AA292" i="44"/>
  <c r="AA291" i="44"/>
  <c r="AA290" i="44"/>
  <c r="AA289" i="44"/>
  <c r="AA288" i="44"/>
  <c r="Z292" i="44"/>
  <c r="Z291" i="44"/>
  <c r="Z290" i="44"/>
  <c r="Z289" i="44"/>
  <c r="Z288" i="44"/>
  <c r="Y292" i="44"/>
  <c r="Y291" i="44"/>
  <c r="Y290" i="44"/>
  <c r="Y289" i="44"/>
  <c r="Y288" i="44"/>
  <c r="AC287" i="44"/>
  <c r="AB287" i="44"/>
  <c r="AA287" i="44"/>
  <c r="Z287" i="44"/>
  <c r="Y287" i="44"/>
  <c r="X292" i="44"/>
  <c r="X291" i="44"/>
  <c r="X290" i="44"/>
  <c r="X289" i="44"/>
  <c r="X288" i="44"/>
  <c r="W292" i="44"/>
  <c r="W291" i="44"/>
  <c r="W290" i="44"/>
  <c r="W289" i="44"/>
  <c r="W288" i="44"/>
  <c r="V292" i="44"/>
  <c r="V291" i="44"/>
  <c r="V290" i="44"/>
  <c r="V289" i="44"/>
  <c r="V288" i="44"/>
  <c r="U292" i="44"/>
  <c r="U291" i="44"/>
  <c r="U290" i="44"/>
  <c r="U289" i="44"/>
  <c r="U288" i="44"/>
  <c r="T292" i="44"/>
  <c r="T291" i="44"/>
  <c r="T290" i="44"/>
  <c r="T289" i="44"/>
  <c r="T288" i="44"/>
  <c r="X287" i="44"/>
  <c r="W287" i="44"/>
  <c r="V287" i="44"/>
  <c r="U287" i="44"/>
  <c r="T287" i="44"/>
  <c r="S292" i="44"/>
  <c r="S291" i="44"/>
  <c r="S290" i="44"/>
  <c r="S289" i="44"/>
  <c r="S288" i="44"/>
  <c r="R292" i="44"/>
  <c r="R291" i="44"/>
  <c r="R290" i="44"/>
  <c r="R289" i="44"/>
  <c r="R288" i="44"/>
  <c r="Q292" i="44"/>
  <c r="Q291" i="44"/>
  <c r="Q290" i="44"/>
  <c r="Q289" i="44"/>
  <c r="Q288" i="44"/>
  <c r="P292" i="44"/>
  <c r="P291" i="44"/>
  <c r="P290" i="44"/>
  <c r="P289" i="44"/>
  <c r="P288" i="44"/>
  <c r="O292" i="44"/>
  <c r="O291" i="44"/>
  <c r="O290" i="44"/>
  <c r="O289" i="44"/>
  <c r="O288" i="44"/>
  <c r="S287" i="44"/>
  <c r="R287" i="44"/>
  <c r="Q287" i="44"/>
  <c r="P287" i="44"/>
  <c r="O287" i="44"/>
  <c r="N292" i="44"/>
  <c r="N291" i="44"/>
  <c r="N290" i="44"/>
  <c r="N289" i="44"/>
  <c r="N288" i="44"/>
  <c r="M292" i="44"/>
  <c r="M291" i="44"/>
  <c r="M290" i="44"/>
  <c r="M289" i="44"/>
  <c r="M288" i="44"/>
  <c r="L292" i="44"/>
  <c r="L291" i="44"/>
  <c r="L290" i="44"/>
  <c r="L289" i="44"/>
  <c r="L288" i="44"/>
  <c r="K292" i="44"/>
  <c r="K291" i="44"/>
  <c r="K290" i="44"/>
  <c r="K289" i="44"/>
  <c r="K288" i="44"/>
  <c r="J292" i="44"/>
  <c r="J291" i="44"/>
  <c r="J290" i="44"/>
  <c r="J289" i="44"/>
  <c r="J288" i="44"/>
  <c r="N287" i="44"/>
  <c r="M287" i="44"/>
  <c r="L287" i="44"/>
  <c r="K287" i="44"/>
  <c r="J287" i="44"/>
  <c r="I292" i="44"/>
  <c r="I291" i="44"/>
  <c r="I290" i="44"/>
  <c r="I289" i="44"/>
  <c r="I288" i="44"/>
  <c r="I287" i="44"/>
  <c r="H292" i="44"/>
  <c r="G292" i="44"/>
  <c r="F292" i="44"/>
  <c r="E292" i="44"/>
  <c r="H291" i="44"/>
  <c r="G291" i="44"/>
  <c r="F291" i="44"/>
  <c r="E291" i="44"/>
  <c r="H290" i="44"/>
  <c r="G290" i="44"/>
  <c r="F290" i="44"/>
  <c r="E290" i="44"/>
  <c r="H289" i="44"/>
  <c r="G289" i="44"/>
  <c r="F289" i="44"/>
  <c r="E289" i="44"/>
  <c r="H288" i="44"/>
  <c r="G288" i="44"/>
  <c r="F288" i="44"/>
  <c r="E288" i="44"/>
  <c r="H287" i="44"/>
  <c r="G287" i="44"/>
  <c r="F287" i="44"/>
  <c r="E287" i="44"/>
  <c r="AA284" i="37"/>
  <c r="AA283" i="37"/>
  <c r="AA282" i="37"/>
  <c r="AA281" i="37"/>
  <c r="AA280" i="37"/>
  <c r="Z284" i="37"/>
  <c r="Z283" i="37"/>
  <c r="Z282" i="37"/>
  <c r="Z281" i="37"/>
  <c r="Z280" i="37"/>
  <c r="Y284" i="37"/>
  <c r="Y283" i="37"/>
  <c r="Y282" i="37"/>
  <c r="Y281" i="37"/>
  <c r="Y280" i="37"/>
  <c r="X284" i="37"/>
  <c r="X283" i="37"/>
  <c r="X282" i="37"/>
  <c r="X281" i="37"/>
  <c r="X280" i="37"/>
  <c r="AA279" i="37"/>
  <c r="Z279" i="37"/>
  <c r="Y279" i="37"/>
  <c r="X279" i="37"/>
  <c r="W284" i="37"/>
  <c r="W283" i="37"/>
  <c r="W282" i="37"/>
  <c r="W281" i="37"/>
  <c r="W280" i="37"/>
  <c r="V284" i="37"/>
  <c r="V283" i="37"/>
  <c r="V282" i="37"/>
  <c r="V281" i="37"/>
  <c r="V280" i="37"/>
  <c r="U284" i="37"/>
  <c r="U283" i="37"/>
  <c r="U282" i="37"/>
  <c r="U281" i="37"/>
  <c r="U280" i="37"/>
  <c r="T284" i="37"/>
  <c r="T283" i="37"/>
  <c r="T282" i="37"/>
  <c r="T281" i="37"/>
  <c r="T280" i="37"/>
  <c r="W279" i="37"/>
  <c r="V279" i="37"/>
  <c r="U279" i="37"/>
  <c r="T279" i="37"/>
  <c r="S284" i="37"/>
  <c r="S283" i="37"/>
  <c r="S282" i="37"/>
  <c r="S281" i="37"/>
  <c r="S280" i="37"/>
  <c r="R284" i="37"/>
  <c r="R283" i="37"/>
  <c r="R282" i="37"/>
  <c r="R281" i="37"/>
  <c r="R280" i="37"/>
  <c r="Q284" i="37"/>
  <c r="Q283" i="37"/>
  <c r="Q282" i="37"/>
  <c r="Q281" i="37"/>
  <c r="Q280" i="37"/>
  <c r="P284" i="37"/>
  <c r="P283" i="37"/>
  <c r="P282" i="37"/>
  <c r="P281" i="37"/>
  <c r="P280" i="37"/>
  <c r="S279" i="37"/>
  <c r="R279" i="37"/>
  <c r="Q279" i="37"/>
  <c r="P279" i="37"/>
  <c r="O284" i="37"/>
  <c r="O283" i="37"/>
  <c r="O282" i="37"/>
  <c r="O281" i="37"/>
  <c r="O280" i="37"/>
  <c r="N284" i="37"/>
  <c r="N283" i="37"/>
  <c r="N282" i="37"/>
  <c r="N281" i="37"/>
  <c r="N280" i="37"/>
  <c r="M284" i="37"/>
  <c r="M283" i="37"/>
  <c r="M282" i="37"/>
  <c r="M281" i="37"/>
  <c r="M280" i="37"/>
  <c r="L284" i="37"/>
  <c r="L283" i="37"/>
  <c r="L282" i="37"/>
  <c r="L281" i="37"/>
  <c r="L280" i="37"/>
  <c r="O279" i="37"/>
  <c r="N279" i="37"/>
  <c r="M279" i="37"/>
  <c r="L279" i="37"/>
  <c r="K284" i="37"/>
  <c r="J284" i="37"/>
  <c r="I284" i="37"/>
  <c r="H284" i="37"/>
  <c r="K283" i="37"/>
  <c r="J283" i="37"/>
  <c r="I283" i="37"/>
  <c r="H283" i="37"/>
  <c r="K282" i="37"/>
  <c r="J282" i="37"/>
  <c r="I282" i="37"/>
  <c r="H282" i="37"/>
  <c r="K281" i="37"/>
  <c r="J281" i="37"/>
  <c r="I281" i="37"/>
  <c r="H281" i="37"/>
  <c r="K280" i="37"/>
  <c r="J280" i="37"/>
  <c r="I280" i="37"/>
  <c r="H280" i="37"/>
  <c r="K279" i="37"/>
  <c r="J279" i="37"/>
  <c r="I279" i="37"/>
  <c r="H279" i="37"/>
  <c r="Y278" i="30"/>
  <c r="Y277" i="30"/>
  <c r="Y276" i="30"/>
  <c r="Y275" i="30"/>
  <c r="Y274" i="30"/>
  <c r="X278" i="30"/>
  <c r="X277" i="30"/>
  <c r="X276" i="30"/>
  <c r="X275" i="30"/>
  <c r="X274" i="30"/>
  <c r="W278" i="30"/>
  <c r="W277" i="30"/>
  <c r="W276" i="30"/>
  <c r="W275" i="30"/>
  <c r="W274" i="30"/>
  <c r="V278" i="30"/>
  <c r="V277" i="30"/>
  <c r="V276" i="30"/>
  <c r="V275" i="30"/>
  <c r="V274" i="30"/>
  <c r="Y273" i="30"/>
  <c r="X273" i="30"/>
  <c r="W273" i="30"/>
  <c r="V273" i="30"/>
  <c r="U278" i="30"/>
  <c r="U277" i="30"/>
  <c r="U276" i="30"/>
  <c r="U275" i="30"/>
  <c r="U274" i="30"/>
  <c r="T278" i="30"/>
  <c r="T277" i="30"/>
  <c r="T276" i="30"/>
  <c r="T275" i="30"/>
  <c r="T274" i="30"/>
  <c r="S278" i="30"/>
  <c r="S277" i="30"/>
  <c r="S276" i="30"/>
  <c r="S275" i="30"/>
  <c r="S274" i="30"/>
  <c r="R278" i="30"/>
  <c r="R277" i="30"/>
  <c r="R276" i="30"/>
  <c r="R275" i="30"/>
  <c r="R274" i="30"/>
  <c r="U273" i="30"/>
  <c r="T273" i="30"/>
  <c r="S273" i="30"/>
  <c r="R273" i="30"/>
  <c r="Q278" i="30"/>
  <c r="Q277" i="30"/>
  <c r="Q276" i="30"/>
  <c r="Q275" i="30"/>
  <c r="Q274" i="30"/>
  <c r="P278" i="30"/>
  <c r="P277" i="30"/>
  <c r="P276" i="30"/>
  <c r="P275" i="30"/>
  <c r="P274" i="30"/>
  <c r="O278" i="30"/>
  <c r="O277" i="30"/>
  <c r="O276" i="30"/>
  <c r="O275" i="30"/>
  <c r="O274" i="30"/>
  <c r="N278" i="30"/>
  <c r="N277" i="30"/>
  <c r="N276" i="30"/>
  <c r="N275" i="30"/>
  <c r="N274" i="30"/>
  <c r="Q273" i="30"/>
  <c r="P273" i="30"/>
  <c r="O273" i="30"/>
  <c r="N273" i="30"/>
  <c r="M278" i="30"/>
  <c r="M277" i="30"/>
  <c r="M276" i="30"/>
  <c r="M275" i="30"/>
  <c r="M274" i="30"/>
  <c r="L278" i="30"/>
  <c r="L277" i="30"/>
  <c r="L276" i="30"/>
  <c r="L275" i="30"/>
  <c r="L274" i="30"/>
  <c r="K278" i="30"/>
  <c r="K277" i="30"/>
  <c r="K276" i="30"/>
  <c r="K275" i="30"/>
  <c r="K274" i="30"/>
  <c r="J278" i="30"/>
  <c r="J277" i="30"/>
  <c r="J276" i="30"/>
  <c r="J275" i="30"/>
  <c r="J274" i="30"/>
  <c r="M273" i="30"/>
  <c r="L273" i="30"/>
  <c r="K273" i="30"/>
  <c r="J273" i="30"/>
  <c r="I278" i="30"/>
  <c r="H278" i="30"/>
  <c r="G278" i="30"/>
  <c r="F278" i="30"/>
  <c r="I277" i="30"/>
  <c r="H277" i="30"/>
  <c r="G277" i="30"/>
  <c r="F277" i="30"/>
  <c r="I276" i="30"/>
  <c r="H276" i="30"/>
  <c r="G276" i="30"/>
  <c r="F276" i="30"/>
  <c r="I275" i="30"/>
  <c r="H275" i="30"/>
  <c r="G275" i="30"/>
  <c r="F275" i="30"/>
  <c r="I274" i="30"/>
  <c r="H274" i="30"/>
  <c r="G274" i="30"/>
  <c r="F274" i="30"/>
  <c r="I273" i="30"/>
  <c r="H273" i="30"/>
  <c r="G273" i="30"/>
  <c r="F273" i="30"/>
  <c r="X238" i="23"/>
  <c r="W238" i="23"/>
  <c r="V238" i="23"/>
  <c r="U238" i="23"/>
  <c r="T238" i="23"/>
  <c r="S238" i="23"/>
  <c r="R238" i="23"/>
  <c r="Q238" i="23"/>
  <c r="P238" i="23"/>
  <c r="O238" i="23"/>
  <c r="N238" i="23"/>
  <c r="M238" i="23"/>
  <c r="L238" i="23"/>
  <c r="K238" i="23"/>
  <c r="J238" i="23"/>
  <c r="I238" i="23"/>
  <c r="H238" i="23"/>
  <c r="G238" i="23"/>
  <c r="F238" i="23"/>
  <c r="E238" i="23"/>
  <c r="X237" i="23"/>
  <c r="W237" i="23"/>
  <c r="V237" i="23"/>
  <c r="U237" i="23"/>
  <c r="T237" i="23"/>
  <c r="S237" i="23"/>
  <c r="R237" i="23"/>
  <c r="Q237" i="23"/>
  <c r="P237" i="23"/>
  <c r="O237" i="23"/>
  <c r="N237" i="23"/>
  <c r="M237" i="23"/>
  <c r="L237" i="23"/>
  <c r="K237" i="23"/>
  <c r="J237" i="23"/>
  <c r="I237" i="23"/>
  <c r="H237" i="23"/>
  <c r="G237" i="23"/>
  <c r="F237" i="23"/>
  <c r="E237" i="23"/>
  <c r="X236" i="23"/>
  <c r="W236" i="23"/>
  <c r="V236" i="23"/>
  <c r="U236" i="23"/>
  <c r="T236" i="23"/>
  <c r="S236" i="23"/>
  <c r="R236" i="23"/>
  <c r="Q236" i="23"/>
  <c r="P236" i="23"/>
  <c r="O236" i="23"/>
  <c r="N236" i="23"/>
  <c r="M236" i="23"/>
  <c r="L236" i="23"/>
  <c r="K236" i="23"/>
  <c r="J236" i="23"/>
  <c r="I236" i="23"/>
  <c r="H236" i="23"/>
  <c r="G236" i="23"/>
  <c r="F236" i="23"/>
  <c r="E236" i="23"/>
  <c r="X235" i="23"/>
  <c r="W235" i="23"/>
  <c r="V235" i="23"/>
  <c r="U235" i="23"/>
  <c r="T235" i="23"/>
  <c r="S235" i="23"/>
  <c r="R235" i="23"/>
  <c r="Q235" i="23"/>
  <c r="P235" i="23"/>
  <c r="O235" i="23"/>
  <c r="N235" i="23"/>
  <c r="M235" i="23"/>
  <c r="L235" i="23"/>
  <c r="K235" i="23"/>
  <c r="J235" i="23"/>
  <c r="I235" i="23"/>
  <c r="H235" i="23"/>
  <c r="G235" i="23"/>
  <c r="F235" i="23"/>
  <c r="E235" i="23"/>
  <c r="X234" i="23"/>
  <c r="W234" i="23"/>
  <c r="V234" i="23"/>
  <c r="U234" i="23"/>
  <c r="T234" i="23"/>
  <c r="S234" i="23"/>
  <c r="R234" i="23"/>
  <c r="Q234" i="23"/>
  <c r="P234" i="23"/>
  <c r="O234" i="23"/>
  <c r="N234" i="23"/>
  <c r="M234" i="23"/>
  <c r="L234" i="23"/>
  <c r="K234" i="23"/>
  <c r="J234" i="23"/>
  <c r="I234" i="23"/>
  <c r="H234" i="23"/>
  <c r="G234" i="23"/>
  <c r="F234" i="23"/>
  <c r="E234" i="23"/>
  <c r="X233" i="23"/>
  <c r="W233" i="23"/>
  <c r="V233" i="23"/>
  <c r="U233" i="23"/>
  <c r="T233" i="23"/>
  <c r="S233" i="23"/>
  <c r="R233" i="23"/>
  <c r="Q233" i="23"/>
  <c r="P233" i="23"/>
  <c r="O233" i="23"/>
  <c r="N233" i="23"/>
  <c r="M233" i="23"/>
  <c r="L233" i="23"/>
  <c r="K233" i="23"/>
  <c r="J233" i="23"/>
  <c r="I233" i="23"/>
  <c r="H233" i="23"/>
  <c r="G233" i="23"/>
  <c r="F233" i="23"/>
  <c r="E233" i="23"/>
  <c r="Y247" i="16"/>
  <c r="Y246" i="16"/>
  <c r="Y245" i="16"/>
  <c r="Y244" i="16"/>
  <c r="Y243" i="16"/>
  <c r="X247" i="16"/>
  <c r="X246" i="16"/>
  <c r="X245" i="16"/>
  <c r="X244" i="16"/>
  <c r="X243" i="16"/>
  <c r="W247" i="16"/>
  <c r="W246" i="16"/>
  <c r="W245" i="16"/>
  <c r="W244" i="16"/>
  <c r="W243" i="16"/>
  <c r="V247" i="16"/>
  <c r="V246" i="16"/>
  <c r="V245" i="16"/>
  <c r="V244" i="16"/>
  <c r="V243" i="16"/>
  <c r="Y242" i="16"/>
  <c r="X242" i="16"/>
  <c r="W242" i="16"/>
  <c r="V242" i="16"/>
  <c r="U247" i="16"/>
  <c r="U246" i="16"/>
  <c r="U245" i="16"/>
  <c r="U244" i="16"/>
  <c r="U243" i="16"/>
  <c r="T247" i="16"/>
  <c r="T246" i="16"/>
  <c r="T245" i="16"/>
  <c r="T244" i="16"/>
  <c r="T243" i="16"/>
  <c r="S247" i="16"/>
  <c r="S246" i="16"/>
  <c r="S245" i="16"/>
  <c r="S244" i="16"/>
  <c r="S243" i="16"/>
  <c r="R247" i="16"/>
  <c r="R246" i="16"/>
  <c r="R245" i="16"/>
  <c r="R244" i="16"/>
  <c r="R243" i="16"/>
  <c r="U242" i="16"/>
  <c r="T242" i="16"/>
  <c r="S242" i="16"/>
  <c r="R242" i="16"/>
  <c r="Q247" i="16"/>
  <c r="Q246" i="16"/>
  <c r="Q245" i="16"/>
  <c r="Q244" i="16"/>
  <c r="Q243" i="16"/>
  <c r="P247" i="16"/>
  <c r="P246" i="16"/>
  <c r="P245" i="16"/>
  <c r="P244" i="16"/>
  <c r="P243" i="16"/>
  <c r="O247" i="16"/>
  <c r="O246" i="16"/>
  <c r="O245" i="16"/>
  <c r="O244" i="16"/>
  <c r="O243" i="16"/>
  <c r="N247" i="16"/>
  <c r="N246" i="16"/>
  <c r="N245" i="16"/>
  <c r="N244" i="16"/>
  <c r="N243" i="16"/>
  <c r="Q242" i="16"/>
  <c r="P242" i="16"/>
  <c r="O242" i="16"/>
  <c r="N242" i="16"/>
  <c r="M247" i="16"/>
  <c r="M246" i="16"/>
  <c r="M245" i="16"/>
  <c r="M244" i="16"/>
  <c r="M243" i="16"/>
  <c r="L247" i="16"/>
  <c r="L246" i="16"/>
  <c r="L245" i="16"/>
  <c r="L244" i="16"/>
  <c r="L243" i="16"/>
  <c r="K247" i="16"/>
  <c r="K246" i="16"/>
  <c r="K245" i="16"/>
  <c r="K244" i="16"/>
  <c r="K243" i="16"/>
  <c r="J247" i="16"/>
  <c r="J246" i="16"/>
  <c r="J245" i="16"/>
  <c r="J244" i="16"/>
  <c r="J243" i="16"/>
  <c r="M242" i="16"/>
  <c r="L242" i="16"/>
  <c r="K242" i="16"/>
  <c r="J242" i="16"/>
  <c r="I247" i="16"/>
  <c r="I246" i="16"/>
  <c r="I245" i="16"/>
  <c r="I244" i="16"/>
  <c r="I243" i="16"/>
  <c r="I242" i="16"/>
  <c r="H242" i="16"/>
  <c r="H247" i="16"/>
  <c r="H246" i="16"/>
  <c r="H245" i="16"/>
  <c r="H244" i="16"/>
  <c r="H243" i="16"/>
  <c r="F244" i="16"/>
  <c r="F243" i="16"/>
  <c r="G247" i="16"/>
  <c r="F247" i="16"/>
  <c r="G246" i="16"/>
  <c r="F246" i="16"/>
  <c r="G245" i="16"/>
  <c r="F245" i="16"/>
  <c r="G244" i="16"/>
  <c r="G243" i="16"/>
  <c r="G242" i="16"/>
  <c r="C177" i="16"/>
  <c r="L173" i="3"/>
  <c r="G178" i="3"/>
  <c r="G177" i="3"/>
  <c r="G176" i="3"/>
  <c r="G175" i="3"/>
  <c r="G174" i="3"/>
  <c r="F178" i="3"/>
  <c r="F177" i="3"/>
  <c r="F176" i="3"/>
  <c r="F175" i="3"/>
  <c r="F174" i="3"/>
  <c r="G173" i="3"/>
  <c r="F173" i="3"/>
  <c r="G184" i="3"/>
  <c r="F184" i="3"/>
  <c r="E184" i="3"/>
  <c r="D184" i="3"/>
  <c r="H173" i="3"/>
  <c r="G190" i="3"/>
  <c r="G189" i="3"/>
  <c r="G188" i="3"/>
  <c r="G187" i="3"/>
  <c r="G186" i="3"/>
  <c r="F190" i="3"/>
  <c r="F189" i="3"/>
  <c r="F188" i="3"/>
  <c r="F187" i="3"/>
  <c r="F186" i="3"/>
  <c r="E190" i="3"/>
  <c r="E189" i="3"/>
  <c r="E188" i="3"/>
  <c r="E187" i="3"/>
  <c r="E186" i="3"/>
  <c r="D190" i="3"/>
  <c r="D189" i="3"/>
  <c r="D188" i="3"/>
  <c r="D187" i="3"/>
  <c r="G185" i="3"/>
  <c r="F185" i="3"/>
  <c r="D185" i="3"/>
  <c r="E185" i="3"/>
  <c r="AA190" i="3"/>
  <c r="AA189" i="3"/>
  <c r="AA188" i="3"/>
  <c r="AA187" i="3"/>
  <c r="AA186" i="3"/>
  <c r="AA185" i="3"/>
  <c r="Z190" i="3"/>
  <c r="Z189" i="3"/>
  <c r="Z188" i="3"/>
  <c r="Z187" i="3"/>
  <c r="Z186" i="3"/>
  <c r="Z185" i="3"/>
  <c r="Y190" i="3"/>
  <c r="Y189" i="3"/>
  <c r="Y188" i="3"/>
  <c r="Y187" i="3"/>
  <c r="Y186" i="3"/>
  <c r="Y185" i="3"/>
  <c r="X190" i="3"/>
  <c r="X189" i="3"/>
  <c r="X188" i="3"/>
  <c r="X187" i="3"/>
  <c r="X186" i="3"/>
  <c r="X185" i="3"/>
  <c r="W190" i="3"/>
  <c r="W189" i="3"/>
  <c r="W188" i="3"/>
  <c r="W187" i="3"/>
  <c r="W186" i="3"/>
  <c r="W185" i="3"/>
  <c r="V190" i="3"/>
  <c r="V189" i="3"/>
  <c r="V188" i="3"/>
  <c r="V187" i="3"/>
  <c r="V186" i="3"/>
  <c r="V185" i="3"/>
  <c r="U190" i="3"/>
  <c r="U189" i="3"/>
  <c r="U188" i="3"/>
  <c r="U187" i="3"/>
  <c r="U186" i="3"/>
  <c r="U185" i="3"/>
  <c r="T190" i="3"/>
  <c r="T189" i="3"/>
  <c r="T188" i="3"/>
  <c r="T187" i="3"/>
  <c r="T186" i="3"/>
  <c r="T185" i="3"/>
  <c r="S190" i="3"/>
  <c r="S189" i="3"/>
  <c r="S188" i="3"/>
  <c r="S187" i="3"/>
  <c r="S186" i="3"/>
  <c r="S185" i="3"/>
  <c r="R190" i="3"/>
  <c r="R189" i="3"/>
  <c r="R188" i="3"/>
  <c r="R187" i="3"/>
  <c r="R186" i="3"/>
  <c r="R185" i="3"/>
  <c r="Q190" i="3"/>
  <c r="Q189" i="3"/>
  <c r="Q188" i="3"/>
  <c r="Q187" i="3"/>
  <c r="Q186" i="3"/>
  <c r="Q185" i="3"/>
  <c r="P190" i="3"/>
  <c r="P189" i="3"/>
  <c r="P188" i="3"/>
  <c r="P187" i="3"/>
  <c r="P186" i="3"/>
  <c r="P185" i="3"/>
  <c r="O190" i="3"/>
  <c r="O189" i="3"/>
  <c r="O188" i="3"/>
  <c r="O187" i="3"/>
  <c r="O186" i="3"/>
  <c r="O185" i="3"/>
  <c r="N190" i="3"/>
  <c r="N189" i="3"/>
  <c r="N188" i="3"/>
  <c r="N187" i="3"/>
  <c r="N186" i="3"/>
  <c r="N185" i="3"/>
  <c r="M190" i="3"/>
  <c r="M189" i="3"/>
  <c r="M188" i="3"/>
  <c r="M187" i="3"/>
  <c r="M186" i="3"/>
  <c r="M185" i="3"/>
  <c r="L190" i="3"/>
  <c r="L189" i="3"/>
  <c r="L188" i="3"/>
  <c r="L187" i="3"/>
  <c r="L186" i="3"/>
  <c r="L185" i="3"/>
  <c r="K190" i="3"/>
  <c r="K189" i="3"/>
  <c r="K188" i="3"/>
  <c r="K187" i="3"/>
  <c r="K186" i="3"/>
  <c r="K185" i="3"/>
  <c r="J190" i="3"/>
  <c r="J189" i="3"/>
  <c r="J188" i="3"/>
  <c r="J187" i="3"/>
  <c r="J186" i="3"/>
  <c r="J185" i="3"/>
  <c r="I190" i="3"/>
  <c r="I189" i="3"/>
  <c r="I188" i="3"/>
  <c r="I187" i="3"/>
  <c r="I186" i="3"/>
  <c r="I185" i="3"/>
  <c r="H190" i="3"/>
  <c r="H189" i="3"/>
  <c r="H188" i="3"/>
  <c r="H187" i="3"/>
  <c r="H186" i="3"/>
  <c r="H185" i="3"/>
  <c r="Q178" i="3"/>
  <c r="P178" i="3"/>
  <c r="O178" i="3"/>
  <c r="N178" i="3"/>
  <c r="M178" i="3"/>
  <c r="L178" i="3"/>
  <c r="K178" i="3"/>
  <c r="J178" i="3"/>
  <c r="I178" i="3"/>
  <c r="H178" i="3"/>
  <c r="Q177" i="3"/>
  <c r="P177" i="3"/>
  <c r="O177" i="3"/>
  <c r="N177" i="3"/>
  <c r="M177" i="3"/>
  <c r="L177" i="3"/>
  <c r="K177" i="3"/>
  <c r="J177" i="3"/>
  <c r="I177" i="3"/>
  <c r="H177" i="3"/>
  <c r="Q176" i="3"/>
  <c r="P176" i="3"/>
  <c r="O176" i="3"/>
  <c r="N176" i="3"/>
  <c r="M176" i="3"/>
  <c r="L176" i="3"/>
  <c r="K176" i="3"/>
  <c r="J176" i="3"/>
  <c r="I176" i="3"/>
  <c r="H176" i="3"/>
  <c r="Q175" i="3"/>
  <c r="P175" i="3"/>
  <c r="O175" i="3"/>
  <c r="N175" i="3"/>
  <c r="M175" i="3"/>
  <c r="L175" i="3"/>
  <c r="K175" i="3"/>
  <c r="J175" i="3"/>
  <c r="I175" i="3"/>
  <c r="H175" i="3"/>
  <c r="Q174" i="3"/>
  <c r="P174" i="3"/>
  <c r="O174" i="3"/>
  <c r="N174" i="3"/>
  <c r="M174" i="3"/>
  <c r="L174" i="3"/>
  <c r="K174" i="3"/>
  <c r="J174" i="3"/>
  <c r="I174" i="3"/>
  <c r="Q173" i="3"/>
  <c r="O173" i="3"/>
  <c r="N173" i="3"/>
  <c r="M173" i="3"/>
  <c r="K173" i="3"/>
  <c r="J173" i="3"/>
  <c r="I173" i="3"/>
  <c r="H174" i="3"/>
  <c r="A180" i="3"/>
  <c r="A179" i="3"/>
  <c r="A178" i="3"/>
  <c r="A177" i="3"/>
  <c r="A176" i="3"/>
  <c r="A175" i="3"/>
  <c r="A174" i="3"/>
  <c r="B25" i="48" l="1"/>
  <c r="Z250" i="44" l="1"/>
  <c r="Z249" i="44"/>
  <c r="Z248" i="44"/>
  <c r="Z247" i="44"/>
  <c r="Z246" i="44"/>
  <c r="Y250" i="44"/>
  <c r="Y249" i="44"/>
  <c r="Y248" i="44"/>
  <c r="Y247" i="44"/>
  <c r="Y246" i="44"/>
  <c r="X250" i="44"/>
  <c r="X249" i="44"/>
  <c r="X248" i="44"/>
  <c r="X247" i="44"/>
  <c r="X246" i="44"/>
  <c r="W250" i="44"/>
  <c r="W249" i="44"/>
  <c r="W248" i="44"/>
  <c r="W247" i="44"/>
  <c r="W246" i="44"/>
  <c r="V250" i="44"/>
  <c r="V249" i="44"/>
  <c r="V248" i="44"/>
  <c r="V247" i="44"/>
  <c r="V246" i="44"/>
  <c r="U250" i="44"/>
  <c r="U249" i="44"/>
  <c r="U248" i="44"/>
  <c r="U247" i="44"/>
  <c r="U246" i="44"/>
  <c r="T250" i="44"/>
  <c r="T249" i="44"/>
  <c r="T248" i="44"/>
  <c r="T247" i="44"/>
  <c r="T246" i="44"/>
  <c r="S250" i="44"/>
  <c r="S249" i="44"/>
  <c r="S248" i="44"/>
  <c r="S247" i="44"/>
  <c r="S246" i="44"/>
  <c r="R250" i="44"/>
  <c r="R249" i="44"/>
  <c r="R248" i="44"/>
  <c r="R247" i="44"/>
  <c r="R246" i="44"/>
  <c r="Q250" i="44"/>
  <c r="Q249" i="44"/>
  <c r="Q248" i="44"/>
  <c r="Q247" i="44"/>
  <c r="Q246" i="44"/>
  <c r="P250" i="44"/>
  <c r="P249" i="44"/>
  <c r="P248" i="44"/>
  <c r="P247" i="44"/>
  <c r="P246" i="44"/>
  <c r="O250" i="44"/>
  <c r="O249" i="44"/>
  <c r="O248" i="44"/>
  <c r="O247" i="44"/>
  <c r="O246" i="44"/>
  <c r="N249" i="44"/>
  <c r="N248" i="44"/>
  <c r="N247" i="44"/>
  <c r="N246" i="44"/>
  <c r="M250" i="44"/>
  <c r="M249" i="44"/>
  <c r="M248" i="44"/>
  <c r="M247" i="44"/>
  <c r="M246" i="44"/>
  <c r="N250" i="44"/>
  <c r="L250" i="44"/>
  <c r="K250" i="44"/>
  <c r="L249" i="44"/>
  <c r="L248" i="44"/>
  <c r="L247" i="44"/>
  <c r="L246" i="44"/>
  <c r="K249" i="44"/>
  <c r="K248" i="44"/>
  <c r="K247" i="44"/>
  <c r="K246" i="44"/>
  <c r="J250" i="44"/>
  <c r="J249" i="44"/>
  <c r="J248" i="44"/>
  <c r="J247" i="44"/>
  <c r="J246" i="44"/>
  <c r="I250" i="44"/>
  <c r="I249" i="44"/>
  <c r="I248" i="44"/>
  <c r="I247" i="44"/>
  <c r="I246" i="44"/>
  <c r="H250" i="44"/>
  <c r="H249" i="44"/>
  <c r="H248" i="44"/>
  <c r="H247" i="44"/>
  <c r="H246" i="44"/>
  <c r="G250" i="44"/>
  <c r="G249" i="44"/>
  <c r="G248" i="44"/>
  <c r="G247" i="44"/>
  <c r="G246" i="44"/>
  <c r="Y239" i="37"/>
  <c r="Y238" i="37"/>
  <c r="Y237" i="37"/>
  <c r="Y236" i="37"/>
  <c r="X239" i="37"/>
  <c r="X238" i="37"/>
  <c r="X237" i="37"/>
  <c r="X236" i="37"/>
  <c r="W239" i="37"/>
  <c r="W238" i="37"/>
  <c r="W237" i="37"/>
  <c r="W236" i="37"/>
  <c r="V239" i="37"/>
  <c r="V238" i="37"/>
  <c r="V237" i="37"/>
  <c r="V236" i="37"/>
  <c r="U239" i="37"/>
  <c r="U238" i="37"/>
  <c r="U237" i="37"/>
  <c r="U236" i="37"/>
  <c r="T239" i="37"/>
  <c r="T238" i="37"/>
  <c r="T237" i="37"/>
  <c r="T236" i="37"/>
  <c r="S239" i="37"/>
  <c r="S238" i="37"/>
  <c r="S237" i="37"/>
  <c r="S236" i="37"/>
  <c r="R239" i="37"/>
  <c r="R238" i="37"/>
  <c r="R237" i="37"/>
  <c r="R236" i="37"/>
  <c r="Q239" i="37"/>
  <c r="Q238" i="37"/>
  <c r="Q237" i="37"/>
  <c r="Q236" i="37"/>
  <c r="P239" i="37"/>
  <c r="P238" i="37"/>
  <c r="P237" i="37"/>
  <c r="P236" i="37"/>
  <c r="O239" i="37"/>
  <c r="O238" i="37"/>
  <c r="O237" i="37"/>
  <c r="O236" i="37"/>
  <c r="N239" i="37"/>
  <c r="N238" i="37"/>
  <c r="N237" i="37"/>
  <c r="N236" i="37"/>
  <c r="M239" i="37"/>
  <c r="M238" i="37"/>
  <c r="M237" i="37"/>
  <c r="M236" i="37"/>
  <c r="L239" i="37"/>
  <c r="L238" i="37"/>
  <c r="L237" i="37"/>
  <c r="L236" i="37"/>
  <c r="K239" i="37"/>
  <c r="K238" i="37"/>
  <c r="K237" i="37"/>
  <c r="K236" i="37"/>
  <c r="J239" i="37"/>
  <c r="J238" i="37"/>
  <c r="J237" i="37"/>
  <c r="J236" i="37"/>
  <c r="I239" i="37"/>
  <c r="I238" i="37"/>
  <c r="I237" i="37"/>
  <c r="I236" i="37"/>
  <c r="H239" i="37"/>
  <c r="H238" i="37"/>
  <c r="H237" i="37"/>
  <c r="H236" i="37"/>
  <c r="G239" i="37"/>
  <c r="G238" i="37"/>
  <c r="G237" i="37"/>
  <c r="G236" i="37"/>
  <c r="F239" i="37"/>
  <c r="F238" i="37"/>
  <c r="F237" i="37"/>
  <c r="F236" i="37"/>
  <c r="Y234" i="30"/>
  <c r="Y233" i="30"/>
  <c r="Y232" i="30"/>
  <c r="Y235" i="30"/>
  <c r="X235" i="30"/>
  <c r="W235" i="30"/>
  <c r="V235" i="30"/>
  <c r="X234" i="30"/>
  <c r="X233" i="30"/>
  <c r="X232" i="30"/>
  <c r="W234" i="30"/>
  <c r="W233" i="30"/>
  <c r="W232" i="30"/>
  <c r="V234" i="30"/>
  <c r="V233" i="30"/>
  <c r="V232" i="30"/>
  <c r="U235" i="30"/>
  <c r="U234" i="30"/>
  <c r="U233" i="30"/>
  <c r="U232" i="30"/>
  <c r="T235" i="30"/>
  <c r="T234" i="30"/>
  <c r="T233" i="30"/>
  <c r="T232" i="30"/>
  <c r="S235" i="30"/>
  <c r="S234" i="30"/>
  <c r="S233" i="30"/>
  <c r="S232" i="30"/>
  <c r="R235" i="30"/>
  <c r="R234" i="30"/>
  <c r="R233" i="30"/>
  <c r="R232" i="30"/>
  <c r="Q235" i="30"/>
  <c r="Q234" i="30"/>
  <c r="Q233" i="30"/>
  <c r="Q232" i="30"/>
  <c r="P235" i="30"/>
  <c r="P234" i="30"/>
  <c r="P233" i="30"/>
  <c r="P232" i="30"/>
  <c r="O235" i="30"/>
  <c r="O234" i="30"/>
  <c r="O233" i="30"/>
  <c r="O232" i="30"/>
  <c r="N233" i="30"/>
  <c r="N235" i="30"/>
  <c r="N234" i="30"/>
  <c r="N232" i="30"/>
  <c r="M235" i="30"/>
  <c r="M234" i="30"/>
  <c r="M233" i="30"/>
  <c r="M232" i="30"/>
  <c r="L235" i="30"/>
  <c r="L234" i="30"/>
  <c r="L233" i="30"/>
  <c r="L232" i="30"/>
  <c r="K235" i="30"/>
  <c r="K234" i="30"/>
  <c r="K233" i="30"/>
  <c r="K232" i="30"/>
  <c r="J235" i="30"/>
  <c r="J234" i="30"/>
  <c r="J233" i="30"/>
  <c r="J232" i="30"/>
  <c r="I235" i="30"/>
  <c r="I234" i="30"/>
  <c r="I233" i="30"/>
  <c r="I232" i="30"/>
  <c r="H235" i="30"/>
  <c r="H234" i="30"/>
  <c r="H233" i="30"/>
  <c r="H232" i="30"/>
  <c r="F234" i="30"/>
  <c r="G235" i="30"/>
  <c r="G234" i="30"/>
  <c r="G233" i="30"/>
  <c r="G232" i="30"/>
  <c r="F235" i="30"/>
  <c r="F233" i="30"/>
  <c r="F232" i="30"/>
  <c r="V194" i="16" l="1"/>
  <c r="V193" i="16"/>
  <c r="V192" i="16"/>
  <c r="V191" i="16"/>
  <c r="V190" i="16"/>
  <c r="U194" i="16"/>
  <c r="U193" i="16"/>
  <c r="U192" i="16"/>
  <c r="U191" i="16"/>
  <c r="U190" i="16"/>
  <c r="V189" i="16"/>
  <c r="U189" i="16"/>
  <c r="T194" i="16"/>
  <c r="T193" i="16"/>
  <c r="T192" i="16"/>
  <c r="T191" i="16"/>
  <c r="T190" i="16"/>
  <c r="S194" i="16"/>
  <c r="S193" i="16"/>
  <c r="S192" i="16"/>
  <c r="S191" i="16"/>
  <c r="S190" i="16"/>
  <c r="T189" i="16"/>
  <c r="S189" i="16"/>
  <c r="L182" i="16"/>
  <c r="L181" i="16"/>
  <c r="L180" i="16"/>
  <c r="L179" i="16"/>
  <c r="L178" i="16"/>
  <c r="K182" i="16"/>
  <c r="K181" i="16"/>
  <c r="K180" i="16"/>
  <c r="K179" i="16"/>
  <c r="K178" i="16"/>
  <c r="L177" i="16"/>
  <c r="K177" i="16"/>
  <c r="X193" i="23"/>
  <c r="X192" i="23"/>
  <c r="X191" i="23"/>
  <c r="X190" i="23"/>
  <c r="X189" i="23"/>
  <c r="W193" i="23"/>
  <c r="W192" i="23"/>
  <c r="W191" i="23"/>
  <c r="W190" i="23"/>
  <c r="W189" i="23"/>
  <c r="X188" i="23"/>
  <c r="W188" i="23"/>
  <c r="V193" i="23"/>
  <c r="V192" i="23"/>
  <c r="V191" i="23"/>
  <c r="V190" i="23"/>
  <c r="V189" i="23"/>
  <c r="V188" i="23"/>
  <c r="U193" i="23"/>
  <c r="U192" i="23"/>
  <c r="U191" i="23"/>
  <c r="U190" i="23"/>
  <c r="U189" i="23"/>
  <c r="U188" i="23"/>
  <c r="N181" i="23"/>
  <c r="N180" i="23"/>
  <c r="N179" i="23"/>
  <c r="N178" i="23"/>
  <c r="N177" i="23"/>
  <c r="M181" i="23"/>
  <c r="M180" i="23"/>
  <c r="M179" i="23"/>
  <c r="M178" i="23"/>
  <c r="M177" i="23"/>
  <c r="M176" i="23"/>
  <c r="N176" i="23"/>
  <c r="H179" i="23"/>
  <c r="H178" i="23"/>
  <c r="G177" i="23"/>
  <c r="E177" i="23"/>
  <c r="O181" i="30"/>
  <c r="O180" i="30"/>
  <c r="O179" i="30"/>
  <c r="O178" i="30"/>
  <c r="O177" i="30"/>
  <c r="N181" i="30"/>
  <c r="N180" i="30"/>
  <c r="N179" i="30"/>
  <c r="N178" i="30"/>
  <c r="N177" i="30"/>
  <c r="O176" i="30"/>
  <c r="N176" i="30"/>
  <c r="Y193" i="30"/>
  <c r="Y192" i="30"/>
  <c r="Y191" i="30"/>
  <c r="Y190" i="30"/>
  <c r="Y189" i="30"/>
  <c r="X193" i="30"/>
  <c r="X192" i="30"/>
  <c r="X191" i="30"/>
  <c r="X190" i="30"/>
  <c r="X189" i="30"/>
  <c r="Y188" i="30"/>
  <c r="X188" i="30"/>
  <c r="W193" i="30"/>
  <c r="W192" i="30"/>
  <c r="W191" i="30"/>
  <c r="W190" i="30"/>
  <c r="W189" i="30"/>
  <c r="V193" i="30"/>
  <c r="V192" i="30"/>
  <c r="V191" i="30"/>
  <c r="V190" i="30"/>
  <c r="V189" i="30"/>
  <c r="V188" i="30"/>
  <c r="W188" i="30"/>
  <c r="Y193" i="37"/>
  <c r="Y192" i="37"/>
  <c r="Y191" i="37"/>
  <c r="Y190" i="37"/>
  <c r="Y189" i="37"/>
  <c r="Y188" i="37"/>
  <c r="X193" i="37"/>
  <c r="X192" i="37"/>
  <c r="X191" i="37"/>
  <c r="X190" i="37"/>
  <c r="X189" i="37"/>
  <c r="X188" i="37"/>
  <c r="W193" i="37"/>
  <c r="W192" i="37"/>
  <c r="W191" i="37"/>
  <c r="W190" i="37"/>
  <c r="W189" i="37"/>
  <c r="W188" i="37"/>
  <c r="V193" i="37"/>
  <c r="V192" i="37"/>
  <c r="V191" i="37"/>
  <c r="V190" i="37"/>
  <c r="V189" i="37"/>
  <c r="V188" i="37"/>
  <c r="O181" i="37"/>
  <c r="O180" i="37"/>
  <c r="O179" i="37"/>
  <c r="O178" i="37"/>
  <c r="O177" i="37"/>
  <c r="N181" i="37"/>
  <c r="N180" i="37"/>
  <c r="N179" i="37"/>
  <c r="N178" i="37"/>
  <c r="N177" i="37"/>
  <c r="O176" i="37"/>
  <c r="N176" i="37"/>
  <c r="AC202" i="44"/>
  <c r="AC201" i="44"/>
  <c r="AC200" i="44"/>
  <c r="AC199" i="44"/>
  <c r="AC198" i="44"/>
  <c r="AC197" i="44"/>
  <c r="V189" i="44"/>
  <c r="Y193" i="44"/>
  <c r="Y192" i="44"/>
  <c r="Y191" i="44"/>
  <c r="Y190" i="44"/>
  <c r="Y189" i="44"/>
  <c r="X193" i="44"/>
  <c r="X192" i="44"/>
  <c r="X191" i="44"/>
  <c r="X190" i="44"/>
  <c r="X189" i="44"/>
  <c r="W193" i="44"/>
  <c r="W192" i="44"/>
  <c r="W191" i="44"/>
  <c r="W190" i="44"/>
  <c r="W189" i="44"/>
  <c r="V193" i="44"/>
  <c r="V192" i="44"/>
  <c r="V191" i="44"/>
  <c r="V190" i="44"/>
  <c r="Y188" i="44"/>
  <c r="X188" i="44"/>
  <c r="W188" i="44"/>
  <c r="V188" i="44"/>
  <c r="F188" i="44"/>
  <c r="O181" i="44"/>
  <c r="O180" i="44"/>
  <c r="O179" i="44"/>
  <c r="O178" i="44"/>
  <c r="O177" i="44"/>
  <c r="N181" i="44"/>
  <c r="N180" i="44"/>
  <c r="N179" i="44"/>
  <c r="N178" i="44"/>
  <c r="N177" i="44"/>
  <c r="O176" i="44"/>
  <c r="N176" i="44"/>
  <c r="L180" i="44"/>
  <c r="K179" i="44"/>
  <c r="J178" i="44"/>
  <c r="I177" i="44"/>
  <c r="H176" i="44"/>
  <c r="F176" i="44"/>
  <c r="M176" i="44"/>
  <c r="M177" i="44"/>
  <c r="M178" i="44"/>
  <c r="M179" i="44"/>
  <c r="M180" i="44"/>
  <c r="M181" i="44"/>
  <c r="M188" i="44"/>
  <c r="M189" i="44"/>
  <c r="M190" i="44"/>
  <c r="M191" i="44"/>
  <c r="M192" i="44"/>
  <c r="M193" i="44"/>
  <c r="U193" i="44"/>
  <c r="T193" i="44"/>
  <c r="S193" i="44"/>
  <c r="R193" i="44"/>
  <c r="Q193" i="44"/>
  <c r="P193" i="44"/>
  <c r="O193" i="44"/>
  <c r="N193" i="44"/>
  <c r="L193" i="44"/>
  <c r="K193" i="44"/>
  <c r="J193" i="44"/>
  <c r="I193" i="44"/>
  <c r="H193" i="44"/>
  <c r="G193" i="44"/>
  <c r="F193" i="44"/>
  <c r="U192" i="44"/>
  <c r="T192" i="44"/>
  <c r="S192" i="44"/>
  <c r="R192" i="44"/>
  <c r="Q192" i="44"/>
  <c r="P192" i="44"/>
  <c r="O192" i="44"/>
  <c r="N192" i="44"/>
  <c r="L192" i="44"/>
  <c r="K192" i="44"/>
  <c r="J192" i="44"/>
  <c r="I192" i="44"/>
  <c r="H192" i="44"/>
  <c r="G192" i="44"/>
  <c r="F192" i="44"/>
  <c r="U191" i="44"/>
  <c r="T191" i="44"/>
  <c r="S191" i="44"/>
  <c r="R191" i="44"/>
  <c r="Q191" i="44"/>
  <c r="P191" i="44"/>
  <c r="O191" i="44"/>
  <c r="N191" i="44"/>
  <c r="L191" i="44"/>
  <c r="K191" i="44"/>
  <c r="J191" i="44"/>
  <c r="I191" i="44"/>
  <c r="H191" i="44"/>
  <c r="G191" i="44"/>
  <c r="F191" i="44"/>
  <c r="U190" i="44"/>
  <c r="T190" i="44"/>
  <c r="S190" i="44"/>
  <c r="R190" i="44"/>
  <c r="Q190" i="44"/>
  <c r="P190" i="44"/>
  <c r="O190" i="44"/>
  <c r="N190" i="44"/>
  <c r="L190" i="44"/>
  <c r="K190" i="44"/>
  <c r="J190" i="44"/>
  <c r="I190" i="44"/>
  <c r="H190" i="44"/>
  <c r="G190" i="44"/>
  <c r="F190" i="44"/>
  <c r="U189" i="44"/>
  <c r="T189" i="44"/>
  <c r="S189" i="44"/>
  <c r="R189" i="44"/>
  <c r="Q189" i="44"/>
  <c r="P189" i="44"/>
  <c r="O189" i="44"/>
  <c r="N189" i="44"/>
  <c r="L189" i="44"/>
  <c r="K189" i="44"/>
  <c r="J189" i="44"/>
  <c r="I189" i="44"/>
  <c r="H189" i="44"/>
  <c r="G189" i="44"/>
  <c r="F189" i="44"/>
  <c r="U188" i="44"/>
  <c r="T188" i="44"/>
  <c r="S188" i="44"/>
  <c r="R188" i="44"/>
  <c r="Q188" i="44"/>
  <c r="P188" i="44"/>
  <c r="O188" i="44"/>
  <c r="N188" i="44"/>
  <c r="L188" i="44"/>
  <c r="K188" i="44"/>
  <c r="J188" i="44"/>
  <c r="I188" i="44"/>
  <c r="H188" i="44"/>
  <c r="G188" i="44"/>
  <c r="L181" i="44"/>
  <c r="K181" i="44"/>
  <c r="J181" i="44"/>
  <c r="I181" i="44"/>
  <c r="H181" i="44"/>
  <c r="G181" i="44"/>
  <c r="F181" i="44"/>
  <c r="K180" i="44"/>
  <c r="J180" i="44"/>
  <c r="I180" i="44"/>
  <c r="H180" i="44"/>
  <c r="G180" i="44"/>
  <c r="F180" i="44"/>
  <c r="L179" i="44"/>
  <c r="J179" i="44"/>
  <c r="I179" i="44"/>
  <c r="H179" i="44"/>
  <c r="G179" i="44"/>
  <c r="F179" i="44"/>
  <c r="L178" i="44"/>
  <c r="K178" i="44"/>
  <c r="I178" i="44"/>
  <c r="H178" i="44"/>
  <c r="G178" i="44"/>
  <c r="F178" i="44"/>
  <c r="L177" i="44"/>
  <c r="K177" i="44"/>
  <c r="J177" i="44"/>
  <c r="H177" i="44"/>
  <c r="G177" i="44"/>
  <c r="F177" i="44"/>
  <c r="L176" i="44"/>
  <c r="K176" i="44"/>
  <c r="J176" i="44"/>
  <c r="I176" i="44"/>
  <c r="G176" i="44"/>
  <c r="Z169" i="44"/>
  <c r="Y169" i="44"/>
  <c r="S169" i="44"/>
  <c r="R169" i="44"/>
  <c r="L169" i="44"/>
  <c r="K169" i="44"/>
  <c r="E169" i="44"/>
  <c r="D169" i="44"/>
  <c r="R188" i="37"/>
  <c r="Q188" i="37"/>
  <c r="P188" i="37"/>
  <c r="O188" i="37"/>
  <c r="N188" i="37"/>
  <c r="M188" i="37"/>
  <c r="L188" i="37"/>
  <c r="K188" i="37"/>
  <c r="J188" i="37"/>
  <c r="I188" i="37"/>
  <c r="H188" i="37"/>
  <c r="G188" i="37"/>
  <c r="F188" i="37"/>
  <c r="M176" i="37"/>
  <c r="L176" i="37"/>
  <c r="K176" i="37"/>
  <c r="J176" i="37"/>
  <c r="I176" i="37"/>
  <c r="H176" i="37"/>
  <c r="G176" i="37"/>
  <c r="F176" i="37"/>
  <c r="U193" i="37"/>
  <c r="T193" i="37"/>
  <c r="S193" i="37"/>
  <c r="R193" i="37"/>
  <c r="Q193" i="37"/>
  <c r="P193" i="37"/>
  <c r="O193" i="37"/>
  <c r="N193" i="37"/>
  <c r="M193" i="37"/>
  <c r="L193" i="37"/>
  <c r="K193" i="37"/>
  <c r="J193" i="37"/>
  <c r="I193" i="37"/>
  <c r="H193" i="37"/>
  <c r="G193" i="37"/>
  <c r="F193" i="37"/>
  <c r="U192" i="37"/>
  <c r="T192" i="37"/>
  <c r="S192" i="37"/>
  <c r="R192" i="37"/>
  <c r="Q192" i="37"/>
  <c r="P192" i="37"/>
  <c r="O192" i="37"/>
  <c r="N192" i="37"/>
  <c r="M192" i="37"/>
  <c r="L192" i="37"/>
  <c r="K192" i="37"/>
  <c r="J192" i="37"/>
  <c r="I192" i="37"/>
  <c r="H192" i="37"/>
  <c r="G192" i="37"/>
  <c r="F192" i="37"/>
  <c r="U191" i="37"/>
  <c r="T191" i="37"/>
  <c r="S191" i="37"/>
  <c r="R191" i="37"/>
  <c r="Q191" i="37"/>
  <c r="P191" i="37"/>
  <c r="O191" i="37"/>
  <c r="N191" i="37"/>
  <c r="M191" i="37"/>
  <c r="L191" i="37"/>
  <c r="K191" i="37"/>
  <c r="J191" i="37"/>
  <c r="I191" i="37"/>
  <c r="H191" i="37"/>
  <c r="G191" i="37"/>
  <c r="F191" i="37"/>
  <c r="U190" i="37"/>
  <c r="T190" i="37"/>
  <c r="S190" i="37"/>
  <c r="R190" i="37"/>
  <c r="Q190" i="37"/>
  <c r="P190" i="37"/>
  <c r="O190" i="37"/>
  <c r="N190" i="37"/>
  <c r="M190" i="37"/>
  <c r="L190" i="37"/>
  <c r="K190" i="37"/>
  <c r="J190" i="37"/>
  <c r="I190" i="37"/>
  <c r="H190" i="37"/>
  <c r="G190" i="37"/>
  <c r="F190" i="37"/>
  <c r="U189" i="37"/>
  <c r="T189" i="37"/>
  <c r="S189" i="37"/>
  <c r="R189" i="37"/>
  <c r="Q189" i="37"/>
  <c r="P189" i="37"/>
  <c r="O189" i="37"/>
  <c r="N189" i="37"/>
  <c r="M189" i="37"/>
  <c r="L189" i="37"/>
  <c r="K189" i="37"/>
  <c r="J189" i="37"/>
  <c r="I189" i="37"/>
  <c r="H189" i="37"/>
  <c r="G189" i="37"/>
  <c r="F189" i="37"/>
  <c r="U188" i="37"/>
  <c r="T188" i="37"/>
  <c r="S188" i="37"/>
  <c r="M181" i="37"/>
  <c r="L181" i="37"/>
  <c r="K181" i="37"/>
  <c r="J181" i="37"/>
  <c r="I181" i="37"/>
  <c r="H181" i="37"/>
  <c r="G181" i="37"/>
  <c r="F181" i="37"/>
  <c r="M180" i="37"/>
  <c r="L180" i="37"/>
  <c r="K180" i="37"/>
  <c r="J180" i="37"/>
  <c r="I180" i="37"/>
  <c r="H180" i="37"/>
  <c r="G180" i="37"/>
  <c r="F180" i="37"/>
  <c r="M179" i="37"/>
  <c r="L179" i="37"/>
  <c r="K179" i="37"/>
  <c r="J179" i="37"/>
  <c r="I179" i="37"/>
  <c r="H179" i="37"/>
  <c r="G179" i="37"/>
  <c r="F179" i="37"/>
  <c r="M178" i="37"/>
  <c r="L178" i="37"/>
  <c r="K178" i="37"/>
  <c r="J178" i="37"/>
  <c r="I178" i="37"/>
  <c r="H178" i="37"/>
  <c r="G178" i="37"/>
  <c r="F178" i="37"/>
  <c r="M177" i="37"/>
  <c r="L177" i="37"/>
  <c r="K177" i="37"/>
  <c r="J177" i="37"/>
  <c r="I177" i="37"/>
  <c r="H177" i="37"/>
  <c r="G177" i="37"/>
  <c r="F177" i="37"/>
  <c r="U193" i="30" l="1"/>
  <c r="U192" i="30"/>
  <c r="U191" i="30"/>
  <c r="U190" i="30"/>
  <c r="U189" i="30"/>
  <c r="T193" i="30"/>
  <c r="T192" i="30"/>
  <c r="T191" i="30"/>
  <c r="T190" i="30"/>
  <c r="T189" i="30"/>
  <c r="U188" i="30"/>
  <c r="T188" i="30"/>
  <c r="R193" i="30"/>
  <c r="R192" i="30"/>
  <c r="R191" i="30"/>
  <c r="R190" i="30"/>
  <c r="R189" i="30"/>
  <c r="S193" i="30"/>
  <c r="S192" i="30"/>
  <c r="S191" i="30"/>
  <c r="S190" i="30"/>
  <c r="S189" i="30"/>
  <c r="S188" i="30"/>
  <c r="R188" i="30"/>
  <c r="Q193" i="30"/>
  <c r="Q192" i="30"/>
  <c r="Q191" i="30"/>
  <c r="Q190" i="30"/>
  <c r="Q189" i="30"/>
  <c r="P193" i="30"/>
  <c r="P192" i="30"/>
  <c r="P191" i="30"/>
  <c r="P190" i="30"/>
  <c r="P189" i="30"/>
  <c r="O193" i="30"/>
  <c r="O192" i="30"/>
  <c r="O191" i="30"/>
  <c r="O190" i="30"/>
  <c r="O189" i="30"/>
  <c r="N193" i="30"/>
  <c r="N192" i="30"/>
  <c r="N191" i="30"/>
  <c r="N190" i="30"/>
  <c r="N189" i="30"/>
  <c r="Q188" i="30"/>
  <c r="N188" i="30"/>
  <c r="O188" i="30"/>
  <c r="P188" i="30"/>
  <c r="M193" i="30"/>
  <c r="M192" i="30"/>
  <c r="M191" i="30"/>
  <c r="M190" i="30"/>
  <c r="M189" i="30"/>
  <c r="L193" i="30"/>
  <c r="L192" i="30"/>
  <c r="L191" i="30"/>
  <c r="L190" i="30"/>
  <c r="L189" i="30"/>
  <c r="M188" i="30"/>
  <c r="L188" i="30"/>
  <c r="K193" i="30"/>
  <c r="K192" i="30"/>
  <c r="K191" i="30"/>
  <c r="K190" i="30"/>
  <c r="K189" i="30"/>
  <c r="K188" i="30"/>
  <c r="J193" i="30"/>
  <c r="J192" i="30"/>
  <c r="J191" i="30"/>
  <c r="J190" i="30"/>
  <c r="J189" i="30"/>
  <c r="J188" i="30"/>
  <c r="I193" i="30"/>
  <c r="I192" i="30"/>
  <c r="I191" i="30"/>
  <c r="I190" i="30"/>
  <c r="I189" i="30"/>
  <c r="H193" i="30"/>
  <c r="H192" i="30"/>
  <c r="H191" i="30"/>
  <c r="H190" i="30"/>
  <c r="H189" i="30"/>
  <c r="I188" i="30"/>
  <c r="H188" i="30"/>
  <c r="F188" i="30"/>
  <c r="G193" i="30"/>
  <c r="G192" i="30"/>
  <c r="G191" i="30"/>
  <c r="G190" i="30"/>
  <c r="G189" i="30"/>
  <c r="F193" i="30"/>
  <c r="F192" i="30"/>
  <c r="F191" i="30"/>
  <c r="F190" i="30"/>
  <c r="F189" i="30"/>
  <c r="G188" i="30"/>
  <c r="F180" i="30"/>
  <c r="F179" i="30"/>
  <c r="F177" i="30"/>
  <c r="F176" i="30"/>
  <c r="G181" i="30"/>
  <c r="H181" i="30"/>
  <c r="I181" i="30"/>
  <c r="J181" i="30"/>
  <c r="K181" i="30"/>
  <c r="L181" i="30"/>
  <c r="M181" i="30"/>
  <c r="F181" i="30"/>
  <c r="G180" i="30"/>
  <c r="H180" i="30"/>
  <c r="I180" i="30"/>
  <c r="J180" i="30"/>
  <c r="K180" i="30"/>
  <c r="L180" i="30"/>
  <c r="M180" i="30"/>
  <c r="G179" i="30"/>
  <c r="H179" i="30"/>
  <c r="I179" i="30"/>
  <c r="J179" i="30"/>
  <c r="K179" i="30"/>
  <c r="L179" i="30"/>
  <c r="M179" i="30"/>
  <c r="G178" i="30"/>
  <c r="H178" i="30"/>
  <c r="I178" i="30"/>
  <c r="J178" i="30"/>
  <c r="K178" i="30"/>
  <c r="L178" i="30"/>
  <c r="M178" i="30"/>
  <c r="F178" i="30"/>
  <c r="M177" i="30"/>
  <c r="G177" i="30"/>
  <c r="H177" i="30"/>
  <c r="I177" i="30"/>
  <c r="J177" i="30"/>
  <c r="K177" i="30"/>
  <c r="L177" i="30"/>
  <c r="I176" i="30"/>
  <c r="J176" i="30"/>
  <c r="K176" i="30"/>
  <c r="L176" i="30"/>
  <c r="M176" i="30"/>
  <c r="H176" i="30"/>
  <c r="G176" i="30"/>
  <c r="E176" i="23"/>
  <c r="K177" i="23"/>
  <c r="R193" i="23"/>
  <c r="R192" i="23"/>
  <c r="R191" i="23"/>
  <c r="R190" i="23"/>
  <c r="R189" i="23"/>
  <c r="R188" i="23"/>
  <c r="T188" i="23"/>
  <c r="Q193" i="23"/>
  <c r="Q192" i="23"/>
  <c r="Q191" i="23"/>
  <c r="Q190" i="23"/>
  <c r="Q189" i="23"/>
  <c r="Q188" i="23"/>
  <c r="S193" i="23"/>
  <c r="S192" i="23"/>
  <c r="S191" i="23"/>
  <c r="S190" i="23"/>
  <c r="S189" i="23"/>
  <c r="S188" i="23"/>
  <c r="T193" i="23"/>
  <c r="T192" i="23"/>
  <c r="T191" i="23"/>
  <c r="T190" i="23"/>
  <c r="T189" i="23"/>
  <c r="P193" i="23"/>
  <c r="P192" i="23"/>
  <c r="P191" i="23"/>
  <c r="P190" i="23"/>
  <c r="P189" i="23"/>
  <c r="P188" i="23"/>
  <c r="O193" i="23"/>
  <c r="O192" i="23"/>
  <c r="O191" i="23"/>
  <c r="O190" i="23"/>
  <c r="O189" i="23"/>
  <c r="O188" i="23"/>
  <c r="N193" i="23"/>
  <c r="N192" i="23"/>
  <c r="N191" i="23"/>
  <c r="N190" i="23"/>
  <c r="N189" i="23"/>
  <c r="N188" i="23"/>
  <c r="M193" i="23"/>
  <c r="M192" i="23"/>
  <c r="M191" i="23"/>
  <c r="M190" i="23"/>
  <c r="M189" i="23"/>
  <c r="M188" i="23"/>
  <c r="L193" i="23"/>
  <c r="L192" i="23"/>
  <c r="L191" i="23"/>
  <c r="L190" i="23"/>
  <c r="L189" i="23"/>
  <c r="L188" i="23"/>
  <c r="K193" i="23"/>
  <c r="K192" i="23"/>
  <c r="K191" i="23"/>
  <c r="K190" i="23"/>
  <c r="K189" i="23"/>
  <c r="K188" i="23"/>
  <c r="J193" i="23"/>
  <c r="J192" i="23"/>
  <c r="J191" i="23"/>
  <c r="J190" i="23"/>
  <c r="J189" i="23"/>
  <c r="J188" i="23"/>
  <c r="I193" i="23"/>
  <c r="I192" i="23"/>
  <c r="I191" i="23"/>
  <c r="I190" i="23"/>
  <c r="I189" i="23"/>
  <c r="I188" i="23"/>
  <c r="H193" i="23"/>
  <c r="H192" i="23"/>
  <c r="H191" i="23"/>
  <c r="H190" i="23"/>
  <c r="H189" i="23"/>
  <c r="H188" i="23"/>
  <c r="G193" i="23"/>
  <c r="G192" i="23"/>
  <c r="G191" i="23"/>
  <c r="G190" i="23"/>
  <c r="G189" i="23"/>
  <c r="G188" i="23"/>
  <c r="F193" i="23"/>
  <c r="F192" i="23"/>
  <c r="F191" i="23"/>
  <c r="F190" i="23"/>
  <c r="F189" i="23"/>
  <c r="F188" i="23"/>
  <c r="E193" i="23"/>
  <c r="E192" i="23"/>
  <c r="E191" i="23"/>
  <c r="E190" i="23"/>
  <c r="E189" i="23"/>
  <c r="L181" i="23"/>
  <c r="L180" i="23"/>
  <c r="L179" i="23"/>
  <c r="L178" i="23"/>
  <c r="L177" i="23"/>
  <c r="L176" i="23"/>
  <c r="K181" i="23"/>
  <c r="K180" i="23"/>
  <c r="K179" i="23"/>
  <c r="K178" i="23"/>
  <c r="K176" i="23"/>
  <c r="J181" i="23"/>
  <c r="J180" i="23"/>
  <c r="J179" i="23"/>
  <c r="J178" i="23"/>
  <c r="J177" i="23"/>
  <c r="J176" i="23"/>
  <c r="I181" i="23"/>
  <c r="I180" i="23"/>
  <c r="I179" i="23"/>
  <c r="I178" i="23"/>
  <c r="I177" i="23"/>
  <c r="I176" i="23"/>
  <c r="H181" i="23"/>
  <c r="H180" i="23"/>
  <c r="H177" i="23"/>
  <c r="H176" i="23"/>
  <c r="G181" i="23"/>
  <c r="G180" i="23"/>
  <c r="G179" i="23"/>
  <c r="G178" i="23"/>
  <c r="G176" i="23"/>
  <c r="F181" i="23"/>
  <c r="F180" i="23"/>
  <c r="F179" i="23"/>
  <c r="F178" i="23"/>
  <c r="F177" i="23"/>
  <c r="F176" i="23"/>
  <c r="E181" i="23"/>
  <c r="E180" i="23"/>
  <c r="E179" i="23"/>
  <c r="E178" i="23"/>
  <c r="R194" i="16"/>
  <c r="R193" i="16"/>
  <c r="R192" i="16"/>
  <c r="R191" i="16"/>
  <c r="R190" i="16"/>
  <c r="R189" i="16"/>
  <c r="P194" i="16"/>
  <c r="P193" i="16"/>
  <c r="P192" i="16"/>
  <c r="P191" i="16"/>
  <c r="P190" i="16"/>
  <c r="P189" i="16"/>
  <c r="Q194" i="16"/>
  <c r="Q193" i="16"/>
  <c r="Q192" i="16"/>
  <c r="Q191" i="16"/>
  <c r="Q190" i="16"/>
  <c r="Q189" i="16"/>
  <c r="O194" i="16"/>
  <c r="O193" i="16"/>
  <c r="O192" i="16"/>
  <c r="O191" i="16"/>
  <c r="O190" i="16"/>
  <c r="O189" i="16"/>
  <c r="K189" i="16"/>
  <c r="M194" i="16"/>
  <c r="M193" i="16"/>
  <c r="M192" i="16"/>
  <c r="M191" i="16"/>
  <c r="M190" i="16"/>
  <c r="M189" i="16"/>
  <c r="L194" i="16"/>
  <c r="L193" i="16"/>
  <c r="L192" i="16"/>
  <c r="L191" i="16"/>
  <c r="L190" i="16"/>
  <c r="L189" i="16"/>
  <c r="N194" i="16"/>
  <c r="N193" i="16"/>
  <c r="N192" i="16"/>
  <c r="N191" i="16"/>
  <c r="N190" i="16"/>
  <c r="N189" i="16"/>
  <c r="K194" i="16"/>
  <c r="K193" i="16"/>
  <c r="K192" i="16"/>
  <c r="K191" i="16"/>
  <c r="K190" i="16"/>
  <c r="J194" i="16"/>
  <c r="J193" i="16"/>
  <c r="J192" i="16"/>
  <c r="J191" i="16"/>
  <c r="J190" i="16"/>
  <c r="J189" i="16"/>
  <c r="H194" i="16"/>
  <c r="H193" i="16"/>
  <c r="H192" i="16"/>
  <c r="H191" i="16"/>
  <c r="H189" i="16"/>
  <c r="H190" i="16"/>
  <c r="I194" i="16"/>
  <c r="I193" i="16"/>
  <c r="I192" i="16"/>
  <c r="I191" i="16"/>
  <c r="I190" i="16"/>
  <c r="I189" i="16"/>
  <c r="G194" i="16"/>
  <c r="G193" i="16"/>
  <c r="G192" i="16"/>
  <c r="G191" i="16"/>
  <c r="G190" i="16"/>
  <c r="E194" i="16"/>
  <c r="E193" i="16"/>
  <c r="E192" i="16"/>
  <c r="E191" i="16"/>
  <c r="E190" i="16"/>
  <c r="F194" i="16"/>
  <c r="F193" i="16"/>
  <c r="F192" i="16"/>
  <c r="F191" i="16"/>
  <c r="F190" i="16"/>
  <c r="D194" i="16"/>
  <c r="D193" i="16"/>
  <c r="D192" i="16"/>
  <c r="D191" i="16"/>
  <c r="D190" i="16"/>
  <c r="C194" i="16"/>
  <c r="C193" i="16"/>
  <c r="C192" i="16"/>
  <c r="C191" i="16"/>
  <c r="C190" i="16"/>
  <c r="J182" i="16"/>
  <c r="J181" i="16"/>
  <c r="J180" i="16"/>
  <c r="J179" i="16"/>
  <c r="J178" i="16"/>
  <c r="J177" i="16"/>
  <c r="I182" i="16"/>
  <c r="I181" i="16"/>
  <c r="I180" i="16"/>
  <c r="I179" i="16"/>
  <c r="I178" i="16"/>
  <c r="I177" i="16"/>
  <c r="H182" i="16"/>
  <c r="H181" i="16"/>
  <c r="H180" i="16"/>
  <c r="H179" i="16"/>
  <c r="H178" i="16"/>
  <c r="H177" i="16"/>
  <c r="G182" i="16"/>
  <c r="G181" i="16"/>
  <c r="G180" i="16"/>
  <c r="G179" i="16"/>
  <c r="G178" i="16"/>
  <c r="G177" i="16"/>
  <c r="F182" i="16"/>
  <c r="F181" i="16"/>
  <c r="F180" i="16"/>
  <c r="F179" i="16"/>
  <c r="F178" i="16"/>
  <c r="F177" i="16"/>
  <c r="E182" i="16"/>
  <c r="E181" i="16"/>
  <c r="E180" i="16"/>
  <c r="E179" i="16"/>
  <c r="E178" i="16"/>
  <c r="E177" i="16"/>
  <c r="D182" i="16"/>
  <c r="D181" i="16"/>
  <c r="D180" i="16"/>
  <c r="D179" i="16"/>
  <c r="D178" i="16"/>
  <c r="D177" i="16"/>
  <c r="C182" i="16"/>
  <c r="C181" i="16"/>
  <c r="C180" i="16"/>
  <c r="C179" i="16"/>
  <c r="C178" i="16"/>
  <c r="CT169" i="37" l="1"/>
  <c r="CS169" i="37"/>
  <c r="BN169" i="37"/>
  <c r="BM169" i="37"/>
  <c r="AI169" i="37"/>
  <c r="AH169" i="37"/>
  <c r="E169" i="37"/>
  <c r="D169" i="37"/>
  <c r="P169" i="30"/>
  <c r="AO169" i="30"/>
  <c r="AN169" i="30"/>
  <c r="AC169" i="30"/>
  <c r="AB169" i="30"/>
  <c r="Q169" i="30"/>
  <c r="E169" i="30"/>
  <c r="D169" i="30"/>
  <c r="D169" i="23"/>
  <c r="AF169" i="23"/>
  <c r="AE169" i="23"/>
  <c r="W169" i="23"/>
  <c r="V169" i="23"/>
  <c r="N169" i="23"/>
  <c r="M169" i="23"/>
  <c r="E169" i="23"/>
  <c r="E170" i="16"/>
  <c r="M170" i="16"/>
  <c r="N170" i="16"/>
  <c r="V170" i="16"/>
  <c r="W170" i="16"/>
  <c r="AE170" i="16"/>
  <c r="AF170" i="16"/>
  <c r="D170" i="1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J9" authorId="0" shapeId="0" xr:uid="{885EE214-3DC6-417A-AF56-816A69B9CA7A}">
      <text>
        <r>
          <rPr>
            <sz val="10"/>
            <rFont val="Arial"/>
            <family val="2"/>
          </rPr>
          <t xml:space="preserve">Identifica y entiende los contenidos locales que conforman un texto. </t>
        </r>
      </text>
    </comment>
    <comment ref="K9" authorId="0" shapeId="0" xr:uid="{E58F9EC0-063E-4A71-99C6-8127107177BB}">
      <text>
        <r>
          <rPr>
            <sz val="10"/>
            <rFont val="Arial"/>
            <family val="2"/>
          </rPr>
          <t>Comprende cómo se articulan las partes de un texto para darle un sentido global.</t>
        </r>
      </text>
    </comment>
    <comment ref="L9" authorId="0" shapeId="0" xr:uid="{8280C25A-9C9E-49B0-82F6-C48FC1041030}">
      <text>
        <r>
          <rPr>
            <sz val="10"/>
            <rFont val="Arial"/>
            <family val="2"/>
          </rPr>
          <t>Reflexiona a partir de un texto y evalúa su contenido.</t>
        </r>
      </text>
    </comment>
    <comment ref="S9" authorId="0" shapeId="0" xr:uid="{3B13F41C-C36F-4F3A-9FD6-B5251E89A60D}">
      <text>
        <r>
          <rPr>
            <sz val="10"/>
            <rFont val="Arial"/>
            <family val="2"/>
          </rPr>
          <t xml:space="preserve">Identifica y entiende los contenidos locales que conforman un texto. </t>
        </r>
      </text>
    </comment>
    <comment ref="T9" authorId="0" shapeId="0" xr:uid="{5C031ED8-BDC1-41E3-889B-9A08A8EACB18}">
      <text>
        <r>
          <rPr>
            <sz val="10"/>
            <rFont val="Arial"/>
            <family val="2"/>
          </rPr>
          <t>Comprende cómo se articulan las partes de un texto para darle un sentido global.</t>
        </r>
      </text>
    </comment>
    <comment ref="U9" authorId="0" shapeId="0" xr:uid="{3E28162E-90E3-48AC-B677-AE7EF567A21F}">
      <text>
        <r>
          <rPr>
            <sz val="10"/>
            <rFont val="Arial"/>
            <family val="2"/>
          </rPr>
          <t>Reflexiona a partir de un texto y evalúa su contenido.</t>
        </r>
      </text>
    </comment>
    <comment ref="AB9" authorId="0" shapeId="0" xr:uid="{1AB126F2-3A29-45FA-9889-195179A16C1E}">
      <text>
        <r>
          <rPr>
            <sz val="10"/>
            <rFont val="Arial"/>
            <family val="2"/>
          </rPr>
          <t>Comprende cómo se articulan las partes de un texto para darle un sentido global.</t>
        </r>
      </text>
    </comment>
    <comment ref="AC9" authorId="0" shapeId="0" xr:uid="{9C451770-E53A-45F3-9C3A-82B23A038527}">
      <text>
        <r>
          <rPr>
            <sz val="10"/>
            <rFont val="Arial"/>
            <family val="2"/>
          </rPr>
          <t xml:space="preserve">Identifica y entiende los contenidos locales que conforman un texto. </t>
        </r>
      </text>
    </comment>
    <comment ref="AD9" authorId="0" shapeId="0" xr:uid="{AF29E377-E0A8-482F-877C-396B967BBDEC}">
      <text>
        <r>
          <rPr>
            <sz val="10"/>
            <rFont val="Arial"/>
            <family val="2"/>
          </rPr>
          <t>Reflexiona a partir de un texto y evalúa su contenido.</t>
        </r>
      </text>
    </comment>
    <comment ref="AK9" authorId="0" shapeId="0" xr:uid="{1B4CE652-2328-4061-AB4A-F4BA26301BE3}">
      <text>
        <r>
          <rPr>
            <sz val="10"/>
            <rFont val="Arial"/>
            <family val="2"/>
          </rPr>
          <t>Comprende cómo se articulan las partes de un texto para darle un sentido global.</t>
        </r>
      </text>
    </comment>
    <comment ref="AL9" authorId="0" shapeId="0" xr:uid="{43756A68-CF6F-40F7-9E2B-ACE3085F013B}">
      <text>
        <r>
          <rPr>
            <sz val="10"/>
            <rFont val="Arial"/>
            <family val="2"/>
          </rPr>
          <t xml:space="preserve">Identifica y entiende los contenidos locales que conforman un texto. </t>
        </r>
      </text>
    </comment>
    <comment ref="AM9" authorId="0" shapeId="0" xr:uid="{222AA603-4B7C-4C71-9298-979F3E4C4E7D}">
      <text>
        <r>
          <rPr>
            <sz val="10"/>
            <rFont val="Arial"/>
            <family val="2"/>
          </rPr>
          <t>Reflexiona a partir de un texto y evalúa su contenido.</t>
        </r>
      </text>
    </comment>
    <comment ref="AT9" authorId="0" shapeId="0" xr:uid="{C3B4D163-2805-4C7E-9264-B68B93B97A5D}">
      <text>
        <r>
          <rPr>
            <sz val="10"/>
            <rFont val="Arial"/>
            <family val="2"/>
          </rPr>
          <t>Comprende cómo se articulan las partes de un texto para darle un sentido global.</t>
        </r>
      </text>
    </comment>
    <comment ref="AU9" authorId="0" shapeId="0" xr:uid="{EE405EC8-B4CF-459C-B816-69EE8BC19F8B}">
      <text>
        <r>
          <rPr>
            <sz val="10"/>
            <rFont val="Arial"/>
            <family val="2"/>
          </rPr>
          <t>Reflexiona a partir de un texto y evalúa su contenido.</t>
        </r>
      </text>
    </comment>
    <comment ref="AV9" authorId="0" shapeId="0" xr:uid="{CA2175E5-A724-4013-AEAF-100583A16945}">
      <text>
        <r>
          <rPr>
            <sz val="10"/>
            <rFont val="Arial"/>
            <family val="2"/>
          </rPr>
          <t xml:space="preserve">Identifica y entiende los contenidos locales que conforman un texto.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J9" authorId="0" shapeId="0" xr:uid="{A0D9C544-5DEE-4175-9778-E73BD5C45C49}">
      <text>
        <r>
          <rPr>
            <sz val="10"/>
            <rFont val="Arial"/>
            <family val="2"/>
          </rPr>
          <t xml:space="preserve">Comprende y transforma la información cuantitativa y esquemática presentada en distintos formatos </t>
        </r>
      </text>
    </comment>
    <comment ref="K9" authorId="0" shapeId="0" xr:uid="{A4AF2657-B6DB-4BE6-BBAC-ED9A4DE71212}">
      <text>
        <r>
          <rPr>
            <sz val="10"/>
            <rFont val="Arial"/>
            <family val="2"/>
          </rPr>
          <t>Valida procedimientos y  estrategias matemáticas utilizadas para dar solución a problemas.</t>
        </r>
      </text>
    </comment>
    <comment ref="L9" authorId="0" shapeId="0" xr:uid="{23674551-B7D8-4898-9FA4-39FA685D8CA9}">
      <text>
        <r>
          <rPr>
            <sz val="10"/>
            <rFont val="Arial"/>
            <family val="2"/>
          </rPr>
          <t>Frente a un problema que involucre información cuantitativa, plantea e implementa estrategias que lleven a soluciones adecuadas.</t>
        </r>
      </text>
    </comment>
    <comment ref="S9" authorId="0" shapeId="0" xr:uid="{D698E70F-F098-447E-AD21-F66D197A8841}">
      <text>
        <r>
          <rPr>
            <sz val="10"/>
            <rFont val="Arial"/>
            <family val="2"/>
          </rPr>
          <t>Valida procedimientos y  estrategias matemáticas utilizadas para dar solución a problemas.</t>
        </r>
      </text>
    </comment>
    <comment ref="T9" authorId="0" shapeId="0" xr:uid="{D6CD127B-0249-4D9C-8F1A-88E76FF26682}">
      <text>
        <r>
          <rPr>
            <sz val="10"/>
            <rFont val="Arial"/>
            <family val="2"/>
          </rPr>
          <t>Frente a un problema que involucre información cuantitativa, plantea e implementa estrategias que lleven a soluciones adecuadas.</t>
        </r>
      </text>
    </comment>
    <comment ref="U9" authorId="0" shapeId="0" xr:uid="{FF31CA5B-3E13-4FBF-8E84-8C89860B10B6}">
      <text>
        <r>
          <rPr>
            <sz val="10"/>
            <rFont val="Arial"/>
            <family val="2"/>
          </rPr>
          <t xml:space="preserve">Comprende y transforma la información cuantitativa y esquemática presentada en distintos formatos </t>
        </r>
      </text>
    </comment>
    <comment ref="AB9" authorId="0" shapeId="0" xr:uid="{0CEE6D1A-C6A8-44FA-A340-7C1C55B31B95}">
      <text>
        <r>
          <rPr>
            <sz val="10"/>
            <rFont val="Arial"/>
            <family val="2"/>
          </rPr>
          <t>Frente a un problema que involucre información cuantitativa, plantea e implementa estrategias que lleven a soluciones adecuadas.</t>
        </r>
      </text>
    </comment>
    <comment ref="AC9" authorId="0" shapeId="0" xr:uid="{38879742-7B56-4BDD-8D63-E906FA41CC71}">
      <text>
        <r>
          <rPr>
            <sz val="10"/>
            <rFont val="Arial"/>
            <family val="2"/>
          </rPr>
          <t xml:space="preserve">Comprende y transforma la información cuantitativa y esquemática presentada en distintos formatos </t>
        </r>
      </text>
    </comment>
    <comment ref="AD9" authorId="0" shapeId="0" xr:uid="{3FEC9532-5AEC-4544-83D0-2334EA087BEA}">
      <text>
        <r>
          <rPr>
            <sz val="10"/>
            <rFont val="Arial"/>
            <family val="2"/>
          </rPr>
          <t>Valida procedimientos y  estrategias matemáticas utilizadas para dar solución a problemas.</t>
        </r>
      </text>
    </comment>
    <comment ref="AK9" authorId="0" shapeId="0" xr:uid="{B48FADC1-ABF0-415A-B265-C2E5BA9EB919}">
      <text>
        <r>
          <rPr>
            <sz val="10"/>
            <rFont val="Arial"/>
            <family val="2"/>
          </rPr>
          <t>Frente a un problema que involucre información cuantitativa, plantea e implementa estrategias que lleven a soluciones adecuadas.</t>
        </r>
      </text>
    </comment>
    <comment ref="AL9" authorId="0" shapeId="0" xr:uid="{F49EF897-6E04-4782-B5EA-306378080B9D}">
      <text>
        <r>
          <rPr>
            <sz val="10"/>
            <rFont val="Arial"/>
            <family val="2"/>
          </rPr>
          <t>Valida procedimientos y  estrategias matemáticas utilizadas para dar solución a problemas.</t>
        </r>
      </text>
    </comment>
    <comment ref="AM9" authorId="0" shapeId="0" xr:uid="{99D90CC7-A88B-4356-AF85-CA768B21543B}">
      <text>
        <r>
          <rPr>
            <sz val="10"/>
            <rFont val="Arial"/>
            <family val="2"/>
          </rPr>
          <t xml:space="preserve">Comprende y transforma la información cuantitativa y esquemática presentada en distintos formatos </t>
        </r>
      </text>
    </comment>
    <comment ref="AT9" authorId="0" shapeId="0" xr:uid="{4134133E-0D8B-4CA8-9007-52990E262D8E}">
      <text>
        <r>
          <rPr>
            <sz val="10"/>
            <rFont val="Arial"/>
            <family val="2"/>
          </rPr>
          <t xml:space="preserve">Comprende y transforma la información cuantitativa y esquemática presentada en distintos formatos </t>
        </r>
      </text>
    </comment>
    <comment ref="AU9" authorId="0" shapeId="0" xr:uid="{65515FF6-E402-46D3-97E2-A2BE5F082AC4}">
      <text>
        <r>
          <rPr>
            <sz val="10"/>
            <rFont val="Arial"/>
            <family val="2"/>
          </rPr>
          <t>Frente a un problema que involucre información cuantitativa, plantea e implementa estrategias que lleven a soluciones adecuadas.</t>
        </r>
      </text>
    </comment>
    <comment ref="AV9" authorId="0" shapeId="0" xr:uid="{DC9C86B0-84E8-49FD-BFE0-B35F4CB57B04}">
      <text>
        <r>
          <rPr>
            <sz val="10"/>
            <rFont val="Arial"/>
            <family val="2"/>
          </rPr>
          <t>Valida procedimientos y  estrategias matemáticas utilizadas para dar solución a problemas.</t>
        </r>
      </text>
    </comment>
    <comment ref="BE9" authorId="0" shapeId="0" xr:uid="{3139B9E4-A07F-4B40-BF0C-BAA2C8728043}">
      <text>
        <r>
          <rPr>
            <sz val="10"/>
            <rFont val="Arial"/>
            <family val="2"/>
          </rPr>
          <t xml:space="preserve">Comprende y transforma la información cuantitativa y esquemática presentada en distintos formatos </t>
        </r>
      </text>
    </comment>
    <comment ref="BF9" authorId="0" shapeId="0" xr:uid="{2254F535-B33A-4F7B-8C02-749E987B23D6}">
      <text>
        <r>
          <rPr>
            <sz val="10"/>
            <rFont val="Arial"/>
            <family val="2"/>
          </rPr>
          <t>Frente a un problema que involucre información cuantitativa, plantea e implementa estrategias que lleven a soluciones adecuadas.</t>
        </r>
      </text>
    </comment>
    <comment ref="BG9" authorId="0" shapeId="0" xr:uid="{E26B9FB8-CBD3-4A85-9C4F-9828D9699641}">
      <text>
        <r>
          <rPr>
            <sz val="10"/>
            <rFont val="Arial"/>
            <family val="2"/>
          </rPr>
          <t>Valida procedimientos y  estrategias matemáticas utilizadas para dar solución a problemas.</t>
        </r>
      </text>
    </comment>
    <comment ref="BP9" authorId="0" shapeId="0" xr:uid="{FF7664C7-1820-4AB2-AB1E-7AB24AC4EA32}">
      <text>
        <r>
          <rPr>
            <sz val="10"/>
            <rFont val="Arial"/>
            <family val="2"/>
          </rPr>
          <t>Frente a un problema que involucre información cuantitativa, plantea e implementa estrategias que lleven a soluciones adecuadas.</t>
        </r>
      </text>
    </comment>
    <comment ref="BQ9" authorId="0" shapeId="0" xr:uid="{8784269F-A2AC-4CC1-BE71-C7E540984B1C}">
      <text>
        <r>
          <rPr>
            <sz val="10"/>
            <rFont val="Arial"/>
            <family val="2"/>
          </rPr>
          <t>Valida procedimientos y  estrategias matemáticas utilizadas para dar solución a problemas.</t>
        </r>
      </text>
    </comment>
    <comment ref="BR9" authorId="0" shapeId="0" xr:uid="{773B5F53-FE04-4518-9204-4EB89ECFA5DF}">
      <text>
        <r>
          <rPr>
            <sz val="10"/>
            <rFont val="Arial"/>
            <family val="2"/>
          </rPr>
          <t>Comprende y transforma la información cuantitativa y esquemática presentada en distintos formatos</t>
        </r>
      </text>
    </comment>
    <comment ref="CA9" authorId="0" shapeId="0" xr:uid="{16B56AD0-DC8C-4210-967F-33EE902FEDEA}">
      <text>
        <r>
          <rPr>
            <sz val="10"/>
            <rFont val="Arial"/>
            <family val="2"/>
          </rPr>
          <t>Valida procedimientos y  estrategias matemáticas utilizadas para dar solución a problemas.</t>
        </r>
      </text>
    </comment>
    <comment ref="CB9" authorId="0" shapeId="0" xr:uid="{D6D3552D-1FB8-47D0-A95D-FA027EFB5E25}">
      <text>
        <r>
          <rPr>
            <sz val="10"/>
            <rFont val="Arial"/>
            <family val="2"/>
          </rPr>
          <t>Comprende y transforma la información cuantitativa y esquemática presentada en distintos formatos</t>
        </r>
      </text>
    </comment>
    <comment ref="CC9" authorId="0" shapeId="0" xr:uid="{43D0A002-64EF-4BE6-9B6A-ED57C0546BB6}">
      <text>
        <r>
          <rPr>
            <sz val="10"/>
            <rFont val="Arial"/>
            <family val="2"/>
          </rPr>
          <t>Frente a un problema que involucre información cuantitativa, plantea e implementa estrategias que lleven a soluciones adecuadas.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authors>
  <commentList>
    <comment ref="J9" authorId="0" shapeId="0" xr:uid="{430EA1BB-7F67-4EFF-9D61-CF6C83BC3474}">
      <text>
        <r>
          <rPr>
            <sz val="10"/>
            <rFont val="Arial"/>
            <family val="2"/>
          </rPr>
          <t>Contextualiza y evalúa usos de fuentes y argumentos.</t>
        </r>
      </text>
    </comment>
    <comment ref="K9" authorId="0" shapeId="0" xr:uid="{AD074940-4D29-4535-A533-A0199491B498}">
      <text>
        <r>
          <rPr>
            <sz val="10"/>
            <rFont val="Arial"/>
            <family val="2"/>
          </rPr>
          <t>Comprende perspectivas de distintos actores y grupos sociales.</t>
        </r>
      </text>
    </comment>
    <comment ref="L9" authorId="0" shapeId="0" xr:uid="{463D5C49-7FAF-45FF-AFF4-2F7C546FE2D2}">
      <text>
        <r>
          <rPr>
            <sz val="10"/>
            <rFont val="Arial"/>
            <family val="2"/>
          </rPr>
          <t>Evalúa usos sociales de las ciencias sociales.</t>
        </r>
      </text>
    </comment>
    <comment ref="M9" authorId="0" shapeId="0" xr:uid="{14BBB7BE-AC94-41DE-9A59-7DD01924F217}">
      <text>
        <r>
          <rPr>
            <sz val="10"/>
            <rFont val="Arial"/>
            <family val="2"/>
          </rPr>
          <t>Comprende que los problemas y sus soluciones involucran distintas dimensiones y reconoce relaciones entre estas.</t>
        </r>
      </text>
    </comment>
    <comment ref="N9" authorId="0" shapeId="0" xr:uid="{850175C9-5F58-4894-A41A-ABE8BC20C734}">
      <text>
        <r>
          <rPr>
            <sz val="10"/>
            <rFont val="Arial"/>
            <family val="2"/>
          </rPr>
          <t>Comprende modelos conceptuales, sus características y contextos de aplicación.</t>
        </r>
      </text>
    </comment>
    <comment ref="O9" authorId="0" shapeId="0" xr:uid="{36DFB875-BDB0-46CC-A8BA-46127CF5030C}">
      <text>
        <r>
          <rPr>
            <sz val="10"/>
            <rFont val="Arial"/>
            <family val="2"/>
          </rPr>
          <t>Comprende dimensiones espaciales y temporales de eventos, problemáticas y prácticas sociales.</t>
        </r>
      </text>
    </comment>
    <comment ref="V9" authorId="0" shapeId="0" xr:uid="{01B3C843-5697-4D34-9EE6-9AF9201DA9B8}">
      <text>
        <r>
          <rPr>
            <sz val="10"/>
            <rFont val="Arial"/>
            <family val="2"/>
          </rPr>
          <t>Contextualiza y evalúa usos de fuentes y argumentos.</t>
        </r>
      </text>
    </comment>
    <comment ref="W9" authorId="0" shapeId="0" xr:uid="{82896830-517D-418A-AE35-98B5A63F940E}">
      <text>
        <r>
          <rPr>
            <sz val="10"/>
            <rFont val="Arial"/>
            <family val="2"/>
          </rPr>
          <t>Comprende perspectivas de distintos actores y grupos sociales.</t>
        </r>
      </text>
    </comment>
    <comment ref="X9" authorId="0" shapeId="0" xr:uid="{D61BDAB5-1491-431F-9565-72997C934102}">
      <text>
        <r>
          <rPr>
            <sz val="10"/>
            <rFont val="Arial"/>
            <family val="2"/>
          </rPr>
          <t>Evalúa usos sociales de las ciencias sociales.</t>
        </r>
      </text>
    </comment>
    <comment ref="Y9" authorId="0" shapeId="0" xr:uid="{6CC98C43-41A8-43E3-82BD-B78E3979DA8A}">
      <text>
        <r>
          <rPr>
            <sz val="10"/>
            <rFont val="Arial"/>
            <family val="2"/>
          </rPr>
          <t>Comprende que los problemas y sus soluciones involucran distintas dimensiones y reconoce relaciones entre estas.</t>
        </r>
      </text>
    </comment>
    <comment ref="Z9" authorId="0" shapeId="0" xr:uid="{60AE737D-6E98-4140-8849-75316B977A5C}">
      <text>
        <r>
          <rPr>
            <sz val="10"/>
            <rFont val="Arial"/>
            <family val="2"/>
          </rPr>
          <t>Comprende modelos conceptuales, sus características y contextos de aplicación.</t>
        </r>
      </text>
    </comment>
    <comment ref="AA9" authorId="0" shapeId="0" xr:uid="{7F3C56B3-3ABB-4AFF-8F99-6368D54E9389}">
      <text>
        <r>
          <rPr>
            <sz val="10"/>
            <rFont val="Arial"/>
            <family val="2"/>
          </rPr>
          <t>Comprende dimensiones espaciales y temporales de eventos, problemáticas y prácticas sociales.</t>
        </r>
      </text>
    </comment>
    <comment ref="AH9" authorId="0" shapeId="0" xr:uid="{9E843A69-3D08-474B-AAE6-C3DE1F8DA834}">
      <text>
        <r>
          <rPr>
            <sz val="10"/>
            <rFont val="Arial"/>
            <family val="2"/>
          </rPr>
          <t>Comprende modelos conceptuales, sus características y contextos de aplicación.</t>
        </r>
      </text>
    </comment>
    <comment ref="AI9" authorId="0" shapeId="0" xr:uid="{FEE60B7F-E6AE-4807-AFF9-452DF9B1C32C}">
      <text>
        <r>
          <rPr>
            <sz val="10"/>
            <rFont val="Arial"/>
            <family val="2"/>
          </rPr>
          <t>Comprende perspectivas de distintos actores y grupos sociales.</t>
        </r>
      </text>
    </comment>
    <comment ref="AJ9" authorId="0" shapeId="0" xr:uid="{60982D75-57C9-4214-9D8F-D22C0AC3E268}">
      <text>
        <r>
          <rPr>
            <sz val="10"/>
            <rFont val="Arial"/>
            <family val="2"/>
          </rPr>
          <t>Comprende que los problemas y sus soluciones involucran distintas dimensiones y reconoce relaciones entre estas.</t>
        </r>
      </text>
    </comment>
    <comment ref="AK9" authorId="0" shapeId="0" xr:uid="{00CE3BDF-BA0D-407F-A61E-F1DAEAF9CDBB}">
      <text>
        <r>
          <rPr>
            <sz val="10"/>
            <rFont val="Arial"/>
            <family val="2"/>
          </rPr>
          <t>Contextualiza y evalúa usos de fuentes y argumentos.</t>
        </r>
      </text>
    </comment>
    <comment ref="AL9" authorId="0" shapeId="0" xr:uid="{45E3EB24-F9B6-4535-AF54-6565A5BE785D}">
      <text>
        <r>
          <rPr>
            <sz val="10"/>
            <rFont val="Arial"/>
            <family val="2"/>
          </rPr>
          <t>Comprende dimensiones espaciales y temporales de eventos, problemáticas y prácticas sociales.</t>
        </r>
      </text>
    </comment>
    <comment ref="AM9" authorId="0" shapeId="0" xr:uid="{83234E66-99CB-4AAC-B6DC-8E1A03B70B69}">
      <text>
        <r>
          <rPr>
            <sz val="10"/>
            <rFont val="Arial"/>
            <family val="2"/>
          </rPr>
          <t>Evalúa usos sociales de las ciencias sociales.</t>
        </r>
      </text>
    </comment>
    <comment ref="AT9" authorId="0" shapeId="0" xr:uid="{5E214D49-802F-4A12-BCF7-5953A7A7C798}">
      <text>
        <r>
          <rPr>
            <sz val="10"/>
            <rFont val="Arial"/>
            <family val="2"/>
          </rPr>
          <t>Evalúa usos sociales de las ciencias sociales.</t>
        </r>
      </text>
    </comment>
    <comment ref="AU9" authorId="0" shapeId="0" xr:uid="{E8AFCBBC-9FE1-48DC-B394-9FF9D7CC51B9}">
      <text>
        <r>
          <rPr>
            <sz val="10"/>
            <rFont val="Arial"/>
            <family val="2"/>
          </rPr>
          <t>Comprende dimensiones espaciales y temporales de eventos, problemáticas y prácticas sociales.</t>
        </r>
      </text>
    </comment>
    <comment ref="AV9" authorId="0" shapeId="0" xr:uid="{0367CFB0-050D-412D-84EB-E3A09A1F871A}">
      <text>
        <r>
          <rPr>
            <sz val="10"/>
            <rFont val="Arial"/>
            <family val="2"/>
          </rPr>
          <t>Comprende modelos conceptuales, sus características y contextos de aplicación.</t>
        </r>
      </text>
    </comment>
    <comment ref="AW9" authorId="0" shapeId="0" xr:uid="{88362284-FC3E-4DA1-A3F7-73D24E4AAA13}">
      <text>
        <r>
          <rPr>
            <sz val="10"/>
            <rFont val="Arial"/>
            <family val="2"/>
          </rPr>
          <t>Comprende que los problemas y sus soluciones involucran distintas dimensiones y reconoce relaciones entre estas.</t>
        </r>
      </text>
    </comment>
    <comment ref="AX9" authorId="0" shapeId="0" xr:uid="{A188D893-68CD-47DD-B82F-640F6FBF657B}">
      <text>
        <r>
          <rPr>
            <sz val="10"/>
            <rFont val="Arial"/>
            <family val="2"/>
          </rPr>
          <t>Contextualiza y evalúa usos de fuentes y argumentos.</t>
        </r>
      </text>
    </comment>
    <comment ref="AY9" authorId="0" shapeId="0" xr:uid="{3023601E-C20E-4EC0-9D20-27BD10C86D6A}">
      <text>
        <r>
          <rPr>
            <sz val="10"/>
            <rFont val="Arial"/>
            <family val="2"/>
          </rPr>
          <t>Comprende perspectivas de distintos actores y grupos sociales.</t>
        </r>
      </text>
    </comment>
    <comment ref="BF9" authorId="0" shapeId="0" xr:uid="{42308766-29E6-4D48-A6CA-805A1262C794}">
      <text>
        <r>
          <rPr>
            <sz val="10"/>
            <rFont val="Arial"/>
            <family val="2"/>
          </rPr>
          <t>Comprende dimensiones espaciales y temporales de eventos, problemáticas y prácticas sociales.</t>
        </r>
      </text>
    </comment>
    <comment ref="BG9" authorId="0" shapeId="0" xr:uid="{2DB9A332-16E2-4A52-9D21-8FEDEDBE0C94}">
      <text>
        <r>
          <rPr>
            <sz val="10"/>
            <rFont val="Arial"/>
            <family val="2"/>
          </rPr>
          <t>Comprende que los problemas y sus soluciones involucran distintas dimensiones y reconoce relaciones entre estas.</t>
        </r>
      </text>
    </comment>
    <comment ref="BH9" authorId="0" shapeId="0" xr:uid="{AFD17CB8-7D5B-42D3-B771-E15615F119DC}">
      <text>
        <r>
          <rPr>
            <sz val="10"/>
            <rFont val="Arial"/>
            <family val="2"/>
          </rPr>
          <t>Contextualiza y evalúa usos de fuentes y argumentos.</t>
        </r>
      </text>
    </comment>
    <comment ref="BI9" authorId="0" shapeId="0" xr:uid="{15504C94-1C6D-438D-8ECA-0C70C709AF5A}">
      <text>
        <r>
          <rPr>
            <sz val="10"/>
            <rFont val="Arial"/>
            <family val="2"/>
          </rPr>
          <t>Evalúa usos sociales de las ciencias sociales.</t>
        </r>
      </text>
    </comment>
    <comment ref="BJ9" authorId="0" shapeId="0" xr:uid="{821EBCCD-0976-459B-A643-FE4412FA9DE7}">
      <text>
        <r>
          <rPr>
            <sz val="10"/>
            <rFont val="Arial"/>
            <family val="2"/>
          </rPr>
          <t>Comprende modelos conceptuales, sus características y contextos de aplicación.</t>
        </r>
      </text>
    </comment>
    <comment ref="BK9" authorId="0" shapeId="0" xr:uid="{ECF9E555-20A8-4434-9FAF-D0957E3E5006}">
      <text>
        <r>
          <rPr>
            <sz val="10"/>
            <rFont val="Arial"/>
            <family val="2"/>
          </rPr>
          <t>Comprende perspectivas de distintos actores y grupos sociales.</t>
        </r>
      </text>
    </comment>
    <comment ref="BT9" authorId="0" shapeId="0" xr:uid="{468A2F3E-A618-44C6-8055-70DC748A2798}">
      <text>
        <r>
          <rPr>
            <sz val="10"/>
            <rFont val="Arial"/>
            <family val="2"/>
          </rPr>
          <t>Evalúa usos sociales de las ciencias sociales.</t>
        </r>
      </text>
    </comment>
    <comment ref="BU9" authorId="0" shapeId="0" xr:uid="{7AA13C58-0552-43D6-993C-E16A4D217561}">
      <text>
        <r>
          <rPr>
            <sz val="10"/>
            <rFont val="Arial"/>
            <family val="2"/>
          </rPr>
          <t>Contextualiza y evalúa usos de fuentes y argumentos.</t>
        </r>
      </text>
    </comment>
    <comment ref="BV9" authorId="0" shapeId="0" xr:uid="{25B3D4D4-21F7-4801-9E40-9B75B3597275}">
      <text>
        <r>
          <rPr>
            <sz val="10"/>
            <rFont val="Arial"/>
            <family val="2"/>
          </rPr>
          <t>Comprende dimensiones espaciales y temporales de eventos, problemáticas y prácticas sociales.</t>
        </r>
      </text>
    </comment>
    <comment ref="BW9" authorId="0" shapeId="0" xr:uid="{B26E2D73-95E5-413C-B85B-A0B608D5F881}">
      <text>
        <r>
          <rPr>
            <sz val="10"/>
            <rFont val="Arial"/>
            <family val="2"/>
          </rPr>
          <t>Comprende modelos conceptuales, sus características y contextos de aplicación.</t>
        </r>
      </text>
    </comment>
    <comment ref="BX9" authorId="0" shapeId="0" xr:uid="{E5C056DA-41D6-44FD-92F6-4EF494760045}">
      <text>
        <r>
          <rPr>
            <sz val="10"/>
            <rFont val="Arial"/>
            <family val="2"/>
          </rPr>
          <t>Comprende que los problemas y sus soluciones involucran distintas dimensiones y reconoce relaciones entre estas.</t>
        </r>
      </text>
    </comment>
    <comment ref="BY9" authorId="0" shapeId="0" xr:uid="{503AAE5F-623C-458F-8F62-F43115EB89B6}">
      <text>
        <r>
          <rPr>
            <sz val="10"/>
            <rFont val="Arial"/>
            <family val="2"/>
          </rPr>
          <t>Comprende perspectivas de distintos actores y grupos sociales.</t>
        </r>
      </text>
    </comment>
    <comment ref="CH9" authorId="0" shapeId="0" xr:uid="{56BAAD90-D19D-4463-BAF0-A9DA82DC99F7}">
      <text>
        <r>
          <rPr>
            <sz val="10"/>
            <rFont val="Arial"/>
            <family val="2"/>
          </rPr>
          <t>Evalúa usos sociales de las ciencias sociales.</t>
        </r>
      </text>
    </comment>
    <comment ref="CI9" authorId="0" shapeId="0" xr:uid="{13E89953-C99B-4BE6-B25C-CA47744C4C88}">
      <text>
        <r>
          <rPr>
            <sz val="10"/>
            <rFont val="Arial"/>
            <family val="2"/>
          </rPr>
          <t>Contextualiza y evalúa usos de fuentes y argumentos.</t>
        </r>
      </text>
    </comment>
    <comment ref="CJ9" authorId="0" shapeId="0" xr:uid="{55F0F1EF-9C51-4AFF-A762-48A86781172B}">
      <text>
        <r>
          <rPr>
            <sz val="10"/>
            <rFont val="Arial"/>
            <family val="2"/>
          </rPr>
          <t>Comprende dimensiones espaciales y temporales de eventos, problemáticas y prácticas sociales.</t>
        </r>
      </text>
    </comment>
    <comment ref="CK9" authorId="0" shapeId="0" xr:uid="{8F3227BE-2CFC-4185-B792-7BCCAAA53750}">
      <text>
        <r>
          <rPr>
            <sz val="10"/>
            <rFont val="Arial"/>
            <family val="2"/>
          </rPr>
          <t>Comprende modelos conceptuales, sus características y contextos de aplicación.</t>
        </r>
      </text>
    </comment>
    <comment ref="CL9" authorId="0" shapeId="0" xr:uid="{50A9A529-3654-4555-9662-8DE5297DCF1C}">
      <text>
        <r>
          <rPr>
            <sz val="10"/>
            <rFont val="Arial"/>
            <family val="2"/>
          </rPr>
          <t>Comprende que los problemas y sus soluciones involucran distintas dimensiones y reconoce relaciones entre estas.</t>
        </r>
      </text>
    </comment>
    <comment ref="CM9" authorId="0" shapeId="0" xr:uid="{DBB60805-225E-428D-938A-98C973FF06DE}">
      <text>
        <r>
          <rPr>
            <sz val="10"/>
            <rFont val="Arial"/>
            <family val="2"/>
          </rPr>
          <t>Comprende perspectivas de distintos actores y grupos sociales.</t>
        </r>
      </text>
    </comment>
    <comment ref="DD9" authorId="0" shapeId="0" xr:uid="{F5FCC6CC-81F2-4031-A5EC-782678B1E425}">
      <text>
        <r>
          <rPr>
            <sz val="10"/>
            <rFont val="Arial"/>
            <family val="2"/>
          </rPr>
          <t>Evalúa usos sociales de las ciencias sociales.</t>
        </r>
      </text>
    </comment>
    <comment ref="DE9" authorId="0" shapeId="0" xr:uid="{015A7D60-236D-40DA-A7EA-A78AE6AC5A56}">
      <text>
        <r>
          <rPr>
            <sz val="10"/>
            <rFont val="Arial"/>
            <family val="2"/>
          </rPr>
          <t>Contextualiza y evalúa usos de fuentes y argumentos.</t>
        </r>
      </text>
    </comment>
    <comment ref="DF9" authorId="0" shapeId="0" xr:uid="{1992821A-0638-4BB9-8360-25E74C9B444E}">
      <text>
        <r>
          <rPr>
            <sz val="10"/>
            <rFont val="Arial"/>
            <family val="2"/>
          </rPr>
          <t>Comprende dimensiones espaciales y temporales de eventos, problemáticas y prácticas sociales.</t>
        </r>
      </text>
    </comment>
    <comment ref="DG9" authorId="0" shapeId="0" xr:uid="{E029D004-FEED-4385-8A57-377714768457}">
      <text>
        <r>
          <rPr>
            <sz val="10"/>
            <rFont val="Arial"/>
            <family val="2"/>
          </rPr>
          <t>Comprende modelos conceptuales, sus características y contextos de aplicación.</t>
        </r>
      </text>
    </comment>
    <comment ref="DH9" authorId="0" shapeId="0" xr:uid="{676327B1-E825-4B81-A6FF-0FEC96C92EC5}">
      <text>
        <r>
          <rPr>
            <sz val="10"/>
            <rFont val="Arial"/>
            <family val="2"/>
          </rPr>
          <t>Comprende que los problemas y sus soluciones involucran distintas dimensiones y reconoce relaciones entre estas.</t>
        </r>
      </text>
    </comment>
    <comment ref="DI9" authorId="0" shapeId="0" xr:uid="{A9A1B8E4-1AAA-424E-863B-23AABA4D44D0}">
      <text>
        <r>
          <rPr>
            <sz val="10"/>
            <rFont val="Arial"/>
            <family val="2"/>
          </rPr>
          <t>Comprende perspectivas de distintos actores y grupos sociales.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
  </authors>
  <commentList>
    <comment ref="J8" authorId="0" shapeId="0" xr:uid="{B430F109-9834-43F7-B76E-703CB4D713D4}">
      <text>
        <r>
          <rPr>
            <sz val="10"/>
            <rFont val="Arial"/>
            <family val="2"/>
          </rPr>
          <t>Modelar fenómenos de la naturaleza basado en el análisis de variables, la relación entre dos o más conceptos del conocimiento científico y de la evidencia derivada de investigaciones científicas. - Procesos vivos</t>
        </r>
      </text>
    </comment>
    <comment ref="K8" authorId="0" shapeId="0" xr:uid="{4418BA58-500E-48C8-9274-7B11DF4F7612}">
      <text>
        <r>
          <rPr>
            <sz val="10"/>
            <rFont val="Arial"/>
            <family val="2"/>
          </rPr>
          <t>Explicar cómo ocurren algunos fenómenos de la naturaleza basado en observaciones, en patrones y  en conceptos propios del conocimiento científico. - Procesos vivos</t>
        </r>
      </text>
    </comment>
    <comment ref="L8" authorId="0" shapeId="0" xr:uid="{8D2C07A5-0F5B-4334-9AC7-770D2B5ABAF7}">
      <text>
        <r>
          <rPr>
            <sz val="10"/>
            <rFont val="Arial"/>
            <family val="2"/>
          </rPr>
          <t>Comprender que a partir de la investigación científica se construyen explicaciones sobre el mundo natural. - Procesos vivos</t>
        </r>
      </text>
    </comment>
    <comment ref="M8" authorId="0" shapeId="0" xr:uid="{3B9B3E58-9899-49D0-9066-C783E3027CEA}">
      <text>
        <r>
          <rPr>
            <sz val="10"/>
            <rFont val="Arial"/>
            <family val="2"/>
          </rPr>
          <t>Derivar conclusiones para algunos fenómenos de la naturaleza basándose en conocimientos científicos y en la evidencia de su propia investigación y de la de otros. - Procesos vivos</t>
        </r>
      </text>
    </comment>
    <comment ref="N8" authorId="0" shapeId="0" xr:uid="{110EA361-316C-419D-977F-071F2FB1F775}">
      <text>
        <r>
          <rPr>
            <sz val="10"/>
            <rFont val="Arial"/>
            <family val="2"/>
          </rPr>
          <t>Observar y relacionar patrones en los datos para evaluar las predicciones. - Procesos vivos</t>
        </r>
      </text>
    </comment>
    <comment ref="O8" authorId="0" shapeId="0" xr:uid="{A638285E-C17B-4240-8590-59288D4A9F6A}">
      <text>
        <r>
          <rPr>
            <sz val="10"/>
            <rFont val="Arial"/>
            <family val="2"/>
          </rPr>
          <t>Utilizar algunas habilidades de pensamiento y de procedimiento para  evaluar predicciones - Procesos vivos</t>
        </r>
      </text>
    </comment>
    <comment ref="P8" authorId="0" shapeId="0" xr:uid="{B986A74D-69A8-409C-A775-9984AD1DA42D}">
      <text>
        <r>
          <rPr>
            <sz val="10"/>
            <rFont val="Arial"/>
            <family val="2"/>
          </rPr>
          <t>Asociar fenómenos naturales con conceptos propios del conocimiento científico. - Procesos vivos</t>
        </r>
      </text>
    </comment>
    <comment ref="Q8" authorId="0" shapeId="0" xr:uid="{A6BC4A42-0EED-40C7-A870-7D953D868BE3}">
      <text>
        <r>
          <rPr>
            <sz val="10"/>
            <rFont val="Arial"/>
            <family val="2"/>
          </rPr>
          <t>Identificar las características  de algunos fenómenos de la naturaleza basado en el análisis de información  y  conceptos propios del conocimiento científico. - Procesos vivos</t>
        </r>
      </text>
    </comment>
    <comment ref="R8" authorId="0" shapeId="0" xr:uid="{79790EEA-7FBB-4AB8-AB91-E9513CFEBFAE}">
      <text>
        <r>
          <rPr>
            <sz val="10"/>
            <rFont val="Arial"/>
            <family val="2"/>
          </rPr>
          <t>Modelar fenómenos de la naturaleza basado en el análisis de variables, la relación entre dos o más conceptos del conocimiento científico y de la evidencia derivada de investigaciones científicas. - Procesos químicos</t>
        </r>
      </text>
    </comment>
    <comment ref="S8" authorId="0" shapeId="0" xr:uid="{5F141F57-DDC5-4418-9CE3-E28CA732F727}">
      <text>
        <r>
          <rPr>
            <sz val="10"/>
            <rFont val="Arial"/>
            <family val="2"/>
          </rPr>
          <t>Explicar cómo ocurren algunos fenómenos de la naturaleza basado en observaciones, en patrones y  en conceptos propios del conocimiento científico. - Procesos químicos</t>
        </r>
      </text>
    </comment>
    <comment ref="T8" authorId="0" shapeId="0" xr:uid="{220A0662-2E24-4208-95FA-52F502B1F967}">
      <text>
        <r>
          <rPr>
            <sz val="10"/>
            <rFont val="Arial"/>
            <family val="2"/>
          </rPr>
          <t>Comprender que a partir de la investigación científica se construyen explicaciones sobre el mundo natural. - Procesos químicos</t>
        </r>
      </text>
    </comment>
    <comment ref="U8" authorId="0" shapeId="0" xr:uid="{498AF6FF-AF63-44E9-9F7C-2DBA604AC4F7}">
      <text>
        <r>
          <rPr>
            <sz val="10"/>
            <rFont val="Arial"/>
            <family val="2"/>
          </rPr>
          <t>Derivar conclusiones para algunos fenómenos de la naturaleza basándose en conocimientos científicos y en la evidencia de su propia investigación y de la de otros. - Procesos químicos</t>
        </r>
      </text>
    </comment>
    <comment ref="V8" authorId="0" shapeId="0" xr:uid="{A5D2DB9C-EF1D-4BB4-8C60-6DE35CF42FE8}">
      <text>
        <r>
          <rPr>
            <sz val="10"/>
            <rFont val="Arial"/>
            <family val="2"/>
          </rPr>
          <t>Observar y relacionar patrones en los datos para evaluar las predicciones. - Procesos químicos</t>
        </r>
      </text>
    </comment>
    <comment ref="W8" authorId="0" shapeId="0" xr:uid="{BB700C7E-5EC4-4646-B9FE-50CA1A89257B}">
      <text>
        <r>
          <rPr>
            <sz val="10"/>
            <rFont val="Arial"/>
            <family val="2"/>
          </rPr>
          <t>Utilizar algunas habilidades de pensamiento y de procedimiento para  evaluar predicciones - Procesos químicos</t>
        </r>
      </text>
    </comment>
    <comment ref="X8" authorId="0" shapeId="0" xr:uid="{56C3C8B8-EC85-41CC-967D-1C25623D642E}">
      <text>
        <r>
          <rPr>
            <sz val="10"/>
            <rFont val="Arial"/>
            <family val="2"/>
          </rPr>
          <t>Asociar fenómenos naturales con conceptos propios del conocimiento científico. - Procesos químicos</t>
        </r>
      </text>
    </comment>
    <comment ref="Y8" authorId="0" shapeId="0" xr:uid="{5589EBE5-C5EC-4360-BB80-9D5618394F7C}">
      <text>
        <r>
          <rPr>
            <sz val="10"/>
            <rFont val="Arial"/>
            <family val="2"/>
          </rPr>
          <t>Identificar las características  de algunos fenómenos de la naturaleza basado en el análisis de información  y  conceptos propios del conocimiento científico. - Procesos químicos</t>
        </r>
      </text>
    </comment>
    <comment ref="Z8" authorId="0" shapeId="0" xr:uid="{B043CDD3-3D98-41BC-9FFA-DFE3FC2CCA45}">
      <text>
        <r>
          <rPr>
            <sz val="10"/>
            <rFont val="Arial"/>
            <family val="2"/>
          </rPr>
          <t>Modelar fenómenos de la naturaleza basado en el análisis de variables, la relación entre dos o más conceptos del conocimiento científico y de la evidencia derivada de investigaciones científicas. - Procesos físicos</t>
        </r>
      </text>
    </comment>
    <comment ref="AA8" authorId="0" shapeId="0" xr:uid="{316888E8-36BE-410A-9286-050EA80F4F84}">
      <text>
        <r>
          <rPr>
            <sz val="10"/>
            <rFont val="Arial"/>
            <family val="2"/>
          </rPr>
          <t>Explicar cómo ocurren algunos fenómenos de la naturaleza basado en observaciones, en patrones y  en conceptos propios del conocimiento científico. - Procesos físicos</t>
        </r>
      </text>
    </comment>
    <comment ref="AB8" authorId="0" shapeId="0" xr:uid="{2C5B31E0-45C6-49FD-9F54-BA5C451C72E9}">
      <text>
        <r>
          <rPr>
            <sz val="10"/>
            <rFont val="Arial"/>
            <family val="2"/>
          </rPr>
          <t>Comprender que a partir de la investigación científica se construyen explicaciones sobre el mundo natural. - Procesos físicos</t>
        </r>
      </text>
    </comment>
    <comment ref="AC8" authorId="0" shapeId="0" xr:uid="{EF9462E8-9889-467A-97EB-F5391EAE0AC2}">
      <text>
        <r>
          <rPr>
            <sz val="10"/>
            <rFont val="Arial"/>
            <family val="2"/>
          </rPr>
          <t>Observar y relacionar patrones en los datos para evaluar las predicciones. - Procesos físicos</t>
        </r>
      </text>
    </comment>
    <comment ref="AD8" authorId="0" shapeId="0" xr:uid="{2685EDE1-5073-406C-8289-067E84D60641}">
      <text>
        <r>
          <rPr>
            <sz val="10"/>
            <rFont val="Arial"/>
            <family val="2"/>
          </rPr>
          <t>Utilizar algunas habilidades de pensamiento y de procedimiento para  evaluar predicciones - Procesos físicos</t>
        </r>
      </text>
    </comment>
    <comment ref="AE8" authorId="0" shapeId="0" xr:uid="{33A6C5FE-F689-4BE3-A9E9-D32DA18F2E6E}">
      <text>
        <r>
          <rPr>
            <sz val="10"/>
            <rFont val="Arial"/>
            <family val="2"/>
          </rPr>
          <t>Asociar fenómenos naturales con conceptos propios del conocimiento científico. - Procesos físicos</t>
        </r>
      </text>
    </comment>
    <comment ref="AF8" authorId="0" shapeId="0" xr:uid="{4D56640F-238E-4124-A527-D0AA488F0DAE}">
      <text>
        <r>
          <rPr>
            <sz val="10"/>
            <rFont val="Arial"/>
            <family val="2"/>
          </rPr>
          <t>Identificar las características  de algunos fenómenos de la naturaleza basado en el análisis de información  y  conceptos propios del conocimiento científico. - Procesos físicos</t>
        </r>
      </text>
    </comment>
    <comment ref="AG8" authorId="0" shapeId="0" xr:uid="{CD1F60FB-1B07-4CD4-90C6-F5BC9E5DAE86}">
      <text>
        <r>
          <rPr>
            <sz val="10"/>
            <rFont val="Arial"/>
            <family val="2"/>
          </rPr>
          <t>Analizar  el potencial del uso de recursos  naturales  o artefactos  y sus efectos sobre el entorno y la salud , así como las posibilidades de desarrollo para las comunidades. - CTS</t>
        </r>
      </text>
    </comment>
    <comment ref="AN8" authorId="0" shapeId="0" xr:uid="{CF5F47ED-A8F2-4555-B0A2-EF3EDF632EB4}">
      <text>
        <r>
          <rPr>
            <sz val="10"/>
            <rFont val="Arial"/>
            <family val="2"/>
          </rPr>
          <t>Modelar fenómenos de la naturaleza basado en el análisis de variables, la relación entre dos o más conceptos del conocimiento científico y de la evidencia derivada de investigaciones científicas. - Procesos vivos</t>
        </r>
      </text>
    </comment>
    <comment ref="AO8" authorId="0" shapeId="0" xr:uid="{142F8891-3E3E-414F-BF75-C2B84EB8CB68}">
      <text>
        <r>
          <rPr>
            <sz val="10"/>
            <rFont val="Arial"/>
            <family val="2"/>
          </rPr>
          <t>Explicar cómo ocurren algunos fenómenos de la naturaleza basado en observaciones, en patrones y  en conceptos propios del conocimiento científico. - Procesos vivos</t>
        </r>
      </text>
    </comment>
    <comment ref="AP8" authorId="0" shapeId="0" xr:uid="{DA974F82-85A0-487E-9732-4CF714CA97C1}">
      <text>
        <r>
          <rPr>
            <sz val="10"/>
            <rFont val="Arial"/>
            <family val="2"/>
          </rPr>
          <t>Comprender que a partir de la investigación científica se construyen explicaciones sobre el mundo natural. - Procesos vivos</t>
        </r>
      </text>
    </comment>
    <comment ref="AQ8" authorId="0" shapeId="0" xr:uid="{2161D722-35FA-4EB8-9B6B-B29A1EBDBF76}">
      <text>
        <r>
          <rPr>
            <sz val="10"/>
            <rFont val="Arial"/>
            <family val="2"/>
          </rPr>
          <t>Derivar conclusiones para algunos fenómenos de la naturaleza basándose en conocimientos científicos y en la evidencia de su propia investigación y de la de otros. - Procesos vivos</t>
        </r>
      </text>
    </comment>
    <comment ref="AR8" authorId="0" shapeId="0" xr:uid="{2362827C-4D98-4604-883D-A9B37727546E}">
      <text>
        <r>
          <rPr>
            <sz val="10"/>
            <rFont val="Arial"/>
            <family val="2"/>
          </rPr>
          <t>Observar y relacionar patrones en los datos para evaluar las predicciones. - Procesos vivos</t>
        </r>
      </text>
    </comment>
    <comment ref="AS8" authorId="0" shapeId="0" xr:uid="{3978562E-CD9B-4B95-AB07-E5DA6A14ECCE}">
      <text>
        <r>
          <rPr>
            <sz val="10"/>
            <rFont val="Arial"/>
            <family val="2"/>
          </rPr>
          <t>Asociar fenómenos naturales con conceptos propios del conocimiento científico. - Procesos vivos</t>
        </r>
      </text>
    </comment>
    <comment ref="AT8" authorId="0" shapeId="0" xr:uid="{AC18A6A4-9408-473F-A3C7-45EF872DF642}">
      <text>
        <r>
          <rPr>
            <sz val="10"/>
            <rFont val="Arial"/>
            <family val="2"/>
          </rPr>
          <t>Identificar las características  de algunos fenómenos de la naturaleza basado en el análisis de información  y  conceptos propios del conocimiento científico. - Procesos vivos</t>
        </r>
      </text>
    </comment>
    <comment ref="AU8" authorId="0" shapeId="0" xr:uid="{C3FC4D17-1F23-4C52-8098-BF315FD82375}">
      <text>
        <r>
          <rPr>
            <sz val="10"/>
            <rFont val="Arial"/>
            <family val="2"/>
          </rPr>
          <t>Modelar fenómenos de la naturaleza basado en el análisis de variables, la relación entre dos o más conceptos del conocimiento científico y de la evidencia derivada de investigaciones científicas. - Procesos químicos</t>
        </r>
      </text>
    </comment>
    <comment ref="AV8" authorId="0" shapeId="0" xr:uid="{28397F07-582F-4243-BFEB-98B0A7DC8559}">
      <text>
        <r>
          <rPr>
            <sz val="10"/>
            <rFont val="Arial"/>
            <family val="2"/>
          </rPr>
          <t>Explicar cómo ocurren algunos fenómenos de la naturaleza basado en observaciones, en patrones y  en conceptos propios del conocimiento científico. - Procesos químicos</t>
        </r>
      </text>
    </comment>
    <comment ref="AW8" authorId="0" shapeId="0" xr:uid="{F7BF5C6D-8E0B-45B0-966C-56204EDD8BD2}">
      <text>
        <r>
          <rPr>
            <sz val="10"/>
            <rFont val="Arial"/>
            <family val="2"/>
          </rPr>
          <t>Comprender que a partir de la investigación científica se construyen explicaciones sobre el mundo natural. - Procesos químicos</t>
        </r>
      </text>
    </comment>
    <comment ref="AX8" authorId="0" shapeId="0" xr:uid="{F3A5FCE0-FF83-4B46-B2DE-B3B3523C8205}">
      <text>
        <r>
          <rPr>
            <sz val="10"/>
            <rFont val="Arial"/>
            <family val="2"/>
          </rPr>
          <t>Derivar conclusiones para algunos fenómenos de la naturaleza basándose en conocimientos científicos y en la evidencia de su propia investigación y de la de otros. - Procesos químicos</t>
        </r>
      </text>
    </comment>
    <comment ref="AY8" authorId="0" shapeId="0" xr:uid="{A9A89553-7015-4D1A-8CDC-70DE91ED1676}">
      <text>
        <r>
          <rPr>
            <sz val="10"/>
            <rFont val="Arial"/>
            <family val="2"/>
          </rPr>
          <t>Observar y relacionar patrones en los datos para evaluar las predicciones. - Procesos químicos</t>
        </r>
      </text>
    </comment>
    <comment ref="AZ8" authorId="0" shapeId="0" xr:uid="{800035CE-0836-41E8-B690-EF5CFB5D0B64}">
      <text>
        <r>
          <rPr>
            <sz val="10"/>
            <rFont val="Arial"/>
            <family val="2"/>
          </rPr>
          <t>Utilizar algunas habilidades de pensamiento y de procedimiento para  evaluar predicciones - Procesos químicos</t>
        </r>
      </text>
    </comment>
    <comment ref="BA8" authorId="0" shapeId="0" xr:uid="{EF9A9B2B-F94C-4636-A319-092382EAB942}">
      <text>
        <r>
          <rPr>
            <sz val="10"/>
            <rFont val="Arial"/>
            <family val="2"/>
          </rPr>
          <t>Asociar fenómenos naturales con conceptos propios del conocimiento científico. - Procesos químicos</t>
        </r>
      </text>
    </comment>
    <comment ref="BB8" authorId="0" shapeId="0" xr:uid="{F98E062F-558F-4746-BD66-06BBB71B8387}">
      <text>
        <r>
          <rPr>
            <sz val="10"/>
            <rFont val="Arial"/>
            <family val="2"/>
          </rPr>
          <t>Identificar las características  de algunos fenómenos de la naturaleza basado en el análisis de información  y  conceptos propios del conocimiento científico. - Procesos químicos</t>
        </r>
      </text>
    </comment>
    <comment ref="BC8" authorId="0" shapeId="0" xr:uid="{19EAF00E-3825-453D-9FC8-2C663B5A9F17}">
      <text>
        <r>
          <rPr>
            <sz val="10"/>
            <rFont val="Arial"/>
            <family val="2"/>
          </rPr>
          <t>Modelar fenómenos de la naturaleza basado en el análisis de variables, la relación entre dos o más conceptos del conocimiento científico y de la evidencia derivada de investigaciones científicas. - Procesos físicos</t>
        </r>
      </text>
    </comment>
    <comment ref="BD8" authorId="0" shapeId="0" xr:uid="{1D3226E3-31DB-41AF-B657-CADA3BDC41E3}">
      <text>
        <r>
          <rPr>
            <sz val="10"/>
            <rFont val="Arial"/>
            <family val="2"/>
          </rPr>
          <t>Explicar cómo ocurren algunos fenómenos de la naturaleza basado en observaciones, en patrones y  en conceptos propios del conocimiento científico. - Procesos físicos</t>
        </r>
      </text>
    </comment>
    <comment ref="BE8" authorId="0" shapeId="0" xr:uid="{633ABEA6-61A9-4E85-99C5-767D5A54E64C}">
      <text>
        <r>
          <rPr>
            <sz val="10"/>
            <rFont val="Arial"/>
            <family val="2"/>
          </rPr>
          <t>Comprender que a partir de la investigación científica se construyen explicaciones sobre el mundo natural. - Procesos físicos</t>
        </r>
      </text>
    </comment>
    <comment ref="BF8" authorId="0" shapeId="0" xr:uid="{9AAF5618-976D-406C-A551-5CC549DD389B}">
      <text>
        <r>
          <rPr>
            <sz val="10"/>
            <rFont val="Arial"/>
            <family val="2"/>
          </rPr>
          <t>Derivar conclusiones para algunos fenómenos de la naturaleza basándose en conocimientos científicos y en la evidencia de su propia investigación y de la de otros. - Procesos físicos</t>
        </r>
      </text>
    </comment>
    <comment ref="BG8" authorId="0" shapeId="0" xr:uid="{7FCB8126-87AB-4773-BA31-205575BC4BAC}">
      <text>
        <r>
          <rPr>
            <sz val="10"/>
            <rFont val="Arial"/>
            <family val="2"/>
          </rPr>
          <t>Observar y relacionar patrones en los datos para evaluar las predicciones. - Procesos físicos</t>
        </r>
      </text>
    </comment>
    <comment ref="BH8" authorId="0" shapeId="0" xr:uid="{2B519BD7-C7D1-4FF1-BDA3-C70E7D0D1216}">
      <text>
        <r>
          <rPr>
            <sz val="10"/>
            <rFont val="Arial"/>
            <family val="2"/>
          </rPr>
          <t>Utilizar algunas habilidades de pensamiento y de procedimiento para  evaluar predicciones - Procesos físicos</t>
        </r>
      </text>
    </comment>
    <comment ref="BI8" authorId="0" shapeId="0" xr:uid="{153BB0B9-E231-452B-856A-9EA32010A9EF}">
      <text>
        <r>
          <rPr>
            <sz val="10"/>
            <rFont val="Arial"/>
            <family val="2"/>
          </rPr>
          <t>Asociar fenómenos naturales con conceptos propios del conocimiento científico. - Procesos físicos</t>
        </r>
      </text>
    </comment>
    <comment ref="BJ8" authorId="0" shapeId="0" xr:uid="{4C621448-FB15-4013-BDDF-E4DE39CB669F}">
      <text>
        <r>
          <rPr>
            <sz val="10"/>
            <rFont val="Arial"/>
            <family val="2"/>
          </rPr>
          <t>Identificar las características  de algunos fenómenos de la naturaleza basado en el análisis de información  y  conceptos propios del conocimiento científico. - Procesos físicos</t>
        </r>
      </text>
    </comment>
    <comment ref="BK8" authorId="0" shapeId="0" xr:uid="{508A311B-53F3-4DC3-8B0D-DAF07B7F1FEF}">
      <text>
        <r>
          <rPr>
            <sz val="10"/>
            <rFont val="Arial"/>
            <family val="2"/>
          </rPr>
          <t>Analizar  el potencial del uso de recursos  naturales  o artefactos  y sus efectos sobre el entorno y la salud , así como las posibilidades de desarrollo para las comunidades. - CTS</t>
        </r>
      </text>
    </comment>
    <comment ref="BL8" authorId="0" shapeId="0" xr:uid="{8EA89ABE-7152-41F6-89FC-AB1AF20286E9}">
      <text>
        <r>
          <rPr>
            <sz val="10"/>
            <rFont val="Arial"/>
            <family val="2"/>
          </rPr>
          <t>Identificar las características  de algunos fenómenos de la naturaleza basado en el análisis de información  y  conceptos propios del conocimiento científico. - CTS</t>
        </r>
      </text>
    </comment>
    <comment ref="BV8" authorId="0" shapeId="0" xr:uid="{FF3CE55E-BF9E-4558-B3C4-C86134CB708A}">
      <text>
        <r>
          <rPr>
            <sz val="10"/>
            <rFont val="Arial"/>
            <family val="2"/>
          </rPr>
          <t>Comprender que a partir de la investigación científica se construyen explicaciones sobre el mundo natural. - Procesos físicos</t>
        </r>
      </text>
    </comment>
    <comment ref="BW8" authorId="0" shapeId="0" xr:uid="{F9B67F40-ABEC-43CF-BB33-F151CC61D29E}">
      <text>
        <r>
          <rPr>
            <sz val="10"/>
            <rFont val="Arial"/>
            <family val="2"/>
          </rPr>
          <t>Identificar las características  de algunos fenómenos de la naturaleza basado en el análisis de información  y  conceptos propios del conocimiento científico. - CTS</t>
        </r>
      </text>
    </comment>
    <comment ref="BX8" authorId="0" shapeId="0" xr:uid="{0E63CDB6-60E6-4DC3-8060-37D06CC7BDCE}">
      <text>
        <r>
          <rPr>
            <sz val="10"/>
            <rFont val="Arial"/>
            <family val="2"/>
          </rPr>
          <t>Observar y relacionar patrones en los datos para evaluar las predicciones. - Procesos vivos</t>
        </r>
      </text>
    </comment>
    <comment ref="BY8" authorId="0" shapeId="0" xr:uid="{B05ACF8C-D4C1-4C5E-9FCE-1AF264D7D8D9}">
      <text>
        <r>
          <rPr>
            <sz val="10"/>
            <rFont val="Arial"/>
            <family val="2"/>
          </rPr>
          <t>Identificar las características  de algunos fenómenos de la naturaleza basado en el análisis de información  y  conceptos propios del conocimiento científico. - Procesos vivos</t>
        </r>
      </text>
    </comment>
    <comment ref="BZ8" authorId="0" shapeId="0" xr:uid="{85266B2C-1512-4E7E-9B16-4F6893B06D01}">
      <text>
        <r>
          <rPr>
            <sz val="10"/>
            <rFont val="Arial"/>
            <family val="2"/>
          </rPr>
          <t>Identificar las características  de algunos fenómenos de la naturaleza basado en el análisis de información  y  conceptos propios del conocimiento científico. - Procesos físicos</t>
        </r>
      </text>
    </comment>
    <comment ref="CA8" authorId="0" shapeId="0" xr:uid="{69C16BE4-C812-4E87-B672-C0F8324EDC51}">
      <text>
        <r>
          <rPr>
            <sz val="10"/>
            <rFont val="Arial"/>
            <family val="2"/>
          </rPr>
          <t>Modelar fenómenos de la naturaleza basado en el análisis de variables, la relación entre dos o más conceptos del conocimiento científico y de la evidencia derivada de investigaciones científicas. - Procesos vivos</t>
        </r>
      </text>
    </comment>
    <comment ref="CB8" authorId="0" shapeId="0" xr:uid="{BE0A38BC-973D-4694-94F6-6C386D4CE9CD}">
      <text>
        <r>
          <rPr>
            <sz val="10"/>
            <rFont val="Arial"/>
            <family val="2"/>
          </rPr>
          <t>Derivar conclusiones para algunos fenómenos de la naturaleza basándose en conocimientos científicos y en la evidencia de su propia investigación y de la de otros. - Procesos químicos</t>
        </r>
      </text>
    </comment>
    <comment ref="CC8" authorId="0" shapeId="0" xr:uid="{FFB21307-2778-4EA8-909A-67E408691477}">
      <text>
        <r>
          <rPr>
            <sz val="10"/>
            <rFont val="Arial"/>
            <family val="2"/>
          </rPr>
          <t>Observar y relacionar patrones en los datos para evaluar las predicciones. - Procesos químicos</t>
        </r>
      </text>
    </comment>
    <comment ref="CD8" authorId="0" shapeId="0" xr:uid="{19FC02A4-3685-486D-BC50-0081F40C13BD}">
      <text>
        <r>
          <rPr>
            <sz val="10"/>
            <rFont val="Arial"/>
            <family val="2"/>
          </rPr>
          <t>Analizar  el potencial del uso de recursos  naturales  o artefactos  y sus efectos sobre el entorno y la salud , así como las posibilidades de desarrollo para las comunidades. - CTS</t>
        </r>
      </text>
    </comment>
    <comment ref="CE8" authorId="0" shapeId="0" xr:uid="{2C7C5367-0186-41D6-8145-9E0AD32F5B33}">
      <text>
        <r>
          <rPr>
            <sz val="10"/>
            <rFont val="Arial"/>
            <family val="2"/>
          </rPr>
          <t>Comprender que a partir de la investigación científica se construyen explicaciones sobre el mundo natural. - Procesos químicos</t>
        </r>
      </text>
    </comment>
    <comment ref="CF8" authorId="0" shapeId="0" xr:uid="{E5920FC1-03CC-4A95-8234-B92D7BF8BF2B}">
      <text>
        <r>
          <rPr>
            <sz val="10"/>
            <rFont val="Arial"/>
            <family val="2"/>
          </rPr>
          <t>Utilizar algunas habilidades de pensamiento y de procedimiento para  evaluar predicciones - Procesos químicos</t>
        </r>
      </text>
    </comment>
    <comment ref="CG8" authorId="0" shapeId="0" xr:uid="{C8E28F4A-99EC-453B-92A9-5439D67C59CD}">
      <text>
        <r>
          <rPr>
            <sz val="10"/>
            <rFont val="Arial"/>
            <family val="2"/>
          </rPr>
          <t>Observar y relacionar patrones en los datos para evaluar las predicciones. - Procesos físicos</t>
        </r>
      </text>
    </comment>
    <comment ref="CH8" authorId="0" shapeId="0" xr:uid="{6844556A-FDA4-4053-BB98-7946A18EC622}">
      <text>
        <r>
          <rPr>
            <sz val="10"/>
            <rFont val="Arial"/>
            <family val="2"/>
          </rPr>
          <t>Asociar fenómenos naturales con conceptos propios del conocimiento científico. - Procesos vivos</t>
        </r>
      </text>
    </comment>
    <comment ref="CI8" authorId="0" shapeId="0" xr:uid="{FDEFE8CD-E2AF-4C31-B8C0-1AEEC750DA4D}">
      <text>
        <r>
          <rPr>
            <sz val="10"/>
            <rFont val="Arial"/>
            <family val="2"/>
          </rPr>
          <t>Explicar cómo ocurren algunos fenómenos de la naturaleza basado en observaciones, en patrones y  en conceptos propios del conocimiento científico. - Procesos físicos</t>
        </r>
      </text>
    </comment>
    <comment ref="CJ8" authorId="0" shapeId="0" xr:uid="{34D9136A-4E37-44B3-99C5-3CE7382C461C}">
      <text>
        <r>
          <rPr>
            <sz val="10"/>
            <rFont val="Arial"/>
            <family val="2"/>
          </rPr>
          <t>Derivar conclusiones para algunos fenómenos de la naturaleza basándose en conocimientos científicos y en la evidencia de su propia investigación y de la de otros. - Procesos físicos</t>
        </r>
      </text>
    </comment>
    <comment ref="CK8" authorId="0" shapeId="0" xr:uid="{82E0658B-B695-4ACE-B329-7016D3F8DCF1}">
      <text>
        <r>
          <rPr>
            <sz val="10"/>
            <rFont val="Arial"/>
            <family val="2"/>
          </rPr>
          <t>Utilizar algunas habilidades de pensamiento y de procedimiento para  evaluar predicciones - Procesos físicos</t>
        </r>
      </text>
    </comment>
    <comment ref="CL8" authorId="0" shapeId="0" xr:uid="{ECF90A28-9A52-4146-8BDE-62A00A8FFA4F}">
      <text>
        <r>
          <rPr>
            <sz val="10"/>
            <rFont val="Arial"/>
            <family val="2"/>
          </rPr>
          <t>Derivar conclusiones para algunos fenómenos de la naturaleza basándose en conocimientos científicos y en la evidencia de su propia investigación y de la de otros. - Procesos vivos</t>
        </r>
      </text>
    </comment>
    <comment ref="CM8" authorId="0" shapeId="0" xr:uid="{74B45849-4393-4A64-9EAC-79FCB181EE7D}">
      <text>
        <r>
          <rPr>
            <sz val="10"/>
            <rFont val="Arial"/>
            <family val="2"/>
          </rPr>
          <t>Utilizar algunas habilidades de pensamiento y de procedimiento para  evaluar predicciones - Procesos vivos</t>
        </r>
      </text>
    </comment>
    <comment ref="CN8" authorId="0" shapeId="0" xr:uid="{E98A70B8-0E4C-4F82-B796-31EC31AACAB5}">
      <text>
        <r>
          <rPr>
            <sz val="10"/>
            <rFont val="Arial"/>
            <family val="2"/>
          </rPr>
          <t>Asociar fenómenos naturales con conceptos propios del conocimiento científico. - Procesos químicos</t>
        </r>
      </text>
    </comment>
    <comment ref="CO8" authorId="0" shapeId="0" xr:uid="{CEA232B5-23FC-4279-ACB0-02AB45AA4B4B}">
      <text>
        <r>
          <rPr>
            <sz val="10"/>
            <rFont val="Arial"/>
            <family val="2"/>
          </rPr>
          <t>Identificar las características  de algunos fenómenos de la naturaleza basado en el análisis de información  y  conceptos propios del conocimiento científico. - Procesos químicos</t>
        </r>
      </text>
    </comment>
    <comment ref="CP8" authorId="0" shapeId="0" xr:uid="{0418F270-724E-46C6-AA94-98F1E701023D}">
      <text>
        <r>
          <rPr>
            <sz val="10"/>
            <rFont val="Arial"/>
            <family val="2"/>
          </rPr>
          <t>Explicar cómo ocurren algunos fenómenos de la naturaleza basado en observaciones, en patrones y  en conceptos propios del conocimiento científico. - Procesos vivos</t>
        </r>
      </text>
    </comment>
    <comment ref="CQ8" authorId="0" shapeId="0" xr:uid="{D8D6F4BC-1301-4B9C-AFD2-5A943CCDD824}">
      <text>
        <r>
          <rPr>
            <sz val="10"/>
            <rFont val="Arial"/>
            <family val="2"/>
          </rPr>
          <t>Explicar cómo ocurren algunos fenómenos de la naturaleza basado en observaciones, en patrones y  en conceptos propios del conocimiento científico. - Procesos químicos</t>
        </r>
      </text>
    </comment>
    <comment ref="CR8" authorId="0" shapeId="0" xr:uid="{154B280B-2584-4449-A6B5-378EFA852869}">
      <text>
        <r>
          <rPr>
            <sz val="10"/>
            <rFont val="Arial"/>
            <family val="2"/>
          </rPr>
          <t>Modelar fenómenos de la naturaleza basado en el análisis de variables, la relación entre dos o más conceptos del conocimiento científico y de la evidencia derivada de investigaciones científicas. - Procesos físicos</t>
        </r>
      </text>
    </comment>
    <comment ref="CY8" authorId="0" shapeId="0" xr:uid="{C815FE5E-0323-494C-AA95-6AC9584C592C}">
      <text>
        <r>
          <rPr>
            <sz val="10"/>
            <rFont val="Arial"/>
            <family val="2"/>
          </rPr>
          <t>Identificar las características  de algunos fenómenos de la naturaleza basado en el análisis de información  y  conceptos propios del conocimiento científico. - Procesos físicos</t>
        </r>
      </text>
    </comment>
    <comment ref="CZ8" authorId="0" shapeId="0" xr:uid="{864B0B03-EA32-4F61-8E80-5B3FFE0FF5C7}">
      <text>
        <r>
          <rPr>
            <sz val="10"/>
            <rFont val="Arial"/>
            <family val="2"/>
          </rPr>
          <t>Observar y relacionar patrones en los datos para evaluar las predicciones. - Procesos vivos</t>
        </r>
      </text>
    </comment>
    <comment ref="DA8" authorId="0" shapeId="0" xr:uid="{DD682CFA-9973-4BE7-B871-55F61CCC67AD}">
      <text>
        <r>
          <rPr>
            <sz val="10"/>
            <rFont val="Arial"/>
            <family val="2"/>
          </rPr>
          <t>Asociar fenómenos naturales con conceptos propios del conocimiento científico. - Procesos vivos</t>
        </r>
      </text>
    </comment>
    <comment ref="DB8" authorId="0" shapeId="0" xr:uid="{89370E73-C335-47B3-BA13-F93FEE6DF047}">
      <text>
        <r>
          <rPr>
            <sz val="10"/>
            <rFont val="Arial"/>
            <family val="2"/>
          </rPr>
          <t>Derivar conclusiones para algunos fenómenos de la naturaleza basándose en conocimientos científicos y en la evidencia de su propia investigación y de la de otros. - Procesos químicos</t>
        </r>
      </text>
    </comment>
    <comment ref="DC8" authorId="0" shapeId="0" xr:uid="{6B466012-46DF-46B5-8484-66E5BD59694D}">
      <text>
        <r>
          <rPr>
            <sz val="10"/>
            <rFont val="Arial"/>
            <family val="2"/>
          </rPr>
          <t>Utilizar algunas habilidades de pensamiento y de procedimiento para  evaluar predicciones - Procesos físicos</t>
        </r>
      </text>
    </comment>
    <comment ref="DD8" authorId="0" shapeId="0" xr:uid="{17D6BD41-F3AB-4BDF-A33C-EEB2885B0A52}">
      <text>
        <r>
          <rPr>
            <sz val="10"/>
            <rFont val="Arial"/>
            <family val="2"/>
          </rPr>
          <t>Asociar fenómenos naturales con conceptos propios del conocimiento científico. - Procesos físicos</t>
        </r>
      </text>
    </comment>
    <comment ref="DE8" authorId="0" shapeId="0" xr:uid="{E88BA17C-9777-436A-83D3-399B57B2B91D}">
      <text>
        <r>
          <rPr>
            <sz val="10"/>
            <rFont val="Arial"/>
            <family val="2"/>
          </rPr>
          <t>Comprender que a partir de la investigación científica se construyen explicaciones sobre el mundo natural. - Procesos vivos</t>
        </r>
      </text>
    </comment>
    <comment ref="DF8" authorId="0" shapeId="0" xr:uid="{FEDFCB0F-ACFB-4ADF-9710-F3BE76CB3C39}">
      <text>
        <r>
          <rPr>
            <sz val="10"/>
            <rFont val="Arial"/>
            <family val="2"/>
          </rPr>
          <t>Modelar fenómenos de la naturaleza basado en el análisis de variables, la relación entre dos o más conceptos del conocimiento científico y de la evidencia derivada de investigaciones científicas. - Procesos físicos</t>
        </r>
      </text>
    </comment>
    <comment ref="DG8" authorId="0" shapeId="0" xr:uid="{08D9D2CF-8566-451C-8416-C0F6E365837F}">
      <text>
        <r>
          <rPr>
            <sz val="10"/>
            <rFont val="Arial"/>
            <family val="2"/>
          </rPr>
          <t>Observar y relacionar patrones en los datos para evaluar las predicciones. - Procesos físicos</t>
        </r>
      </text>
    </comment>
    <comment ref="DH8" authorId="0" shapeId="0" xr:uid="{E61A9326-9380-497C-BF98-3A7A8182683F}">
      <text>
        <r>
          <rPr>
            <sz val="10"/>
            <rFont val="Arial"/>
            <family val="2"/>
          </rPr>
          <t>Identificar las características  de algunos fenómenos de la naturaleza basado en el análisis de información  y  conceptos propios del conocimiento científico. - Procesos vivos</t>
        </r>
      </text>
    </comment>
    <comment ref="DI8" authorId="0" shapeId="0" xr:uid="{3273AC59-7D17-4B86-942E-670D307CB2CA}">
      <text>
        <r>
          <rPr>
            <sz val="10"/>
            <rFont val="Arial"/>
            <family val="2"/>
          </rPr>
          <t>Observar y relacionar patrones en los datos para evaluar las predicciones. - Procesos químicos</t>
        </r>
      </text>
    </comment>
    <comment ref="DJ8" authorId="0" shapeId="0" xr:uid="{64C2F8EE-92A7-40EE-A758-A4C12E445A9D}">
      <text>
        <r>
          <rPr>
            <sz val="10"/>
            <rFont val="Arial"/>
            <family val="2"/>
          </rPr>
          <t>Asociar fenómenos naturales con conceptos propios del conocimiento científico. - Procesos químicos</t>
        </r>
      </text>
    </comment>
    <comment ref="DK8" authorId="0" shapeId="0" xr:uid="{2C5814B6-3963-4E08-8CF9-E9923306E2AC}">
      <text>
        <r>
          <rPr>
            <sz val="10"/>
            <rFont val="Arial"/>
            <family val="2"/>
          </rPr>
          <t>Derivar conclusiones para algunos fenómenos de la naturaleza basándose en conocimientos científicos y en la evidencia de su propia investigación y de la de otros. - Procesos vivos</t>
        </r>
      </text>
    </comment>
    <comment ref="DL8" authorId="0" shapeId="0" xr:uid="{350E8FC6-2874-4F39-BBCB-DFD3C5C688B7}">
      <text>
        <r>
          <rPr>
            <sz val="10"/>
            <rFont val="Arial"/>
            <family val="2"/>
          </rPr>
          <t>Comprender que a partir de la investigación científica se construyen explicaciones sobre el mundo natural. - Procesos físicos</t>
        </r>
      </text>
    </comment>
    <comment ref="DM8" authorId="0" shapeId="0" xr:uid="{9D62161A-0470-4881-BAEA-FCE4FAD48FF7}">
      <text>
        <r>
          <rPr>
            <sz val="10"/>
            <rFont val="Arial"/>
            <family val="2"/>
          </rPr>
          <t>Modelar fenómenos de la naturaleza basado en el análisis de variables, la relación entre dos o más conceptos del conocimiento científico y de la evidencia derivada de investigaciones científicas. - Procesos vivos</t>
        </r>
      </text>
    </comment>
    <comment ref="DN8" authorId="0" shapeId="0" xr:uid="{24B8818C-C96F-43D9-B3B7-80AB6E95A77A}">
      <text>
        <r>
          <rPr>
            <sz val="10"/>
            <rFont val="Arial"/>
            <family val="2"/>
          </rPr>
          <t>Explicar cómo ocurren algunos fenómenos de la naturaleza basado en observaciones, en patrones y  en conceptos propios del conocimiento científico. - Procesos vivos</t>
        </r>
      </text>
    </comment>
    <comment ref="DO8" authorId="0" shapeId="0" xr:uid="{D89D6496-3C93-4AB6-80D8-1544BBE431CD}">
      <text>
        <r>
          <rPr>
            <sz val="10"/>
            <rFont val="Arial"/>
            <family val="2"/>
          </rPr>
          <t>Comprender que a partir de la investigación científica se construyen explicaciones sobre el mundo natural. - Procesos químicos</t>
        </r>
      </text>
    </comment>
    <comment ref="DP8" authorId="0" shapeId="0" xr:uid="{7CC395D5-1516-4F55-AFD2-00A18589AA67}">
      <text>
        <r>
          <rPr>
            <sz val="10"/>
            <rFont val="Arial"/>
            <family val="2"/>
          </rPr>
          <t>Analizar  el potencial del uso de recursos  naturales  o artefactos  y sus efectos sobre el entorno y la salud , así como las posibilidades de desarrollo para las comunidades. - CTS</t>
        </r>
      </text>
    </comment>
    <comment ref="DQ8" authorId="0" shapeId="0" xr:uid="{2A97E2F6-BBD3-4666-AAA5-42F9901541BB}">
      <text>
        <r>
          <rPr>
            <sz val="10"/>
            <rFont val="Arial"/>
            <family val="2"/>
          </rPr>
          <t>Explicar cómo ocurren algunos fenómenos de la naturaleza basado en observaciones, en patrones y  en conceptos propios del conocimiento científico. - Procesos químicos</t>
        </r>
      </text>
    </comment>
    <comment ref="DR8" authorId="0" shapeId="0" xr:uid="{82661972-3111-4E8C-85AE-81FE4C603BEE}">
      <text>
        <r>
          <rPr>
            <sz val="10"/>
            <rFont val="Arial"/>
            <family val="2"/>
          </rPr>
          <t>Utilizar algunas habilidades de pensamiento y de procedimiento para  evaluar predicciones - Procesos químicos</t>
        </r>
      </text>
    </comment>
    <comment ref="DS8" authorId="0" shapeId="0" xr:uid="{DDF4065C-5219-454D-A3BE-C80F8F644B77}">
      <text>
        <r>
          <rPr>
            <sz val="10"/>
            <rFont val="Arial"/>
            <family val="2"/>
          </rPr>
          <t>Identificar las características  de algunos fenómenos de la naturaleza basado en el análisis de información  y  conceptos propios del conocimiento científico. - Procesos químicos</t>
        </r>
      </text>
    </comment>
    <comment ref="DT8" authorId="0" shapeId="0" xr:uid="{FB78DF85-64C2-426B-BF50-3727622C6763}">
      <text>
        <r>
          <rPr>
            <sz val="10"/>
            <rFont val="Arial"/>
            <family val="2"/>
          </rPr>
          <t>Explicar cómo ocurren algunos fenómenos de la naturaleza basado en observaciones, en patrones y  en conceptos propios del conocimiento científico. - Procesos físicos</t>
        </r>
      </text>
    </comment>
    <comment ref="DU8" authorId="0" shapeId="0" xr:uid="{7396572B-5A73-450C-B09A-28B1482BF127}">
      <text>
        <r>
          <rPr>
            <sz val="10"/>
            <rFont val="Arial"/>
            <family val="2"/>
          </rPr>
          <t>Utilizar algunas habilidades de pensamiento y de procedimiento para  evaluar predicciones - Procesos vivos</t>
        </r>
      </text>
    </comment>
    <comment ref="DV8" authorId="0" shapeId="0" xr:uid="{9704B3B9-79E7-437E-B67A-6982677754A6}">
      <text>
        <r>
          <rPr>
            <sz val="10"/>
            <rFont val="Arial"/>
            <family val="2"/>
          </rPr>
          <t>Identificar las características  de algunos fenómenos de la naturaleza basado en el análisis de información  y  conceptos propios del conocimiento científico. - CTS</t>
        </r>
      </text>
    </comment>
    <comment ref="DW8" authorId="0" shapeId="0" xr:uid="{029F049E-D9E7-4240-AE39-D3B45F96AEFD}">
      <text>
        <r>
          <rPr>
            <sz val="10"/>
            <rFont val="Arial"/>
            <family val="2"/>
          </rPr>
          <t>Derivar conclusiones para algunos fenómenos de la naturaleza basándose en conocimientos científicos y en la evidencia de su propia investigación y de la de otros. - Procesos físicos</t>
        </r>
      </text>
    </comment>
    <comment ref="EH8" authorId="0" shapeId="0" xr:uid="{DA87FA04-82D3-442F-96BC-90EBBAFB98C7}">
      <text>
        <r>
          <rPr>
            <sz val="10"/>
            <rFont val="Arial"/>
            <family val="2"/>
          </rPr>
          <t>Observar y relacionar patrones en los datos para evaluar las predicciones. - Procesos físicos</t>
        </r>
      </text>
    </comment>
    <comment ref="EI8" authorId="0" shapeId="0" xr:uid="{8275B0CE-5B82-4B90-A3AC-2D0834660E5F}">
      <text>
        <r>
          <rPr>
            <sz val="10"/>
            <rFont val="Arial"/>
            <family val="2"/>
          </rPr>
          <t>Identificar las características  de algunos fenómenos de la naturaleza basado en el análisis de información  y  conceptos propios del conocimiento científico. - CTS</t>
        </r>
      </text>
    </comment>
    <comment ref="EJ8" authorId="0" shapeId="0" xr:uid="{59EC6E3F-C6BB-423E-ABD6-5737B47D683D}">
      <text>
        <r>
          <rPr>
            <sz val="10"/>
            <rFont val="Arial"/>
            <family val="2"/>
          </rPr>
          <t>Identificar las características  de algunos fenómenos de la naturaleza basado en el análisis de información  y  conceptos propios del conocimiento científico. - Procesos vivos</t>
        </r>
      </text>
    </comment>
    <comment ref="EK8" authorId="0" shapeId="0" xr:uid="{836DFAD6-E5A1-4E8A-9FB6-BE946C2C26C0}">
      <text>
        <r>
          <rPr>
            <sz val="10"/>
            <rFont val="Arial"/>
            <family val="2"/>
          </rPr>
          <t>Asociar fenómenos naturales con conceptos propios del conocimiento científico. - Procesos físicos</t>
        </r>
      </text>
    </comment>
    <comment ref="EL8" authorId="0" shapeId="0" xr:uid="{9BE50FBC-2C42-4BAE-AD92-9489A869A545}">
      <text>
        <r>
          <rPr>
            <sz val="10"/>
            <rFont val="Arial"/>
            <family val="2"/>
          </rPr>
          <t>Observar y relacionar patrones en los datos para evaluar las predicciones. - Procesos vivos</t>
        </r>
      </text>
    </comment>
    <comment ref="EM8" authorId="0" shapeId="0" xr:uid="{E6AEC499-C903-48E0-AB9C-C5F459A64C30}">
      <text>
        <r>
          <rPr>
            <sz val="10"/>
            <rFont val="Arial"/>
            <family val="2"/>
          </rPr>
          <t>Observar y relacionar patrones en los datos para evaluar las predicciones. - Procesos químicos</t>
        </r>
      </text>
    </comment>
    <comment ref="EN8" authorId="0" shapeId="0" xr:uid="{6B79A796-C37F-4E6B-895F-0CA1C17B0DBE}">
      <text>
        <r>
          <rPr>
            <sz val="10"/>
            <rFont val="Arial"/>
            <family val="2"/>
          </rPr>
          <t>Asociar fenómenos naturales con conceptos propios del conocimiento científico. - Procesos químicos</t>
        </r>
      </text>
    </comment>
    <comment ref="EO8" authorId="0" shapeId="0" xr:uid="{167B0904-349B-45ED-9089-96454A4F2BFD}">
      <text>
        <r>
          <rPr>
            <sz val="10"/>
            <rFont val="Arial"/>
            <family val="2"/>
          </rPr>
          <t>Identificar las características  de algunos fenómenos de la naturaleza basado en el análisis de información  y  conceptos propios del conocimiento científico. - Procesos físicos</t>
        </r>
      </text>
    </comment>
    <comment ref="EP8" authorId="0" shapeId="0" xr:uid="{E0FE23F4-9F7D-49C2-BB8D-BBA83B7692A8}">
      <text>
        <r>
          <rPr>
            <sz val="10"/>
            <rFont val="Arial"/>
            <family val="2"/>
          </rPr>
          <t>Derivar conclusiones para algunos fenómenos de la naturaleza basándose en conocimientos científicos y en la evidencia de su propia investigación y de la de otros. - Procesos vivos</t>
        </r>
      </text>
    </comment>
    <comment ref="EQ8" authorId="0" shapeId="0" xr:uid="{DD6B96BD-98A4-403C-BFDE-21EAD4F793B4}">
      <text>
        <r>
          <rPr>
            <sz val="10"/>
            <rFont val="Arial"/>
            <family val="2"/>
          </rPr>
          <t>Comprender que a partir de la investigación científica se construyen explicaciones sobre el mundo natural. - Procesos químicos</t>
        </r>
      </text>
    </comment>
    <comment ref="ER8" authorId="0" shapeId="0" xr:uid="{A143F385-1C61-4CA5-9C90-AE93116AC777}">
      <text>
        <r>
          <rPr>
            <sz val="10"/>
            <rFont val="Arial"/>
            <family val="2"/>
          </rPr>
          <t>Utilizar algunas habilidades de pensamiento y de procedimiento para  evaluar predicciones - Procesos físicos</t>
        </r>
      </text>
    </comment>
    <comment ref="ES8" authorId="0" shapeId="0" xr:uid="{822308DA-F468-487A-919A-01D613209027}">
      <text>
        <r>
          <rPr>
            <sz val="10"/>
            <rFont val="Arial"/>
            <family val="2"/>
          </rPr>
          <t>Comprender que a partir de la investigación científica se construyen explicaciones sobre el mundo natural. - Procesos vivos</t>
        </r>
      </text>
    </comment>
    <comment ref="ET8" authorId="0" shapeId="0" xr:uid="{E87ACFDA-4FD6-4D7A-97E4-8C7BB4F9B7E2}">
      <text>
        <r>
          <rPr>
            <sz val="10"/>
            <rFont val="Arial"/>
            <family val="2"/>
          </rPr>
          <t>Derivar conclusiones para algunos fenómenos de la naturaleza basándose en conocimientos científicos y en la evidencia de su propia investigación y de la de otros. - Procesos químicos</t>
        </r>
      </text>
    </comment>
    <comment ref="EU8" authorId="0" shapeId="0" xr:uid="{8D23203A-62F2-4B8D-8CE1-138189976177}">
      <text>
        <r>
          <rPr>
            <sz val="10"/>
            <rFont val="Arial"/>
            <family val="2"/>
          </rPr>
          <t>Explicar cómo ocurren algunos fenómenos de la naturaleza basado en observaciones, en patrones y  en conceptos propios del conocimiento científico. - Procesos físicos</t>
        </r>
      </text>
    </comment>
    <comment ref="EV8" authorId="0" shapeId="0" xr:uid="{8308612D-05B0-4DDD-B898-AB39D944254C}">
      <text>
        <r>
          <rPr>
            <sz val="10"/>
            <rFont val="Arial"/>
            <family val="2"/>
          </rPr>
          <t>Derivar conclusiones para algunos fenómenos de la naturaleza basándose en conocimientos científicos y en la evidencia de su propia investigación y de la de otros. - Procesos físicos</t>
        </r>
      </text>
    </comment>
    <comment ref="EW8" authorId="0" shapeId="0" xr:uid="{E7A976DD-94B0-490F-A649-79F53E81E032}">
      <text>
        <r>
          <rPr>
            <sz val="10"/>
            <rFont val="Arial"/>
            <family val="2"/>
          </rPr>
          <t>Analizar  el potencial del uso de recursos  naturales  o artefactos  y sus efectos sobre el entorno y la salud , así como las posibilidades de desarrollo para las comunidades. - CTS</t>
        </r>
      </text>
    </comment>
    <comment ref="EX8" authorId="0" shapeId="0" xr:uid="{A133EDB8-9A18-4E6F-9649-BF92803511E5}">
      <text>
        <r>
          <rPr>
            <sz val="10"/>
            <rFont val="Arial"/>
            <family val="2"/>
          </rPr>
          <t>Explicar cómo ocurren algunos fenómenos de la naturaleza basado en observaciones, en patrones y  en conceptos propios del conocimiento científico. - Procesos vivos</t>
        </r>
      </text>
    </comment>
    <comment ref="EY8" authorId="0" shapeId="0" xr:uid="{8C53199B-98D8-44B3-9E4C-D5CB24807C8A}">
      <text>
        <r>
          <rPr>
            <sz val="10"/>
            <rFont val="Arial"/>
            <family val="2"/>
          </rPr>
          <t>Explicar cómo ocurren algunos fenómenos de la naturaleza basado en observaciones, en patrones y  en conceptos propios del conocimiento científico. - Procesos químicos</t>
        </r>
      </text>
    </comment>
    <comment ref="EZ8" authorId="0" shapeId="0" xr:uid="{2C2CDE97-D630-4E2B-B468-8EC72CA06C53}">
      <text>
        <r>
          <rPr>
            <sz val="10"/>
            <rFont val="Arial"/>
            <family val="2"/>
          </rPr>
          <t>Utilizar algunas habilidades de pensamiento y de procedimiento para  evaluar predicciones - Procesos químicos</t>
        </r>
      </text>
    </comment>
    <comment ref="FA8" authorId="0" shapeId="0" xr:uid="{530F0C16-AC0D-4040-BAB8-DD2A87DC2019}">
      <text>
        <r>
          <rPr>
            <sz val="10"/>
            <rFont val="Arial"/>
            <family val="2"/>
          </rPr>
          <t>Modelar fenómenos de la naturaleza basado en el análisis de variables, la relación entre dos o más conceptos del conocimiento científico y de la evidencia derivada de investigaciones científicas. - Procesos físicos</t>
        </r>
      </text>
    </comment>
  </commentList>
</comments>
</file>

<file path=xl/sharedStrings.xml><?xml version="1.0" encoding="utf-8"?>
<sst xmlns="http://schemas.openxmlformats.org/spreadsheetml/2006/main" count="14291" uniqueCount="1124">
  <si>
    <t>SOACHA</t>
  </si>
  <si>
    <t>Instituto Colombiano para la Evaluación de la Educación - ICFES</t>
  </si>
  <si>
    <t>Resultados para entidades territoriales (ET)</t>
  </si>
  <si>
    <t>Código DANE</t>
  </si>
  <si>
    <t>Paí/ET/Municipios</t>
  </si>
  <si>
    <t>Establecimientos educativos</t>
  </si>
  <si>
    <t>Matriculados</t>
  </si>
  <si>
    <t>Registrados</t>
  </si>
  <si>
    <t>Presentes</t>
  </si>
  <si>
    <t>Publicados</t>
  </si>
  <si>
    <t>COLOMBIA</t>
  </si>
  <si>
    <t/>
  </si>
  <si>
    <t>OFICIALES URBANOS DE SOACHA</t>
  </si>
  <si>
    <t>OFICIALES RURALES DE SOACHA</t>
  </si>
  <si>
    <t>PRIVADOS DE SOACHA</t>
  </si>
  <si>
    <t>GC 2 DE SOACHA</t>
  </si>
  <si>
    <t>GC 3 DE SOACHA</t>
  </si>
  <si>
    <t>GC 4 DE SOACHA</t>
  </si>
  <si>
    <t>325754002901</t>
  </si>
  <si>
    <t>LICEO LOS ANGELES</t>
  </si>
  <si>
    <t>125754002066</t>
  </si>
  <si>
    <t>INSTITUCION EDUCATIVA EL BOSQUE</t>
  </si>
  <si>
    <t>125754000331</t>
  </si>
  <si>
    <t>INSTITUCION EDUCATIVA GENERAL SANTANDER</t>
  </si>
  <si>
    <t>125754001833</t>
  </si>
  <si>
    <t>COLEGIO NUESTRA SENORA DE LAS MISERICORDIAS</t>
  </si>
  <si>
    <t>325754001590</t>
  </si>
  <si>
    <t>INSTITUCION EDUCATIVA  RICAURTE</t>
  </si>
  <si>
    <t>325754001778</t>
  </si>
  <si>
    <t>BACHILLERATO TECNICO COMERCIAL SANTA ANA</t>
  </si>
  <si>
    <t>325754004050</t>
  </si>
  <si>
    <t>INSTITUTO TECNICO GRANCOLOMBIANO</t>
  </si>
  <si>
    <t>125754001019</t>
  </si>
  <si>
    <t>INSTITUCION EDUCATIVA LAS VILLAS</t>
  </si>
  <si>
    <t>CENTRO EDUCATIVO COLOMBO LATINO</t>
  </si>
  <si>
    <t>225754000661</t>
  </si>
  <si>
    <t>INSITITUCION EDUCATIVA EUGENIO DIAZ CASTRO</t>
  </si>
  <si>
    <t>325754001859</t>
  </si>
  <si>
    <t>COLEGIO TECNICO HEROES NACIONALES</t>
  </si>
  <si>
    <t>325754003606</t>
  </si>
  <si>
    <t>INSTITUTO DE INVESTIGACION AMBIENTAL JOAQUIN MONTOYA</t>
  </si>
  <si>
    <t>325754001212</t>
  </si>
  <si>
    <t>COLEGIO SANTA ROSA DE LIMA</t>
  </si>
  <si>
    <t>325754000062</t>
  </si>
  <si>
    <t>COLEGIO AMOR</t>
  </si>
  <si>
    <t>325754002464</t>
  </si>
  <si>
    <t>INSTITUCION EDUCATIVA DE MARIA REINA</t>
  </si>
  <si>
    <t>125754001973</t>
  </si>
  <si>
    <t>INSTITUCION EDUCATIVA CAZUCA</t>
  </si>
  <si>
    <t>425754001811</t>
  </si>
  <si>
    <t>INSTITUCION EDUCATIVA SANTA VERONICA</t>
  </si>
  <si>
    <t>325754003592</t>
  </si>
  <si>
    <t>INSTITUTO DE INTEGRACION ESCOLAR SAN AGUSTIN</t>
  </si>
  <si>
    <t>425754001551</t>
  </si>
  <si>
    <t>INSTITUTO TECNOLOGICO LOS ANDES</t>
  </si>
  <si>
    <t>325754003428</t>
  </si>
  <si>
    <t>325754004211</t>
  </si>
  <si>
    <t>LICEO ISABEL SARMIENTO</t>
  </si>
  <si>
    <t>325754001671</t>
  </si>
  <si>
    <t>COLEGIO MIGUEL DE CERVANTES</t>
  </si>
  <si>
    <t>125754001183</t>
  </si>
  <si>
    <t>INSTITUCION EDUCATIVA EDUARDO SANTOS</t>
  </si>
  <si>
    <t>325754004513</t>
  </si>
  <si>
    <t>COLEGIO ALFONSO REYES</t>
  </si>
  <si>
    <t>125754003291</t>
  </si>
  <si>
    <t>INSTITUCION EDUCATIVA LEON XIII</t>
  </si>
  <si>
    <t>325754003410</t>
  </si>
  <si>
    <t>INSTITUTO PSICOPEDAGOGICO JUAN PABLO II</t>
  </si>
  <si>
    <t>325754000160</t>
  </si>
  <si>
    <t>COLEGIO ANTONIA SANTOS</t>
  </si>
  <si>
    <t>325754001841</t>
  </si>
  <si>
    <t>LICEO PEDAGOGICO CUNDINAMARCA</t>
  </si>
  <si>
    <t>325754003886</t>
  </si>
  <si>
    <t>LICEO SATELITE</t>
  </si>
  <si>
    <t>325754002073</t>
  </si>
  <si>
    <t>COLEGIO MILITAR LICEO SOCIAL COMPARTIR</t>
  </si>
  <si>
    <t>325754002839</t>
  </si>
  <si>
    <t>GIMNASIO TEQUENDAMA</t>
  </si>
  <si>
    <t>325754005048</t>
  </si>
  <si>
    <t>2</t>
  </si>
  <si>
    <t>325754001875</t>
  </si>
  <si>
    <t>COLEGIO RAFAEL POMBO CAZUCA</t>
  </si>
  <si>
    <t>54</t>
  </si>
  <si>
    <t>325754000721</t>
  </si>
  <si>
    <t>COLEGIO INTEGRAL FEMENINO</t>
  </si>
  <si>
    <t>125754003267</t>
  </si>
  <si>
    <t>INSTITUCION EDUCATIVA COMPARTIR</t>
  </si>
  <si>
    <t>125754001035</t>
  </si>
  <si>
    <t>INSTITUCION EDUCATIVA INTEGRADO DE SOACHA</t>
  </si>
  <si>
    <t>125754000250</t>
  </si>
  <si>
    <t>INSTITUCION EDUCATIVA SANTA ANA</t>
  </si>
  <si>
    <t>125754003569</t>
  </si>
  <si>
    <t>INSTITUCION EDUCATIVA  NUEVO COMPARTIR</t>
  </si>
  <si>
    <t>325754002979</t>
  </si>
  <si>
    <t>COLEGIO NUESTRA SENORA DEL CARMEN DE SOACHA LTDA.</t>
  </si>
  <si>
    <t>4</t>
  </si>
  <si>
    <t>325754005129</t>
  </si>
  <si>
    <t>GIMNASIO MODERNO LOS CEDROS</t>
  </si>
  <si>
    <t>325754001123</t>
  </si>
  <si>
    <t>LICEO SAN MATEO</t>
  </si>
  <si>
    <t>325754002961</t>
  </si>
  <si>
    <t>COLEGIO COSMOS</t>
  </si>
  <si>
    <t>125754001957</t>
  </si>
  <si>
    <t>INSTITUCION EDUCATIVA CIUDADELA  SUCRE</t>
  </si>
  <si>
    <t>125754001159</t>
  </si>
  <si>
    <t>325754004076</t>
  </si>
  <si>
    <t>INSTITUCION EDUCATIVA LICEO CONVIBA</t>
  </si>
  <si>
    <t>325754003509</t>
  </si>
  <si>
    <t>COLEGIO SAULO DE TARSO</t>
  </si>
  <si>
    <t>325754000046</t>
  </si>
  <si>
    <t>ESCUELA NORMAL SUPERIOR MARIA AUXILIADORA</t>
  </si>
  <si>
    <t>125754002554</t>
  </si>
  <si>
    <t>INSTITUCION EDUCATIVA BUENOS AIRES</t>
  </si>
  <si>
    <t>325754004122</t>
  </si>
  <si>
    <t>COLEGIO LEON MAGNO</t>
  </si>
  <si>
    <t>325754004131</t>
  </si>
  <si>
    <t>COLEGIO DE BACHILLERATO NINO JESUS</t>
  </si>
  <si>
    <t>325754004661</t>
  </si>
  <si>
    <t>LICEO MARANATA</t>
  </si>
  <si>
    <t>325754004629</t>
  </si>
  <si>
    <t>INSTITUTO COMERCIAL OASIS</t>
  </si>
  <si>
    <t>325754004238</t>
  </si>
  <si>
    <t>LICEO CRISTIANO VIDA NUEVA</t>
  </si>
  <si>
    <t>125754002538</t>
  </si>
  <si>
    <t>INSTITUCION EDUCATIVA GABRIEL GARCIA MARQUEZ</t>
  </si>
  <si>
    <t>325754001891</t>
  </si>
  <si>
    <t>COLEGIO BOLIVAR DE SOACHA</t>
  </si>
  <si>
    <t>325754002154</t>
  </si>
  <si>
    <t>COLEGIO MARIA MAGDALENA</t>
  </si>
  <si>
    <t>225754000238</t>
  </si>
  <si>
    <t>INSTITUCION EDUCATIVA MANUELA BELTRAN</t>
  </si>
  <si>
    <t>325754002162</t>
  </si>
  <si>
    <t>COLEGIO MIGUEL DE CERVANTES SAAVEDRA</t>
  </si>
  <si>
    <t>325754001361</t>
  </si>
  <si>
    <t>COLEGIO COLOMBO AMERICANO</t>
  </si>
  <si>
    <t>325754004521</t>
  </si>
  <si>
    <t>GIMNASIO MODERNO COLOMBIANO</t>
  </si>
  <si>
    <t>125754001418</t>
  </si>
  <si>
    <t>INSTITUCION EDUCATIVA CIUDAD LATINA</t>
  </si>
  <si>
    <t>325754001883</t>
  </si>
  <si>
    <t>LICEO CRISTIANO MARTIN LUTERO</t>
  </si>
  <si>
    <t>325754004902</t>
  </si>
  <si>
    <t>LICEO COMFACUNDI EU</t>
  </si>
  <si>
    <t>325754004530</t>
  </si>
  <si>
    <t>INSTITUTO PEDAGOGICO LAURA VICUNA</t>
  </si>
  <si>
    <t>38</t>
  </si>
  <si>
    <t>125754002147</t>
  </si>
  <si>
    <t>INSTITUCION EDUCATIVA  SAN MATEO</t>
  </si>
  <si>
    <t>325754003860</t>
  </si>
  <si>
    <t>LICEO CRISTIANO MANANTIAL DE VIDA</t>
  </si>
  <si>
    <t>325754000771</t>
  </si>
  <si>
    <t>COLEGIO DE LA INMACULADA CONCEPCION</t>
  </si>
  <si>
    <t>325754001450</t>
  </si>
  <si>
    <t>GIMNASIO LA ALAMEDA</t>
  </si>
  <si>
    <t>325754004173</t>
  </si>
  <si>
    <t>INSTITUTO PEDAGOGICO ALFRED BINET</t>
  </si>
  <si>
    <t>3</t>
  </si>
  <si>
    <t>325754005196</t>
  </si>
  <si>
    <t>INSTITUTO CAMPESTRE SENDEROS  LTDA</t>
  </si>
  <si>
    <t>325754001662</t>
  </si>
  <si>
    <t>COLEGIO MAYOR NUESTRA SENORA DE LA ESPERANZA</t>
  </si>
  <si>
    <t>325754003347</t>
  </si>
  <si>
    <t>COLEGIO JORGE ISAACS</t>
  </si>
  <si>
    <t>40</t>
  </si>
  <si>
    <t>325754001905</t>
  </si>
  <si>
    <t>LICEO EDUCATIVO BADEN POWELL</t>
  </si>
  <si>
    <t>325754001921</t>
  </si>
  <si>
    <t>COLEGIO PEDAGOGICO LOS OLIVOS</t>
  </si>
  <si>
    <t>325754001221</t>
  </si>
  <si>
    <t>COLEGIO RICAURTE DE SOACHA</t>
  </si>
  <si>
    <t>325754005161</t>
  </si>
  <si>
    <t>GIMNASIO NUEVO BOLIVAR</t>
  </si>
  <si>
    <t>125754000713</t>
  </si>
  <si>
    <t>INSTITUCION EDUCATIVA LA DESPENSA</t>
  </si>
  <si>
    <t>325754000950</t>
  </si>
  <si>
    <t>COLEGIO EUGENIO DIAZ CASTRO SAS</t>
  </si>
  <si>
    <t>325754004262</t>
  </si>
  <si>
    <t>LICEO NUESTRA SENORA MILAGROSA</t>
  </si>
  <si>
    <t>325754003312</t>
  </si>
  <si>
    <t>COLEGIO MILITAR ALMIRANTE PADILLA</t>
  </si>
  <si>
    <t>325754003461</t>
  </si>
  <si>
    <t>GIMNASIO MODERNO ROBINSON CRUSOE</t>
  </si>
  <si>
    <t>325754005404</t>
  </si>
  <si>
    <t>325754002782</t>
  </si>
  <si>
    <t>COLEGIO THOMAS ALVA EDISON</t>
  </si>
  <si>
    <t>325754004959</t>
  </si>
  <si>
    <t>COLEGIO JORGE ELIECER GAITAN</t>
  </si>
  <si>
    <t>125754000934</t>
  </si>
  <si>
    <t>INSTITUCION EDUCATIVA LUIS CARLOS GALAN</t>
  </si>
  <si>
    <t>325754002596</t>
  </si>
  <si>
    <t>COL CENT DE INSTRUCION SISTEMATIZADO</t>
  </si>
  <si>
    <t>1</t>
  </si>
  <si>
    <t>325754005366</t>
  </si>
  <si>
    <t>INSTITUTO BOLIVARIANO ESDISEÑOS</t>
  </si>
  <si>
    <t>325754001441</t>
  </si>
  <si>
    <t>325754003517</t>
  </si>
  <si>
    <t>LICEO LEONARDO DA VINCI</t>
  </si>
  <si>
    <t>325754005099</t>
  </si>
  <si>
    <t>LICEO DIRIGENTES DEL FUTURO</t>
  </si>
  <si>
    <t>325754005412</t>
  </si>
  <si>
    <t>COLEGIO EL MINUTO DE DIOS CIUDAD VERDE</t>
  </si>
  <si>
    <t>325754005471</t>
  </si>
  <si>
    <t>LICEO MAYOR DE SOACHA BIENESTAR PARA TODOS</t>
  </si>
  <si>
    <t>325754004581</t>
  </si>
  <si>
    <t>COLEGIO PEDAGOGICO SAGRADA SABIDURIA</t>
  </si>
  <si>
    <t>325754004441</t>
  </si>
  <si>
    <t>LICEO MARIA INMACULADA</t>
  </si>
  <si>
    <t>325754003771</t>
  </si>
  <si>
    <t>LICEO PSICOPEDAGÓGICO MUNDO ACTIVO</t>
  </si>
  <si>
    <t>325754003134</t>
  </si>
  <si>
    <t>INSTITUTO PEDAGOGICO NUEVA GENERACION</t>
  </si>
  <si>
    <t>325754004033</t>
  </si>
  <si>
    <t>LICEO INTEGRAL LOS ALISOS</t>
  </si>
  <si>
    <t>325754003878</t>
  </si>
  <si>
    <t>LICEO MODERNO AMERICAN SCHOOL LTDA.</t>
  </si>
  <si>
    <t>325754005595</t>
  </si>
  <si>
    <t>INSTITUTO COL TECNISISTEMAS</t>
  </si>
  <si>
    <t>Promedio Puntaje Global</t>
  </si>
  <si>
    <t>Desviación</t>
  </si>
  <si>
    <t>Promedio</t>
  </si>
  <si>
    <t>OFICIAL</t>
  </si>
  <si>
    <t>CORREGIMIENTO</t>
  </si>
  <si>
    <t>NO OFICIAL</t>
  </si>
  <si>
    <t>_</t>
  </si>
  <si>
    <t>INSTITUCION EDUCATIVA GIMNASIO SANTO DOMINGO DE LA JUVENTUD EU</t>
  </si>
  <si>
    <t>COLEGIO BENEDICTO XVI</t>
  </si>
  <si>
    <t>.</t>
  </si>
  <si>
    <t>INST DE EDUCACIÓN PARA JOVENES Y ADULTOS DE SOACHA GENESIS</t>
  </si>
  <si>
    <t>,</t>
  </si>
  <si>
    <t>INSTITUTO EDUCATIVO COMERCIAL INEC</t>
  </si>
  <si>
    <t>LICEO GREGORIO MENDEL</t>
  </si>
  <si>
    <t>COLEGIO CRISTIANO SEMIDA</t>
  </si>
  <si>
    <t>COLEGIO SAN LUIS</t>
  </si>
  <si>
    <t>INSTITUTO BUENOS AIRES</t>
  </si>
  <si>
    <t>GIMNASIO EDUCATIVO INTEGRAL</t>
  </si>
  <si>
    <t>INSTITUTO PEDAGOGICO DE SOACHA</t>
  </si>
  <si>
    <t>325754001972</t>
  </si>
  <si>
    <t>325754005587</t>
  </si>
  <si>
    <t>325754003916</t>
  </si>
  <si>
    <t>325754005021</t>
  </si>
  <si>
    <t>325754000968</t>
  </si>
  <si>
    <t>325754004246</t>
  </si>
  <si>
    <t>LECTURA CRÍTICA</t>
  </si>
  <si>
    <t>CIENCIAS NATURALES</t>
  </si>
  <si>
    <t>Sector</t>
  </si>
  <si>
    <t>Comuna</t>
  </si>
  <si>
    <t>COMUNA 1</t>
  </si>
  <si>
    <t>COMUNA 2</t>
  </si>
  <si>
    <t>COMUNA 3</t>
  </si>
  <si>
    <t>COMUNA 4</t>
  </si>
  <si>
    <t>COMUNA 5</t>
  </si>
  <si>
    <t>COMUNA 6</t>
  </si>
  <si>
    <t xml:space="preserve">RESULTADOS POR COMUNA </t>
  </si>
  <si>
    <t xml:space="preserve">Desviación </t>
  </si>
  <si>
    <t>OFICIALES</t>
  </si>
  <si>
    <t>NO OFICIALES</t>
  </si>
  <si>
    <t>SOACHA GENERAL</t>
  </si>
  <si>
    <t xml:space="preserve">RESULTADOS LECTURA CRÍTICA POR COMUNA </t>
  </si>
  <si>
    <t xml:space="preserve"> </t>
  </si>
  <si>
    <t xml:space="preserve">RESULTADOS MATEMÁTICAS POR COMUNA </t>
  </si>
  <si>
    <t xml:space="preserve">RESULTADOS INGLÉS POR COMUNA </t>
  </si>
  <si>
    <t xml:space="preserve">RESULTADOS CIENCIAS NATURALES POR COMUNA </t>
  </si>
  <si>
    <t xml:space="preserve">RESULTADOS SOCIALES Y CIUDADANAS POR COMUNA </t>
  </si>
  <si>
    <t>MATEMATICAS</t>
  </si>
  <si>
    <t xml:space="preserve">SOCIALES Y CIUDADANAS </t>
  </si>
  <si>
    <t>INGLÉS</t>
  </si>
  <si>
    <t>258</t>
  </si>
  <si>
    <t>251</t>
  </si>
  <si>
    <t>GIMNASIO BRITANICO BRIGTHON</t>
  </si>
  <si>
    <t>CENTRO EDUCATIVO MANOS UNIDAS</t>
  </si>
  <si>
    <t>COLEGIO ANTONIO NARINO</t>
  </si>
  <si>
    <t>COLEGIO BRITANICO</t>
  </si>
  <si>
    <t>CENTRO DE CAPACITACIÓN BOLÍVAR CENCABO</t>
  </si>
  <si>
    <t>CENTRO EDUCATIVO DIOS ES AMOR</t>
  </si>
  <si>
    <t>325754005200</t>
  </si>
  <si>
    <t>325754004599</t>
  </si>
  <si>
    <t>325754003363</t>
  </si>
  <si>
    <t>325754005331</t>
  </si>
  <si>
    <t>325754800018</t>
  </si>
  <si>
    <t>125754005464</t>
  </si>
  <si>
    <t>INSTITUCIÓN EDUCATIVA CIUDAD VERDE</t>
  </si>
  <si>
    <t>INSTITUCIÓN EDUCATIVA JULIO CÉSAR TURBAY AYALA</t>
  </si>
  <si>
    <t>Porcentaje de estudiantes por niveles de desempeño</t>
  </si>
  <si>
    <t>Porcentaje promedio de estudiantes que responde incorrectamente a los aprendizajes</t>
  </si>
  <si>
    <t>Aprendizaje 1</t>
  </si>
  <si>
    <t>Aprendizaje 2</t>
  </si>
  <si>
    <t>Aprendizaje 3</t>
  </si>
  <si>
    <t>N.D.</t>
  </si>
  <si>
    <t>55%</t>
  </si>
  <si>
    <t>LICEO NUEVA VIDA</t>
  </si>
  <si>
    <t>INSTITUCION EDUCATIVA SOACHA PARA VIVIR MEJOR</t>
  </si>
  <si>
    <t>INSTITUCION EDUCATIVA CIUDAD VERDE</t>
  </si>
  <si>
    <t>INSTITUCIÓN EDUCATIVA JUVENTUD DEL SUR</t>
  </si>
  <si>
    <t>Aprendizaje 4</t>
  </si>
  <si>
    <t>Aprendizaje 5</t>
  </si>
  <si>
    <t>Aprendizaje 6</t>
  </si>
  <si>
    <t>CENTRO EDUCATIVO EL CASTILLO DE SAN MATEO</t>
  </si>
  <si>
    <t>Aprendizaje 7</t>
  </si>
  <si>
    <t>Aprendizaje 8</t>
  </si>
  <si>
    <t>Aprendizaje 9</t>
  </si>
  <si>
    <t>Aprendizaje 10</t>
  </si>
  <si>
    <t>Aprendizaje 11</t>
  </si>
  <si>
    <t>Aprendizaje 12</t>
  </si>
  <si>
    <t>Aprendizaje 13</t>
  </si>
  <si>
    <t>Aprendizaje 14</t>
  </si>
  <si>
    <t>Aprendizaje 15</t>
  </si>
  <si>
    <t>Aprendizaje 16</t>
  </si>
  <si>
    <t>Aprendizaje 17</t>
  </si>
  <si>
    <t>Aprendizaje 18</t>
  </si>
  <si>
    <t>Aprendizaje 19</t>
  </si>
  <si>
    <t>Aprendizaje 20</t>
  </si>
  <si>
    <t>Aprendizaje 21</t>
  </si>
  <si>
    <t>Aprendizaje 22</t>
  </si>
  <si>
    <t>Aprendizaje 23</t>
  </si>
  <si>
    <t>Aprendizaje 24</t>
  </si>
  <si>
    <t>A-</t>
  </si>
  <si>
    <t>A1</t>
  </si>
  <si>
    <t>A2</t>
  </si>
  <si>
    <t>B1</t>
  </si>
  <si>
    <t>B+</t>
  </si>
  <si>
    <t>Aprendizaje 25</t>
  </si>
  <si>
    <t>Aprendizaje 26</t>
  </si>
  <si>
    <t xml:space="preserve">Niveles de desempeño Soacha General </t>
  </si>
  <si>
    <t>SOACHA OFICIAL</t>
  </si>
  <si>
    <t>SOACHA NO OFICIAL</t>
  </si>
  <si>
    <t>Niveles de desempeño Matemáticas 2016 - 2020</t>
  </si>
  <si>
    <t>Aprendizaje 1: Comprende cómo se articulan las partes de un texto para darle un sentido global.</t>
  </si>
  <si>
    <t xml:space="preserve">Aprendizaje 3: Identifica y entiende los contenidos locales que conforman un texto. </t>
  </si>
  <si>
    <t xml:space="preserve">Aprendizaje 2: Identifica y entiende los contenidos locales que conforman un texto. </t>
  </si>
  <si>
    <t>Aprendizaje 2: Reflexiona a partir de un texto y evalúa su contenido.</t>
  </si>
  <si>
    <t>Aprendizaje 3: Reflexiona a partir de un texto y evalúa su contenido.</t>
  </si>
  <si>
    <t xml:space="preserve">Aprendizaje 2:_ Identifica y entiende los contenidos locales que conforman un texto. </t>
  </si>
  <si>
    <t xml:space="preserve">Aprendizaje 1: Identifica y entiende los contenidos locales que conforman un texto. </t>
  </si>
  <si>
    <t>Aprendizaje 2: Comprende cómo se articulan las partes de un texto para darle un sentido global.</t>
  </si>
  <si>
    <t>Aprendizaje 1:  Comprende cómo se articulan las partes de un texto para darle un sentido global.</t>
  </si>
  <si>
    <t>Aprendizaje 3: Reflexiona a partir de un texto y evalúa su contenido</t>
  </si>
  <si>
    <t>Aprendizaje 1: Comprende y transforma la información cuantitativa y esquemática presentada en distintos formatos</t>
  </si>
  <si>
    <t>Aprendizaje 2: Valida procedimientos y  estrategias matemáticas utilizadas para dar solución a problemas.</t>
  </si>
  <si>
    <t>Aprendizaje 1: Valida procedimientos y  estrategias matemáticas utilizadas para dar solución a problemas.</t>
  </si>
  <si>
    <t>Aprendizaje 3: Valida procedimientos y  estrategias matemáticas utilizadas para dar solución a problemas.</t>
  </si>
  <si>
    <t>Aprendizaje 2: Comprende y transforma la información cuantitativa y esquemática presentada en distintos formatos</t>
  </si>
  <si>
    <t>Aprendizaje 3: Comprende y transforma la información cuantitativa y esquemática presentada en distintos formatos</t>
  </si>
  <si>
    <t>Aprendizaje 2: Frente a un problema que involucre información cuantitativa, plantea e implementa estrategias que lleven a soluciones adecuadas.</t>
  </si>
  <si>
    <t>Aprendizaje 1: Frente a un problema que involucre información cuantitativa, plantea e implementa estrategias que lleven a soluciones adecuadas.</t>
  </si>
  <si>
    <t>Aprendizaje 3: Frente a un problema que involucre información cuantitativa, plantea e implementa estrategias que lleven a soluciones adecuadas.</t>
  </si>
  <si>
    <t>Aprendizaje 3:  Comprende y transforma la información cuantitativa y esquemática presentada en distintos formatos</t>
  </si>
  <si>
    <t>Aprendizaje 6: Comprende dimensiones espaciales y temporales de eventos, problemáticas y prácticas sociales.</t>
  </si>
  <si>
    <t>Aprendizaje 5: Comprende dimensiones espaciales y temporales de eventos, problemáticas y prácticas sociales.</t>
  </si>
  <si>
    <t>Aprendizaje 2: Comprende dimensiones espaciales y temporales de eventos, problemáticas y prácticas sociales.</t>
  </si>
  <si>
    <t>Aprendizaje 1: Comprende dimensiones espaciales y temporales de eventos, problemáticas y prácticas sociales.</t>
  </si>
  <si>
    <t>Aprendizaje 5: Comprende modelos conceptuales, sus características y contextos de aplicación.</t>
  </si>
  <si>
    <t>Aprendizaje 3: Comprende modelos conceptuales, sus características y contextos de aplicación.</t>
  </si>
  <si>
    <t>Aprendizaje 1: Comprende modelos conceptuales, sus características y contextos de aplicación.</t>
  </si>
  <si>
    <t>Aprendizaje 2: Comprende que los problemas y sus soluciones involucran distintas dimensiones y reconoce relaciones entre estas.</t>
  </si>
  <si>
    <t>Aprendizaje 4: Comprende que los problemas y sus soluciones involucran distintas dimensiones y reconoce relaciones entre estas.</t>
  </si>
  <si>
    <t>Aprendizaje 3: Comprende que los problemas y sus soluciones involucran distintas dimensiones y reconoce relaciones entre estas.</t>
  </si>
  <si>
    <t>Aprendizaje 1: Contextualiza y evalúa usos de fuentes y argumentos.</t>
  </si>
  <si>
    <t>Aprendizaje 4: Contextualiza y evalúa usos de fuentes y argumentos.</t>
  </si>
  <si>
    <t>Aprendizaje 5: Contextualiza y evalúa usos de fuentes y argumentos.</t>
  </si>
  <si>
    <t>Aprendizaje 3: Contextualiza y evalúa usos de fuentes y argumentos.</t>
  </si>
  <si>
    <t>Aprendizaje 6: Comprende perspectivas de distintos actores y grupos sociales.</t>
  </si>
  <si>
    <t>Aprendizaje 2: Comprende perspectivas de distintos actores y grupos sociales.</t>
  </si>
  <si>
    <t>Aprendizaje 3: Evalúa usos sociales de las ciencias sociales.</t>
  </si>
  <si>
    <t>Aprendizaje 6: Evalúa usos sociales de las ciencias sociales.</t>
  </si>
  <si>
    <t>Aprendizaje 1: Evalúa usos sociales de las ciencias sociales.</t>
  </si>
  <si>
    <t>Aprendizaje 4: Evalúa usos sociales de las ciencias sociales.</t>
  </si>
  <si>
    <t>Competencia</t>
  </si>
  <si>
    <t>Aprendizaje</t>
  </si>
  <si>
    <t>Comprende y transforma la información cuantitativa y esquemática presentada en distintos formatos</t>
  </si>
  <si>
    <t>Frente a un problema que involucre información cuantitativa, plantea e implementa estrategias que lleven a soluciones adecuadas.</t>
  </si>
  <si>
    <t>Valida procedimientos y  estrategias matemáticas utilizadas para dar solución a problemas.</t>
  </si>
  <si>
    <t>Comprende modelos conceptuales, sus características y contextos de aplicación.</t>
  </si>
  <si>
    <t>Comprende dimensiones espaciales y temporales de eventos, problemáticas y prácticas sociales.</t>
  </si>
  <si>
    <t>Contextualiza y evalúa usos de fuentes y argumentos.</t>
  </si>
  <si>
    <t>Comprende perspectivas de distintos actores y grupos sociales.</t>
  </si>
  <si>
    <t>Evalúa usos sociales de las ciencias sociales.</t>
  </si>
  <si>
    <t>Comprende que los problemas y sus soluciones involucran distintas dimensiones y reconoce relaciones entre estas.</t>
  </si>
  <si>
    <t>Modelar fenómenos de la naturaleza basado en el análisis de variables, la relación entre dos o más conceptos del conocimiento científico y de la evidencia derivada de investigaciones científicas. - Procesos vivos</t>
  </si>
  <si>
    <t>Explicar cómo ocurren algunos fenómenos de la naturaleza basado en observaciones, en patrones y  en conceptos propios del conocimiento científico. - Procesos vivos</t>
  </si>
  <si>
    <t>Comprender que a partir de la investigación científica se construyen explicaciones sobre el mundo natural. - Procesos vivos</t>
  </si>
  <si>
    <t>Derivar conclusiones para algunos fenómenos de la naturaleza basándose en conocimientos científicos y en la evidencia de su propia investigación y de la de otros. - Procesos vivos</t>
  </si>
  <si>
    <t>Observar y relacionar patrones en los datos para evaluar las predicciones. - Procesos vivos</t>
  </si>
  <si>
    <t>Utilizar algunas habilidades de pensamiento y de procedimiento para  evaluar predicciones - Procesos vivos</t>
  </si>
  <si>
    <t>Asociar fenómenos naturales con conceptos propios del conocimiento científico. - Procesos vivos</t>
  </si>
  <si>
    <t>Identificar las características  de algunos fenómenos de la naturaleza basado en el análisis de información  y  conceptos propios del conocimiento científico. - Procesos vivos</t>
  </si>
  <si>
    <t>Analizar  el potencial del uso de recursos  naturales  o artefactos  y sus efectos sobre el entorno y la salud , así como las posibilidades de desarrollo para las comunidades. - CTS</t>
  </si>
  <si>
    <t>Utilizar algunas habilidades de pensamiento y de procedimiento para  evaluar predicciones - Procesos químicos</t>
  </si>
  <si>
    <t>Identificar las características  de algunos fenómenos de la naturaleza basado en el análisis de información  y  conceptos propios del conocimiento científico. - Procesos químicos</t>
  </si>
  <si>
    <t>Explicar cómo ocurren algunos fenómenos de la naturaleza basado en observaciones, en patrones y  en conceptos propios del conocimiento científico. - Procesos físicos</t>
  </si>
  <si>
    <t>Identificar las características  de algunos fenómenos de la naturaleza basado en el análisis de información  y  conceptos propios del conocimiento científico. - CTS</t>
  </si>
  <si>
    <t>Derivar conclusiones para algunos fenómenos de la naturaleza basándose en conocimientos científicos y en la evidencia de su propia investigación y de la de otros. - Procesos físicos</t>
  </si>
  <si>
    <t>Identificar las características  de algunos fenómenos de la naturaleza basado en el análisis de información  y  conceptos propios del conocimiento científico. - Procesos físicos</t>
  </si>
  <si>
    <t>Observar y relacionar patrones en los datos para evaluar las predicciones. - Procesos químicos</t>
  </si>
  <si>
    <t>Asociar fenómenos naturales con conceptos propios del conocimiento científico. - Procesos químicos</t>
  </si>
  <si>
    <t>Comprender que a partir de la investigación científica se construyen explicaciones sobre el mundo natural. - Procesos físicos</t>
  </si>
  <si>
    <t>Comprender que a partir de la investigación científica se construyen explicaciones sobre el mundo natural. - Procesos químicos</t>
  </si>
  <si>
    <t>Derivar conclusiones para algunos fenómenos de la naturaleza basándose en conocimientos científicos y en la evidencia de su propia investigación y de la de otros. - Procesos químicos</t>
  </si>
  <si>
    <t>Utilizar algunas habilidades de pensamiento y de procedimiento para  evaluar predicciones - Procesos físicos</t>
  </si>
  <si>
    <t>Asociar fenómenos naturales con conceptos propios del conocimiento científico. - Procesos físicos</t>
  </si>
  <si>
    <t>Modelar fenómenos de la naturaleza basado en el análisis de variables, la relación entre dos o más conceptos del conocimiento científico y de la evidencia derivada de investigaciones científicas. - Procesos físicos</t>
  </si>
  <si>
    <t>Observar y relacionar patrones en los datos para evaluar las predicciones. - Procesos físicos</t>
  </si>
  <si>
    <t>Explicar cómo ocurren algunos fenómenos de la naturaleza basado en observaciones, en patrones y  en conceptos propios del conocimiento científico. - Procesos químicos</t>
  </si>
  <si>
    <t>Modelar fenómenos de la naturaleza basado en el análisis de variables, la relación entre dos o más conceptos del conocimiento científico y de la evidencia derivada de investigaciones científicas. - Procesos químicos</t>
  </si>
  <si>
    <t>NR</t>
  </si>
  <si>
    <t>PUNTAJE GLOBAL</t>
  </si>
  <si>
    <t>Año</t>
  </si>
  <si>
    <t>CATEGORÍA</t>
  </si>
  <si>
    <t>Categoría</t>
  </si>
  <si>
    <t>A+</t>
  </si>
  <si>
    <t>A</t>
  </si>
  <si>
    <t>B</t>
  </si>
  <si>
    <t>Nombre del Establecimiento</t>
  </si>
  <si>
    <t>Código Dane</t>
  </si>
  <si>
    <t>Municipio</t>
  </si>
  <si>
    <t>Matriculados (últimos 3 años)</t>
  </si>
  <si>
    <t>Evaluados (últimos 3 años)</t>
  </si>
  <si>
    <t>Índice de Matemática</t>
  </si>
  <si>
    <t>Índice de Ciencias Naturales</t>
  </si>
  <si>
    <t>Índice de Sociales y Ciudadanas</t>
  </si>
  <si>
    <t>Índice de Lectura Crítica</t>
  </si>
  <si>
    <t>Índice de Inglés</t>
  </si>
  <si>
    <t>Índice Total</t>
  </si>
  <si>
    <t>SOACHA (CUNDINAMARCA)</t>
  </si>
  <si>
    <t>47</t>
  </si>
  <si>
    <t>85</t>
  </si>
  <si>
    <t>80</t>
  </si>
  <si>
    <t>59</t>
  </si>
  <si>
    <t>57</t>
  </si>
  <si>
    <t>69</t>
  </si>
  <si>
    <t>68</t>
  </si>
  <si>
    <t>196</t>
  </si>
  <si>
    <t>194</t>
  </si>
  <si>
    <t>451</t>
  </si>
  <si>
    <t>446</t>
  </si>
  <si>
    <t>96</t>
  </si>
  <si>
    <t>191</t>
  </si>
  <si>
    <t>190</t>
  </si>
  <si>
    <t>325754003169</t>
  </si>
  <si>
    <t>37</t>
  </si>
  <si>
    <t>94</t>
  </si>
  <si>
    <t>75</t>
  </si>
  <si>
    <t>153</t>
  </si>
  <si>
    <t>414</t>
  </si>
  <si>
    <t>411</t>
  </si>
  <si>
    <t>77</t>
  </si>
  <si>
    <t>124</t>
  </si>
  <si>
    <t>345</t>
  </si>
  <si>
    <t>344</t>
  </si>
  <si>
    <t>76</t>
  </si>
  <si>
    <t>35</t>
  </si>
  <si>
    <t>95</t>
  </si>
  <si>
    <t>90</t>
  </si>
  <si>
    <t>86</t>
  </si>
  <si>
    <t>83</t>
  </si>
  <si>
    <t>292</t>
  </si>
  <si>
    <t>290</t>
  </si>
  <si>
    <t>116</t>
  </si>
  <si>
    <t>115</t>
  </si>
  <si>
    <t>215</t>
  </si>
  <si>
    <t>214</t>
  </si>
  <si>
    <t>338</t>
  </si>
  <si>
    <t>334</t>
  </si>
  <si>
    <t>111</t>
  </si>
  <si>
    <t>108</t>
  </si>
  <si>
    <t>342</t>
  </si>
  <si>
    <t>393</t>
  </si>
  <si>
    <t>388</t>
  </si>
  <si>
    <t>123</t>
  </si>
  <si>
    <t>51</t>
  </si>
  <si>
    <t>48</t>
  </si>
  <si>
    <t>128</t>
  </si>
  <si>
    <t>199</t>
  </si>
  <si>
    <t>167</t>
  </si>
  <si>
    <t>159</t>
  </si>
  <si>
    <t>63</t>
  </si>
  <si>
    <t>62</t>
  </si>
  <si>
    <t>102</t>
  </si>
  <si>
    <t>101</t>
  </si>
  <si>
    <t>197</t>
  </si>
  <si>
    <t>195</t>
  </si>
  <si>
    <t>114</t>
  </si>
  <si>
    <t>818</t>
  </si>
  <si>
    <t>787</t>
  </si>
  <si>
    <t>42</t>
  </si>
  <si>
    <t>39</t>
  </si>
  <si>
    <t>44</t>
  </si>
  <si>
    <t>43</t>
  </si>
  <si>
    <t>237</t>
  </si>
  <si>
    <t>232</t>
  </si>
  <si>
    <t>122</t>
  </si>
  <si>
    <t>65</t>
  </si>
  <si>
    <t>127</t>
  </si>
  <si>
    <t>121</t>
  </si>
  <si>
    <t>129</t>
  </si>
  <si>
    <t>17</t>
  </si>
  <si>
    <t>325754002057</t>
  </si>
  <si>
    <t>18</t>
  </si>
  <si>
    <t>448</t>
  </si>
  <si>
    <t>443</t>
  </si>
  <si>
    <t>218</t>
  </si>
  <si>
    <t>72</t>
  </si>
  <si>
    <t>473</t>
  </si>
  <si>
    <t>453</t>
  </si>
  <si>
    <t>58</t>
  </si>
  <si>
    <t>98</t>
  </si>
  <si>
    <t>97</t>
  </si>
  <si>
    <t>386</t>
  </si>
  <si>
    <t>375</t>
  </si>
  <si>
    <t>962</t>
  </si>
  <si>
    <t>881</t>
  </si>
  <si>
    <t>830</t>
  </si>
  <si>
    <t>809</t>
  </si>
  <si>
    <t>509</t>
  </si>
  <si>
    <t>500</t>
  </si>
  <si>
    <t>789</t>
  </si>
  <si>
    <t>758</t>
  </si>
  <si>
    <t>88</t>
  </si>
  <si>
    <t>25</t>
  </si>
  <si>
    <t>24</t>
  </si>
  <si>
    <t>325754001042</t>
  </si>
  <si>
    <t>154</t>
  </si>
  <si>
    <t>152</t>
  </si>
  <si>
    <t>329</t>
  </si>
  <si>
    <t>321</t>
  </si>
  <si>
    <t>316</t>
  </si>
  <si>
    <t>315</t>
  </si>
  <si>
    <t>939</t>
  </si>
  <si>
    <t>931</t>
  </si>
  <si>
    <t>107</t>
  </si>
  <si>
    <t>105</t>
  </si>
  <si>
    <t>176</t>
  </si>
  <si>
    <t>171</t>
  </si>
  <si>
    <t>339</t>
  </si>
  <si>
    <t>319</t>
  </si>
  <si>
    <t>23</t>
  </si>
  <si>
    <t>22</t>
  </si>
  <si>
    <t>833</t>
  </si>
  <si>
    <t>808</t>
  </si>
  <si>
    <t>33</t>
  </si>
  <si>
    <t>119</t>
  </si>
  <si>
    <t>118</t>
  </si>
  <si>
    <t>117</t>
  </si>
  <si>
    <t>125754005189</t>
  </si>
  <si>
    <t>248</t>
  </si>
  <si>
    <t>244</t>
  </si>
  <si>
    <t>15</t>
  </si>
  <si>
    <t>C</t>
  </si>
  <si>
    <t>21</t>
  </si>
  <si>
    <t>19</t>
  </si>
  <si>
    <t>50</t>
  </si>
  <si>
    <t>49</t>
  </si>
  <si>
    <t>74</t>
  </si>
  <si>
    <t>92</t>
  </si>
  <si>
    <t>79</t>
  </si>
  <si>
    <t>126</t>
  </si>
  <si>
    <t>354</t>
  </si>
  <si>
    <t>41</t>
  </si>
  <si>
    <t>36</t>
  </si>
  <si>
    <t>20</t>
  </si>
  <si>
    <t>112</t>
  </si>
  <si>
    <t>106</t>
  </si>
  <si>
    <t>29</t>
  </si>
  <si>
    <t>D</t>
  </si>
  <si>
    <t>146</t>
  </si>
  <si>
    <t>139</t>
  </si>
  <si>
    <t>13</t>
  </si>
  <si>
    <t>12</t>
  </si>
  <si>
    <t>325754004927</t>
  </si>
  <si>
    <t>11</t>
  </si>
  <si>
    <t>325754003908</t>
  </si>
  <si>
    <t>34</t>
  </si>
  <si>
    <t>32</t>
  </si>
  <si>
    <t>Tipo</t>
  </si>
  <si>
    <t>Establecimiento</t>
  </si>
  <si>
    <t>56</t>
  </si>
  <si>
    <t>46</t>
  </si>
  <si>
    <t>238</t>
  </si>
  <si>
    <t>187</t>
  </si>
  <si>
    <t>186</t>
  </si>
  <si>
    <t>485</t>
  </si>
  <si>
    <t>482</t>
  </si>
  <si>
    <t>66</t>
  </si>
  <si>
    <t>312</t>
  </si>
  <si>
    <t>310</t>
  </si>
  <si>
    <t>109</t>
  </si>
  <si>
    <t>64</t>
  </si>
  <si>
    <t>81</t>
  </si>
  <si>
    <t>78</t>
  </si>
  <si>
    <t>93</t>
  </si>
  <si>
    <t>70</t>
  </si>
  <si>
    <t>306</t>
  </si>
  <si>
    <t>302</t>
  </si>
  <si>
    <t>367</t>
  </si>
  <si>
    <t>364</t>
  </si>
  <si>
    <t>326</t>
  </si>
  <si>
    <t>323</t>
  </si>
  <si>
    <t>410</t>
  </si>
  <si>
    <t>407</t>
  </si>
  <si>
    <t>295</t>
  </si>
  <si>
    <t>291</t>
  </si>
  <si>
    <t>210</t>
  </si>
  <si>
    <t>55</t>
  </si>
  <si>
    <t>60</t>
  </si>
  <si>
    <t>166</t>
  </si>
  <si>
    <t>164</t>
  </si>
  <si>
    <t>103</t>
  </si>
  <si>
    <t>84</t>
  </si>
  <si>
    <t>31</t>
  </si>
  <si>
    <t>212</t>
  </si>
  <si>
    <t>161</t>
  </si>
  <si>
    <t>421</t>
  </si>
  <si>
    <t>879</t>
  </si>
  <si>
    <t>168</t>
  </si>
  <si>
    <t>45</t>
  </si>
  <si>
    <t>110</t>
  </si>
  <si>
    <t>99</t>
  </si>
  <si>
    <t>220</t>
  </si>
  <si>
    <t>249</t>
  </si>
  <si>
    <t>243</t>
  </si>
  <si>
    <t>293</t>
  </si>
  <si>
    <t>308</t>
  </si>
  <si>
    <t>299</t>
  </si>
  <si>
    <t>680</t>
  </si>
  <si>
    <t>655</t>
  </si>
  <si>
    <t>514</t>
  </si>
  <si>
    <t>498</t>
  </si>
  <si>
    <t>872</t>
  </si>
  <si>
    <t>852</t>
  </si>
  <si>
    <t>394</t>
  </si>
  <si>
    <t>765</t>
  </si>
  <si>
    <t>742</t>
  </si>
  <si>
    <t>189</t>
  </si>
  <si>
    <t>282</t>
  </si>
  <si>
    <t>474</t>
  </si>
  <si>
    <t>454</t>
  </si>
  <si>
    <t>745</t>
  </si>
  <si>
    <t>738</t>
  </si>
  <si>
    <t>125</t>
  </si>
  <si>
    <t>138</t>
  </si>
  <si>
    <t>16</t>
  </si>
  <si>
    <t>61</t>
  </si>
  <si>
    <t>350</t>
  </si>
  <si>
    <t>336</t>
  </si>
  <si>
    <t>71</t>
  </si>
  <si>
    <t>89</t>
  </si>
  <si>
    <t>82</t>
  </si>
  <si>
    <t>30</t>
  </si>
  <si>
    <t>27</t>
  </si>
  <si>
    <t>156</t>
  </si>
  <si>
    <t>226</t>
  </si>
  <si>
    <t>224</t>
  </si>
  <si>
    <t>504</t>
  </si>
  <si>
    <t>502</t>
  </si>
  <si>
    <t>91</t>
  </si>
  <si>
    <t>240</t>
  </si>
  <si>
    <t>26</t>
  </si>
  <si>
    <t>142</t>
  </si>
  <si>
    <t>140</t>
  </si>
  <si>
    <t>281</t>
  </si>
  <si>
    <t>277</t>
  </si>
  <si>
    <t>418</t>
  </si>
  <si>
    <t>416</t>
  </si>
  <si>
    <t>373</t>
  </si>
  <si>
    <t>113</t>
  </si>
  <si>
    <t>53</t>
  </si>
  <si>
    <t>104</t>
  </si>
  <si>
    <t>192</t>
  </si>
  <si>
    <t>254</t>
  </si>
  <si>
    <t>14</t>
  </si>
  <si>
    <t>87</t>
  </si>
  <si>
    <t>311</t>
  </si>
  <si>
    <t>301</t>
  </si>
  <si>
    <t>179</t>
  </si>
  <si>
    <t>120</t>
  </si>
  <si>
    <t>150</t>
  </si>
  <si>
    <t>147</t>
  </si>
  <si>
    <t>155</t>
  </si>
  <si>
    <t>405</t>
  </si>
  <si>
    <t>941</t>
  </si>
  <si>
    <t>889</t>
  </si>
  <si>
    <t>239</t>
  </si>
  <si>
    <t>235</t>
  </si>
  <si>
    <t>193</t>
  </si>
  <si>
    <t>184</t>
  </si>
  <si>
    <t>67</t>
  </si>
  <si>
    <t>259</t>
  </si>
  <si>
    <t>612</t>
  </si>
  <si>
    <t>592</t>
  </si>
  <si>
    <t>748</t>
  </si>
  <si>
    <t>629</t>
  </si>
  <si>
    <t>620</t>
  </si>
  <si>
    <t>355</t>
  </si>
  <si>
    <t>880</t>
  </si>
  <si>
    <t>834</t>
  </si>
  <si>
    <t>305</t>
  </si>
  <si>
    <t>288</t>
  </si>
  <si>
    <t>395</t>
  </si>
  <si>
    <t>585</t>
  </si>
  <si>
    <t>576</t>
  </si>
  <si>
    <t>151</t>
  </si>
  <si>
    <t>578</t>
  </si>
  <si>
    <t>551</t>
  </si>
  <si>
    <t>178</t>
  </si>
  <si>
    <t>177</t>
  </si>
  <si>
    <t>518</t>
  </si>
  <si>
    <t>495</t>
  </si>
  <si>
    <t>273</t>
  </si>
  <si>
    <t>297</t>
  </si>
  <si>
    <t>365</t>
  </si>
  <si>
    <t>352</t>
  </si>
  <si>
    <t>132</t>
  </si>
  <si>
    <t>149</t>
  </si>
  <si>
    <t>275</t>
  </si>
  <si>
    <t>52</t>
  </si>
  <si>
    <t>130</t>
  </si>
  <si>
    <t>170</t>
  </si>
  <si>
    <t>143</t>
  </si>
  <si>
    <t>898</t>
  </si>
  <si>
    <t>276</t>
  </si>
  <si>
    <t>358</t>
  </si>
  <si>
    <t>134</t>
  </si>
  <si>
    <t>309</t>
  </si>
  <si>
    <t>382</t>
  </si>
  <si>
    <t>343</t>
  </si>
  <si>
    <t>135</t>
  </si>
  <si>
    <t>(0 - 35)</t>
  </si>
  <si>
    <t>(36 - 50)</t>
  </si>
  <si>
    <t>(51 - 65)</t>
  </si>
  <si>
    <t>(66 - 100)</t>
  </si>
  <si>
    <t>(0-50)</t>
  </si>
  <si>
    <t>PROMEDIO ÁREA 
Lectura Crítica</t>
  </si>
  <si>
    <t>(51 - 70)</t>
  </si>
  <si>
    <t>(71 - 100)</t>
  </si>
  <si>
    <t>PROMEDIO ÁREA 
Matemáticas</t>
  </si>
  <si>
    <t>PROMEDIO ÁREA 
Sociales y Ciudadanas</t>
  </si>
  <si>
    <t>(0 - 40)</t>
  </si>
  <si>
    <t>(41 - 55)</t>
  </si>
  <si>
    <t>(56 - 70)</t>
  </si>
  <si>
    <t>(0-55)</t>
  </si>
  <si>
    <t>PROMEDIO ÁREA 
Ciencias Naturales</t>
  </si>
  <si>
    <t>PROMEDIO ÁREA 
Inglés</t>
  </si>
  <si>
    <t>(0 - 47)</t>
  </si>
  <si>
    <t>(48 - 57)</t>
  </si>
  <si>
    <t>(58 - 67)</t>
  </si>
  <si>
    <t>(68 - 78)</t>
  </si>
  <si>
    <t>(79 - 100)</t>
  </si>
  <si>
    <t>(0-57)</t>
  </si>
  <si>
    <t>A- y A1</t>
  </si>
  <si>
    <t>389</t>
  </si>
  <si>
    <t>182</t>
  </si>
  <si>
    <t>180</t>
  </si>
  <si>
    <t>444</t>
  </si>
  <si>
    <t>439</t>
  </si>
  <si>
    <t>332</t>
  </si>
  <si>
    <t>331</t>
  </si>
  <si>
    <t>300</t>
  </si>
  <si>
    <t>236</t>
  </si>
  <si>
    <t>390</t>
  </si>
  <si>
    <t>335</t>
  </si>
  <si>
    <t>419</t>
  </si>
  <si>
    <t>417</t>
  </si>
  <si>
    <t>169</t>
  </si>
  <si>
    <t>162</t>
  </si>
  <si>
    <t>208</t>
  </si>
  <si>
    <t>205</t>
  </si>
  <si>
    <t>754</t>
  </si>
  <si>
    <t>490</t>
  </si>
  <si>
    <t>470</t>
  </si>
  <si>
    <t>519</t>
  </si>
  <si>
    <t>507</t>
  </si>
  <si>
    <t>841</t>
  </si>
  <si>
    <t>821</t>
  </si>
  <si>
    <t>325754005226</t>
  </si>
  <si>
    <t>826</t>
  </si>
  <si>
    <t>977</t>
  </si>
  <si>
    <t>965</t>
  </si>
  <si>
    <t>188</t>
  </si>
  <si>
    <t>478</t>
  </si>
  <si>
    <t>374</t>
  </si>
  <si>
    <t>325</t>
  </si>
  <si>
    <t>318</t>
  </si>
  <si>
    <t>944</t>
  </si>
  <si>
    <t>783</t>
  </si>
  <si>
    <t>759</t>
  </si>
  <si>
    <t>307</t>
  </si>
  <si>
    <t>INSTITUCION EDUCATIVA CHILOE</t>
  </si>
  <si>
    <t>Modelar fenómenos de la naturaleza basado en el análisis de variables, la relación entre dos o más conceptos del conocimiento científico y de la evidencia derivada de investigaciones científicas. - Procesos quimicos</t>
  </si>
  <si>
    <t>Zona</t>
  </si>
  <si>
    <t>Índice de Matemática</t>
  </si>
  <si>
    <t>Índice de Ciencias Naturales</t>
  </si>
  <si>
    <t>Índice de Sociales y Ciudadanas</t>
  </si>
  <si>
    <t>Índice de Lectura Crítica</t>
  </si>
  <si>
    <t>Índice de Inglés</t>
  </si>
  <si>
    <t>Índice Total</t>
  </si>
  <si>
    <t>Urbana</t>
  </si>
  <si>
    <t xml:space="preserve">COLEGIO DEL NAZARENO </t>
  </si>
  <si>
    <t xml:space="preserve">COLEGIO SANTA TERESITA SEDE EL OASIS </t>
  </si>
  <si>
    <t>Rural</t>
  </si>
  <si>
    <t xml:space="preserve">LICEO ANGEL DE LA GUARDA </t>
  </si>
  <si>
    <t>586</t>
  </si>
  <si>
    <t>488</t>
  </si>
  <si>
    <t>204</t>
  </si>
  <si>
    <t>148</t>
  </si>
  <si>
    <t>Clasificación</t>
  </si>
  <si>
    <t>136</t>
  </si>
  <si>
    <t>521</t>
  </si>
  <si>
    <t>520</t>
  </si>
  <si>
    <t>131</t>
  </si>
  <si>
    <t>28</t>
  </si>
  <si>
    <t>399</t>
  </si>
  <si>
    <t>73</t>
  </si>
  <si>
    <t>10</t>
  </si>
  <si>
    <t>230</t>
  </si>
  <si>
    <t>229</t>
  </si>
  <si>
    <t>165</t>
  </si>
  <si>
    <t>163</t>
  </si>
  <si>
    <t>626</t>
  </si>
  <si>
    <t>611</t>
  </si>
  <si>
    <t>396</t>
  </si>
  <si>
    <t>372</t>
  </si>
  <si>
    <t>928</t>
  </si>
  <si>
    <t>279</t>
  </si>
  <si>
    <t>271</t>
  </si>
  <si>
    <t>829</t>
  </si>
  <si>
    <t>805</t>
  </si>
  <si>
    <t>313</t>
  </si>
  <si>
    <t>599</t>
  </si>
  <si>
    <t>595</t>
  </si>
  <si>
    <t>903</t>
  </si>
  <si>
    <t>893</t>
  </si>
  <si>
    <t>862</t>
  </si>
  <si>
    <t>379</t>
  </si>
  <si>
    <t>573</t>
  </si>
  <si>
    <t>561</t>
  </si>
  <si>
    <t>715</t>
  </si>
  <si>
    <t>709</t>
  </si>
  <si>
    <t>420</t>
  </si>
  <si>
    <t>415</t>
  </si>
  <si>
    <t>303</t>
  </si>
  <si>
    <t>359</t>
  </si>
  <si>
    <t>252</t>
  </si>
  <si>
    <t>246</t>
  </si>
  <si>
    <t>530</t>
  </si>
  <si>
    <t>528</t>
  </si>
  <si>
    <t>145</t>
  </si>
  <si>
    <t>404</t>
  </si>
  <si>
    <t>183</t>
  </si>
  <si>
    <t>100</t>
  </si>
  <si>
    <t>603</t>
  </si>
  <si>
    <t>582</t>
  </si>
  <si>
    <t>380</t>
  </si>
  <si>
    <t>351</t>
  </si>
  <si>
    <t>750</t>
  </si>
  <si>
    <t>724</t>
  </si>
  <si>
    <t>298</t>
  </si>
  <si>
    <t>285</t>
  </si>
  <si>
    <t>634</t>
  </si>
  <si>
    <t>628</t>
  </si>
  <si>
    <t>144</t>
  </si>
  <si>
    <t>936</t>
  </si>
  <si>
    <t>858</t>
  </si>
  <si>
    <t>429</t>
  </si>
  <si>
    <t>423</t>
  </si>
  <si>
    <t>483</t>
  </si>
  <si>
    <t>679</t>
  </si>
  <si>
    <t>663</t>
  </si>
  <si>
    <t>408</t>
  </si>
  <si>
    <t>402</t>
  </si>
  <si>
    <t>304</t>
  </si>
  <si>
    <t>294</t>
  </si>
  <si>
    <t>185</t>
  </si>
  <si>
    <t>377</t>
  </si>
  <si>
    <t>376</t>
  </si>
  <si>
    <t>278</t>
  </si>
  <si>
    <t>133</t>
  </si>
  <si>
    <t>172</t>
  </si>
  <si>
    <t>241</t>
  </si>
  <si>
    <t>COLEGIO DEL NAZARENO</t>
  </si>
  <si>
    <t>LICEO ANGEL DE LA GUARDA</t>
  </si>
  <si>
    <t xml:space="preserve">COLEGIO NUESTRA SENORA DEL CARMEN DE SOACHA LTDA </t>
  </si>
  <si>
    <t xml:space="preserve">LICEO MODERNO AMERICAN SCHOOL LTDA </t>
  </si>
  <si>
    <t>INDICE GLOBAL</t>
  </si>
  <si>
    <t>CLASIFICACIÓN DE PLANTELES</t>
  </si>
  <si>
    <t>Porcentaje de estudiantes por niveles de desempeño
Lectura Crítica</t>
  </si>
  <si>
    <t>PROMEDIO POR PRUEBAS Y NIVELES DE DESEMPEÑO</t>
  </si>
  <si>
    <t>Porcentaje de estudiantes por niveles de desempeño
Matemáticas</t>
  </si>
  <si>
    <t>Porcentaje de estudiantes por niveles de desempeño
Sociales y Ciudadanas</t>
  </si>
  <si>
    <t>Porcentaje de estudiantes por niveles de desempeño
Ciencias Naturales</t>
  </si>
  <si>
    <t>Porcentaje de estudiantes por niveles de desempeño
Inglés</t>
  </si>
  <si>
    <t>1 y 2</t>
  </si>
  <si>
    <t>Porcentaje promedio de estudiantes que responde incorrectamente a los aprendizajes
Lectura Crítica</t>
  </si>
  <si>
    <t>COMPETENCIA</t>
  </si>
  <si>
    <t>Porcentaje promedio de estudiantes que responde incorrectamente a los aprendizajes
Matemáticas</t>
  </si>
  <si>
    <t>Competencias</t>
  </si>
  <si>
    <t>Aprendizaje 
Año</t>
  </si>
  <si>
    <t>INSTITUCIÓN EDUCATIVA:</t>
  </si>
  <si>
    <t>PORCENTAJE DE ESTUDIANTES QUE RESPONDE INCORRECTAMENTE A LOS APRENDIZAJES
LECTURA CRÍTICA</t>
  </si>
  <si>
    <t>PORCENTAJE DE ESTUDIANTES QUE RESPONDE INCORRECTAMENTE A LOS APRENDIZAJES
MATEMÁTICAS</t>
  </si>
  <si>
    <t>PORCENTAJE DE ESTUDIANTES QUE RESPONDE INCORRECTAMENTE A LOS APRENDIZAJES
SOCIALES Y CIUDADANAS</t>
  </si>
  <si>
    <t>Porcentaje promedio de estudiantes que responde incorrectamente a los aprendizajes
Sociales y Ciudadanas</t>
  </si>
  <si>
    <t>PORCENTAJE DE ESTUDIANTES QUE RESPONDE INCORRECTAMENTE A LOS APRENDIZAJES
CIENCIAS NATURALES
PROCESOS VIVOS</t>
  </si>
  <si>
    <t>PORCENTAJE DE ESTUDIANTES QUE RESPONDE INCORRECTAMENTE A LOS APRENDIZAJES
CIENCIAS NATURALES
PROCESOS QUÍMICOS</t>
  </si>
  <si>
    <t>PORCENTAJE DE ESTUDIANTES QUE RESPONDE INCORRECTAMENTE A LOS APRENDIZAJES
CIENCIAS NATURALES
PROCESOS FÍSICOS</t>
  </si>
  <si>
    <t>PORCENTAJE DE ESTUDIANTES QUE RESPONDE INCORRECTAMENTE A LOS APRENDIZAJES
CIENCIAS NATURALES
CIENCIA, TECNOLOGÍA Y SOCIEDAD</t>
  </si>
  <si>
    <t>APRENDIZAJE</t>
  </si>
  <si>
    <t>COMPARACIÓN 1:</t>
  </si>
  <si>
    <t>COMPARACIÓN 2:</t>
  </si>
  <si>
    <t>PROMEDIO</t>
  </si>
  <si>
    <t>Comparación PG</t>
  </si>
  <si>
    <t>Comparación DPG</t>
  </si>
  <si>
    <t>Similar</t>
  </si>
  <si>
    <t>Menor</t>
  </si>
  <si>
    <t>Mayor</t>
  </si>
  <si>
    <t>325754001549</t>
  </si>
  <si>
    <t>COLEGIO NUEVA ANDALUCIA</t>
  </si>
  <si>
    <t>Aprendizaje 2:  Identifica y entiende los contenidos locales que conforman un texto.</t>
  </si>
  <si>
    <t>Comparación PLC</t>
  </si>
  <si>
    <t>Comparación DLC</t>
  </si>
  <si>
    <t>Comparación PMAT</t>
  </si>
  <si>
    <t>Comparación DMAT</t>
  </si>
  <si>
    <t>Aprendizaje 2: Contextualiza y evalúa usos de fuentes y argumentos.</t>
  </si>
  <si>
    <t>Aprendizaje 3: Comprende dimensiones espaciales y temporales de eventos, problemáticas y prácticas sociales.</t>
  </si>
  <si>
    <t>Aprendizaje 4: Comprende modelos conceptuales, sus características y contextos de aplicación.</t>
  </si>
  <si>
    <t>Aprendizaje 5: Comprende que los problemas y sus soluciones involucran distintas dimensiones y reconoce relaciones entre estas.</t>
  </si>
  <si>
    <t>Comparación PSYC</t>
  </si>
  <si>
    <t>Comparación DSYC</t>
  </si>
  <si>
    <t>INSTITUCION EDUCATIVA CHILOÉ</t>
  </si>
  <si>
    <t>125754005600</t>
  </si>
  <si>
    <t>INSTITUTO TÉCNICO DE CUNDINAMARCA</t>
  </si>
  <si>
    <t>325754005498</t>
  </si>
  <si>
    <t>198</t>
  </si>
  <si>
    <t>COMUNA 1 OFICIAL</t>
  </si>
  <si>
    <t>COMUNA 2 OFICIAL</t>
  </si>
  <si>
    <t>COMUNA 3 OFICIAL</t>
  </si>
  <si>
    <t>COMUNA 4 OFICIAL</t>
  </si>
  <si>
    <t>COMUNA 5 OFICIAL</t>
  </si>
  <si>
    <t>COMUNA 6 OFICIAL</t>
  </si>
  <si>
    <t>COMUNA 1 PRIVADOS</t>
  </si>
  <si>
    <t>COMUNA 2 PRIVADOS</t>
  </si>
  <si>
    <t>COMUNA 3 PRIVADOS</t>
  </si>
  <si>
    <t>COMUNA 4 PRIVADOS</t>
  </si>
  <si>
    <t>COMUNA 5 PRIVADOS</t>
  </si>
  <si>
    <t>COMUNA 6 PRIVADOS</t>
  </si>
  <si>
    <t>Comprende</t>
  </si>
  <si>
    <t>Identifica</t>
  </si>
  <si>
    <t>Reflexiona</t>
  </si>
  <si>
    <t>Valida</t>
  </si>
  <si>
    <t>Frente</t>
  </si>
  <si>
    <t xml:space="preserve">OFICIALES </t>
  </si>
  <si>
    <t xml:space="preserve">NO OFICIALES </t>
  </si>
  <si>
    <t>398</t>
  </si>
  <si>
    <t>325754800077</t>
  </si>
  <si>
    <t>CENTRO DE ESTUDIOS PAULO FREIRE</t>
  </si>
  <si>
    <t>325754005561</t>
  </si>
  <si>
    <t>COLEGIO ABRAHAM LINCOLN SOACHA</t>
  </si>
  <si>
    <t>325754005480</t>
  </si>
  <si>
    <t>COLEGIO COLSUBSIDIO MAIPORÉ</t>
  </si>
  <si>
    <t>325754001531</t>
  </si>
  <si>
    <t>COLEGIO RAFAEL NUNEZ</t>
  </si>
  <si>
    <t>325754004335</t>
  </si>
  <si>
    <t>COLEGIO SANTA TERESITA</t>
  </si>
  <si>
    <t>325754005358</t>
  </si>
  <si>
    <t>FUNDACIÓN ACEPTA EL CAMBIO PARA VIDA NUEVA</t>
  </si>
  <si>
    <t>125754800141</t>
  </si>
  <si>
    <t>INSTITUCION EDUCATIVA LUIS HENRIQUEZ</t>
  </si>
  <si>
    <t>125754800132</t>
  </si>
  <si>
    <t>INSTITUCION EDUCATIVA PAZ Y ESPERANZA</t>
  </si>
  <si>
    <t>125754800329</t>
  </si>
  <si>
    <t>INSTITUCION EDUCATIVA SOACHA AVANZA LA UNIDAD</t>
  </si>
  <si>
    <t>125754800256</t>
  </si>
  <si>
    <t>INSTITUCION EDUCATIVA VIDA NUEVA</t>
  </si>
  <si>
    <t>325754005510</t>
  </si>
  <si>
    <t>INSTITUTO FRANCESCO PETRARCA</t>
  </si>
  <si>
    <t>Aprendizaje 4: Comprende dimensiones espaciales y temporales de eventos, problemáticas y prácticas sociales.</t>
  </si>
  <si>
    <t>Aprendizaje 1: Comprende que los problemas y sus soluciones involucran distintas dimensiones y reconoce relaciones entre estas.</t>
  </si>
  <si>
    <t>Elaboración propia Dirección de Calidad Educativa de la Secretaría de Educación de Soacha, adaptado de Secretaría de Educación de Itagüí</t>
  </si>
  <si>
    <t>422</t>
  </si>
  <si>
    <t>330</t>
  </si>
  <si>
    <t>516</t>
  </si>
  <si>
    <t>333</t>
  </si>
  <si>
    <t>COLEGIO RAFAEL NUNEZ - Sede Única</t>
  </si>
  <si>
    <t>COLEGIO SANTA TERESITA - Sede Única</t>
  </si>
  <si>
    <t>213</t>
  </si>
  <si>
    <t>211</t>
  </si>
  <si>
    <t>589</t>
  </si>
  <si>
    <t>658</t>
  </si>
  <si>
    <t>649</t>
  </si>
  <si>
    <t>337</t>
  </si>
  <si>
    <t>547</t>
  </si>
  <si>
    <t>541</t>
  </si>
  <si>
    <t>686</t>
  </si>
  <si>
    <t>681</t>
  </si>
  <si>
    <t>327</t>
  </si>
  <si>
    <t>712</t>
  </si>
  <si>
    <t>692</t>
  </si>
  <si>
    <t>503</t>
  </si>
  <si>
    <t>888</t>
  </si>
  <si>
    <t>861</t>
  </si>
  <si>
    <t>357</t>
  </si>
  <si>
    <t>597</t>
  </si>
  <si>
    <t>284</t>
  </si>
  <si>
    <t>324</t>
  </si>
  <si>
    <t>181</t>
  </si>
  <si>
    <t>340</t>
  </si>
  <si>
    <t>207</t>
  </si>
  <si>
    <t>479</t>
  </si>
  <si>
    <t>477</t>
  </si>
  <si>
    <t>2016</t>
  </si>
  <si>
    <t>2017</t>
  </si>
  <si>
    <t>2018</t>
  </si>
  <si>
    <t>2019</t>
  </si>
  <si>
    <t>2020</t>
  </si>
  <si>
    <t>2021</t>
  </si>
  <si>
    <t>2022</t>
  </si>
  <si>
    <t>MATEMÁTICAS</t>
  </si>
  <si>
    <t>SOCIALES Y CIUDADANAS</t>
  </si>
  <si>
    <t>INGLES</t>
  </si>
  <si>
    <t>GUÍA DE USO PARA LAS INSTITUCIONES EDUCATIVAS</t>
  </si>
  <si>
    <t>HERRAMIENTA RESULTADOS HISTÓRICOS PRUEBAS SABER 11</t>
  </si>
  <si>
    <t xml:space="preserve">En la pestaña 4 se encuentra el porcentaje de respuestas incorrectas obtenido por la institución educativa para cada una de las competencias evaluadas en la prueba de lectura desde el año 2016 al año 2023. </t>
  </si>
  <si>
    <t xml:space="preserve">En la pestaña 5 se encuentra el porcentaje de respuestas incorrectas obtenido por la institución educativa para cada una de las competencias evaluadas en la prueba de matemáticas desde el año 2016 al año 2023. </t>
  </si>
  <si>
    <t xml:space="preserve">En la pestaña 6 se encuentra el porcentaje de respuestas incorrectas obtenido por la institución educativa para cada uno de los aprendizajes evaluados en la prueba de sociales y ciudadanas desde el año 2016 al año 2023. </t>
  </si>
  <si>
    <r>
      <t>En la pestaña 8 se encuentra el porcentaje de respuestas incorrectas obtenido por la institución educativa para cada uno de los aprendizajes evaluados en la prueba de</t>
    </r>
    <r>
      <rPr>
        <b/>
        <sz val="12"/>
        <color theme="1"/>
        <rFont val="Arial"/>
        <family val="2"/>
      </rPr>
      <t xml:space="preserve"> ciencias naturales componente procesos químicos</t>
    </r>
    <r>
      <rPr>
        <sz val="12"/>
        <color theme="1"/>
        <rFont val="Arial"/>
        <family val="2"/>
      </rPr>
      <t xml:space="preserve"> desde el año 2016 al año 2023. </t>
    </r>
  </si>
  <si>
    <r>
      <t xml:space="preserve">En la pestaña 7 se encuentra el porcentaje de respuestas incorrectas obtenido por la institución educativa para cada uno de los aprendizajes evaluados en la prueba de ciencias naturales </t>
    </r>
    <r>
      <rPr>
        <b/>
        <sz val="12"/>
        <color theme="1"/>
        <rFont val="Arial"/>
        <family val="2"/>
      </rPr>
      <t>componente procesos vivos</t>
    </r>
    <r>
      <rPr>
        <sz val="12"/>
        <color theme="1"/>
        <rFont val="Arial"/>
        <family val="2"/>
      </rPr>
      <t xml:space="preserve"> desde el año 2016 al año 2023. </t>
    </r>
  </si>
  <si>
    <r>
      <t>En la pestaña 9 se encuentra el porcentaje de respuestas incorrectas obtenido por la institución educativa para cada uno de los aprendizajes evaluados en la prueba de</t>
    </r>
    <r>
      <rPr>
        <b/>
        <sz val="12"/>
        <color theme="1"/>
        <rFont val="Arial"/>
        <family val="2"/>
      </rPr>
      <t xml:space="preserve"> ciencias naturales componente procesos físicos</t>
    </r>
    <r>
      <rPr>
        <sz val="12"/>
        <color theme="1"/>
        <rFont val="Arial"/>
        <family val="2"/>
      </rPr>
      <t xml:space="preserve"> desde el año 2016 al año 2023. </t>
    </r>
  </si>
  <si>
    <r>
      <t>En la pestaña 10 se encuentra el porcentaje de respuestas incorrectas obtenido por la institución educativa para cada uno de los aprendizajes evaluados en la prueba de</t>
    </r>
    <r>
      <rPr>
        <b/>
        <sz val="12"/>
        <color theme="1"/>
        <rFont val="Arial"/>
        <family val="2"/>
      </rPr>
      <t xml:space="preserve"> ciencias naturales componente ciencia, tecnología y sociedad </t>
    </r>
    <r>
      <rPr>
        <sz val="12"/>
        <color theme="1"/>
        <rFont val="Arial"/>
        <family val="2"/>
      </rPr>
      <t xml:space="preserve">desde el año 2016 al año 2023. </t>
    </r>
  </si>
  <si>
    <t>NIINGUNO</t>
  </si>
  <si>
    <t>En esta pestaña encontrarán la información correspondiente al Promedio Global por Institución Educativa y la clasificación del plantel publicado por el Icfes para los años 2016 a 2023. Para esto, el usuario debe seleccionar de la lista desplegable ubicada en la parte superior la institución educativa de su interés. Adicionalmente, cuenta con la posibilidad de hacer comparaciones con otras instituciones educativas o con otros grupos de comparación como la comuna, municipio o país. Si no desea comparar puede escoger al final del listado la opción "Ninguno"</t>
  </si>
  <si>
    <t>RESULTADOS PRUEBAS SABER 11
PUNTAJE PROMEDIO GLOBAL</t>
  </si>
  <si>
    <t xml:space="preserve">En la lista desplegable escoja la Institución Educativa y grupos de comparación de su preferencia. Si no desea realizar comparaciones escoja la opción Ninguno que se encuentra al final de la lista. </t>
  </si>
  <si>
    <t>EVIDENCIAS</t>
  </si>
  <si>
    <t>• Comprende la estructura formal de un texto y la función de sus partes.
• Identifica y caracteriza las diferentes voces o situaciones presentes en un texto.
• Comprende las relaciones entre diferentes partes o enunciados de un texto.
• Identifica y caracteriza las ideas o afirmaciones presentes en un texto informativo.
• Identifica el tipo de relación existente entre diferentes elementos de un texto (discontinuo).</t>
  </si>
  <si>
    <t>• Establece la validez e implicaciones de un enunciado de un texto (argumentativo o expositivo).
• Establece relaciones entre un texto y otros textos o enunciados.
• Reconoce contenidos valorativos presentes en un texto.
• Reconoce las estrategias discursivas en un texto.
• Contextualiza adecuadamente un texto o la información contenida en este.</t>
  </si>
  <si>
    <t>• Entiende el significado de los elementos locales que constituyen un texto.
• Identifica los eventos narrados de manera explícita en un texto (literario, descriptivo, caricatura o cómic) y los personajes involucrados (si los hay).</t>
  </si>
  <si>
    <t>PREGUNTAS ORIENTADORAS PARA EL ANÁLISIS DE RESULTADOS</t>
  </si>
  <si>
    <t>Identifica y entiende los contenidos locales que conforman un texto.
(25% de las preguntas)</t>
  </si>
  <si>
    <t>Comprende cómo se articulan las partes de un texto para darle un sentido global.
(42% de las preguntas)</t>
  </si>
  <si>
    <t>Reflexiona a partir de un texto y evalúa su contenido.
(33% de las preguntas)</t>
  </si>
  <si>
    <t>Interpretación y representación
(34% de las preguntas)</t>
  </si>
  <si>
    <t>Formulación y ejecución
(43% de las preguntas)</t>
  </si>
  <si>
    <t>Argumentación
(23% de las preguntas)</t>
  </si>
  <si>
    <t>•	Da cuenta de las características básicas de la información presentada en diferentes formatos como series, gráficas, tablas y esquemas.
•	Transforma la representación de una o más piezas de información.</t>
  </si>
  <si>
    <t>•	Diseña planes para la solución de problemas que involucran información cuantitativa o esquemática.
•	Ejecuta un plan de solución para un problema que involucra información
•	cuantitativa o esquemática.
•	Resuelve un problema que involucra información cuantitativa o esquemática.</t>
  </si>
  <si>
    <t>•	Plantea afirmaciones que sustentan o refutan una interpretación dada a la información disponible en el marco de la solución de un problema.
•	Argumenta a favor o en contra de un procedimiento para resolver un problema a la luz de criterios presentados o establecidos.
•	Establece la validez o pertinencia de una solución propuesta a un problema dado.</t>
  </si>
  <si>
    <t>•	¿En qué aspectos los estudiantes tienen mayores fortalezas? ¿En qué aspectos se observan mayores dificultades? Considerar especialmente los aprendizajes y evidencias descritos.
•	La planeación de área que se propone para el grado, ¿considera acciones asociadas a los aprendizajes evaluados en la prueba Saber? 
En caso de responder afirmativamente, ¿los resultados de la evaluación externa para dichos aprendizajes guardan relación con los resultados del seguimiento que se da en el aula? 
En caso de responder negativamente, ¿qué dificultades se presentan para que esto no ocurra? 
•	¿Qué aprendizajes del plan de área se deben priorizar para alcanzar los objetivos propuestos?
•	¿Cómo se están trabajando los aprendizajes en el aula?
•	¿Los estudiantes desarrollan las actividades y las profundizan en el trabajo en casa?
•	¿Qué situaciones motivan más a los estudiantes? ¿Qué actividades o estrategias generan más involucramiento de los estudiantes?
•	¿Cómo considero en la propuesta pedagógica los saberes previos de los estudiantes?
•	¿Cómo reviso y valoro la planeación?
•	¿Cómo realizo la retroalimentación a los estudiantes? ¿es la adecuada?
•	¿Las actividades para recolectar evidencias de aprendizaje son las adecuadas? ¿Qué aspectos puedo considerar para potencializarlas?
•	¿Los estudiantes conocen los criterios de evaluación con anterioridad?</t>
  </si>
  <si>
    <t>Evidencias</t>
  </si>
  <si>
    <t>•	Identifica y usa conceptos sociales básicos (económicos, políticos, culturales y geográficos).
•	Conoce el modelo de Estado Social de Derecho y su aplicación en Colombia.
•	Conoce la organización del Estado: Conoce las funciones y alcances de las ramas del poder y de los organismos de control.
•	Conoce los mecanismos que los ciudadanos tienen a su disposición para participar activamente en la democracia y para garantizar el respeto de sus derechos.</t>
  </si>
  <si>
    <t>•	Localiza en el tiempo y en el espacio eventos históricos y prácticas sociales.
•	Relaciona dimensiones históricas y geográficas de eventos y problemáticas sociales.
•	Relaciona problemáticas o prácticas sociales con características del espacio geográfico.</t>
  </si>
  <si>
    <t>•	Inscribe una fuente primaria dada en un contexto económico, político o cultural.
•	Evalúa posibilidades y limitaciones del uso de una fuente para apoyar argumentos o explicaciones.
•	Devela prejuicios e intenciones en enunciados o argumentos</t>
  </si>
  <si>
    <t>•	Reconoce y compara perspectivas de actores y grupos sociales.
•	Reconoce que las cosmovisiones, ideologías y roles sociales, influyen en diferentes argumentos, posiciones y conductas.
•	Establece relaciones entre las perspectivas de los individuos en una situación conflictiva y las propuestas de solución.</t>
  </si>
  <si>
    <t>•	Analiza modelos conceptuales y sus usos en decisiones sociales.</t>
  </si>
  <si>
    <t>•	Establece relaciones que hay entre dimensiones presentes en una situación problemática.
•	Analiza los efectos en distintas dimensiones que tendría una posible intervención</t>
  </si>
  <si>
    <t>Esta herramienta contiene los resultados en pruebas Saber 11 entre 2016 y 2023 obtenidos por las instituciones educativas oficiales y privadas del municipio de Soacha. 
El objetivo de consolidar los resultados históricos en este documento es incentivar en las instituciones educativas el análisis y uso de los resultados de las pruebas externas para la toma de decisiones informadas y el establecimiento de estrategias de que permitan el mejoramiento de la calidad en cada una de ellas. 
El documento cuenta con 10 hojas:</t>
  </si>
  <si>
    <r>
      <rPr>
        <b/>
        <sz val="12"/>
        <color rgb="FFC00000"/>
        <rFont val="Arial"/>
        <family val="2"/>
      </rPr>
      <t>Hoja 1: Guía de Uso</t>
    </r>
    <r>
      <rPr>
        <sz val="12"/>
        <color theme="1"/>
        <rFont val="Arial"/>
        <family val="2"/>
      </rPr>
      <t xml:space="preserve">
En la primera pestaña encontrarán la Guía de uso para las Instituciones Educativas en la cual se explica el contenido del documento y se orienta el uso de cada apartado. </t>
    </r>
  </si>
  <si>
    <t>Hoja 2: Puntaje Global</t>
  </si>
  <si>
    <t>Hoja 3: Promedios y Niveles</t>
  </si>
  <si>
    <t xml:space="preserve">Hoja 4: AprenLectura
</t>
  </si>
  <si>
    <t xml:space="preserve">Hoja 5: AprenMate
</t>
  </si>
  <si>
    <r>
      <rPr>
        <b/>
        <sz val="12"/>
        <color rgb="FFFF6600"/>
        <rFont val="Arial"/>
        <family val="2"/>
      </rPr>
      <t>Hoja 6: AprenSyC</t>
    </r>
    <r>
      <rPr>
        <b/>
        <sz val="12"/>
        <color theme="4"/>
        <rFont val="Arial"/>
        <family val="2"/>
      </rPr>
      <t xml:space="preserve">
</t>
    </r>
  </si>
  <si>
    <t xml:space="preserve">Hoja 7: AprenCNProVivos
</t>
  </si>
  <si>
    <t xml:space="preserve">Hoja 8: AprenCNProQuímicos
</t>
  </si>
  <si>
    <t xml:space="preserve">Hoja 9: AprenCNProFísicos
</t>
  </si>
  <si>
    <t xml:space="preserve">Hoja 10: AprenCNCTS
</t>
  </si>
  <si>
    <t>NIVEL DE DESEMPEÑO</t>
  </si>
  <si>
    <t>RANGO DEL PUNTAJE</t>
  </si>
  <si>
    <t>DESCRIPCIÓN</t>
  </si>
  <si>
    <t>El estudiante que se ubica en este nivel probablemente identifica elementos literales en textos continuos y discontinuos sin establecer relaciones de significado.</t>
  </si>
  <si>
    <t>El estudiante que se ubica en este nivel comprende textos continuos y discontinuos de manera literal. Reconoce información explícita y la relaciona con el contexto. Para clasificar en este nivel, el estudiante: 
• Identifica información local del texto. 
• Identifica la estructura de textos continuos y discontinuos. 
• Identifica relaciones básicas entre componentes del texto. 
• Identifica fenómenos semánticos básicos: sinónimos y antónimos. 
• Reconoce en un texto la diferencia entre proposición y párrafo. 
• Reconoce el sentido local y global del texto. 
• Identifica intenciones comunicativas implícitas. 
• Identifica relaciones básicas: Contraste, similitud y complementación, entre textos presentes.</t>
  </si>
  <si>
    <t>Además de lo descrito en el nivel 2, el estudiante que se ubica en este nivel interpreta información de textos al inferir contenidos implícitos y reconocer estructuras, estrategias discursivas y juicios valorativos. Para clasificar en este nivel, el estudiante: 
• Jerarquiza la información presente en un texto. 
• Infiere información implícita en textos continuos y discontinuos. 
• Establece relaciones intertextuales: definición, causa-efecto, oposición y antecedente – consecuente, entre textos presentes.
• Reconoce la intención comunicativa del texto. 
• Relaciona marcadores textuales en la interpretación de textos. 
• Reconoce la función de figuras literarias. 
• Identifica el uso del lenguaje en contexto. 
• Analiza y sintetiza la información contenida en un texto. 
• Identifica la estructura sintáctica en textos discontinuos. 
• Establece la validez de argumentos en un texto.</t>
  </si>
  <si>
    <t>Además de lo descrito en los niveles 2 y 3, el estudiante que se ubica en este nivel reflexiona a partir de un texto sobre la visión de mundo del autor (costumbres, creencias, juicios, carácter ideo-político y posturas éticas, entre otros). Asimismo, da cuenta de elementos paratextuales significativos presentes en el texto. Finalmente, valora y contrasta los elementos mencionados con la posición propia. Para clasificar en este nivel, el estudiante: 
• Propone soluciones a problemas de interpretación que subyacen en un texto. 
• Evalúa contenidos, estrategias discursivas y argumentativas presentes en un texto. 
• Relaciona información de dos o más textos o fragmentos de texto para llegar a una conclusión.
• Aplica conceptos de análisis literario para caracterizar diferentes elementos en un texto. 
• Reconoce los contextos como elementos importantes en la valoración de un texto. 
• Selecciona elementos locales y construye argumentos que sustentan una tesis con base en textos relacionados. 
• Asume una postura crítica frente a los planteamientos de un texto. 
• Plantea hipótesis de lectura a partir de las ideas presentes en un texto.</t>
  </si>
  <si>
    <t xml:space="preserve">En esta pestaña se consolidan los resultados para cada una de las 5 pruebas evaluadas: Lectura Crítica, Matemáticas, Sociales y Ciudadanas, Ciencias Naturales e Inglés. Se presenta el promedio obtenido por la institución educativa en cada prueba desde 2016 hasta 2023. Igualmente encontrarán el porcentaje de estudiantes que se ubican en cada nivel de desempeño y el descriptor de cada nivel de desempeño. Muestra los datos de las instituciones o grupos seleccionados en la Hoja 2 Puntaje Global. Los resultados se muestran en tabla y gráfica para facilitar la apropiación de los mismos. </t>
  </si>
  <si>
    <t>Descripción Niveles de Desempeño Prueba Lectura Crítica</t>
  </si>
  <si>
    <t>El estudiante que se ubica en este nivel probablemente puede leer información puntual (un dato) relacionada con situaciones cotidianas y presentada en tablas o gráficas con escala explícita, cuadrícula o por lo menos líneas horizontales. Pero puede tener dificultades al comparar distintos conjuntos de datos, involucrar diferentes variables o analizar situaciones alejadas de su vida diaria.</t>
  </si>
  <si>
    <t>El estudiante que se ubica en este nivel es capaz de hacer comparaciones y establecer relaciones entre los datos presentados e identificar y extraer información local y global de manera directa. En contextos familiares o personales que involucran gráficas con escala explícita, cuadrícula o por lo menos líneas horizontales u otros formatos con poca información.
Para clasificar en este nivel, el estudiante:
• Compara datos de dos variables presentadas en una misma gráfica sin necesidad de hacer operaciones aritméticas.
• Identifica valores o puntos representativos en diferentes tipos de registro a partir del significado que tienen en la situación.
• Compara la probabilidad de eventos simples (casos favorables/casos posibles), cuando los casos posibles son los mismos en ambos eventos, en contextos similares a los presentados en el aula.
• Toma decisiones sobre la veracidad o falsedad de una afirmación cuando esta se puede explicar verbalizando la lectura directa que se hace de la información.
• Cambia gráficas de barras a tablas de doble entrada.
• Reconoce e interpreta según el contexto el significado de promedio simple, moda, mayor, menor, máximo y mínimo</t>
  </si>
  <si>
    <t>Además de lo descrito en el nivel 2, el estudiante que se ubica en este nivel selecciona información, señala errores, hace distintos tipos de transformaciones y, manipulaciones aritméticas y algebraicas sencillas; para enfrentarse a problemas que involucran el uso de conceptos de proporcionalidad, factores de conversión, áreas y desarrollos planos; en contextos laborales u ocupacionales, matemáticos o científicos y, comunitarios o sociales. Para clasificar en este nivel, el estudiante:
• Selecciona la gráfica a partir de una tabla, que puede ser de doble entrada o a partir de verbalizaciones (características de crecimiento o decrecimiento), teniendo en cuenta para la selección la escala, el tipo de variable y el tipo de gráfica.
• Compara información gráfica que requiere algunas manipulaciones aritméticas.
• Señala información representada en formatos no convencional (mapas o infografías).
• Reconoce errores dada una transformación entre diferentes registros.
• Reconoce el desarrollo de planos de una forma tridimensional y viceversa.
• Compara la probabilidad de eventos simples (casos favorables/casos posibles), cuando los casos posibles son diferentes, en diversos contextos.
• Selecciona información necesaria para resolver problemas que involucran operaciones aritméticas.
• Selecciona información necesaria para resolver problemas que involucran
características medibles de figuras geométricas elementales (triángulos, cuadriláteros y circunferencias).
• Cambia la escala cuando la transformación no es convencional.
• Justifica afirmaciones utilizando planteamientos y operaciones aritméticas o haciendo uso directo de un concepto; es decir, a partir de un único argumento.
• Identifica información relevante cuando el tipo de registro contiene información de más de tres categorías.
• Hace manipulaciones algebraicas sencillas (aritmética de términos semejantes).</t>
  </si>
  <si>
    <t>Además de lo descrito en los niveles 2 y 3, el estudiante que se ubica en este nivel resuelve problemas y justifica la veracidad o falsedad de afirmaciones que requieren el uso de conceptos de probabilidad, propiedades algebraicas, relaciones trigonométricas y características de funciones reales. En contextos principalmente matemáticos o científicos.
Para clasificar en este nivel, el estudiante:
• Resuelve problemas que requieren interpretar información de eventos dependientes.
• Realiza transformaciones de subconjuntos de información que pueden requerir el uso de operaciones complejas (cálculos de porcentajes).
• Resuelve problemas que requieren construir una representación auxiliar (gráficas y fórmulas) como paso intermedio para su solución.
• Modela usando lenguaje algebraico información dada en lenguaje natural, tablas o representaciones geométricas.
• Manipula expresiones algebraicas o aritméticas haciendo uso de las propiedades de las operaciones.
• Modela fenómenos variacionales no explícitos haciendo uso de lenguaje simbólico o gráficas.
• Reconoce en diferentes formatos el espacio muestral de un experimento aleatorio.
• Resuelve problemas de conteo que requieren el uso de permutaciones.
• Justifica la falta de información de un problema para tomar una decisión.
• Toma decisiones sobre la veracidad o falsedad de una afirmación cuando requiere el uso de varias propiedades o conceptualizaciones formales.</t>
  </si>
  <si>
    <t>Descripción Niveles de Desempeño Prueba Matemáticas</t>
  </si>
  <si>
    <t>Descripción Niveles de Desempeño Prueba Sociales y Ciudadanas</t>
  </si>
  <si>
    <t>El estudiante que se ubica en este nivel podría reconocer algunos derechos ciudadanos en situaciones sencillas. Adicionalmente, podría reconocer factores que generan un conflicto y creencias que explican algunos comportamientos. Este estudiante probablemente no está en capacidad de utilizar conceptos de las ciencias sociales o modelos conceptuales; tampoco reconocer principios constitucionales ni analizar enunciados, dimensiones de una problemática o propuestas de solución.</t>
  </si>
  <si>
    <t>El estudiante que se ubica en este nivel reconoce deberes del Estado colombiano y situaciones de protección o vulneración de derechos en el marco del Estado Social de Derecho; identifica relaciones entre conductas de las personas y sus cosmovisiones; y reconoce las dimensiones presentes en una situación, problema, decisión tomada o propuesta de solución. Además, contextualiza fuentes y procesos sociales. En este nivel, se presentan contextos cuya descripción es corta, con pocos actores,
enunciados directos y posturas o posiciones explícitas, sencillas y claras. Además, se presentan situaciones cercanas a la cotidianidad del estudiante o de conocimiento y amplia discusión pública.
Para clasificar en este nivel, el estudiante:
• Identifica derechos ciudadanos y deberes del Estado establecidos en la Constitución Política de Colombia.
• Relaciona la conducta de una persona con su forma de ver la vida.
• Reconoce los efectos de una solución y las dimensiones que privilegia.
• Identifica contextos o procesos en los que se inscribe una fuente o evento.</t>
  </si>
  <si>
    <t>Además de lo descrito en el nivel 2, el estudiante que se ubica en este nivel identifica
prejuicios o intenciones contenidos en una afirmación y reconoce las dimensiones e
intereses involucrados en un problema o alternativa de solución. Así mismo, identifica algunos conceptos básicos de las ciencias sociales y modelos conceptuales, y valora y contextualiza la información presentada en una fuente.
En este nivel, las competencias se evalúan tanto en situaciones cotidianas o de amplio conocimiento y discusión pública, como en contextos más lejanos y complejos, algunos de ellos con descripciones más largas que las del nivel mínimo.
Para clasificar en este nivel, el estudiante:
• Reconoce intenciones y prejuicios, así como argumentos similares o diferentes dados en un contexto o una situación específica.
• Identifica dimensiones (económicas, políticas, culturales, ambientales, etc.) involucradas en situaciones, problemáticas o propuestas de solución.
• Identifica y compara opiniones e intereses de diferentes actores involucrados en una situación problemática y establece relaciones entre esas posturas y posibles soluciones.
• Reconoce algunos conceptos básicos de las ciencias sociales.
• Identifica supuestos y usos de algunos modelos conceptuales.
• Relaciona contextos históricos y/o geoGráficas con fuentes, situaciones y prácticas sociales.
• Valora la información contenida en una fuente y reconoce sus alcances.</t>
  </si>
  <si>
    <t>Además de lo descrito en los niveles 2 y 3, el estudiante que se ubica en este nivel conoce algunas disposiciones de la Constitución política de Colombia que posibilitan la participación ciudadana y el control a los poderes públicos; analiza y compara enunciados, intereses y argumentos; y evalúa alternativas de solución a un problema. Este estudiante analiza situaciones a partir de conceptos básicos de las ciencias sociales o de contextos históricos y/o geoGráficas. A su vez, relaciona fuentes y políticas con modelos conceptuales, y valora los contenidos de una fuente.
En este nivel, las competencias se evalúan principalmente en contextos que pueden estar alejados de la cotidianidad del estudiante y que no necesariamente son de amplia discusión pública. Se incluyen preguntas con contextos cortos que requieren ciertos conocimientos sociales, históricos, políticos, culturales y económicos adicionales para ser respondidas correctamente. El estudiante de este nivel es capaz de abordar las preguntas de manera objetiva y realizar el ejercicio cognitivo esperado, independientemente de su posición personal.
Finalmente, el estudiante logra identificar diferencias sutiles entre conceptos, entre intenciones y entre intereses de diferentes actores.
Para clasificar en este nivel, el estudiante:
• Conoce los procedimientos de reforma a la Constitución Política de Colombia, los mecanismos de participación ciudadana y las funciones de los organismos de control.
• Compara enunciados o argumentos, así como intereses y posiciones de actores en contextos en los que se discuten situaciones problemáticas o sus alternativas de solución.
• Relaciona propuestas de solución a un problema con su contexto de implementación, o con sus posibles impactos en ciertas dimensiones (económicas, políticas, culturales, ambientales, etc.).
• Entiende problemáticas, eventos o procesos sociales a partir del uso de conceptos básicos de las ciencias sociales, o a partir de contextos históricos y/o geoGráficas.
• Analiza fuentes (primarias y secundarias) para valorar inferencias o identificar intenciones, características de los actores involucrados y contextos en los que se ubican dichas fuentes.
• Establece relaciones entre modelos conceptuales y fuentes que los abordan o decisiones sociales que los aplican</t>
  </si>
  <si>
    <t>Descripción Niveles de Desempeño Prueba Ciencias Naturales</t>
  </si>
  <si>
    <t>El estudiante que se ubica en este nivel muy posiblemente alcanza a reconocer información explícita, presentada de manera ordenada en tablas o gráficas, con un lenguaje cotidiano y que implica la lectura de una sola variable  independiente. Por lo tanto, estos estudiantes demuestran un insuficiente desarrollo de la competencia Indagar definida en el marco teórico de la prueba.</t>
  </si>
  <si>
    <t>El estudiante que se ubica en este nivel reconoce información suministrada en tablas, gráficas y esquemas de una sola variable independiente, y la asocia con nociones de los conceptos básicos de las ciencias naturales (tiempo, posición, velocidad, imantación y filtración).
Para clasificar en este nivel, el estudiante:
• Identifica patrones y características a partir de información presentada en textos, gráficas y tablas.
• Relaciona esquemas con nociones básicas del conocimiento científico.
• Establece predicciones a partir de datos presentados en tablas, gráficas y esquemas en donde se presentan patrones claramente crecientes o decrecientes.
• Ordena datos e información en gráficas y tablas.</t>
  </si>
  <si>
    <t>Además de lo descrito en el nivel 2, el estudiante que se ubica en este nivel interrelaciona conceptos, leyes y teorías científicas con información presentada en diversos contextos, en los que intervienen dos o más variables, para hacer inferencias sobre una situación problema o un fenómeno natural.
Para clasificar en este nivel, el estudiante:
• Establece relaciones de causa-efecto usando información no suministrada.
• Interpreta gráficas, tablas y modelos para hacer predicciones.
• Establece relaciones entre conceptos, leyes y teorías científicas con diseños experimentales y sus resultados.
• Diferencia entre evidencias y conclusiones.
• Plantea hipótesis basadas en evidencias.
• Relaciona variables para explicar algunos fenómenos naturales.</t>
  </si>
  <si>
    <t>Además de lo descrito en los niveles anteriores, el estudiante que se ubica en este nivel usa conceptos, teorías o leyes en la solución de situaciones problema que involucran procedimientos, habilidades, conocimientos y un
lenguaje propio de las ciencias naturales.
Descriptores específicos:
• Plantea preguntas de investigación desde las ciencias naturales a partir de un contexto determinado.
• Establece conclusiones derivadas de una investigación.
• Contrasta modelos de las ciencias naturales con fenómenos cotidianos.
• Resuelve situaciones problema usando conceptos, leyes y teorías de las ciencias naturales.
• Comunica resultados de procesos de investigación científica.
• Analiza fenómenos naturales con base en los procedimientos propios de la investigación científica</t>
  </si>
  <si>
    <t>•  Analiza aspectos de los  ecosistemas y da razón de cómo funcionan, de sus interrelaciones con los factores bióticos y abióticos y de sus efectos al modificarse alguna variable en el interior.
•  Analiza la dinámica interna de los organismos y da razón de cómo funcionan sus componentes por separado y en conjunto para mantener la vida en el organismo.</t>
  </si>
  <si>
    <t>• Analiza qué tipo de pregunta puede ser contestada a partir del contexto de una investigación científica.
• Reconoce la importancia de la evidencia para comprender fenómenos naturales.</t>
  </si>
  <si>
    <t>• Comunica de forma apropiada el proceso y los resultados de investigación en ciencias naturales.
• Determina si los resultados derivados de una investigación son suficientes y pertinentes para sacar conclusiones en una situación dada.
• Elabora conclusiones a partir de información o evidencias que las respalden. 
• Hace predicciones con base en información, patrones y regularidades.</t>
  </si>
  <si>
    <t>• Interpreta y analiza datos representados en texto, gráficas, dibujos, diagramas o tablas.
• Representa datos en gráficas y tablas.</t>
  </si>
  <si>
    <t>• Da posibles explicaciones de eventos o fenómenos consistentes con conceptos de la ciencia (predicción o hipótesis).
• Diseña experimentos para dar respuesta a sus preguntas. 
• Elige y utiliza instrumentos adecuados para reunir datos. 
• Reconoce la necesidad de registrar y clasificar la información para realizar un buen análisis.
• Usa información adicional para evaluar una predicción.</t>
  </si>
  <si>
    <t xml:space="preserve">• Explica algunos principios para mantener la salud individual y la pública con base en principios biológicos, químicos y físicos. 
• Explica cómo la explotación de un recurso o el uso de una tecnología tiene efectos positivos y/o negativos en las personas y en el entorno.
• Explica el uso correcto y seguro de una tecnología o artefacto en un contexto específico. </t>
  </si>
  <si>
    <t>EVIDENCIA</t>
  </si>
  <si>
    <t>• Relaciona los componentes de un circuito en serie y en paralelo con sus respectivos voltajes y corrientes.
• Relaciona los distintos factores que determinan la dinámica de un sistema o fenómeno (condiciones iniciales, parámetros y constantes) para identificar (no en un modelo) su comportamiento, teniendo en cuenta las leyes de la física.
• Relaciona los tipos de energía presentes en un objeto con las interacciones que presenta el sistema con su entorno.</t>
  </si>
  <si>
    <t xml:space="preserve">• Identifica las características fundamentales de las ondas, así como las variables y parámetros que afectan estas características en un medio de propagación.
• Identifica las formas de energía presentes en un fenómeno físico y las transformaciones que se dan entre la formas de energía. 
• Identifica los diferentes tipos de fuerzas que actúan sobre los cuerpos que conforman un sistema.
</t>
  </si>
  <si>
    <t>• Usa modelos físicos (no básicos) basados en dinámica clásica (modelos mecanicistas) de un fenómeno particular en un sistema.</t>
  </si>
  <si>
    <t xml:space="preserve">• Elabora explicaciones al relacionar las variables de estado que describen un sistema electrónico, argumentando a partir de los modelos básicos de circuitos.
• Elabora explicaciones al relacionar las variables de estado que describen un sistema, argumentando a partir de los modelos básicos de cinemática y dinámica newtoniana.
• Elabora explicaciones al relacionar las variables de estado que describen un sistema, argumentando a partir de los modelos básicos de la termodinámica.
• Elabora explicaciones al relacionar las variables de estado que describen un sistema, argumentando a partir de los modelos básicos de ondas. </t>
  </si>
  <si>
    <t>• Identifica y usa modelos químicos para comprender fenómenos particulares de la naturaleza.</t>
  </si>
  <si>
    <t>• Da las razones por las cuales una reacción describe un fenómeno y justifica las relaciones cuantitativas existentes, teniendo en cuenta la ley de la conservación de la masa y carga.
• Reconoce las razones por las cuales la materia se puede diferenciar según su estructura y propiedades, y justifica las diferencias existentes entre distintos elementos, compuestos
y mezclas.
• Reconoce los atributos que definen ciertos procesos fisicoquímicos simples (separación de mezclas, solubilidad, gases ideales, cambios de fase) y da razón de la manera en que ocurren.</t>
  </si>
  <si>
    <t>• Diferencia distintos tipos de reacciones químicas y realiza cálculos de manera adecuada teniendo en cuenta la ley de la conservación de la masa y carga.
• Establece relaciones entre conceptos fisicoquímicos simples (separación de mezclas, solubilidad, gases ideales) con distintos fenómenos naturales.
• Establece relaciones entre las propiedades y estructura de la materia con la formación de iones y moléculas.</t>
  </si>
  <si>
    <t>• Identifica las propiedades y estructura de la materia y diferencia elementos, compuestos y mezclas.</t>
  </si>
  <si>
    <t>• Analiza y usa modelos biológicos para comprender la dinámica que se da en lo vivo y en el entorno.</t>
  </si>
  <si>
    <t xml:space="preserve">• Establece relaciones entre fenómenos biológicos para comprender la dinámica de lo vivo. 
• Establece relaciones entre fenómenos biológicos para comprender su entorno. 
</t>
  </si>
  <si>
    <t xml:space="preserve">• Identifica características de algunos procesos que se dan en los ecosistemas para comprender la dinámica que se da en su interior.
• Identifica características de algunos procesos que se dan en los organismos para comprender la dinámica de lo vivo.
</t>
  </si>
  <si>
    <t>1. PENSAMIENTO SOCIAL 
(30% de las preguntas)</t>
  </si>
  <si>
    <t>2. INTERPRETACIÓN Y ANÁLISIS DE PERSPECTIVAS 
(40% de las preguntas)</t>
  </si>
  <si>
    <t>3. PENSAMIENTO REFLEXIVO Y SISTEMÁTICO 
(30% de las preguntas)</t>
  </si>
  <si>
    <t>Porcentaje promedio de estudiantes que responde incorrectamente a los aprendizajes
Ciencias Naturales - Procesos Vivos 
(30% de las preguntas)</t>
  </si>
  <si>
    <t>Uso comprensivo del conocimiento científico 
(9% de las preguntas)</t>
  </si>
  <si>
    <t>Indagar 
(9% de las preguntas)</t>
  </si>
  <si>
    <t>Explicación de fenómenos 
(12% de las preguntas)</t>
  </si>
  <si>
    <t>Porcentaje promedio de estudiantes que responde incorrectamente a los aprendizajes
Procesos Químicos 
(30% de las preguntas)</t>
  </si>
  <si>
    <t>Explicación de fenómenos 
(9% de las preguntas)</t>
  </si>
  <si>
    <t>Indagar 
(12% de las preguntas)</t>
  </si>
  <si>
    <t>Uso comprensivo del conocimiento científico 
(3% de las preguntas)</t>
  </si>
  <si>
    <t>Explicación de fenómenos
(3% de las preguntas)</t>
  </si>
  <si>
    <t>Porcentaje promedio de estudiantes que responde incorrectamente a los aprendizajes
Ciencia, tecnología y sociedad
(10% de las preguntas)</t>
  </si>
  <si>
    <t>• Reconoce posibles cambios en el entorno por la explotación de un recurso o el uso de una tecnología.</t>
  </si>
  <si>
    <t>Porcentaje promedio de estudiantes que responde incorrectamente a los aprendizajes
Procesos físicos
(30% de las preguntas)</t>
  </si>
  <si>
    <t>COLEGIO ABRAHAM LINCOLN</t>
  </si>
  <si>
    <t>RESULTADOS SOACHA 2016-2023</t>
  </si>
  <si>
    <t>SOACHA OFICIALES URBANOS</t>
  </si>
  <si>
    <t>SOACHA PRIVADOS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</si>
</sst>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0"/>
    <numFmt numFmtId="165" formatCode="0.0"/>
  </numFmts>
  <fonts count="76" x14ac:knownFonts="1">
    <font>
      <sz val="10"/>
      <name val="Arial"/>
    </font>
    <font>
      <sz val="11"/>
      <color theme="1"/>
      <name val="Calibri"/>
      <family val="2"/>
      <scheme val="minor"/>
    </font>
    <font>
      <b/>
      <sz val="10"/>
      <color indexed="9"/>
      <name val="Arial"/>
      <family val="2"/>
    </font>
    <font>
      <b/>
      <sz val="20"/>
      <color indexed="12"/>
      <name val="Arial"/>
      <family val="2"/>
    </font>
    <font>
      <b/>
      <sz val="16"/>
      <color indexed="12"/>
      <name val="Arial"/>
      <family val="2"/>
    </font>
    <font>
      <b/>
      <sz val="10"/>
      <color indexed="54"/>
      <name val="Arial"/>
      <family val="2"/>
    </font>
    <font>
      <b/>
      <sz val="10"/>
      <color indexed="54"/>
      <name val="Arial"/>
      <family val="2"/>
    </font>
    <font>
      <b/>
      <sz val="10"/>
      <color indexed="9"/>
      <name val="Arial"/>
      <family val="2"/>
    </font>
    <font>
      <b/>
      <sz val="10"/>
      <color theme="0"/>
      <name val="Arial"/>
      <family val="2"/>
    </font>
    <font>
      <b/>
      <sz val="10"/>
      <color indexed="9"/>
      <name val="Calibri"/>
      <family val="2"/>
      <scheme val="minor"/>
    </font>
    <font>
      <b/>
      <sz val="10"/>
      <color indexed="54"/>
      <name val="Calibri"/>
      <family val="2"/>
      <scheme val="minor"/>
    </font>
    <font>
      <sz val="12"/>
      <color theme="1"/>
      <name val="Calibri"/>
      <family val="2"/>
      <scheme val="minor"/>
    </font>
    <font>
      <b/>
      <sz val="14"/>
      <color theme="1"/>
      <name val="Calibri"/>
      <family val="2"/>
      <scheme val="minor"/>
    </font>
    <font>
      <sz val="10"/>
      <name val="Arial"/>
      <family val="2"/>
    </font>
    <font>
      <b/>
      <sz val="10"/>
      <name val="Arial"/>
      <family val="2"/>
    </font>
    <font>
      <b/>
      <sz val="9"/>
      <color rgb="FF000000"/>
      <name val="Arial"/>
      <family val="2"/>
    </font>
    <font>
      <sz val="10"/>
      <color rgb="FF000000"/>
      <name val="Arial"/>
      <family val="2"/>
    </font>
    <font>
      <b/>
      <i/>
      <sz val="16"/>
      <color rgb="FF000000"/>
      <name val="Arial"/>
      <family val="2"/>
    </font>
    <font>
      <b/>
      <sz val="16"/>
      <name val="Arial"/>
      <family val="2"/>
    </font>
    <font>
      <b/>
      <sz val="18"/>
      <color theme="1"/>
      <name val="Calibri"/>
      <family val="2"/>
      <scheme val="minor"/>
    </font>
    <font>
      <sz val="8"/>
      <name val="Arial"/>
      <family val="2"/>
    </font>
    <font>
      <sz val="16"/>
      <color theme="1"/>
      <name val="Calibri"/>
      <family val="2"/>
      <scheme val="minor"/>
    </font>
    <font>
      <b/>
      <sz val="20"/>
      <color theme="1"/>
      <name val="Calibri"/>
      <family val="2"/>
      <scheme val="minor"/>
    </font>
    <font>
      <b/>
      <sz val="10"/>
      <color rgb="FF000000"/>
      <name val="Arial"/>
      <family val="2"/>
    </font>
    <font>
      <b/>
      <sz val="12"/>
      <color theme="1"/>
      <name val="Calibri"/>
      <family val="2"/>
      <scheme val="minor"/>
    </font>
    <font>
      <sz val="12"/>
      <color rgb="FFFF0000"/>
      <name val="Calibri"/>
      <family val="2"/>
      <scheme val="minor"/>
    </font>
    <font>
      <b/>
      <sz val="14"/>
      <color rgb="FFFF0000"/>
      <name val="Calibri"/>
      <family val="2"/>
      <scheme val="minor"/>
    </font>
    <font>
      <sz val="12"/>
      <color theme="0"/>
      <name val="Arial"/>
      <family val="2"/>
    </font>
    <font>
      <b/>
      <sz val="12"/>
      <color theme="1"/>
      <name val="Arial"/>
      <family val="2"/>
    </font>
    <font>
      <b/>
      <sz val="9"/>
      <color rgb="FFFF0000"/>
      <name val="Arial"/>
      <family val="2"/>
    </font>
    <font>
      <b/>
      <sz val="16"/>
      <color theme="0"/>
      <name val="Arial"/>
      <family val="2"/>
    </font>
    <font>
      <b/>
      <sz val="16"/>
      <color theme="1"/>
      <name val="Arial"/>
      <family val="2"/>
    </font>
    <font>
      <sz val="16"/>
      <color theme="1"/>
      <name val="Arial"/>
      <family val="2"/>
    </font>
    <font>
      <b/>
      <i/>
      <sz val="16"/>
      <color rgb="FFFF0000"/>
      <name val="Arial"/>
      <family val="2"/>
    </font>
    <font>
      <b/>
      <sz val="12"/>
      <color theme="0"/>
      <name val="Arial"/>
      <family val="2"/>
    </font>
    <font>
      <b/>
      <sz val="14"/>
      <color theme="0"/>
      <name val="Arial"/>
      <family val="2"/>
    </font>
    <font>
      <sz val="12"/>
      <color rgb="FFFF0000"/>
      <name val="Arial"/>
      <family val="2"/>
    </font>
    <font>
      <b/>
      <sz val="12"/>
      <name val="Arial"/>
      <family val="2"/>
    </font>
    <font>
      <sz val="12"/>
      <name val="Arial"/>
      <family val="2"/>
    </font>
    <font>
      <b/>
      <sz val="10"/>
      <name val="Arial"/>
      <family val="2"/>
    </font>
    <font>
      <b/>
      <i/>
      <sz val="16"/>
      <name val="Arial"/>
      <family val="2"/>
    </font>
    <font>
      <b/>
      <sz val="12"/>
      <color rgb="FF000000"/>
      <name val="Arial"/>
      <family val="2"/>
    </font>
    <font>
      <sz val="12"/>
      <name val="Calibri"/>
      <family val="2"/>
      <scheme val="minor"/>
    </font>
    <font>
      <sz val="16"/>
      <name val="Arial"/>
      <family val="2"/>
    </font>
    <font>
      <b/>
      <sz val="16"/>
      <color rgb="FFFF0000"/>
      <name val="Arial"/>
      <family val="2"/>
    </font>
    <font>
      <sz val="16"/>
      <color rgb="FFFF0000"/>
      <name val="Arial"/>
      <family val="2"/>
    </font>
    <font>
      <b/>
      <sz val="16"/>
      <color theme="1"/>
      <name val="Calibri"/>
      <family val="2"/>
      <scheme val="minor"/>
    </font>
    <font>
      <i/>
      <sz val="10"/>
      <color theme="1"/>
      <name val="Calibri"/>
      <family val="2"/>
      <scheme val="minor"/>
    </font>
    <font>
      <i/>
      <sz val="10"/>
      <color theme="1"/>
      <name val="Arial"/>
      <family val="2"/>
    </font>
    <font>
      <sz val="10"/>
      <name val="Arial"/>
      <family val="2"/>
    </font>
    <font>
      <b/>
      <sz val="10"/>
      <color indexed="54"/>
      <name val="Arial"/>
      <family val="2"/>
    </font>
    <font>
      <b/>
      <sz val="10"/>
      <color indexed="9"/>
      <name val="Arial"/>
      <family val="2"/>
    </font>
    <font>
      <b/>
      <sz val="10"/>
      <color indexed="9"/>
      <name val="Arial"/>
      <family val="2"/>
    </font>
    <font>
      <b/>
      <sz val="10"/>
      <color indexed="54"/>
      <name val="Arial"/>
      <family val="2"/>
    </font>
    <font>
      <b/>
      <i/>
      <sz val="16"/>
      <color rgb="FF000000"/>
      <name val="Calibri"/>
      <family val="2"/>
      <scheme val="minor"/>
    </font>
    <font>
      <sz val="10"/>
      <name val="Calibri"/>
      <family val="2"/>
      <scheme val="minor"/>
    </font>
    <font>
      <sz val="12"/>
      <color theme="1"/>
      <name val="Arial"/>
      <family val="2"/>
    </font>
    <font>
      <b/>
      <sz val="12"/>
      <color rgb="FFFF0000"/>
      <name val="Arial"/>
      <family val="2"/>
    </font>
    <font>
      <b/>
      <sz val="12"/>
      <color rgb="FFC00000"/>
      <name val="Arial"/>
      <family val="2"/>
    </font>
    <font>
      <b/>
      <sz val="12"/>
      <color rgb="FF92D050"/>
      <name val="Arial"/>
      <family val="2"/>
    </font>
    <font>
      <b/>
      <sz val="12"/>
      <color theme="4"/>
      <name val="Arial"/>
      <family val="2"/>
    </font>
    <font>
      <b/>
      <sz val="12"/>
      <color rgb="FF00B050"/>
      <name val="Arial"/>
      <family val="2"/>
    </font>
    <font>
      <b/>
      <sz val="12"/>
      <color rgb="FFFF6600"/>
      <name val="Arial"/>
      <family val="2"/>
    </font>
    <font>
      <b/>
      <sz val="12"/>
      <color rgb="FF7030A0"/>
      <name val="Arial"/>
      <family val="2"/>
    </font>
    <font>
      <sz val="9"/>
      <color rgb="FF000000"/>
      <name val="Arial"/>
      <family val="2"/>
    </font>
    <font>
      <sz val="14"/>
      <name val="Arial"/>
      <family val="2"/>
    </font>
    <font>
      <sz val="9"/>
      <name val="Arial"/>
      <family val="2"/>
    </font>
    <font>
      <b/>
      <sz val="14"/>
      <color theme="1"/>
      <name val="Arial"/>
      <family val="2"/>
    </font>
    <font>
      <sz val="14"/>
      <color theme="1"/>
      <name val="Calibri"/>
      <family val="2"/>
      <scheme val="minor"/>
    </font>
    <font>
      <sz val="10"/>
      <color theme="1"/>
      <name val="Arial"/>
      <family val="2"/>
    </font>
    <font>
      <b/>
      <sz val="14"/>
      <name val="Arial"/>
      <family val="2"/>
    </font>
    <font>
      <sz val="14"/>
      <color theme="1"/>
      <name val="Arial"/>
      <family val="2"/>
    </font>
    <font>
      <sz val="9"/>
      <color theme="1"/>
      <name val="Arial"/>
      <family val="2"/>
    </font>
    <font>
      <b/>
      <sz val="10"/>
      <color indexed="9"/>
      <name val="Arial"/>
    </font>
    <font>
      <b/>
      <sz val="10"/>
      <color indexed="54"/>
      <name val="Arial"/>
    </font>
    <font>
      <sz val="11"/>
      <name val="Calibri"/>
      <family val="2"/>
      <scheme val="minor"/>
    </font>
  </fonts>
  <fills count="30">
    <fill>
      <patternFill patternType="none"/>
    </fill>
    <fill>
      <patternFill patternType="gray125"/>
    </fill>
    <fill>
      <patternFill patternType="solid">
        <fgColor indexed="63"/>
        <bgColor indexed="64"/>
      </patternFill>
    </fill>
    <fill>
      <patternFill patternType="solid">
        <fgColor indexed="55"/>
        <bgColor indexed="64"/>
      </patternFill>
    </fill>
    <fill>
      <patternFill patternType="solid">
        <fgColor indexed="22"/>
        <bgColor indexed="64"/>
      </patternFill>
    </fill>
    <fill>
      <patternFill patternType="solid">
        <fgColor indexed="13"/>
        <bgColor indexed="64"/>
      </patternFill>
    </fill>
    <fill>
      <patternFill patternType="solid">
        <fgColor indexed="54"/>
        <bgColor indexed="64"/>
      </patternFill>
    </fill>
    <fill>
      <patternFill patternType="solid">
        <fgColor rgb="FFFFFF00"/>
        <bgColor indexed="64"/>
      </patternFill>
    </fill>
    <fill>
      <patternFill patternType="solid">
        <fgColor rgb="FF002060"/>
        <bgColor indexed="64"/>
      </patternFill>
    </fill>
    <fill>
      <patternFill patternType="solid">
        <fgColor theme="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FF0000"/>
        <bgColor indexed="64"/>
      </patternFill>
    </fill>
    <fill>
      <patternFill patternType="solid">
        <fgColor theme="2"/>
        <bgColor indexed="64"/>
      </patternFill>
    </fill>
    <fill>
      <patternFill patternType="solid">
        <fgColor theme="9"/>
        <bgColor indexed="64"/>
      </patternFill>
    </fill>
    <fill>
      <patternFill patternType="solid">
        <fgColor theme="5"/>
        <bgColor indexed="64"/>
      </patternFill>
    </fill>
    <fill>
      <patternFill patternType="solid">
        <fgColor theme="2" tint="-9.9978637043366805E-2"/>
        <bgColor indexed="64"/>
      </patternFill>
    </fill>
    <fill>
      <patternFill patternType="solid">
        <fgColor indexed="46"/>
        <bgColor indexed="64"/>
      </patternFill>
    </fill>
    <fill>
      <patternFill patternType="solid">
        <fgColor rgb="FFFFC000"/>
        <bgColor indexed="64"/>
      </patternFill>
    </fill>
    <fill>
      <patternFill patternType="solid">
        <fgColor rgb="FFDE0000"/>
        <bgColor indexed="64"/>
      </patternFill>
    </fill>
    <fill>
      <patternFill patternType="solid">
        <fgColor rgb="FF92D050"/>
        <bgColor indexed="64"/>
      </patternFill>
    </fill>
    <fill>
      <patternFill patternType="solid">
        <fgColor rgb="FF00B050"/>
        <bgColor indexed="64"/>
      </patternFill>
    </fill>
    <fill>
      <patternFill patternType="solid">
        <fgColor rgb="FFFF6600"/>
        <bgColor indexed="64"/>
      </patternFill>
    </fill>
    <fill>
      <patternFill patternType="solid">
        <fgColor rgb="FF800000"/>
        <bgColor indexed="64"/>
      </patternFill>
    </fill>
    <fill>
      <patternFill patternType="solid">
        <fgColor theme="6"/>
        <bgColor indexed="64"/>
      </patternFill>
    </fill>
    <fill>
      <patternFill patternType="solid">
        <fgColor theme="4"/>
        <bgColor indexed="64"/>
      </patternFill>
    </fill>
    <fill>
      <patternFill patternType="solid">
        <fgColor theme="9" tint="0.59999389629810485"/>
        <bgColor indexed="64"/>
      </patternFill>
    </fill>
    <fill>
      <patternFill patternType="solid">
        <fgColor theme="9" tint="-0.249977111117893"/>
        <bgColor indexed="64"/>
      </patternFill>
    </fill>
    <fill>
      <patternFill patternType="solid">
        <fgColor theme="9" tint="0.39997558519241921"/>
        <bgColor indexed="64"/>
      </patternFill>
    </fill>
    <fill>
      <patternFill patternType="solid">
        <fgColor theme="9" tint="0.79998168889431442"/>
        <bgColor indexed="64"/>
      </patternFill>
    </fill>
  </fills>
  <borders count="88">
    <border>
      <left/>
      <right/>
      <top/>
      <bottom/>
      <diagonal/>
    </border>
    <border>
      <left style="thin">
        <color indexed="49"/>
      </left>
      <right style="thin">
        <color indexed="49"/>
      </right>
      <top style="thin">
        <color indexed="49"/>
      </top>
      <bottom style="thin">
        <color indexed="49"/>
      </bottom>
      <diagonal/>
    </border>
    <border>
      <left style="thin">
        <color indexed="63"/>
      </left>
      <right style="thin">
        <color indexed="63"/>
      </right>
      <top style="thin">
        <color indexed="63"/>
      </top>
      <bottom style="thin">
        <color indexed="63"/>
      </bottom>
      <diagonal/>
    </border>
    <border>
      <left/>
      <right/>
      <top/>
      <bottom style="thin">
        <color indexed="63"/>
      </bottom>
      <diagonal/>
    </border>
    <border>
      <left style="thin">
        <color indexed="49"/>
      </left>
      <right style="thin">
        <color indexed="49"/>
      </right>
      <top/>
      <bottom/>
      <diagonal/>
    </border>
    <border>
      <left style="thin">
        <color indexed="63"/>
      </left>
      <right/>
      <top/>
      <bottom/>
      <diagonal/>
    </border>
    <border>
      <left style="thin">
        <color indexed="63"/>
      </left>
      <right/>
      <top style="thin">
        <color indexed="63"/>
      </top>
      <bottom style="thin">
        <color indexed="63"/>
      </bottom>
      <diagonal/>
    </border>
    <border>
      <left/>
      <right/>
      <top style="thin">
        <color indexed="63"/>
      </top>
      <bottom style="thin">
        <color indexed="63"/>
      </bottom>
      <diagonal/>
    </border>
    <border>
      <left/>
      <right style="thin">
        <color indexed="63"/>
      </right>
      <top style="thin">
        <color indexed="63"/>
      </top>
      <bottom style="thin">
        <color indexed="63"/>
      </bottom>
      <diagonal/>
    </border>
    <border>
      <left style="thin">
        <color indexed="63"/>
      </left>
      <right style="thin">
        <color indexed="63"/>
      </right>
      <top style="thin">
        <color indexed="63"/>
      </top>
      <bottom/>
      <diagonal/>
    </border>
    <border>
      <left style="thin">
        <color indexed="63"/>
      </left>
      <right style="thin">
        <color indexed="63"/>
      </right>
      <top/>
      <bottom style="thin">
        <color indexed="63"/>
      </bottom>
      <diagonal/>
    </border>
    <border>
      <left style="thin">
        <color indexed="63"/>
      </left>
      <right/>
      <top style="thin">
        <color indexed="63"/>
      </top>
      <bottom style="thin">
        <color indexed="49"/>
      </bottom>
      <diagonal/>
    </border>
    <border>
      <left/>
      <right style="thin">
        <color indexed="63"/>
      </right>
      <top style="thin">
        <color indexed="63"/>
      </top>
      <bottom style="thin">
        <color indexed="49"/>
      </bottom>
      <diagonal/>
    </border>
    <border>
      <left/>
      <right style="thin">
        <color indexed="63"/>
      </right>
      <top/>
      <bottom/>
      <diagonal/>
    </border>
    <border>
      <left/>
      <right style="thin">
        <color indexed="63"/>
      </right>
      <top/>
      <bottom style="thin">
        <color indexed="63"/>
      </bottom>
      <diagonal/>
    </border>
    <border>
      <left style="thin">
        <color indexed="63"/>
      </left>
      <right/>
      <top/>
      <bottom style="thin">
        <color indexed="63"/>
      </bottom>
      <diagonal/>
    </border>
    <border>
      <left style="thin">
        <color indexed="63"/>
      </left>
      <right style="thin">
        <color indexed="63"/>
      </right>
      <top/>
      <bottom/>
      <diagonal/>
    </border>
    <border>
      <left/>
      <right style="thin">
        <color indexed="63"/>
      </right>
      <top style="thin">
        <color indexed="63"/>
      </top>
      <bottom/>
      <diagonal/>
    </border>
    <border>
      <left/>
      <right/>
      <top style="thin">
        <color indexed="63"/>
      </top>
      <bottom/>
      <diagonal/>
    </border>
    <border>
      <left/>
      <right/>
      <top/>
      <bottom style="thin">
        <color indexed="49"/>
      </bottom>
      <diagonal/>
    </border>
    <border>
      <left style="thin">
        <color indexed="63"/>
      </left>
      <right style="thin">
        <color indexed="63"/>
      </right>
      <top/>
      <bottom style="thin">
        <color indexed="49"/>
      </bottom>
      <diagonal/>
    </border>
    <border>
      <left style="thin">
        <color indexed="49"/>
      </left>
      <right/>
      <top style="thin">
        <color indexed="49"/>
      </top>
      <bottom style="thin">
        <color indexed="49"/>
      </bottom>
      <diagonal/>
    </border>
    <border>
      <left style="thin">
        <color indexed="63"/>
      </left>
      <right/>
      <top style="thin">
        <color indexed="63"/>
      </top>
      <bottom/>
      <diagonal/>
    </border>
    <border>
      <left style="thin">
        <color indexed="49"/>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auto="1"/>
      </right>
      <top style="medium">
        <color auto="1"/>
      </top>
      <bottom style="medium">
        <color auto="1"/>
      </bottom>
      <diagonal/>
    </border>
    <border>
      <left style="thin">
        <color auto="1"/>
      </left>
      <right style="thin">
        <color auto="1"/>
      </right>
      <top/>
      <bottom style="thin">
        <color auto="1"/>
      </bottom>
      <diagonal/>
    </border>
    <border>
      <left style="medium">
        <color indexed="8"/>
      </left>
      <right/>
      <top style="medium">
        <color indexed="8"/>
      </top>
      <bottom style="medium">
        <color indexed="8"/>
      </bottom>
      <diagonal/>
    </border>
    <border>
      <left/>
      <right/>
      <top style="medium">
        <color indexed="8"/>
      </top>
      <bottom style="medium">
        <color indexed="8"/>
      </bottom>
      <diagonal/>
    </border>
    <border>
      <left/>
      <right style="medium">
        <color indexed="8"/>
      </right>
      <top style="medium">
        <color indexed="8"/>
      </top>
      <bottom style="medium">
        <color indexed="8"/>
      </bottom>
      <diagonal/>
    </border>
    <border>
      <left style="thin">
        <color auto="1"/>
      </left>
      <right style="thin">
        <color auto="1"/>
      </right>
      <top style="thin">
        <color auto="1"/>
      </top>
      <bottom/>
      <diagonal/>
    </border>
    <border>
      <left style="medium">
        <color indexed="8"/>
      </left>
      <right style="medium">
        <color indexed="8"/>
      </right>
      <top style="medium">
        <color indexed="8"/>
      </top>
      <bottom/>
      <diagonal/>
    </border>
    <border>
      <left style="medium">
        <color indexed="8"/>
      </left>
      <right style="medium">
        <color indexed="8"/>
      </right>
      <top style="medium">
        <color indexed="8"/>
      </top>
      <bottom/>
      <diagonal/>
    </border>
    <border>
      <left style="medium">
        <color indexed="8"/>
      </left>
      <right/>
      <top style="medium">
        <color indexed="8"/>
      </top>
      <bottom style="medium">
        <color indexed="8"/>
      </bottom>
      <diagonal/>
    </border>
    <border>
      <left/>
      <right style="medium">
        <color indexed="8"/>
      </right>
      <top style="medium">
        <color indexed="8"/>
      </top>
      <bottom/>
      <diagonal/>
    </border>
    <border>
      <left style="medium">
        <color indexed="8"/>
      </left>
      <right/>
      <top style="medium">
        <color indexed="8"/>
      </top>
      <bottom/>
      <diagonal/>
    </border>
    <border>
      <left/>
      <right/>
      <top style="medium">
        <color indexed="8"/>
      </top>
      <bottom/>
      <diagonal/>
    </border>
    <border>
      <left style="medium">
        <color indexed="64"/>
      </left>
      <right style="medium">
        <color indexed="8"/>
      </right>
      <top style="medium">
        <color indexed="64"/>
      </top>
      <bottom style="medium">
        <color indexed="64"/>
      </bottom>
      <diagonal/>
    </border>
    <border>
      <left style="medium">
        <color indexed="8"/>
      </left>
      <right style="medium">
        <color indexed="8"/>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auto="1"/>
      </left>
      <right style="thin">
        <color auto="1"/>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49"/>
      </left>
      <right style="thin">
        <color indexed="49"/>
      </right>
      <top style="thin">
        <color indexed="49"/>
      </top>
      <bottom style="thin">
        <color indexed="49"/>
      </bottom>
      <diagonal/>
    </border>
    <border>
      <left style="thin">
        <color indexed="63"/>
      </left>
      <right style="thin">
        <color indexed="63"/>
      </right>
      <top style="thin">
        <color indexed="63"/>
      </top>
      <bottom style="thin">
        <color indexed="63"/>
      </bottom>
      <diagonal/>
    </border>
    <border>
      <left/>
      <right/>
      <top/>
      <bottom style="thin">
        <color indexed="63"/>
      </bottom>
      <diagonal/>
    </border>
    <border>
      <left/>
      <right style="thin">
        <color indexed="63"/>
      </right>
      <top/>
      <bottom style="thin">
        <color indexed="63"/>
      </bottom>
      <diagonal/>
    </border>
    <border>
      <left/>
      <right/>
      <top style="thin">
        <color indexed="63"/>
      </top>
      <bottom style="thin">
        <color indexed="63"/>
      </bottom>
      <diagonal/>
    </border>
    <border>
      <left style="thin">
        <color indexed="63"/>
      </left>
      <right/>
      <top/>
      <bottom style="thin">
        <color indexed="63"/>
      </bottom>
      <diagonal/>
    </border>
    <border>
      <left style="thin">
        <color indexed="63"/>
      </left>
      <right style="thin">
        <color indexed="63"/>
      </right>
      <top/>
      <bottom style="thin">
        <color indexed="49"/>
      </bottom>
      <diagonal/>
    </border>
    <border>
      <left/>
      <right/>
      <top/>
      <bottom style="thin">
        <color indexed="49"/>
      </bottom>
      <diagonal/>
    </border>
    <border>
      <left style="thin">
        <color auto="1"/>
      </left>
      <right style="thin">
        <color auto="1"/>
      </right>
      <top style="thin">
        <color auto="1"/>
      </top>
      <bottom style="thin">
        <color auto="1"/>
      </bottom>
      <diagonal/>
    </border>
    <border>
      <left/>
      <right style="thin">
        <color indexed="64"/>
      </right>
      <top style="thin">
        <color indexed="64"/>
      </top>
      <bottom style="thin">
        <color indexed="64"/>
      </bottom>
      <diagonal/>
    </border>
    <border>
      <left style="thin">
        <color auto="1"/>
      </left>
      <right/>
      <top style="thin">
        <color auto="1"/>
      </top>
      <bottom style="thin">
        <color auto="1"/>
      </bottom>
      <diagonal/>
    </border>
    <border>
      <left style="thin">
        <color auto="1"/>
      </left>
      <right style="thin">
        <color auto="1"/>
      </right>
      <top/>
      <bottom style="thin">
        <color auto="1"/>
      </bottom>
      <diagonal/>
    </border>
    <border>
      <left style="thin">
        <color indexed="49"/>
      </left>
      <right style="thin">
        <color indexed="49"/>
      </right>
      <top style="thin">
        <color indexed="49"/>
      </top>
      <bottom style="thin">
        <color indexed="49"/>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top style="thin">
        <color indexed="64"/>
      </top>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thin">
        <color indexed="63"/>
      </left>
      <right style="thin">
        <color indexed="63"/>
      </right>
      <top/>
      <bottom/>
      <diagonal/>
    </border>
    <border>
      <left style="thin">
        <color indexed="64"/>
      </left>
      <right style="thin">
        <color indexed="64"/>
      </right>
      <top/>
      <bottom style="thin">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thin">
        <color indexed="49"/>
      </left>
      <right style="thin">
        <color indexed="49"/>
      </right>
      <top style="thin">
        <color indexed="49"/>
      </top>
      <bottom style="thin">
        <color indexed="49"/>
      </bottom>
      <diagonal/>
    </border>
    <border>
      <left style="thin">
        <color auto="1"/>
      </left>
      <right style="thin">
        <color auto="1"/>
      </right>
      <top style="thin">
        <color auto="1"/>
      </top>
      <bottom style="thin">
        <color auto="1"/>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6">
    <xf numFmtId="0" fontId="0" fillId="0" borderId="0"/>
    <xf numFmtId="0" fontId="11" fillId="0" borderId="0"/>
    <xf numFmtId="0" fontId="13" fillId="0" borderId="0"/>
    <xf numFmtId="0" fontId="13" fillId="0" borderId="0"/>
    <xf numFmtId="0" fontId="1" fillId="0" borderId="0"/>
    <xf numFmtId="9" fontId="49" fillId="0" borderId="0" applyFont="0" applyFill="0" applyBorder="0" applyAlignment="0" applyProtection="0"/>
  </cellStyleXfs>
  <cellXfs count="936">
    <xf numFmtId="0" fontId="0" fillId="0" borderId="0" xfId="0"/>
    <xf numFmtId="0" fontId="5" fillId="0" borderId="1" xfId="0" applyFont="1" applyBorder="1" applyAlignment="1">
      <alignment horizontal="right"/>
    </xf>
    <xf numFmtId="0" fontId="5" fillId="0" borderId="1" xfId="0" applyFont="1" applyBorder="1" applyAlignment="1">
      <alignment horizontal="center"/>
    </xf>
    <xf numFmtId="0" fontId="2" fillId="2" borderId="1" xfId="0" applyFont="1" applyFill="1" applyBorder="1" applyAlignment="1">
      <alignment horizontal="left"/>
    </xf>
    <xf numFmtId="0" fontId="5" fillId="3" borderId="1" xfId="0" applyFont="1" applyFill="1" applyBorder="1" applyAlignment="1">
      <alignment horizontal="left"/>
    </xf>
    <xf numFmtId="0" fontId="5" fillId="4" borderId="1" xfId="0" applyFont="1" applyFill="1" applyBorder="1" applyAlignment="1">
      <alignment horizontal="left"/>
    </xf>
    <xf numFmtId="0" fontId="5" fillId="5" borderId="1" xfId="0" applyFont="1" applyFill="1" applyBorder="1" applyAlignment="1">
      <alignment horizontal="left"/>
    </xf>
    <xf numFmtId="0" fontId="2" fillId="6" borderId="2" xfId="0" applyFont="1" applyFill="1" applyBorder="1" applyAlignment="1">
      <alignment horizontal="center" vertical="center" wrapText="1"/>
    </xf>
    <xf numFmtId="0" fontId="2" fillId="2" borderId="1" xfId="0" applyFont="1" applyFill="1" applyBorder="1" applyAlignment="1">
      <alignment horizontal="center"/>
    </xf>
    <xf numFmtId="0" fontId="5" fillId="3" borderId="1" xfId="0" applyFont="1" applyFill="1" applyBorder="1" applyAlignment="1">
      <alignment horizontal="center"/>
    </xf>
    <xf numFmtId="0" fontId="5" fillId="4" borderId="1" xfId="0" applyFont="1" applyFill="1" applyBorder="1" applyAlignment="1">
      <alignment horizontal="center"/>
    </xf>
    <xf numFmtId="0" fontId="5" fillId="5" borderId="1" xfId="0" applyFont="1" applyFill="1" applyBorder="1" applyAlignment="1">
      <alignment horizontal="center"/>
    </xf>
    <xf numFmtId="0" fontId="5" fillId="5" borderId="4" xfId="0" applyFont="1" applyFill="1" applyBorder="1" applyAlignment="1">
      <alignment horizontal="center" vertical="center"/>
    </xf>
    <xf numFmtId="0" fontId="5" fillId="0" borderId="1" xfId="0" applyFont="1" applyBorder="1" applyAlignment="1">
      <alignment horizontal="center" vertical="center"/>
    </xf>
    <xf numFmtId="1" fontId="5" fillId="0" borderId="1" xfId="0" applyNumberFormat="1" applyFont="1" applyBorder="1" applyAlignment="1">
      <alignment horizontal="right"/>
    </xf>
    <xf numFmtId="0" fontId="6" fillId="0" borderId="1" xfId="0" applyFont="1" applyBorder="1" applyAlignment="1">
      <alignment horizontal="right"/>
    </xf>
    <xf numFmtId="0" fontId="5" fillId="0" borderId="1" xfId="0" applyNumberFormat="1" applyFont="1" applyBorder="1" applyAlignment="1">
      <alignment horizontal="center" vertical="center"/>
    </xf>
    <xf numFmtId="0" fontId="5" fillId="3" borderId="1" xfId="0" applyNumberFormat="1" applyFont="1" applyFill="1" applyBorder="1" applyAlignment="1">
      <alignment horizontal="center"/>
    </xf>
    <xf numFmtId="0" fontId="5" fillId="5" borderId="1" xfId="0" applyNumberFormat="1" applyFont="1" applyFill="1" applyBorder="1" applyAlignment="1">
      <alignment horizontal="center"/>
    </xf>
    <xf numFmtId="0" fontId="5" fillId="4" borderId="1" xfId="0" applyNumberFormat="1" applyFont="1" applyFill="1" applyBorder="1" applyAlignment="1">
      <alignment horizontal="center"/>
    </xf>
    <xf numFmtId="0" fontId="2" fillId="2" borderId="1" xfId="0" applyNumberFormat="1" applyFont="1" applyFill="1" applyBorder="1" applyAlignment="1">
      <alignment horizontal="center"/>
    </xf>
    <xf numFmtId="1" fontId="0" fillId="0" borderId="0" xfId="0" applyNumberFormat="1" applyAlignment="1">
      <alignment horizontal="center"/>
    </xf>
    <xf numFmtId="0" fontId="7" fillId="6" borderId="2" xfId="0" applyFont="1" applyFill="1" applyBorder="1" applyAlignment="1">
      <alignment horizontal="center" vertical="center" wrapText="1"/>
    </xf>
    <xf numFmtId="0" fontId="2" fillId="6" borderId="2" xfId="0" applyFont="1" applyFill="1" applyBorder="1" applyAlignment="1">
      <alignment horizontal="center" vertical="center" wrapText="1"/>
    </xf>
    <xf numFmtId="0" fontId="0" fillId="0" borderId="0" xfId="0"/>
    <xf numFmtId="0" fontId="2" fillId="2" borderId="1" xfId="0" applyNumberFormat="1" applyFont="1" applyFill="1" applyBorder="1" applyAlignment="1">
      <alignment horizontal="center" vertical="center"/>
    </xf>
    <xf numFmtId="0" fontId="7" fillId="2" borderId="1" xfId="0" applyFont="1" applyFill="1" applyBorder="1" applyAlignment="1">
      <alignment horizontal="center" vertical="center"/>
    </xf>
    <xf numFmtId="0" fontId="7" fillId="2" borderId="1" xfId="0" applyNumberFormat="1" applyFont="1" applyFill="1" applyBorder="1" applyAlignment="1">
      <alignment horizontal="center" vertical="center"/>
    </xf>
    <xf numFmtId="0" fontId="5" fillId="3" borderId="1" xfId="0" applyNumberFormat="1" applyFont="1" applyFill="1" applyBorder="1" applyAlignment="1">
      <alignment horizontal="center" vertical="center"/>
    </xf>
    <xf numFmtId="0" fontId="6" fillId="3" borderId="1" xfId="0" applyNumberFormat="1" applyFont="1" applyFill="1" applyBorder="1" applyAlignment="1">
      <alignment horizontal="center" vertical="center"/>
    </xf>
    <xf numFmtId="0" fontId="5" fillId="5" borderId="1" xfId="0" applyNumberFormat="1" applyFont="1" applyFill="1" applyBorder="1" applyAlignment="1">
      <alignment horizontal="center" vertical="center"/>
    </xf>
    <xf numFmtId="0" fontId="6" fillId="5" borderId="1" xfId="0" applyNumberFormat="1" applyFont="1" applyFill="1" applyBorder="1" applyAlignment="1">
      <alignment horizontal="center" vertical="center"/>
    </xf>
    <xf numFmtId="0" fontId="5" fillId="4" borderId="1" xfId="0" applyNumberFormat="1" applyFont="1" applyFill="1" applyBorder="1" applyAlignment="1">
      <alignment horizontal="center" vertical="center"/>
    </xf>
    <xf numFmtId="0" fontId="6" fillId="4" borderId="1" xfId="0" applyNumberFormat="1" applyFont="1" applyFill="1" applyBorder="1" applyAlignment="1">
      <alignment horizontal="center" vertical="center"/>
    </xf>
    <xf numFmtId="0" fontId="6" fillId="0" borderId="1" xfId="0" applyNumberFormat="1" applyFont="1" applyBorder="1" applyAlignment="1">
      <alignment horizontal="center" vertical="center"/>
    </xf>
    <xf numFmtId="0" fontId="6" fillId="0" borderId="1" xfId="0" applyNumberFormat="1" applyFont="1" applyFill="1" applyBorder="1" applyAlignment="1">
      <alignment horizontal="center" vertical="center"/>
    </xf>
    <xf numFmtId="0" fontId="5" fillId="0" borderId="1" xfId="0" applyNumberFormat="1" applyFont="1" applyFill="1" applyBorder="1" applyAlignment="1">
      <alignment horizontal="center" vertical="center"/>
    </xf>
    <xf numFmtId="0" fontId="5" fillId="7" borderId="1" xfId="0" applyNumberFormat="1" applyFont="1" applyFill="1" applyBorder="1" applyAlignment="1">
      <alignment horizontal="center" vertical="center"/>
    </xf>
    <xf numFmtId="1" fontId="0" fillId="0" borderId="0" xfId="0" applyNumberFormat="1"/>
    <xf numFmtId="1" fontId="5" fillId="0" borderId="1" xfId="0" applyNumberFormat="1" applyFont="1" applyBorder="1" applyAlignment="1">
      <alignment horizontal="center"/>
    </xf>
    <xf numFmtId="0" fontId="2" fillId="6" borderId="5" xfId="0" applyFont="1" applyFill="1" applyBorder="1" applyAlignment="1">
      <alignment horizontal="center" vertical="center" wrapText="1"/>
    </xf>
    <xf numFmtId="0" fontId="2" fillId="6" borderId="0" xfId="0" applyFont="1" applyFill="1" applyBorder="1" applyAlignment="1">
      <alignment horizontal="center" vertical="center" wrapText="1"/>
    </xf>
    <xf numFmtId="0" fontId="6" fillId="4" borderId="4" xfId="0" applyNumberFormat="1" applyFont="1" applyFill="1" applyBorder="1" applyAlignment="1">
      <alignment horizontal="center"/>
    </xf>
    <xf numFmtId="0" fontId="2" fillId="6" borderId="2" xfId="0" applyFont="1" applyFill="1" applyBorder="1" applyAlignment="1">
      <alignment horizontal="center" vertical="center" wrapText="1"/>
    </xf>
    <xf numFmtId="0" fontId="0" fillId="0" borderId="0" xfId="0"/>
    <xf numFmtId="0" fontId="2" fillId="6" borderId="5" xfId="0" applyFont="1" applyFill="1" applyBorder="1" applyAlignment="1">
      <alignment horizontal="center" vertical="center" wrapText="1"/>
    </xf>
    <xf numFmtId="0" fontId="2" fillId="6" borderId="0" xfId="0" applyFont="1" applyFill="1" applyBorder="1" applyAlignment="1">
      <alignment horizontal="center" vertical="center" wrapText="1"/>
    </xf>
    <xf numFmtId="0" fontId="2" fillId="6" borderId="9" xfId="0" applyFont="1" applyFill="1" applyBorder="1" applyAlignment="1">
      <alignment horizontal="center" vertical="center" wrapText="1"/>
    </xf>
    <xf numFmtId="1" fontId="5" fillId="0" borderId="0" xfId="0" applyNumberFormat="1" applyFont="1" applyBorder="1" applyAlignment="1">
      <alignment horizontal="center"/>
    </xf>
    <xf numFmtId="0" fontId="2" fillId="6" borderId="5" xfId="0" applyFont="1" applyFill="1" applyBorder="1" applyAlignment="1">
      <alignment horizontal="center" vertical="center" wrapText="1"/>
    </xf>
    <xf numFmtId="0" fontId="2" fillId="6" borderId="0" xfId="0" applyFont="1" applyFill="1" applyBorder="1" applyAlignment="1">
      <alignment horizontal="center" vertical="center" wrapText="1"/>
    </xf>
    <xf numFmtId="1" fontId="5" fillId="0" borderId="1" xfId="0" applyNumberFormat="1" applyFont="1" applyBorder="1" applyAlignment="1">
      <alignment horizontal="center" vertical="center"/>
    </xf>
    <xf numFmtId="0" fontId="2" fillId="6" borderId="2" xfId="0" applyFont="1" applyFill="1" applyBorder="1" applyAlignment="1">
      <alignment horizontal="center" vertical="center" wrapText="1"/>
    </xf>
    <xf numFmtId="0" fontId="0" fillId="0" borderId="0" xfId="0"/>
    <xf numFmtId="0" fontId="2" fillId="6" borderId="5" xfId="0" applyFont="1" applyFill="1" applyBorder="1" applyAlignment="1">
      <alignment horizontal="center" vertical="center" wrapText="1"/>
    </xf>
    <xf numFmtId="0" fontId="2" fillId="6" borderId="0" xfId="0" applyFont="1" applyFill="1" applyBorder="1" applyAlignment="1">
      <alignment horizontal="center" vertical="center" wrapText="1"/>
    </xf>
    <xf numFmtId="0" fontId="2" fillId="6" borderId="2" xfId="0" applyFont="1" applyFill="1" applyBorder="1" applyAlignment="1">
      <alignment horizontal="center" vertical="center" wrapText="1"/>
    </xf>
    <xf numFmtId="0" fontId="0" fillId="0" borderId="0" xfId="0"/>
    <xf numFmtId="0" fontId="2" fillId="6" borderId="6" xfId="0" applyFont="1" applyFill="1" applyBorder="1" applyAlignment="1">
      <alignment horizontal="center" vertical="center" wrapText="1"/>
    </xf>
    <xf numFmtId="0" fontId="2" fillId="6" borderId="5" xfId="0" applyFont="1" applyFill="1" applyBorder="1" applyAlignment="1">
      <alignment horizontal="center" vertical="center" wrapText="1"/>
    </xf>
    <xf numFmtId="0" fontId="2" fillId="6" borderId="0" xfId="0" applyFont="1" applyFill="1" applyBorder="1" applyAlignment="1">
      <alignment horizontal="center" vertical="center" wrapText="1"/>
    </xf>
    <xf numFmtId="0" fontId="6" fillId="0" borderId="1" xfId="0" applyFont="1" applyBorder="1" applyAlignment="1">
      <alignment horizontal="center"/>
    </xf>
    <xf numFmtId="0" fontId="6" fillId="0" borderId="1" xfId="0" applyFont="1" applyBorder="1" applyAlignment="1">
      <alignment horizontal="left"/>
    </xf>
    <xf numFmtId="9" fontId="2" fillId="2" borderId="1" xfId="0" applyNumberFormat="1" applyFont="1" applyFill="1" applyBorder="1" applyAlignment="1">
      <alignment horizontal="center"/>
    </xf>
    <xf numFmtId="9" fontId="5" fillId="3" borderId="1" xfId="0" applyNumberFormat="1" applyFont="1" applyFill="1" applyBorder="1" applyAlignment="1">
      <alignment horizontal="center"/>
    </xf>
    <xf numFmtId="9" fontId="5" fillId="5" borderId="1" xfId="0" applyNumberFormat="1" applyFont="1" applyFill="1" applyBorder="1" applyAlignment="1">
      <alignment horizontal="center"/>
    </xf>
    <xf numFmtId="9" fontId="6" fillId="0" borderId="1" xfId="0" applyNumberFormat="1" applyFont="1" applyBorder="1" applyAlignment="1">
      <alignment horizontal="center"/>
    </xf>
    <xf numFmtId="0" fontId="0" fillId="0" borderId="1" xfId="0" applyBorder="1"/>
    <xf numFmtId="0" fontId="5" fillId="0" borderId="0" xfId="0" applyFont="1" applyBorder="1" applyAlignment="1">
      <alignment horizontal="right"/>
    </xf>
    <xf numFmtId="0" fontId="6" fillId="0" borderId="1" xfId="0" applyFont="1" applyFill="1" applyBorder="1" applyAlignment="1">
      <alignment horizontal="right"/>
    </xf>
    <xf numFmtId="0" fontId="5" fillId="0" borderId="4" xfId="0" applyFont="1" applyBorder="1" applyAlignment="1">
      <alignment horizontal="right"/>
    </xf>
    <xf numFmtId="0" fontId="5" fillId="0" borderId="1" xfId="0" applyFont="1" applyFill="1" applyBorder="1" applyAlignment="1">
      <alignment horizontal="center"/>
    </xf>
    <xf numFmtId="0" fontId="5" fillId="0" borderId="4" xfId="0" applyFont="1" applyBorder="1" applyAlignment="1">
      <alignment horizontal="center"/>
    </xf>
    <xf numFmtId="0" fontId="6" fillId="0" borderId="0" xfId="0" applyFont="1" applyBorder="1" applyAlignment="1">
      <alignment horizontal="center"/>
    </xf>
    <xf numFmtId="9" fontId="6" fillId="0" borderId="0" xfId="0" applyNumberFormat="1" applyFont="1" applyBorder="1" applyAlignment="1">
      <alignment horizontal="center"/>
    </xf>
    <xf numFmtId="0" fontId="5" fillId="0" borderId="0" xfId="0" applyNumberFormat="1" applyFont="1" applyBorder="1" applyAlignment="1">
      <alignment horizontal="center" vertical="center"/>
    </xf>
    <xf numFmtId="0" fontId="7" fillId="2" borderId="1" xfId="0" applyFont="1" applyFill="1" applyBorder="1" applyAlignment="1">
      <alignment horizontal="center"/>
    </xf>
    <xf numFmtId="0" fontId="6" fillId="3" borderId="1" xfId="0" applyFont="1" applyFill="1" applyBorder="1" applyAlignment="1">
      <alignment horizontal="center"/>
    </xf>
    <xf numFmtId="0" fontId="6" fillId="5" borderId="1" xfId="0" applyFont="1" applyFill="1" applyBorder="1" applyAlignment="1">
      <alignment horizontal="center"/>
    </xf>
    <xf numFmtId="0" fontId="6" fillId="3" borderId="1" xfId="0" applyFont="1" applyFill="1" applyBorder="1" applyAlignment="1">
      <alignment horizontal="center" vertical="center"/>
    </xf>
    <xf numFmtId="0" fontId="7" fillId="6" borderId="15" xfId="0" applyFont="1" applyFill="1" applyBorder="1" applyAlignment="1">
      <alignment horizontal="center" vertical="center"/>
    </xf>
    <xf numFmtId="0" fontId="7" fillId="6" borderId="3" xfId="0" applyFont="1" applyFill="1" applyBorder="1" applyAlignment="1">
      <alignment horizontal="center" vertical="center"/>
    </xf>
    <xf numFmtId="0" fontId="7" fillId="6" borderId="14" xfId="0" applyFont="1" applyFill="1" applyBorder="1" applyAlignment="1">
      <alignment horizontal="center" vertical="center"/>
    </xf>
    <xf numFmtId="0" fontId="7" fillId="6" borderId="2" xfId="0" applyFont="1" applyFill="1" applyBorder="1" applyAlignment="1">
      <alignment horizontal="center" vertical="center"/>
    </xf>
    <xf numFmtId="9" fontId="7" fillId="2" borderId="1" xfId="0" applyNumberFormat="1" applyFont="1" applyFill="1" applyBorder="1" applyAlignment="1">
      <alignment horizontal="center"/>
    </xf>
    <xf numFmtId="9" fontId="6" fillId="3" borderId="1" xfId="0" applyNumberFormat="1" applyFont="1" applyFill="1" applyBorder="1" applyAlignment="1">
      <alignment horizontal="center"/>
    </xf>
    <xf numFmtId="9" fontId="6" fillId="5" borderId="1" xfId="0" applyNumberFormat="1" applyFont="1" applyFill="1" applyBorder="1" applyAlignment="1">
      <alignment horizontal="center"/>
    </xf>
    <xf numFmtId="9" fontId="7" fillId="2" borderId="1" xfId="0" applyNumberFormat="1" applyFont="1" applyFill="1" applyBorder="1" applyAlignment="1">
      <alignment horizontal="center" vertical="center"/>
    </xf>
    <xf numFmtId="9" fontId="6" fillId="3" borderId="1" xfId="0" applyNumberFormat="1" applyFont="1" applyFill="1" applyBorder="1" applyAlignment="1">
      <alignment horizontal="center" vertical="center"/>
    </xf>
    <xf numFmtId="9" fontId="6" fillId="5" borderId="1" xfId="0" applyNumberFormat="1" applyFont="1" applyFill="1" applyBorder="1" applyAlignment="1">
      <alignment horizontal="center" vertical="center"/>
    </xf>
    <xf numFmtId="0" fontId="6" fillId="5" borderId="1" xfId="0" applyFont="1" applyFill="1" applyBorder="1" applyAlignment="1">
      <alignment horizontal="center" vertical="center"/>
    </xf>
    <xf numFmtId="0" fontId="6" fillId="0" borderId="1" xfId="0" applyFont="1" applyBorder="1" applyAlignment="1">
      <alignment horizontal="center" vertical="center"/>
    </xf>
    <xf numFmtId="9" fontId="6" fillId="0" borderId="1" xfId="0" applyNumberFormat="1" applyFont="1" applyBorder="1" applyAlignment="1">
      <alignment horizontal="center" vertical="center"/>
    </xf>
    <xf numFmtId="9" fontId="5" fillId="3" borderId="1" xfId="0" applyNumberFormat="1" applyFont="1" applyFill="1" applyBorder="1" applyAlignment="1">
      <alignment horizontal="center" vertical="center"/>
    </xf>
    <xf numFmtId="0" fontId="5" fillId="5" borderId="1" xfId="0" applyFont="1" applyFill="1" applyBorder="1" applyAlignment="1">
      <alignment horizontal="center" vertical="center"/>
    </xf>
    <xf numFmtId="0" fontId="5" fillId="0" borderId="1" xfId="0" applyNumberFormat="1" applyFont="1" applyBorder="1" applyAlignment="1">
      <alignment horizontal="center"/>
    </xf>
    <xf numFmtId="9" fontId="5" fillId="0" borderId="1" xfId="0" applyNumberFormat="1" applyFont="1" applyBorder="1" applyAlignment="1">
      <alignment horizontal="center"/>
    </xf>
    <xf numFmtId="9" fontId="2" fillId="2" borderId="1" xfId="0" applyNumberFormat="1" applyFont="1" applyFill="1" applyBorder="1" applyAlignment="1">
      <alignment horizontal="center" vertical="center"/>
    </xf>
    <xf numFmtId="9" fontId="5" fillId="5" borderId="1" xfId="0" applyNumberFormat="1" applyFont="1" applyFill="1" applyBorder="1" applyAlignment="1">
      <alignment horizontal="center" vertical="center"/>
    </xf>
    <xf numFmtId="9" fontId="5" fillId="0" borderId="1" xfId="0" applyNumberFormat="1" applyFont="1" applyBorder="1" applyAlignment="1">
      <alignment horizontal="center" vertical="center"/>
    </xf>
    <xf numFmtId="0" fontId="0" fillId="0" borderId="0" xfId="0" applyAlignment="1">
      <alignment vertical="center"/>
    </xf>
    <xf numFmtId="1" fontId="0" fillId="0" borderId="0" xfId="0" applyNumberFormat="1" applyAlignment="1">
      <alignment horizontal="center" vertical="center"/>
    </xf>
    <xf numFmtId="1" fontId="5" fillId="0" borderId="0" xfId="0" applyNumberFormat="1" applyFont="1" applyBorder="1" applyAlignment="1">
      <alignment horizontal="center" vertical="center"/>
    </xf>
    <xf numFmtId="0" fontId="2" fillId="6" borderId="2" xfId="0" applyFont="1" applyFill="1" applyBorder="1" applyAlignment="1">
      <alignment horizontal="center" vertical="center" wrapText="1"/>
    </xf>
    <xf numFmtId="0" fontId="0" fillId="0" borderId="0" xfId="0"/>
    <xf numFmtId="0" fontId="2" fillId="6" borderId="5" xfId="0" applyFont="1" applyFill="1" applyBorder="1" applyAlignment="1">
      <alignment horizontal="center" vertical="center" wrapText="1"/>
    </xf>
    <xf numFmtId="0" fontId="0" fillId="0" borderId="0" xfId="0" applyAlignment="1">
      <alignment vertical="center"/>
    </xf>
    <xf numFmtId="0" fontId="5" fillId="4" borderId="21" xfId="0" applyNumberFormat="1" applyFont="1" applyFill="1" applyBorder="1" applyAlignment="1">
      <alignment horizontal="center" vertical="center"/>
    </xf>
    <xf numFmtId="1" fontId="5" fillId="0" borderId="21" xfId="0" applyNumberFormat="1" applyFont="1" applyBorder="1" applyAlignment="1">
      <alignment horizontal="center"/>
    </xf>
    <xf numFmtId="0" fontId="2" fillId="0" borderId="0" xfId="0" applyFont="1" applyFill="1" applyBorder="1" applyAlignment="1">
      <alignment horizontal="center" vertical="center" wrapText="1"/>
    </xf>
    <xf numFmtId="0" fontId="0" fillId="0" borderId="0" xfId="0" applyFill="1" applyBorder="1"/>
    <xf numFmtId="0" fontId="5" fillId="0" borderId="0" xfId="0" applyNumberFormat="1" applyFont="1" applyFill="1" applyBorder="1" applyAlignment="1">
      <alignment horizontal="center" vertical="center"/>
    </xf>
    <xf numFmtId="1" fontId="5" fillId="0" borderId="0" xfId="0" applyNumberFormat="1" applyFont="1" applyFill="1" applyBorder="1" applyAlignment="1">
      <alignment horizontal="center"/>
    </xf>
    <xf numFmtId="0" fontId="2" fillId="0" borderId="0" xfId="0" applyFont="1" applyFill="1" applyBorder="1" applyAlignment="1">
      <alignment vertical="center" wrapText="1"/>
    </xf>
    <xf numFmtId="0" fontId="5" fillId="0" borderId="0" xfId="0" applyNumberFormat="1" applyFont="1" applyFill="1" applyBorder="1" applyAlignment="1">
      <alignment horizontal="center"/>
    </xf>
    <xf numFmtId="0" fontId="5" fillId="4" borderId="21" xfId="0" applyFont="1" applyFill="1" applyBorder="1" applyAlignment="1">
      <alignment horizontal="left"/>
    </xf>
    <xf numFmtId="0" fontId="5" fillId="0" borderId="0" xfId="0" applyFont="1" applyFill="1" applyBorder="1" applyAlignment="1">
      <alignment horizontal="left"/>
    </xf>
    <xf numFmtId="0" fontId="5" fillId="4" borderId="21" xfId="0" applyFont="1" applyFill="1" applyBorder="1" applyAlignment="1">
      <alignment horizontal="center"/>
    </xf>
    <xf numFmtId="0" fontId="6" fillId="4" borderId="23" xfId="0" applyNumberFormat="1" applyFont="1" applyFill="1" applyBorder="1" applyAlignment="1">
      <alignment horizontal="center"/>
    </xf>
    <xf numFmtId="1" fontId="5" fillId="0" borderId="0" xfId="0" applyNumberFormat="1" applyFont="1" applyFill="1" applyBorder="1" applyAlignment="1">
      <alignment horizontal="center" vertical="center"/>
    </xf>
    <xf numFmtId="0" fontId="9" fillId="6" borderId="2" xfId="0" applyFont="1" applyFill="1" applyBorder="1" applyAlignment="1">
      <alignment horizontal="center" vertical="center" wrapText="1"/>
    </xf>
    <xf numFmtId="0" fontId="9" fillId="6" borderId="6" xfId="0" applyFont="1" applyFill="1" applyBorder="1" applyAlignment="1">
      <alignment horizontal="center" vertical="center" wrapText="1"/>
    </xf>
    <xf numFmtId="0" fontId="10" fillId="4" borderId="1" xfId="0" applyFont="1" applyFill="1" applyBorder="1" applyAlignment="1">
      <alignment horizontal="left"/>
    </xf>
    <xf numFmtId="0" fontId="10" fillId="4" borderId="1" xfId="0" applyNumberFormat="1" applyFont="1" applyFill="1" applyBorder="1" applyAlignment="1">
      <alignment horizontal="center" vertical="center"/>
    </xf>
    <xf numFmtId="1" fontId="10" fillId="0" borderId="1" xfId="0" applyNumberFormat="1" applyFont="1" applyBorder="1" applyAlignment="1">
      <alignment horizontal="center"/>
    </xf>
    <xf numFmtId="1" fontId="5" fillId="0" borderId="21" xfId="0" applyNumberFormat="1" applyFont="1" applyBorder="1" applyAlignment="1">
      <alignment horizontal="center" vertical="center"/>
    </xf>
    <xf numFmtId="0" fontId="0" fillId="0" borderId="0" xfId="0" applyFill="1" applyBorder="1" applyAlignment="1">
      <alignment vertical="center"/>
    </xf>
    <xf numFmtId="1" fontId="0" fillId="0" borderId="0" xfId="0" applyNumberFormat="1" applyFill="1" applyBorder="1"/>
    <xf numFmtId="0" fontId="2" fillId="6" borderId="2" xfId="0" applyFont="1" applyFill="1" applyBorder="1" applyAlignment="1">
      <alignment horizontal="center" vertical="center" wrapText="1"/>
    </xf>
    <xf numFmtId="0" fontId="0" fillId="0" borderId="0" xfId="0"/>
    <xf numFmtId="0" fontId="2" fillId="6" borderId="5" xfId="0" applyFont="1" applyFill="1" applyBorder="1" applyAlignment="1">
      <alignment horizontal="center" vertical="center" wrapText="1"/>
    </xf>
    <xf numFmtId="0" fontId="7" fillId="6" borderId="2" xfId="0" applyFont="1" applyFill="1" applyBorder="1" applyAlignment="1">
      <alignment horizontal="center" vertical="center" wrapText="1"/>
    </xf>
    <xf numFmtId="0" fontId="0" fillId="0" borderId="0" xfId="0" applyAlignment="1">
      <alignment vertical="center"/>
    </xf>
    <xf numFmtId="0" fontId="2" fillId="0" borderId="0" xfId="0" applyFont="1" applyFill="1" applyBorder="1" applyAlignment="1">
      <alignment horizontal="center" vertical="center" wrapText="1"/>
    </xf>
    <xf numFmtId="0" fontId="0" fillId="0" borderId="0" xfId="0"/>
    <xf numFmtId="0" fontId="2" fillId="6" borderId="0" xfId="0" applyFont="1" applyFill="1" applyBorder="1" applyAlignment="1">
      <alignment horizontal="center" vertical="center" wrapText="1"/>
    </xf>
    <xf numFmtId="0" fontId="7" fillId="6" borderId="0" xfId="0" applyFont="1" applyFill="1" applyBorder="1" applyAlignment="1">
      <alignment horizontal="center" vertical="center" wrapText="1"/>
    </xf>
    <xf numFmtId="0" fontId="7" fillId="6" borderId="0" xfId="0" applyFont="1" applyFill="1" applyBorder="1" applyAlignment="1">
      <alignment horizontal="center" vertical="center"/>
    </xf>
    <xf numFmtId="9" fontId="0" fillId="0" borderId="0" xfId="0" applyNumberFormat="1"/>
    <xf numFmtId="0" fontId="0" fillId="0" borderId="0" xfId="0" applyAlignment="1">
      <alignment horizontal="center"/>
    </xf>
    <xf numFmtId="0" fontId="2" fillId="0" borderId="5" xfId="0" applyFont="1" applyFill="1" applyBorder="1" applyAlignment="1">
      <alignment vertical="center" wrapText="1"/>
    </xf>
    <xf numFmtId="0" fontId="2" fillId="0" borderId="13" xfId="0" applyFont="1" applyFill="1" applyBorder="1" applyAlignment="1">
      <alignment vertical="center" wrapText="1"/>
    </xf>
    <xf numFmtId="0" fontId="2" fillId="6" borderId="6" xfId="0" applyFont="1" applyFill="1" applyBorder="1" applyAlignment="1">
      <alignment vertical="center" wrapText="1"/>
    </xf>
    <xf numFmtId="0" fontId="2" fillId="6" borderId="8" xfId="0" applyFont="1" applyFill="1" applyBorder="1" applyAlignment="1">
      <alignment vertical="center" wrapText="1"/>
    </xf>
    <xf numFmtId="0" fontId="2" fillId="2" borderId="21" xfId="0" applyNumberFormat="1" applyFont="1" applyFill="1" applyBorder="1" applyAlignment="1">
      <alignment horizontal="center" vertical="center"/>
    </xf>
    <xf numFmtId="0" fontId="5" fillId="3" borderId="21" xfId="0" applyNumberFormat="1" applyFont="1" applyFill="1" applyBorder="1" applyAlignment="1">
      <alignment horizontal="center" vertical="center"/>
    </xf>
    <xf numFmtId="0" fontId="5" fillId="5" borderId="21" xfId="0" applyNumberFormat="1" applyFont="1" applyFill="1" applyBorder="1" applyAlignment="1">
      <alignment horizontal="center" vertical="center"/>
    </xf>
    <xf numFmtId="0" fontId="5" fillId="5" borderId="23" xfId="0" applyFont="1" applyFill="1" applyBorder="1" applyAlignment="1">
      <alignment horizontal="center" vertical="center"/>
    </xf>
    <xf numFmtId="0" fontId="2" fillId="0" borderId="0" xfId="0" applyNumberFormat="1" applyFont="1" applyFill="1" applyBorder="1" applyAlignment="1">
      <alignment horizontal="center" vertical="center"/>
    </xf>
    <xf numFmtId="0" fontId="5" fillId="0" borderId="0" xfId="0" applyFont="1" applyFill="1" applyBorder="1" applyAlignment="1">
      <alignment horizontal="center" vertical="center"/>
    </xf>
    <xf numFmtId="9" fontId="0" fillId="0" borderId="0" xfId="0" applyNumberFormat="1" applyAlignment="1">
      <alignment horizontal="center"/>
    </xf>
    <xf numFmtId="9" fontId="5" fillId="0" borderId="0" xfId="0" applyNumberFormat="1" applyFont="1" applyFill="1" applyBorder="1" applyAlignment="1">
      <alignment horizontal="center"/>
    </xf>
    <xf numFmtId="0" fontId="2" fillId="6" borderId="2" xfId="0" applyNumberFormat="1" applyFont="1" applyFill="1" applyBorder="1" applyAlignment="1">
      <alignment horizontal="center" vertical="center" wrapText="1"/>
    </xf>
    <xf numFmtId="0" fontId="7" fillId="6" borderId="2" xfId="0" applyFont="1" applyFill="1" applyBorder="1" applyAlignment="1">
      <alignment horizontal="left" vertical="center" wrapText="1"/>
    </xf>
    <xf numFmtId="0" fontId="11" fillId="9" borderId="0" xfId="1" applyFill="1"/>
    <xf numFmtId="0" fontId="11" fillId="10" borderId="0" xfId="1" applyFill="1"/>
    <xf numFmtId="0" fontId="11" fillId="11" borderId="0" xfId="1" applyFill="1"/>
    <xf numFmtId="0" fontId="12" fillId="9" borderId="0" xfId="1" applyFont="1" applyFill="1" applyAlignment="1">
      <alignment horizontal="left"/>
    </xf>
    <xf numFmtId="0" fontId="12" fillId="9" borderId="0" xfId="1" applyFont="1" applyFill="1" applyAlignment="1">
      <alignment horizontal="center"/>
    </xf>
    <xf numFmtId="0" fontId="15" fillId="11" borderId="24" xfId="1" applyFont="1" applyFill="1" applyBorder="1" applyAlignment="1">
      <alignment horizontal="center" vertical="center" wrapText="1"/>
    </xf>
    <xf numFmtId="0" fontId="17" fillId="11" borderId="24" xfId="1" applyFont="1" applyFill="1" applyBorder="1" applyAlignment="1">
      <alignment horizontal="center" vertical="center" wrapText="1"/>
    </xf>
    <xf numFmtId="9" fontId="18" fillId="9" borderId="24" xfId="1" applyNumberFormat="1" applyFont="1" applyFill="1" applyBorder="1" applyAlignment="1">
      <alignment horizontal="center" vertical="center"/>
    </xf>
    <xf numFmtId="0" fontId="14" fillId="11" borderId="24" xfId="2" applyFont="1" applyFill="1" applyBorder="1" applyAlignment="1">
      <alignment horizontal="center" vertical="center" wrapText="1"/>
    </xf>
    <xf numFmtId="9" fontId="18" fillId="12" borderId="24" xfId="1" applyNumberFormat="1" applyFont="1" applyFill="1" applyBorder="1" applyAlignment="1">
      <alignment horizontal="center" vertical="center"/>
    </xf>
    <xf numFmtId="9" fontId="11" fillId="9" borderId="0" xfId="1" applyNumberFormat="1" applyFill="1"/>
    <xf numFmtId="0" fontId="11" fillId="0" borderId="0" xfId="1"/>
    <xf numFmtId="0" fontId="20" fillId="14" borderId="2" xfId="1" applyFont="1" applyFill="1" applyBorder="1" applyAlignment="1">
      <alignment horizontal="center" vertical="center" wrapText="1"/>
    </xf>
    <xf numFmtId="0" fontId="20" fillId="11" borderId="2" xfId="1" applyFont="1" applyFill="1" applyBorder="1" applyAlignment="1">
      <alignment horizontal="center" vertical="center" wrapText="1"/>
    </xf>
    <xf numFmtId="0" fontId="20" fillId="15" borderId="2" xfId="1" applyFont="1" applyFill="1" applyBorder="1" applyAlignment="1">
      <alignment horizontal="center" vertical="center" wrapText="1"/>
    </xf>
    <xf numFmtId="0" fontId="20" fillId="9" borderId="2" xfId="1" applyFont="1" applyFill="1" applyBorder="1" applyAlignment="1">
      <alignment horizontal="center" vertical="center" wrapText="1"/>
    </xf>
    <xf numFmtId="0" fontId="21" fillId="10" borderId="0" xfId="1" applyFont="1" applyFill="1"/>
    <xf numFmtId="1" fontId="11" fillId="10" borderId="0" xfId="1" applyNumberFormat="1" applyFill="1"/>
    <xf numFmtId="0" fontId="11" fillId="13" borderId="0" xfId="1" applyFill="1"/>
    <xf numFmtId="0" fontId="11" fillId="9" borderId="0" xfId="1" applyFill="1" applyBorder="1"/>
    <xf numFmtId="0" fontId="11" fillId="9" borderId="0" xfId="1" applyFill="1" applyAlignment="1">
      <alignment vertical="top" wrapText="1"/>
    </xf>
    <xf numFmtId="0" fontId="25" fillId="9" borderId="0" xfId="1" applyFont="1" applyFill="1" applyBorder="1"/>
    <xf numFmtId="0" fontId="26" fillId="9" borderId="0" xfId="1" applyFont="1" applyFill="1" applyBorder="1" applyAlignment="1">
      <alignment horizontal="left"/>
    </xf>
    <xf numFmtId="0" fontId="26" fillId="9" borderId="0" xfId="1" applyFont="1" applyFill="1" applyAlignment="1">
      <alignment horizontal="center"/>
    </xf>
    <xf numFmtId="0" fontId="25" fillId="9" borderId="0" xfId="1" applyFont="1" applyFill="1"/>
    <xf numFmtId="0" fontId="24" fillId="9" borderId="0" xfId="1" applyFont="1" applyFill="1" applyAlignment="1">
      <alignment horizontal="center"/>
    </xf>
    <xf numFmtId="9" fontId="11" fillId="9" borderId="0" xfId="1" applyNumberFormat="1" applyFont="1" applyFill="1"/>
    <xf numFmtId="165" fontId="26" fillId="9" borderId="0" xfId="1" applyNumberFormat="1" applyFont="1" applyFill="1" applyBorder="1" applyAlignment="1">
      <alignment horizontal="left"/>
    </xf>
    <xf numFmtId="0" fontId="33" fillId="9" borderId="0" xfId="1" applyFont="1" applyFill="1" applyBorder="1" applyAlignment="1">
      <alignment horizontal="center" vertical="center" wrapText="1"/>
    </xf>
    <xf numFmtId="0" fontId="36" fillId="9" borderId="0" xfId="1" applyFont="1" applyFill="1" applyBorder="1"/>
    <xf numFmtId="0" fontId="25" fillId="11" borderId="0" xfId="1" applyFont="1" applyFill="1" applyBorder="1"/>
    <xf numFmtId="0" fontId="2" fillId="2" borderId="1" xfId="0" applyNumberFormat="1" applyFont="1" applyFill="1" applyBorder="1" applyAlignment="1">
      <alignment horizontal="left"/>
    </xf>
    <xf numFmtId="0" fontId="5" fillId="3" borderId="1" xfId="0" applyNumberFormat="1" applyFont="1" applyFill="1" applyBorder="1" applyAlignment="1">
      <alignment horizontal="left"/>
    </xf>
    <xf numFmtId="0" fontId="5" fillId="5" borderId="1" xfId="0" applyNumberFormat="1" applyFont="1" applyFill="1" applyBorder="1" applyAlignment="1">
      <alignment horizontal="left"/>
    </xf>
    <xf numFmtId="0" fontId="5" fillId="0" borderId="1" xfId="0" applyNumberFormat="1" applyFont="1" applyBorder="1" applyAlignment="1">
      <alignment horizontal="left"/>
    </xf>
    <xf numFmtId="0" fontId="6" fillId="0" borderId="1" xfId="0" applyNumberFormat="1" applyFont="1" applyBorder="1" applyAlignment="1">
      <alignment horizontal="left"/>
    </xf>
    <xf numFmtId="1" fontId="2" fillId="2" borderId="1" xfId="0" applyNumberFormat="1" applyFont="1" applyFill="1" applyBorder="1" applyAlignment="1">
      <alignment horizontal="center" vertical="center"/>
    </xf>
    <xf numFmtId="1" fontId="5" fillId="3" borderId="1" xfId="0" applyNumberFormat="1" applyFont="1" applyFill="1" applyBorder="1" applyAlignment="1">
      <alignment horizontal="center" vertical="center"/>
    </xf>
    <xf numFmtId="1" fontId="5" fillId="5" borderId="1" xfId="0" applyNumberFormat="1" applyFont="1" applyFill="1" applyBorder="1" applyAlignment="1">
      <alignment horizontal="center" vertical="center"/>
    </xf>
    <xf numFmtId="1" fontId="6" fillId="0" borderId="1" xfId="0" applyNumberFormat="1" applyFont="1" applyBorder="1" applyAlignment="1">
      <alignment horizontal="center" vertical="center"/>
    </xf>
    <xf numFmtId="1" fontId="6" fillId="0" borderId="1" xfId="0" applyNumberFormat="1" applyFont="1" applyFill="1" applyBorder="1" applyAlignment="1">
      <alignment horizontal="center" vertical="center"/>
    </xf>
    <xf numFmtId="1" fontId="5" fillId="0" borderId="4" xfId="0" applyNumberFormat="1" applyFont="1" applyBorder="1" applyAlignment="1">
      <alignment horizontal="center" vertical="center"/>
    </xf>
    <xf numFmtId="0" fontId="6" fillId="0" borderId="1" xfId="0" applyNumberFormat="1" applyFont="1" applyBorder="1" applyAlignment="1">
      <alignment horizontal="right"/>
    </xf>
    <xf numFmtId="0" fontId="2" fillId="6" borderId="0" xfId="0" applyNumberFormat="1" applyFont="1" applyFill="1" applyBorder="1" applyAlignment="1">
      <alignment horizontal="center" vertical="center" wrapText="1"/>
    </xf>
    <xf numFmtId="0" fontId="7" fillId="6" borderId="19" xfId="0" applyFont="1" applyFill="1" applyBorder="1" applyAlignment="1">
      <alignment horizontal="center" vertical="center"/>
    </xf>
    <xf numFmtId="0" fontId="1" fillId="0" borderId="0" xfId="4"/>
    <xf numFmtId="0" fontId="1" fillId="0" borderId="24" xfId="4" applyBorder="1"/>
    <xf numFmtId="0" fontId="1" fillId="7" borderId="24" xfId="4" applyFill="1" applyBorder="1" applyAlignment="1">
      <alignment horizontal="center"/>
    </xf>
    <xf numFmtId="0" fontId="1" fillId="0" borderId="24" xfId="4" applyBorder="1" applyAlignment="1">
      <alignment horizontal="center"/>
    </xf>
    <xf numFmtId="164" fontId="1" fillId="0" borderId="24" xfId="4" applyNumberFormat="1" applyBorder="1"/>
    <xf numFmtId="0" fontId="1" fillId="7" borderId="24" xfId="4" applyFill="1" applyBorder="1"/>
    <xf numFmtId="0" fontId="13" fillId="7" borderId="24" xfId="3" applyFill="1" applyBorder="1" applyAlignment="1">
      <alignment horizontal="center"/>
    </xf>
    <xf numFmtId="0" fontId="1" fillId="18" borderId="24" xfId="4" applyFill="1" applyBorder="1" applyAlignment="1">
      <alignment horizontal="center"/>
    </xf>
    <xf numFmtId="0" fontId="1" fillId="18" borderId="24" xfId="4" applyFill="1" applyBorder="1"/>
    <xf numFmtId="0" fontId="13" fillId="18" borderId="24" xfId="3" applyFill="1" applyBorder="1" applyAlignment="1">
      <alignment horizontal="center"/>
    </xf>
    <xf numFmtId="0" fontId="1" fillId="12" borderId="24" xfId="4" applyFill="1" applyBorder="1"/>
    <xf numFmtId="0" fontId="13" fillId="19" borderId="24" xfId="3" applyFill="1" applyBorder="1" applyAlignment="1">
      <alignment horizontal="center"/>
    </xf>
    <xf numFmtId="0" fontId="1" fillId="20" borderId="24" xfId="4" applyFill="1" applyBorder="1"/>
    <xf numFmtId="0" fontId="1" fillId="21" borderId="24" xfId="4" applyFill="1" applyBorder="1" applyAlignment="1">
      <alignment horizontal="center"/>
    </xf>
    <xf numFmtId="0" fontId="1" fillId="21" borderId="24" xfId="4" applyFill="1" applyBorder="1"/>
    <xf numFmtId="0" fontId="13" fillId="21" borderId="24" xfId="3" applyFill="1" applyBorder="1" applyAlignment="1">
      <alignment horizontal="center"/>
    </xf>
    <xf numFmtId="0" fontId="1" fillId="20" borderId="24" xfId="4" applyFill="1" applyBorder="1" applyAlignment="1">
      <alignment horizontal="center"/>
    </xf>
    <xf numFmtId="0" fontId="13" fillId="20" borderId="24" xfId="3" applyFill="1" applyBorder="1" applyAlignment="1">
      <alignment horizontal="center"/>
    </xf>
    <xf numFmtId="0" fontId="1" fillId="12" borderId="24" xfId="4" applyFill="1" applyBorder="1" applyAlignment="1">
      <alignment horizontal="center"/>
    </xf>
    <xf numFmtId="0" fontId="2" fillId="6" borderId="2" xfId="0" applyFont="1" applyFill="1" applyBorder="1" applyAlignment="1">
      <alignment horizontal="center" vertical="center" wrapText="1"/>
    </xf>
    <xf numFmtId="0" fontId="0" fillId="0" borderId="0" xfId="0"/>
    <xf numFmtId="0" fontId="1" fillId="0" borderId="0" xfId="4" applyBorder="1"/>
    <xf numFmtId="0" fontId="1" fillId="0" borderId="0" xfId="4" applyFill="1" applyBorder="1"/>
    <xf numFmtId="1" fontId="1" fillId="0" borderId="24" xfId="4" applyNumberFormat="1" applyBorder="1" applyAlignment="1">
      <alignment horizontal="center"/>
    </xf>
    <xf numFmtId="1" fontId="1" fillId="0" borderId="0" xfId="4" applyNumberFormat="1" applyBorder="1"/>
    <xf numFmtId="1" fontId="1" fillId="0" borderId="0" xfId="4" applyNumberFormat="1"/>
    <xf numFmtId="0" fontId="11" fillId="0" borderId="0" xfId="4" applyFont="1" applyAlignment="1">
      <alignment horizontal="center"/>
    </xf>
    <xf numFmtId="0" fontId="38" fillId="7" borderId="24" xfId="3" applyFont="1" applyFill="1" applyBorder="1" applyAlignment="1">
      <alignment horizontal="center"/>
    </xf>
    <xf numFmtId="0" fontId="11" fillId="18" borderId="24" xfId="4" applyFont="1" applyFill="1" applyBorder="1" applyAlignment="1">
      <alignment horizontal="center"/>
    </xf>
    <xf numFmtId="0" fontId="11" fillId="0" borderId="24" xfId="4" applyFont="1" applyBorder="1" applyAlignment="1">
      <alignment horizontal="center"/>
    </xf>
    <xf numFmtId="0" fontId="11" fillId="12" borderId="24" xfId="4" applyFont="1" applyFill="1" applyBorder="1" applyAlignment="1">
      <alignment horizontal="center"/>
    </xf>
    <xf numFmtId="0" fontId="11" fillId="20" borderId="24" xfId="4" applyFont="1" applyFill="1" applyBorder="1" applyAlignment="1">
      <alignment horizontal="center"/>
    </xf>
    <xf numFmtId="0" fontId="11" fillId="7" borderId="24" xfId="4" applyFont="1" applyFill="1" applyBorder="1" applyAlignment="1">
      <alignment horizontal="center"/>
    </xf>
    <xf numFmtId="0" fontId="38" fillId="21" borderId="24" xfId="3" applyFont="1" applyFill="1" applyBorder="1" applyAlignment="1">
      <alignment horizontal="center"/>
    </xf>
    <xf numFmtId="0" fontId="11" fillId="21" borderId="24" xfId="4" applyFont="1" applyFill="1" applyBorder="1" applyAlignment="1">
      <alignment horizontal="center"/>
    </xf>
    <xf numFmtId="0" fontId="38" fillId="20" borderId="24" xfId="3" applyFont="1" applyFill="1" applyBorder="1" applyAlignment="1">
      <alignment horizontal="center"/>
    </xf>
    <xf numFmtId="0" fontId="38" fillId="0" borderId="24" xfId="3" applyFont="1" applyFill="1" applyBorder="1" applyAlignment="1">
      <alignment horizontal="center"/>
    </xf>
    <xf numFmtId="0" fontId="11" fillId="0" borderId="0" xfId="4" applyFont="1" applyFill="1" applyBorder="1" applyAlignment="1">
      <alignment horizontal="center"/>
    </xf>
    <xf numFmtId="164" fontId="1" fillId="0" borderId="0" xfId="4" applyNumberFormat="1"/>
    <xf numFmtId="164" fontId="1" fillId="0" borderId="0" xfId="4" applyNumberFormat="1" applyFill="1" applyBorder="1"/>
    <xf numFmtId="0" fontId="1" fillId="0" borderId="27" xfId="4" applyBorder="1"/>
    <xf numFmtId="0" fontId="0" fillId="7" borderId="24" xfId="0" applyFill="1" applyBorder="1"/>
    <xf numFmtId="0" fontId="0" fillId="0" borderId="24" xfId="0" applyBorder="1"/>
    <xf numFmtId="0" fontId="0" fillId="18" borderId="24" xfId="0" applyFill="1" applyBorder="1"/>
    <xf numFmtId="0" fontId="0" fillId="20" borderId="24" xfId="0" applyFill="1" applyBorder="1"/>
    <xf numFmtId="0" fontId="0" fillId="12" borderId="24" xfId="0" applyFill="1" applyBorder="1"/>
    <xf numFmtId="0" fontId="1" fillId="0" borderId="31" xfId="4" applyBorder="1"/>
    <xf numFmtId="0" fontId="0" fillId="7" borderId="31" xfId="0" applyFill="1" applyBorder="1"/>
    <xf numFmtId="0" fontId="0" fillId="0" borderId="31" xfId="0" applyBorder="1"/>
    <xf numFmtId="0" fontId="0" fillId="7" borderId="44" xfId="0" applyFill="1" applyBorder="1"/>
    <xf numFmtId="0" fontId="0" fillId="0" borderId="44" xfId="0" applyBorder="1"/>
    <xf numFmtId="0" fontId="0" fillId="18" borderId="44" xfId="0" applyFill="1" applyBorder="1"/>
    <xf numFmtId="0" fontId="0" fillId="12" borderId="44" xfId="0" applyFill="1" applyBorder="1"/>
    <xf numFmtId="0" fontId="0" fillId="20" borderId="44" xfId="0" applyFill="1" applyBorder="1"/>
    <xf numFmtId="0" fontId="39" fillId="17" borderId="37" xfId="0" applyFont="1" applyFill="1" applyBorder="1" applyAlignment="1">
      <alignment vertical="center" wrapText="1"/>
    </xf>
    <xf numFmtId="0" fontId="37" fillId="17" borderId="36" xfId="4" applyFont="1" applyFill="1" applyBorder="1" applyAlignment="1">
      <alignment horizontal="center" vertical="center" wrapText="1"/>
    </xf>
    <xf numFmtId="0" fontId="14" fillId="17" borderId="36" xfId="4" applyFont="1" applyFill="1" applyBorder="1" applyAlignment="1">
      <alignment horizontal="center" vertical="center" wrapText="1"/>
    </xf>
    <xf numFmtId="0" fontId="14" fillId="17" borderId="38" xfId="4" applyFont="1" applyFill="1" applyBorder="1" applyAlignment="1">
      <alignment horizontal="center" vertical="center" wrapText="1"/>
    </xf>
    <xf numFmtId="0" fontId="14" fillId="17" borderId="42" xfId="4" applyFont="1" applyFill="1" applyBorder="1" applyAlignment="1">
      <alignment horizontal="center" vertical="center" wrapText="1"/>
    </xf>
    <xf numFmtId="0" fontId="14" fillId="17" borderId="43" xfId="4" applyFont="1" applyFill="1" applyBorder="1" applyAlignment="1">
      <alignment horizontal="center" vertical="center" wrapText="1"/>
    </xf>
    <xf numFmtId="0" fontId="14" fillId="17" borderId="43" xfId="0" applyFont="1" applyFill="1" applyBorder="1" applyAlignment="1">
      <alignment horizontal="center" vertical="center" wrapText="1"/>
    </xf>
    <xf numFmtId="164" fontId="14" fillId="17" borderId="36" xfId="4" applyNumberFormat="1" applyFont="1" applyFill="1" applyBorder="1" applyAlignment="1">
      <alignment horizontal="center" vertical="center" wrapText="1"/>
    </xf>
    <xf numFmtId="0" fontId="14" fillId="17" borderId="35" xfId="4" applyFont="1" applyFill="1" applyBorder="1" applyAlignment="1">
      <alignment horizontal="center" vertical="center" wrapText="1"/>
    </xf>
    <xf numFmtId="164" fontId="14" fillId="17" borderId="35" xfId="4" applyNumberFormat="1" applyFont="1" applyFill="1" applyBorder="1" applyAlignment="1">
      <alignment horizontal="center" vertical="center" wrapText="1"/>
    </xf>
    <xf numFmtId="0" fontId="1" fillId="0" borderId="0" xfId="4" applyAlignment="1">
      <alignment horizontal="center" vertical="center" wrapText="1"/>
    </xf>
    <xf numFmtId="0" fontId="2" fillId="2" borderId="1" xfId="0" applyFont="1" applyFill="1" applyBorder="1" applyAlignment="1">
      <alignment horizontal="center" vertical="center"/>
    </xf>
    <xf numFmtId="0" fontId="5" fillId="3" borderId="1" xfId="0" applyFont="1" applyFill="1" applyBorder="1" applyAlignment="1">
      <alignment horizontal="center" vertical="center"/>
    </xf>
    <xf numFmtId="0" fontId="2" fillId="6" borderId="2" xfId="0" applyFont="1" applyFill="1" applyBorder="1" applyAlignment="1">
      <alignment horizontal="center" vertical="center" wrapText="1"/>
    </xf>
    <xf numFmtId="0" fontId="0" fillId="0" borderId="0" xfId="0"/>
    <xf numFmtId="0" fontId="12" fillId="9" borderId="0" xfId="1" applyFont="1" applyFill="1" applyAlignment="1">
      <alignment horizontal="center"/>
    </xf>
    <xf numFmtId="9" fontId="18" fillId="9" borderId="24" xfId="1" applyNumberFormat="1" applyFont="1" applyFill="1" applyBorder="1" applyAlignment="1">
      <alignment horizontal="center" vertical="center"/>
    </xf>
    <xf numFmtId="164" fontId="17" fillId="9" borderId="0" xfId="1" applyNumberFormat="1" applyFont="1" applyFill="1" applyBorder="1" applyAlignment="1">
      <alignment horizontal="center" vertical="center" wrapText="1"/>
    </xf>
    <xf numFmtId="0" fontId="17" fillId="9" borderId="0" xfId="1" applyNumberFormat="1" applyFont="1" applyFill="1" applyBorder="1" applyAlignment="1">
      <alignment horizontal="center" vertical="center" wrapText="1"/>
    </xf>
    <xf numFmtId="0" fontId="22" fillId="9" borderId="0" xfId="1" applyFont="1" applyFill="1" applyAlignment="1"/>
    <xf numFmtId="1" fontId="40" fillId="9" borderId="44" xfId="1" applyNumberFormat="1" applyFont="1" applyFill="1" applyBorder="1" applyAlignment="1">
      <alignment horizontal="center" vertical="center" wrapText="1"/>
    </xf>
    <xf numFmtId="9" fontId="30" fillId="9" borderId="0" xfId="1" applyNumberFormat="1" applyFont="1" applyFill="1" applyBorder="1" applyAlignment="1">
      <alignment horizontal="center" vertical="center"/>
    </xf>
    <xf numFmtId="9" fontId="32" fillId="9" borderId="0" xfId="1" applyNumberFormat="1" applyFont="1" applyFill="1" applyBorder="1" applyAlignment="1">
      <alignment horizontal="center" vertical="center"/>
    </xf>
    <xf numFmtId="9" fontId="11" fillId="9" borderId="0" xfId="1" applyNumberFormat="1" applyFont="1" applyFill="1" applyBorder="1"/>
    <xf numFmtId="0" fontId="12" fillId="9" borderId="0" xfId="1" applyFont="1" applyFill="1" applyBorder="1" applyAlignment="1">
      <alignment horizontal="center"/>
    </xf>
    <xf numFmtId="9" fontId="11" fillId="9" borderId="0" xfId="1" applyNumberFormat="1" applyFill="1" applyBorder="1"/>
    <xf numFmtId="9" fontId="30" fillId="12" borderId="44" xfId="1" applyNumberFormat="1" applyFont="1" applyFill="1" applyBorder="1" applyAlignment="1">
      <alignment horizontal="center" vertical="center"/>
    </xf>
    <xf numFmtId="9" fontId="32" fillId="22" borderId="44" xfId="1" applyNumberFormat="1" applyFont="1" applyFill="1" applyBorder="1" applyAlignment="1">
      <alignment horizontal="center" vertical="center"/>
    </xf>
    <xf numFmtId="9" fontId="32" fillId="7" borderId="44" xfId="1" applyNumberFormat="1" applyFont="1" applyFill="1" applyBorder="1" applyAlignment="1">
      <alignment horizontal="center" vertical="center"/>
    </xf>
    <xf numFmtId="9" fontId="32" fillId="21" borderId="44" xfId="1" applyNumberFormat="1" applyFont="1" applyFill="1" applyBorder="1" applyAlignment="1">
      <alignment horizontal="center" vertical="center"/>
    </xf>
    <xf numFmtId="0" fontId="6" fillId="5" borderId="1" xfId="0" applyFont="1" applyFill="1" applyBorder="1" applyAlignment="1">
      <alignment horizontal="left"/>
    </xf>
    <xf numFmtId="1" fontId="5" fillId="5" borderId="1" xfId="0" applyNumberFormat="1" applyFont="1" applyFill="1" applyBorder="1" applyAlignment="1">
      <alignment horizontal="center"/>
    </xf>
    <xf numFmtId="0" fontId="40" fillId="9" borderId="0" xfId="1" applyFont="1" applyFill="1" applyBorder="1" applyAlignment="1">
      <alignment horizontal="center" vertical="center" wrapText="1"/>
    </xf>
    <xf numFmtId="1" fontId="40" fillId="9" borderId="0" xfId="1" applyNumberFormat="1" applyFont="1" applyFill="1" applyBorder="1" applyAlignment="1">
      <alignment horizontal="center" vertical="center" wrapText="1"/>
    </xf>
    <xf numFmtId="0" fontId="13" fillId="0" borderId="0" xfId="0" applyFont="1"/>
    <xf numFmtId="1" fontId="5" fillId="4" borderId="1" xfId="0" applyNumberFormat="1" applyFont="1" applyFill="1" applyBorder="1" applyAlignment="1">
      <alignment horizontal="center"/>
    </xf>
    <xf numFmtId="0" fontId="2" fillId="6" borderId="5" xfId="0" applyFont="1" applyFill="1" applyBorder="1" applyAlignment="1">
      <alignment vertical="center" wrapText="1"/>
    </xf>
    <xf numFmtId="0" fontId="2" fillId="6" borderId="0" xfId="0" applyFont="1" applyFill="1" applyBorder="1" applyAlignment="1">
      <alignment vertical="center" wrapText="1"/>
    </xf>
    <xf numFmtId="0" fontId="0" fillId="0" borderId="0" xfId="0" applyAlignment="1"/>
    <xf numFmtId="0" fontId="12" fillId="9" borderId="0" xfId="1" applyFont="1" applyFill="1" applyAlignment="1"/>
    <xf numFmtId="0" fontId="40" fillId="11" borderId="44" xfId="1" applyFont="1" applyFill="1" applyBorder="1" applyAlignment="1">
      <alignment horizontal="center" vertical="center" wrapText="1"/>
    </xf>
    <xf numFmtId="165" fontId="40" fillId="9" borderId="0" xfId="1" applyNumberFormat="1" applyFont="1" applyFill="1" applyBorder="1" applyAlignment="1">
      <alignment horizontal="center" vertical="center" wrapText="1"/>
    </xf>
    <xf numFmtId="1" fontId="27" fillId="12" borderId="44" xfId="1" applyNumberFormat="1" applyFont="1" applyFill="1" applyBorder="1" applyAlignment="1">
      <alignment horizontal="center" vertical="center"/>
    </xf>
    <xf numFmtId="1" fontId="28" fillId="22" borderId="44" xfId="1" applyNumberFormat="1" applyFont="1" applyFill="1" applyBorder="1" applyAlignment="1">
      <alignment horizontal="center" vertical="center"/>
    </xf>
    <xf numFmtId="1" fontId="28" fillId="7" borderId="44" xfId="1" applyNumberFormat="1" applyFont="1" applyFill="1" applyBorder="1" applyAlignment="1">
      <alignment horizontal="center" vertical="center"/>
    </xf>
    <xf numFmtId="1" fontId="28" fillId="21" borderId="44" xfId="1" applyNumberFormat="1" applyFont="1" applyFill="1" applyBorder="1" applyAlignment="1">
      <alignment horizontal="center" vertical="center"/>
    </xf>
    <xf numFmtId="1" fontId="30" fillId="12" borderId="44" xfId="1" applyNumberFormat="1" applyFont="1" applyFill="1" applyBorder="1" applyAlignment="1">
      <alignment horizontal="center" vertical="center"/>
    </xf>
    <xf numFmtId="1" fontId="31" fillId="22" borderId="44" xfId="1" applyNumberFormat="1" applyFont="1" applyFill="1" applyBorder="1" applyAlignment="1">
      <alignment horizontal="center" vertical="center"/>
    </xf>
    <xf numFmtId="1" fontId="31" fillId="7" borderId="44" xfId="1" applyNumberFormat="1" applyFont="1" applyFill="1" applyBorder="1" applyAlignment="1">
      <alignment horizontal="center" vertical="center"/>
    </xf>
    <xf numFmtId="1" fontId="31" fillId="21" borderId="44" xfId="1" applyNumberFormat="1" applyFont="1" applyFill="1" applyBorder="1" applyAlignment="1">
      <alignment horizontal="center" vertical="center"/>
    </xf>
    <xf numFmtId="1" fontId="33" fillId="9" borderId="0" xfId="1" applyNumberFormat="1" applyFont="1" applyFill="1" applyBorder="1" applyAlignment="1">
      <alignment horizontal="center" vertical="center" wrapText="1"/>
    </xf>
    <xf numFmtId="165" fontId="33" fillId="9" borderId="0" xfId="1" applyNumberFormat="1" applyFont="1" applyFill="1" applyBorder="1" applyAlignment="1">
      <alignment horizontal="center" vertical="center" wrapText="1"/>
    </xf>
    <xf numFmtId="0" fontId="14" fillId="11" borderId="44" xfId="1" applyFont="1" applyFill="1" applyBorder="1" applyAlignment="1">
      <alignment horizontal="center" vertical="center" wrapText="1"/>
    </xf>
    <xf numFmtId="0" fontId="14" fillId="25" borderId="44" xfId="1" applyFont="1" applyFill="1" applyBorder="1" applyAlignment="1">
      <alignment horizontal="center" vertical="center" wrapText="1"/>
    </xf>
    <xf numFmtId="0" fontId="14" fillId="24" borderId="44" xfId="1" applyFont="1" applyFill="1" applyBorder="1" applyAlignment="1">
      <alignment horizontal="center" vertical="center" wrapText="1"/>
    </xf>
    <xf numFmtId="0" fontId="29" fillId="9" borderId="0" xfId="1" applyFont="1" applyFill="1" applyBorder="1" applyAlignment="1">
      <alignment vertical="center" wrapText="1"/>
    </xf>
    <xf numFmtId="9" fontId="43" fillId="22" borderId="44" xfId="1" applyNumberFormat="1" applyFont="1" applyFill="1" applyBorder="1" applyAlignment="1">
      <alignment horizontal="center" vertical="center"/>
    </xf>
    <xf numFmtId="0" fontId="42" fillId="9" borderId="0" xfId="1" applyFont="1" applyFill="1" applyBorder="1"/>
    <xf numFmtId="0" fontId="34" fillId="23" borderId="44" xfId="2" applyFont="1" applyFill="1" applyBorder="1" applyAlignment="1">
      <alignment horizontal="center" vertical="center" wrapText="1"/>
    </xf>
    <xf numFmtId="1" fontId="34" fillId="12" borderId="44" xfId="1" applyNumberFormat="1" applyFont="1" applyFill="1" applyBorder="1" applyAlignment="1">
      <alignment horizontal="center" vertical="center"/>
    </xf>
    <xf numFmtId="0" fontId="35" fillId="23" borderId="44" xfId="2" applyFont="1" applyFill="1" applyBorder="1" applyAlignment="1">
      <alignment horizontal="center" vertical="center" wrapText="1"/>
    </xf>
    <xf numFmtId="9" fontId="30" fillId="23" borderId="44" xfId="1" applyNumberFormat="1" applyFont="1" applyFill="1" applyBorder="1" applyAlignment="1">
      <alignment horizontal="center" vertical="center"/>
    </xf>
    <xf numFmtId="9" fontId="43" fillId="12" borderId="44" xfId="1" applyNumberFormat="1" applyFont="1" applyFill="1" applyBorder="1" applyAlignment="1">
      <alignment horizontal="center" vertical="center"/>
    </xf>
    <xf numFmtId="0" fontId="44" fillId="9" borderId="0" xfId="1" applyFont="1" applyFill="1" applyBorder="1" applyAlignment="1">
      <alignment horizontal="left"/>
    </xf>
    <xf numFmtId="0" fontId="45" fillId="9" borderId="0" xfId="1" applyFont="1" applyFill="1" applyBorder="1"/>
    <xf numFmtId="0" fontId="32" fillId="9" borderId="0" xfId="1" applyFont="1" applyFill="1"/>
    <xf numFmtId="0" fontId="11" fillId="0" borderId="0" xfId="1" applyBorder="1"/>
    <xf numFmtId="0" fontId="11" fillId="10" borderId="0" xfId="1" applyFill="1" applyBorder="1"/>
    <xf numFmtId="0" fontId="11" fillId="10" borderId="0" xfId="1" applyFill="1" applyAlignment="1">
      <alignment vertical="top" wrapText="1"/>
    </xf>
    <xf numFmtId="0" fontId="31" fillId="9" borderId="0" xfId="1" applyFont="1" applyFill="1" applyAlignment="1">
      <alignment vertical="center"/>
    </xf>
    <xf numFmtId="0" fontId="47" fillId="9" borderId="0" xfId="1" applyFont="1" applyFill="1"/>
    <xf numFmtId="0" fontId="31" fillId="9" borderId="0" xfId="1" applyFont="1" applyFill="1" applyAlignment="1"/>
    <xf numFmtId="0" fontId="31" fillId="9" borderId="0" xfId="1" applyFont="1" applyFill="1" applyAlignment="1">
      <alignment vertical="center" wrapText="1"/>
    </xf>
    <xf numFmtId="0" fontId="31" fillId="10" borderId="0" xfId="1" applyFont="1" applyFill="1" applyAlignment="1">
      <alignment vertical="center" wrapText="1"/>
    </xf>
    <xf numFmtId="0" fontId="31" fillId="9" borderId="0" xfId="1" applyFont="1" applyFill="1" applyBorder="1" applyAlignment="1">
      <alignment horizontal="left" vertical="center"/>
    </xf>
    <xf numFmtId="0" fontId="31" fillId="9" borderId="0" xfId="1" applyFont="1" applyFill="1" applyBorder="1" applyAlignment="1">
      <alignment vertical="center"/>
    </xf>
    <xf numFmtId="0" fontId="0" fillId="0" borderId="0" xfId="0"/>
    <xf numFmtId="9" fontId="18" fillId="9" borderId="24" xfId="1" applyNumberFormat="1" applyFont="1" applyFill="1" applyBorder="1" applyAlignment="1">
      <alignment horizontal="center" vertical="center"/>
    </xf>
    <xf numFmtId="0" fontId="0" fillId="0" borderId="0" xfId="0"/>
    <xf numFmtId="0" fontId="0" fillId="0" borderId="0" xfId="0" applyAlignment="1">
      <alignment vertical="center"/>
    </xf>
    <xf numFmtId="0" fontId="5" fillId="0" borderId="4" xfId="0" applyNumberFormat="1" applyFont="1" applyFill="1" applyBorder="1" applyAlignment="1">
      <alignment horizontal="left"/>
    </xf>
    <xf numFmtId="9" fontId="5" fillId="5" borderId="1" xfId="5" applyFont="1" applyFill="1" applyBorder="1" applyAlignment="1">
      <alignment horizontal="center"/>
    </xf>
    <xf numFmtId="0" fontId="7" fillId="6" borderId="2" xfId="0" applyFont="1" applyFill="1" applyBorder="1" applyAlignment="1">
      <alignment horizontal="center" vertical="center" wrapText="1"/>
    </xf>
    <xf numFmtId="0" fontId="0" fillId="0" borderId="0" xfId="0"/>
    <xf numFmtId="0" fontId="2" fillId="6" borderId="2" xfId="0" applyFont="1" applyFill="1" applyBorder="1" applyAlignment="1">
      <alignment horizontal="center" vertical="center" wrapText="1"/>
    </xf>
    <xf numFmtId="0" fontId="7" fillId="6" borderId="2" xfId="0" applyFont="1" applyFill="1" applyBorder="1" applyAlignment="1">
      <alignment horizontal="center" vertical="center" wrapText="1"/>
    </xf>
    <xf numFmtId="0" fontId="7" fillId="6" borderId="5" xfId="0" applyFont="1" applyFill="1" applyBorder="1" applyAlignment="1">
      <alignment horizontal="center" vertical="center"/>
    </xf>
    <xf numFmtId="0" fontId="7" fillId="6" borderId="0" xfId="0" applyFont="1" applyFill="1" applyBorder="1" applyAlignment="1">
      <alignment horizontal="center" vertical="center"/>
    </xf>
    <xf numFmtId="0" fontId="7" fillId="6" borderId="16" xfId="0" applyFont="1" applyFill="1" applyBorder="1" applyAlignment="1">
      <alignment horizontal="center" vertical="center"/>
    </xf>
    <xf numFmtId="0" fontId="50" fillId="3" borderId="49" xfId="0" applyFont="1" applyFill="1" applyBorder="1" applyAlignment="1">
      <alignment horizontal="center"/>
    </xf>
    <xf numFmtId="0" fontId="50" fillId="5" borderId="49" xfId="0" applyFont="1" applyFill="1" applyBorder="1" applyAlignment="1">
      <alignment horizontal="center"/>
    </xf>
    <xf numFmtId="0" fontId="51" fillId="2" borderId="49" xfId="0" applyFont="1" applyFill="1" applyBorder="1" applyAlignment="1">
      <alignment horizontal="center"/>
    </xf>
    <xf numFmtId="0" fontId="51" fillId="2" borderId="49" xfId="0" applyNumberFormat="1" applyFont="1" applyFill="1" applyBorder="1" applyAlignment="1">
      <alignment horizontal="center"/>
    </xf>
    <xf numFmtId="0" fontId="50" fillId="3" borderId="49" xfId="0" applyNumberFormat="1" applyFont="1" applyFill="1" applyBorder="1" applyAlignment="1">
      <alignment horizontal="center"/>
    </xf>
    <xf numFmtId="0" fontId="50" fillId="5" borderId="49" xfId="0" applyNumberFormat="1" applyFont="1" applyFill="1" applyBorder="1" applyAlignment="1">
      <alignment horizontal="center"/>
    </xf>
    <xf numFmtId="0" fontId="50" fillId="0" borderId="49" xfId="0" applyFont="1" applyBorder="1" applyAlignment="1">
      <alignment horizontal="center"/>
    </xf>
    <xf numFmtId="0" fontId="50" fillId="0" borderId="49" xfId="0" applyNumberFormat="1" applyFont="1" applyBorder="1" applyAlignment="1">
      <alignment horizontal="center"/>
    </xf>
    <xf numFmtId="0" fontId="51" fillId="6" borderId="50" xfId="0" applyFont="1" applyFill="1" applyBorder="1" applyAlignment="1">
      <alignment horizontal="center" vertical="center" wrapText="1"/>
    </xf>
    <xf numFmtId="0" fontId="2" fillId="6" borderId="0" xfId="0" applyFont="1" applyFill="1" applyBorder="1" applyAlignment="1">
      <alignment horizontal="center" vertical="center" wrapText="1"/>
    </xf>
    <xf numFmtId="0" fontId="2" fillId="6" borderId="2" xfId="0" applyFont="1" applyFill="1" applyBorder="1" applyAlignment="1">
      <alignment horizontal="center" vertical="center" wrapText="1"/>
    </xf>
    <xf numFmtId="0" fontId="2" fillId="6" borderId="16" xfId="0" applyFont="1" applyFill="1" applyBorder="1" applyAlignment="1">
      <alignment horizontal="center" vertical="center" wrapText="1"/>
    </xf>
    <xf numFmtId="0" fontId="5" fillId="0" borderId="49" xfId="0" applyFont="1" applyBorder="1" applyAlignment="1">
      <alignment horizontal="center"/>
    </xf>
    <xf numFmtId="0" fontId="5" fillId="0" borderId="49" xfId="0" applyNumberFormat="1" applyFont="1" applyBorder="1" applyAlignment="1">
      <alignment horizontal="center"/>
    </xf>
    <xf numFmtId="0" fontId="6" fillId="0" borderId="49" xfId="0" applyFont="1" applyBorder="1" applyAlignment="1">
      <alignment horizontal="center"/>
    </xf>
    <xf numFmtId="0" fontId="50" fillId="0" borderId="49" xfId="0" applyFont="1" applyBorder="1" applyAlignment="1">
      <alignment horizontal="right"/>
    </xf>
    <xf numFmtId="1" fontId="5" fillId="0" borderId="49" xfId="0" applyNumberFormat="1" applyFont="1" applyBorder="1" applyAlignment="1">
      <alignment horizontal="center"/>
    </xf>
    <xf numFmtId="1" fontId="5" fillId="0" borderId="49" xfId="0" applyNumberFormat="1" applyFont="1" applyBorder="1" applyAlignment="1">
      <alignment horizontal="center" vertical="center"/>
    </xf>
    <xf numFmtId="1" fontId="6" fillId="0" borderId="49" xfId="0" applyNumberFormat="1" applyFont="1" applyBorder="1" applyAlignment="1">
      <alignment horizontal="center" vertical="center"/>
    </xf>
    <xf numFmtId="0" fontId="50" fillId="0" borderId="49" xfId="0" applyFont="1" applyBorder="1" applyAlignment="1">
      <alignment horizontal="left"/>
    </xf>
    <xf numFmtId="0" fontId="5" fillId="0" borderId="49" xfId="0" applyNumberFormat="1" applyFont="1" applyBorder="1" applyAlignment="1">
      <alignment horizontal="center" vertical="center"/>
    </xf>
    <xf numFmtId="9" fontId="5" fillId="0" borderId="49" xfId="0" applyNumberFormat="1" applyFont="1" applyBorder="1" applyAlignment="1">
      <alignment horizontal="center"/>
    </xf>
    <xf numFmtId="0" fontId="6" fillId="0" borderId="49" xfId="0" applyNumberFormat="1" applyFont="1" applyBorder="1" applyAlignment="1">
      <alignment horizontal="center" vertical="center"/>
    </xf>
    <xf numFmtId="9" fontId="6" fillId="0" borderId="49" xfId="0" applyNumberFormat="1" applyFont="1" applyBorder="1" applyAlignment="1">
      <alignment horizontal="center" vertical="center"/>
    </xf>
    <xf numFmtId="9" fontId="5" fillId="0" borderId="49" xfId="0" applyNumberFormat="1" applyFont="1" applyBorder="1" applyAlignment="1">
      <alignment horizontal="center" vertical="center"/>
    </xf>
    <xf numFmtId="9" fontId="6" fillId="0" borderId="49" xfId="0" applyNumberFormat="1" applyFont="1" applyBorder="1" applyAlignment="1">
      <alignment horizontal="center"/>
    </xf>
    <xf numFmtId="9" fontId="51" fillId="2" borderId="49" xfId="0" applyNumberFormat="1" applyFont="1" applyFill="1" applyBorder="1" applyAlignment="1">
      <alignment horizontal="center"/>
    </xf>
    <xf numFmtId="9" fontId="50" fillId="3" borderId="49" xfId="0" applyNumberFormat="1" applyFont="1" applyFill="1" applyBorder="1" applyAlignment="1">
      <alignment horizontal="center"/>
    </xf>
    <xf numFmtId="9" fontId="50" fillId="5" borderId="49" xfId="0" applyNumberFormat="1" applyFont="1" applyFill="1" applyBorder="1" applyAlignment="1">
      <alignment horizontal="center"/>
    </xf>
    <xf numFmtId="9" fontId="50" fillId="0" borderId="49" xfId="0" applyNumberFormat="1" applyFont="1" applyBorder="1" applyAlignment="1">
      <alignment horizontal="center"/>
    </xf>
    <xf numFmtId="0" fontId="7" fillId="6" borderId="55" xfId="0" applyFont="1" applyFill="1" applyBorder="1" applyAlignment="1">
      <alignment horizontal="center" vertical="center"/>
    </xf>
    <xf numFmtId="0" fontId="6" fillId="0" borderId="49" xfId="0" applyFont="1" applyBorder="1" applyAlignment="1">
      <alignment horizontal="center" vertical="center"/>
    </xf>
    <xf numFmtId="0" fontId="20" fillId="0" borderId="2" xfId="1" applyFont="1" applyFill="1" applyBorder="1" applyAlignment="1">
      <alignment horizontal="center" vertical="center" wrapText="1"/>
    </xf>
    <xf numFmtId="0" fontId="2" fillId="6" borderId="16" xfId="0" applyFont="1" applyFill="1" applyBorder="1" applyAlignment="1">
      <alignment horizontal="center" vertical="center"/>
    </xf>
    <xf numFmtId="0" fontId="7" fillId="6" borderId="56" xfId="0" applyFont="1" applyFill="1" applyBorder="1" applyAlignment="1">
      <alignment horizontal="center" vertical="center"/>
    </xf>
    <xf numFmtId="0" fontId="0" fillId="0" borderId="0" xfId="0"/>
    <xf numFmtId="9" fontId="18" fillId="9" borderId="24" xfId="1" applyNumberFormat="1" applyFont="1" applyFill="1" applyBorder="1" applyAlignment="1">
      <alignment horizontal="center" vertical="center"/>
    </xf>
    <xf numFmtId="0" fontId="5" fillId="4" borderId="4" xfId="0" applyNumberFormat="1" applyFont="1" applyFill="1" applyBorder="1" applyAlignment="1">
      <alignment horizontal="center"/>
    </xf>
    <xf numFmtId="1" fontId="5" fillId="0" borderId="4" xfId="0" applyNumberFormat="1" applyFont="1" applyFill="1" applyBorder="1" applyAlignment="1">
      <alignment horizontal="center"/>
    </xf>
    <xf numFmtId="0" fontId="0" fillId="0" borderId="0" xfId="0"/>
    <xf numFmtId="0" fontId="2" fillId="6" borderId="6" xfId="0" applyFont="1" applyFill="1" applyBorder="1" applyAlignment="1">
      <alignment horizontal="center" vertical="center" wrapText="1"/>
    </xf>
    <xf numFmtId="0" fontId="2" fillId="6" borderId="0" xfId="0" applyFont="1" applyFill="1" applyBorder="1" applyAlignment="1">
      <alignment horizontal="center" vertical="center" wrapText="1"/>
    </xf>
    <xf numFmtId="0" fontId="2" fillId="6" borderId="5" xfId="0" applyFont="1" applyFill="1" applyBorder="1" applyAlignment="1">
      <alignment horizontal="center" vertical="center" wrapText="1"/>
    </xf>
    <xf numFmtId="0" fontId="2" fillId="6" borderId="2" xfId="0" applyFont="1" applyFill="1" applyBorder="1" applyAlignment="1">
      <alignment horizontal="center" vertical="center" wrapText="1"/>
    </xf>
    <xf numFmtId="0" fontId="9" fillId="6" borderId="6" xfId="0" applyFont="1" applyFill="1" applyBorder="1" applyAlignment="1">
      <alignment horizontal="center" vertical="center" wrapText="1"/>
    </xf>
    <xf numFmtId="0" fontId="0" fillId="0" borderId="0" xfId="0" applyAlignment="1">
      <alignment vertical="center"/>
    </xf>
    <xf numFmtId="0" fontId="6" fillId="0" borderId="49" xfId="0" applyFont="1" applyBorder="1" applyAlignment="1">
      <alignment horizontal="left"/>
    </xf>
    <xf numFmtId="0" fontId="1" fillId="0" borderId="57" xfId="4" applyBorder="1"/>
    <xf numFmtId="0" fontId="0" fillId="20" borderId="57" xfId="0" applyFill="1" applyBorder="1"/>
    <xf numFmtId="0" fontId="0" fillId="0" borderId="57" xfId="0" applyBorder="1"/>
    <xf numFmtId="0" fontId="1" fillId="20" borderId="57" xfId="4" applyFill="1" applyBorder="1"/>
    <xf numFmtId="164" fontId="1" fillId="0" borderId="57" xfId="4" applyNumberFormat="1" applyBorder="1"/>
    <xf numFmtId="0" fontId="11" fillId="20" borderId="57" xfId="4" applyFont="1" applyFill="1" applyBorder="1" applyAlignment="1">
      <alignment horizontal="center"/>
    </xf>
    <xf numFmtId="0" fontId="13" fillId="21" borderId="57" xfId="3" applyFill="1" applyBorder="1" applyAlignment="1">
      <alignment horizontal="center"/>
    </xf>
    <xf numFmtId="0" fontId="1" fillId="21" borderId="57" xfId="4" applyFill="1" applyBorder="1"/>
    <xf numFmtId="0" fontId="1" fillId="21" borderId="57" xfId="4" applyFill="1" applyBorder="1" applyAlignment="1">
      <alignment horizontal="center"/>
    </xf>
    <xf numFmtId="1" fontId="1" fillId="0" borderId="57" xfId="4" applyNumberFormat="1" applyBorder="1" applyAlignment="1">
      <alignment horizontal="center"/>
    </xf>
    <xf numFmtId="0" fontId="5" fillId="0" borderId="49" xfId="0" applyFont="1" applyBorder="1" applyAlignment="1">
      <alignment horizontal="left"/>
    </xf>
    <xf numFmtId="0" fontId="0" fillId="18" borderId="57" xfId="0" applyFill="1" applyBorder="1"/>
    <xf numFmtId="0" fontId="11" fillId="7" borderId="57" xfId="4" applyFont="1" applyFill="1" applyBorder="1" applyAlignment="1">
      <alignment horizontal="center"/>
    </xf>
    <xf numFmtId="0" fontId="13" fillId="7" borderId="57" xfId="3" applyFill="1" applyBorder="1" applyAlignment="1">
      <alignment horizontal="center"/>
    </xf>
    <xf numFmtId="0" fontId="1" fillId="12" borderId="57" xfId="4" applyFill="1" applyBorder="1" applyAlignment="1">
      <alignment horizontal="center"/>
    </xf>
    <xf numFmtId="0" fontId="0" fillId="20" borderId="58" xfId="0" applyFill="1" applyBorder="1"/>
    <xf numFmtId="0" fontId="11" fillId="21" borderId="57" xfId="4" applyFont="1" applyFill="1" applyBorder="1" applyAlignment="1">
      <alignment horizontal="center"/>
    </xf>
    <xf numFmtId="0" fontId="1" fillId="18" borderId="57" xfId="4" applyFill="1" applyBorder="1"/>
    <xf numFmtId="0" fontId="1" fillId="18" borderId="57" xfId="4" applyFill="1" applyBorder="1" applyAlignment="1">
      <alignment horizontal="center"/>
    </xf>
    <xf numFmtId="0" fontId="13" fillId="20" borderId="57" xfId="3" applyFill="1" applyBorder="1" applyAlignment="1">
      <alignment horizontal="center"/>
    </xf>
    <xf numFmtId="0" fontId="1" fillId="20" borderId="57" xfId="4" applyFill="1" applyBorder="1" applyAlignment="1">
      <alignment horizontal="center"/>
    </xf>
    <xf numFmtId="0" fontId="1" fillId="7" borderId="59" xfId="4" applyFill="1" applyBorder="1" applyAlignment="1">
      <alignment horizontal="center"/>
    </xf>
    <xf numFmtId="0" fontId="1" fillId="12" borderId="59" xfId="4" applyFill="1" applyBorder="1" applyAlignment="1">
      <alignment horizontal="center"/>
    </xf>
    <xf numFmtId="0" fontId="1" fillId="18" borderId="59" xfId="4" applyFill="1" applyBorder="1" applyAlignment="1">
      <alignment horizontal="center"/>
    </xf>
    <xf numFmtId="0" fontId="1" fillId="21" borderId="59" xfId="4" applyFill="1" applyBorder="1" applyAlignment="1">
      <alignment horizontal="center"/>
    </xf>
    <xf numFmtId="0" fontId="1" fillId="20" borderId="59" xfId="4" applyFill="1" applyBorder="1" applyAlignment="1">
      <alignment horizontal="center"/>
    </xf>
    <xf numFmtId="0" fontId="1" fillId="0" borderId="57" xfId="4" applyNumberFormat="1" applyBorder="1"/>
    <xf numFmtId="0" fontId="0" fillId="7" borderId="57" xfId="0" applyFill="1" applyBorder="1"/>
    <xf numFmtId="0" fontId="52" fillId="2" borderId="61" xfId="0" applyFont="1" applyFill="1" applyBorder="1" applyAlignment="1">
      <alignment horizontal="center"/>
    </xf>
    <xf numFmtId="0" fontId="53" fillId="3" borderId="61" xfId="0" applyFont="1" applyFill="1" applyBorder="1" applyAlignment="1">
      <alignment horizontal="center"/>
    </xf>
    <xf numFmtId="0" fontId="53" fillId="5" borderId="61" xfId="0" applyFont="1" applyFill="1" applyBorder="1" applyAlignment="1">
      <alignment horizontal="center"/>
    </xf>
    <xf numFmtId="9" fontId="52" fillId="2" borderId="61" xfId="0" applyNumberFormat="1" applyFont="1" applyFill="1" applyBorder="1" applyAlignment="1">
      <alignment horizontal="center"/>
    </xf>
    <xf numFmtId="9" fontId="53" fillId="3" borderId="61" xfId="0" applyNumberFormat="1" applyFont="1" applyFill="1" applyBorder="1" applyAlignment="1">
      <alignment horizontal="center"/>
    </xf>
    <xf numFmtId="9" fontId="2" fillId="2" borderId="61" xfId="0" applyNumberFormat="1" applyFont="1" applyFill="1" applyBorder="1" applyAlignment="1">
      <alignment horizontal="center"/>
    </xf>
    <xf numFmtId="9" fontId="5" fillId="3" borderId="61" xfId="0" applyNumberFormat="1" applyFont="1" applyFill="1" applyBorder="1" applyAlignment="1">
      <alignment horizontal="center"/>
    </xf>
    <xf numFmtId="9" fontId="2" fillId="2" borderId="61" xfId="0" applyNumberFormat="1" applyFont="1" applyFill="1" applyBorder="1" applyAlignment="1">
      <alignment horizontal="center" vertical="center"/>
    </xf>
    <xf numFmtId="9" fontId="5" fillId="3" borderId="61" xfId="0" applyNumberFormat="1" applyFont="1" applyFill="1" applyBorder="1" applyAlignment="1">
      <alignment horizontal="center" vertical="center"/>
    </xf>
    <xf numFmtId="9" fontId="5" fillId="5" borderId="61" xfId="0" applyNumberFormat="1" applyFont="1" applyFill="1" applyBorder="1" applyAlignment="1">
      <alignment horizontal="center"/>
    </xf>
    <xf numFmtId="0" fontId="5" fillId="5" borderId="61" xfId="0" applyFont="1" applyFill="1" applyBorder="1" applyAlignment="1">
      <alignment horizontal="left"/>
    </xf>
    <xf numFmtId="9" fontId="5" fillId="5" borderId="61" xfId="5" applyFont="1" applyFill="1" applyBorder="1" applyAlignment="1">
      <alignment horizontal="center"/>
    </xf>
    <xf numFmtId="0" fontId="0" fillId="0" borderId="0" xfId="0"/>
    <xf numFmtId="0" fontId="2" fillId="6" borderId="6" xfId="0" applyFont="1" applyFill="1" applyBorder="1" applyAlignment="1">
      <alignment horizontal="center" vertical="center" wrapText="1"/>
    </xf>
    <xf numFmtId="0" fontId="2" fillId="6" borderId="5" xfId="0" applyFont="1" applyFill="1" applyBorder="1" applyAlignment="1">
      <alignment horizontal="center" vertical="center" wrapText="1"/>
    </xf>
    <xf numFmtId="0" fontId="2" fillId="6" borderId="2" xfId="0" applyFont="1" applyFill="1" applyBorder="1" applyAlignment="1">
      <alignment horizontal="center" vertical="center" wrapText="1"/>
    </xf>
    <xf numFmtId="0" fontId="0" fillId="0" borderId="0" xfId="0" applyAlignment="1">
      <alignment vertical="center"/>
    </xf>
    <xf numFmtId="0" fontId="0" fillId="0" borderId="0" xfId="0"/>
    <xf numFmtId="0" fontId="2" fillId="6" borderId="6" xfId="0" applyFont="1" applyFill="1" applyBorder="1" applyAlignment="1">
      <alignment horizontal="center" vertical="center" wrapText="1"/>
    </xf>
    <xf numFmtId="0" fontId="2" fillId="6" borderId="5" xfId="0" applyFont="1" applyFill="1" applyBorder="1" applyAlignment="1">
      <alignment horizontal="center" vertical="center" wrapText="1"/>
    </xf>
    <xf numFmtId="0" fontId="2" fillId="6" borderId="0" xfId="0" applyFont="1" applyFill="1" applyBorder="1" applyAlignment="1">
      <alignment horizontal="center" vertical="center" wrapText="1"/>
    </xf>
    <xf numFmtId="0" fontId="2" fillId="6" borderId="2" xfId="0" applyFont="1" applyFill="1" applyBorder="1" applyAlignment="1">
      <alignment horizontal="center" vertical="center" wrapText="1"/>
    </xf>
    <xf numFmtId="0" fontId="0" fillId="0" borderId="0" xfId="0" applyAlignment="1">
      <alignment vertical="center"/>
    </xf>
    <xf numFmtId="1" fontId="50" fillId="5" borderId="49" xfId="0" applyNumberFormat="1" applyFont="1" applyFill="1" applyBorder="1" applyAlignment="1">
      <alignment horizontal="center"/>
    </xf>
    <xf numFmtId="1" fontId="6" fillId="5" borderId="1" xfId="0" applyNumberFormat="1" applyFont="1" applyFill="1" applyBorder="1" applyAlignment="1">
      <alignment horizontal="center" vertical="center"/>
    </xf>
    <xf numFmtId="9" fontId="0" fillId="0" borderId="0" xfId="5" applyFont="1"/>
    <xf numFmtId="0" fontId="31" fillId="9" borderId="0" xfId="1" applyFont="1" applyFill="1" applyAlignment="1">
      <alignment horizontal="left" vertical="center"/>
    </xf>
    <xf numFmtId="0" fontId="14" fillId="11" borderId="35" xfId="2" applyFont="1" applyFill="1" applyBorder="1" applyAlignment="1">
      <alignment horizontal="center" vertical="center" wrapText="1"/>
    </xf>
    <xf numFmtId="0" fontId="17" fillId="9" borderId="0" xfId="1" applyFont="1" applyFill="1" applyBorder="1" applyAlignment="1">
      <alignment horizontal="center" vertical="center" wrapText="1"/>
    </xf>
    <xf numFmtId="0" fontId="6" fillId="5" borderId="49" xfId="0" applyFont="1" applyFill="1" applyBorder="1" applyAlignment="1">
      <alignment horizontal="left"/>
    </xf>
    <xf numFmtId="0" fontId="5" fillId="5" borderId="49" xfId="0" applyFont="1" applyFill="1" applyBorder="1" applyAlignment="1">
      <alignment horizontal="left"/>
    </xf>
    <xf numFmtId="1" fontId="5" fillId="5" borderId="49" xfId="0" applyNumberFormat="1" applyFont="1" applyFill="1" applyBorder="1" applyAlignment="1">
      <alignment horizontal="center" vertical="center"/>
    </xf>
    <xf numFmtId="9" fontId="52" fillId="2" borderId="49" xfId="0" applyNumberFormat="1" applyFont="1" applyFill="1" applyBorder="1" applyAlignment="1">
      <alignment horizontal="center"/>
    </xf>
    <xf numFmtId="9" fontId="53" fillId="3" borderId="49" xfId="0" applyNumberFormat="1" applyFont="1" applyFill="1" applyBorder="1" applyAlignment="1">
      <alignment horizontal="center"/>
    </xf>
    <xf numFmtId="9" fontId="53" fillId="5" borderId="49" xfId="0" applyNumberFormat="1" applyFont="1" applyFill="1" applyBorder="1" applyAlignment="1">
      <alignment horizontal="center"/>
    </xf>
    <xf numFmtId="9" fontId="7" fillId="2" borderId="1" xfId="5" applyFont="1" applyFill="1" applyBorder="1" applyAlignment="1">
      <alignment horizontal="center" vertical="center"/>
    </xf>
    <xf numFmtId="1" fontId="27" fillId="12" borderId="46" xfId="1" applyNumberFormat="1" applyFont="1" applyFill="1" applyBorder="1" applyAlignment="1">
      <alignment horizontal="center" vertical="center"/>
    </xf>
    <xf numFmtId="0" fontId="14" fillId="11" borderId="60" xfId="2" applyFont="1" applyFill="1" applyBorder="1" applyAlignment="1">
      <alignment horizontal="center" vertical="center" wrapText="1"/>
    </xf>
    <xf numFmtId="0" fontId="16" fillId="11" borderId="44" xfId="1" applyFont="1" applyFill="1" applyBorder="1" applyAlignment="1">
      <alignment horizontal="left" vertical="center" wrapText="1"/>
    </xf>
    <xf numFmtId="9" fontId="43" fillId="7" borderId="44" xfId="1" applyNumberFormat="1" applyFont="1" applyFill="1" applyBorder="1" applyAlignment="1">
      <alignment horizontal="center" vertical="center"/>
    </xf>
    <xf numFmtId="9" fontId="43" fillId="21" borderId="44" xfId="1" applyNumberFormat="1" applyFont="1" applyFill="1" applyBorder="1" applyAlignment="1">
      <alignment horizontal="center" vertical="center"/>
    </xf>
    <xf numFmtId="0" fontId="0" fillId="0" borderId="0" xfId="0"/>
    <xf numFmtId="0" fontId="0" fillId="7" borderId="0" xfId="0" applyFill="1"/>
    <xf numFmtId="0" fontId="5" fillId="0" borderId="4" xfId="0" applyNumberFormat="1" applyFont="1" applyFill="1" applyBorder="1" applyAlignment="1">
      <alignment horizontal="center"/>
    </xf>
    <xf numFmtId="0" fontId="0" fillId="0" borderId="0" xfId="0"/>
    <xf numFmtId="0" fontId="2" fillId="6" borderId="2" xfId="0" applyFont="1" applyFill="1" applyBorder="1" applyAlignment="1">
      <alignment horizontal="center" vertical="center" wrapText="1"/>
    </xf>
    <xf numFmtId="0" fontId="2" fillId="6" borderId="16" xfId="0" applyFont="1" applyFill="1" applyBorder="1" applyAlignment="1">
      <alignment horizontal="center" vertical="center" wrapText="1"/>
    </xf>
    <xf numFmtId="0" fontId="7" fillId="6" borderId="2" xfId="0" applyFont="1" applyFill="1" applyBorder="1" applyAlignment="1">
      <alignment horizontal="center" vertical="center" wrapText="1"/>
    </xf>
    <xf numFmtId="0" fontId="7" fillId="6" borderId="16" xfId="0" applyFont="1" applyFill="1" applyBorder="1" applyAlignment="1">
      <alignment horizontal="center" vertical="center"/>
    </xf>
    <xf numFmtId="0" fontId="7" fillId="6" borderId="5" xfId="0" applyFont="1" applyFill="1" applyBorder="1" applyAlignment="1">
      <alignment horizontal="center" vertical="center"/>
    </xf>
    <xf numFmtId="0" fontId="7" fillId="6" borderId="0" xfId="0" applyFont="1" applyFill="1" applyBorder="1" applyAlignment="1">
      <alignment horizontal="center" vertical="center"/>
    </xf>
    <xf numFmtId="0" fontId="0" fillId="0" borderId="0" xfId="0"/>
    <xf numFmtId="0" fontId="5" fillId="0" borderId="61" xfId="0" applyNumberFormat="1" applyFont="1" applyBorder="1" applyAlignment="1">
      <alignment horizontal="center"/>
    </xf>
    <xf numFmtId="0" fontId="5" fillId="0" borderId="61" xfId="0" applyFont="1" applyBorder="1" applyAlignment="1">
      <alignment horizontal="right"/>
    </xf>
    <xf numFmtId="0" fontId="5" fillId="0" borderId="61" xfId="0" applyFont="1" applyBorder="1" applyAlignment="1">
      <alignment horizontal="center"/>
    </xf>
    <xf numFmtId="0" fontId="6" fillId="0" borderId="61" xfId="0" applyFont="1" applyBorder="1" applyAlignment="1">
      <alignment horizontal="center"/>
    </xf>
    <xf numFmtId="0" fontId="50" fillId="0" borderId="0" xfId="0" applyNumberFormat="1" applyFont="1" applyBorder="1" applyAlignment="1">
      <alignment horizontal="center"/>
    </xf>
    <xf numFmtId="0" fontId="5" fillId="0" borderId="0" xfId="0" applyNumberFormat="1" applyFont="1" applyBorder="1" applyAlignment="1">
      <alignment horizontal="center"/>
    </xf>
    <xf numFmtId="0" fontId="50" fillId="0" borderId="61" xfId="0" applyNumberFormat="1" applyFont="1" applyBorder="1" applyAlignment="1">
      <alignment horizontal="center"/>
    </xf>
    <xf numFmtId="49" fontId="5" fillId="0" borderId="61" xfId="0" applyNumberFormat="1" applyFont="1" applyFill="1" applyBorder="1" applyAlignment="1">
      <alignment horizontal="right"/>
    </xf>
    <xf numFmtId="49" fontId="5" fillId="0" borderId="61" xfId="0" applyNumberFormat="1" applyFont="1" applyBorder="1" applyAlignment="1">
      <alignment horizontal="right"/>
    </xf>
    <xf numFmtId="0" fontId="2" fillId="2" borderId="61" xfId="0" applyNumberFormat="1" applyFont="1" applyFill="1" applyBorder="1" applyAlignment="1">
      <alignment horizontal="center"/>
    </xf>
    <xf numFmtId="0" fontId="5" fillId="3" borderId="61" xfId="0" applyNumberFormat="1" applyFont="1" applyFill="1" applyBorder="1" applyAlignment="1">
      <alignment horizontal="center"/>
    </xf>
    <xf numFmtId="0" fontId="5" fillId="5" borderId="61" xfId="0" applyNumberFormat="1" applyFont="1" applyFill="1" applyBorder="1" applyAlignment="1">
      <alignment horizontal="center"/>
    </xf>
    <xf numFmtId="0" fontId="2" fillId="2" borderId="61" xfId="0" applyFont="1" applyFill="1" applyBorder="1" applyAlignment="1">
      <alignment horizontal="center"/>
    </xf>
    <xf numFmtId="0" fontId="5" fillId="3" borderId="61" xfId="0" applyFont="1" applyFill="1" applyBorder="1" applyAlignment="1">
      <alignment horizontal="center"/>
    </xf>
    <xf numFmtId="0" fontId="5" fillId="5" borderId="61" xfId="0" applyFont="1" applyFill="1" applyBorder="1" applyAlignment="1">
      <alignment horizontal="center"/>
    </xf>
    <xf numFmtId="0" fontId="5" fillId="4" borderId="61" xfId="0" applyFont="1" applyFill="1" applyBorder="1" applyAlignment="1">
      <alignment horizontal="center"/>
    </xf>
    <xf numFmtId="0" fontId="5" fillId="5" borderId="61" xfId="0" applyNumberFormat="1" applyFont="1" applyFill="1" applyBorder="1" applyAlignment="1">
      <alignment horizontal="left"/>
    </xf>
    <xf numFmtId="0" fontId="5" fillId="5" borderId="61" xfId="0" applyFont="1" applyFill="1" applyBorder="1" applyAlignment="1">
      <alignment horizontal="center" vertical="center"/>
    </xf>
    <xf numFmtId="1" fontId="5" fillId="5" borderId="61" xfId="0" applyNumberFormat="1" applyFont="1" applyFill="1" applyBorder="1" applyAlignment="1">
      <alignment horizontal="center" vertical="center"/>
    </xf>
    <xf numFmtId="0" fontId="50" fillId="5" borderId="61" xfId="0" applyNumberFormat="1" applyFont="1" applyFill="1" applyBorder="1" applyAlignment="1">
      <alignment horizontal="center"/>
    </xf>
    <xf numFmtId="0" fontId="50" fillId="5" borderId="61" xfId="0" applyFont="1" applyFill="1" applyBorder="1" applyAlignment="1">
      <alignment horizontal="center"/>
    </xf>
    <xf numFmtId="1" fontId="5" fillId="0" borderId="61" xfId="0" applyNumberFormat="1" applyFont="1" applyBorder="1" applyAlignment="1">
      <alignment horizontal="center"/>
    </xf>
    <xf numFmtId="1" fontId="5" fillId="0" borderId="61" xfId="0" applyNumberFormat="1" applyFont="1" applyBorder="1" applyAlignment="1">
      <alignment horizontal="center" vertical="center"/>
    </xf>
    <xf numFmtId="1" fontId="6" fillId="0" borderId="61" xfId="0" applyNumberFormat="1" applyFont="1" applyBorder="1" applyAlignment="1">
      <alignment horizontal="center" vertical="center"/>
    </xf>
    <xf numFmtId="0" fontId="50" fillId="0" borderId="61" xfId="0" applyFont="1" applyBorder="1" applyAlignment="1">
      <alignment horizontal="center"/>
    </xf>
    <xf numFmtId="0" fontId="6" fillId="0" borderId="61" xfId="0" applyFont="1" applyBorder="1" applyAlignment="1">
      <alignment horizontal="left"/>
    </xf>
    <xf numFmtId="0" fontId="5" fillId="5" borderId="61" xfId="0" applyNumberFormat="1" applyFont="1" applyFill="1" applyBorder="1" applyAlignment="1">
      <alignment horizontal="center" vertical="center"/>
    </xf>
    <xf numFmtId="0" fontId="6" fillId="5" borderId="61" xfId="0" applyNumberFormat="1" applyFont="1" applyFill="1" applyBorder="1" applyAlignment="1">
      <alignment horizontal="center" vertical="center"/>
    </xf>
    <xf numFmtId="9" fontId="6" fillId="5" borderId="61" xfId="0" applyNumberFormat="1" applyFont="1" applyFill="1" applyBorder="1" applyAlignment="1">
      <alignment horizontal="center" vertical="center"/>
    </xf>
    <xf numFmtId="0" fontId="6" fillId="5" borderId="61" xfId="0" applyFont="1" applyFill="1" applyBorder="1" applyAlignment="1">
      <alignment horizontal="center" vertical="center"/>
    </xf>
    <xf numFmtId="9" fontId="5" fillId="5" borderId="61" xfId="0" applyNumberFormat="1" applyFont="1" applyFill="1" applyBorder="1" applyAlignment="1">
      <alignment horizontal="center" vertical="center"/>
    </xf>
    <xf numFmtId="9" fontId="50" fillId="5" borderId="61" xfId="0" applyNumberFormat="1" applyFont="1" applyFill="1" applyBorder="1" applyAlignment="1">
      <alignment horizontal="center"/>
    </xf>
    <xf numFmtId="9" fontId="5" fillId="0" borderId="61" xfId="0" applyNumberFormat="1" applyFont="1" applyBorder="1" applyAlignment="1">
      <alignment horizontal="center"/>
    </xf>
    <xf numFmtId="0" fontId="5" fillId="0" borderId="61" xfId="0" applyNumberFormat="1" applyFont="1" applyBorder="1" applyAlignment="1">
      <alignment horizontal="center" vertical="center"/>
    </xf>
    <xf numFmtId="0" fontId="6" fillId="0" borderId="61" xfId="0" applyNumberFormat="1" applyFont="1" applyBorder="1" applyAlignment="1">
      <alignment horizontal="center" vertical="center"/>
    </xf>
    <xf numFmtId="9" fontId="6" fillId="0" borderId="61" xfId="0" applyNumberFormat="1" applyFont="1" applyBorder="1" applyAlignment="1">
      <alignment horizontal="center" vertical="center"/>
    </xf>
    <xf numFmtId="0" fontId="5" fillId="0" borderId="61" xfId="0" applyFont="1" applyBorder="1" applyAlignment="1">
      <alignment horizontal="center" vertical="center"/>
    </xf>
    <xf numFmtId="9" fontId="6" fillId="0" borderId="61" xfId="0" applyNumberFormat="1" applyFont="1" applyBorder="1" applyAlignment="1">
      <alignment horizontal="center"/>
    </xf>
    <xf numFmtId="9" fontId="50" fillId="0" borderId="61" xfId="0" applyNumberFormat="1" applyFont="1" applyBorder="1" applyAlignment="1">
      <alignment horizontal="center"/>
    </xf>
    <xf numFmtId="9" fontId="5" fillId="0" borderId="61" xfId="0" applyNumberFormat="1" applyFont="1" applyBorder="1" applyAlignment="1">
      <alignment horizontal="center" vertical="center"/>
    </xf>
    <xf numFmtId="0" fontId="0" fillId="0" borderId="0" xfId="0" applyBorder="1"/>
    <xf numFmtId="9" fontId="6" fillId="5" borderId="61" xfId="0" applyNumberFormat="1" applyFont="1" applyFill="1" applyBorder="1" applyAlignment="1">
      <alignment horizontal="center"/>
    </xf>
    <xf numFmtId="0" fontId="6" fillId="5" borderId="61" xfId="0" applyFont="1" applyFill="1" applyBorder="1" applyAlignment="1">
      <alignment horizontal="center"/>
    </xf>
    <xf numFmtId="0" fontId="5" fillId="0" borderId="61" xfId="0" applyNumberFormat="1" applyFont="1" applyFill="1" applyBorder="1" applyAlignment="1">
      <alignment horizontal="center" vertical="center"/>
    </xf>
    <xf numFmtId="0" fontId="50" fillId="5" borderId="0" xfId="0" applyFont="1" applyFill="1" applyBorder="1" applyAlignment="1">
      <alignment horizontal="center"/>
    </xf>
    <xf numFmtId="0" fontId="6" fillId="0" borderId="61" xfId="0" applyFont="1" applyBorder="1" applyAlignment="1">
      <alignment horizontal="center" vertical="center"/>
    </xf>
    <xf numFmtId="0" fontId="20" fillId="9" borderId="50" xfId="1" applyFont="1" applyFill="1" applyBorder="1" applyAlignment="1">
      <alignment horizontal="center" vertical="center" wrapText="1"/>
    </xf>
    <xf numFmtId="0" fontId="20" fillId="11" borderId="50" xfId="1" applyFont="1" applyFill="1" applyBorder="1" applyAlignment="1">
      <alignment horizontal="center" vertical="center" wrapText="1"/>
    </xf>
    <xf numFmtId="0" fontId="20" fillId="15" borderId="50" xfId="1" applyFont="1" applyFill="1" applyBorder="1" applyAlignment="1">
      <alignment horizontal="center" vertical="center" wrapText="1"/>
    </xf>
    <xf numFmtId="0" fontId="20" fillId="0" borderId="50" xfId="1" applyFont="1" applyFill="1" applyBorder="1" applyAlignment="1">
      <alignment horizontal="center" vertical="center" wrapText="1"/>
    </xf>
    <xf numFmtId="0" fontId="20" fillId="14" borderId="50" xfId="1" applyFont="1" applyFill="1" applyBorder="1" applyAlignment="1">
      <alignment horizontal="center" vertical="center" wrapText="1"/>
    </xf>
    <xf numFmtId="0" fontId="5" fillId="5" borderId="0" xfId="0" applyNumberFormat="1" applyFont="1" applyFill="1" applyBorder="1" applyAlignment="1">
      <alignment horizontal="center"/>
    </xf>
    <xf numFmtId="9" fontId="5" fillId="5" borderId="1" xfId="5" applyFont="1" applyFill="1" applyBorder="1" applyAlignment="1">
      <alignment horizontal="center" vertical="center"/>
    </xf>
    <xf numFmtId="9" fontId="5" fillId="5" borderId="49" xfId="5" applyFont="1" applyFill="1" applyBorder="1" applyAlignment="1">
      <alignment horizontal="center" vertical="center"/>
    </xf>
    <xf numFmtId="0" fontId="11" fillId="0" borderId="0" xfId="1" applyFill="1"/>
    <xf numFmtId="0" fontId="0" fillId="0" borderId="0" xfId="0"/>
    <xf numFmtId="0" fontId="1" fillId="0" borderId="62" xfId="4" applyBorder="1"/>
    <xf numFmtId="0" fontId="0" fillId="18" borderId="62" xfId="0" applyFill="1" applyBorder="1"/>
    <xf numFmtId="0" fontId="0" fillId="0" borderId="62" xfId="0" applyBorder="1"/>
    <xf numFmtId="0" fontId="1" fillId="18" borderId="62" xfId="4" applyFill="1" applyBorder="1"/>
    <xf numFmtId="164" fontId="1" fillId="0" borderId="62" xfId="4" applyNumberFormat="1" applyBorder="1"/>
    <xf numFmtId="0" fontId="11" fillId="18" borderId="62" xfId="4" applyFont="1" applyFill="1" applyBorder="1" applyAlignment="1">
      <alignment horizontal="center"/>
    </xf>
    <xf numFmtId="0" fontId="13" fillId="18" borderId="62" xfId="3" applyFill="1" applyBorder="1" applyAlignment="1">
      <alignment horizontal="center"/>
    </xf>
    <xf numFmtId="0" fontId="1" fillId="18" borderId="62" xfId="4" applyFill="1" applyBorder="1" applyAlignment="1">
      <alignment horizontal="center"/>
    </xf>
    <xf numFmtId="1" fontId="1" fillId="0" borderId="62" xfId="4" applyNumberFormat="1" applyBorder="1" applyAlignment="1">
      <alignment horizontal="center"/>
    </xf>
    <xf numFmtId="0" fontId="1" fillId="12" borderId="63" xfId="4" applyFill="1" applyBorder="1" applyAlignment="1">
      <alignment horizontal="center"/>
    </xf>
    <xf numFmtId="0" fontId="1" fillId="0" borderId="62" xfId="4" applyNumberFormat="1" applyBorder="1"/>
    <xf numFmtId="0" fontId="55" fillId="12" borderId="62" xfId="3" applyFont="1" applyFill="1" applyBorder="1" applyAlignment="1">
      <alignment horizontal="center" vertical="center"/>
    </xf>
    <xf numFmtId="0" fontId="55" fillId="0" borderId="62" xfId="3" applyNumberFormat="1" applyFont="1" applyBorder="1" applyAlignment="1">
      <alignment horizontal="left" vertical="center"/>
    </xf>
    <xf numFmtId="0" fontId="55" fillId="0" borderId="62" xfId="3" applyFont="1" applyBorder="1" applyAlignment="1">
      <alignment horizontal="left" vertical="center"/>
    </xf>
    <xf numFmtId="0" fontId="55" fillId="7" borderId="62" xfId="3" applyFont="1" applyFill="1" applyBorder="1" applyAlignment="1">
      <alignment horizontal="center" vertical="center"/>
    </xf>
    <xf numFmtId="0" fontId="55" fillId="18" borderId="62" xfId="3" applyFont="1" applyFill="1" applyBorder="1" applyAlignment="1">
      <alignment horizontal="center" vertical="center"/>
    </xf>
    <xf numFmtId="0" fontId="55" fillId="21" borderId="62" xfId="3" applyFont="1" applyFill="1" applyBorder="1" applyAlignment="1">
      <alignment horizontal="center" vertical="center"/>
    </xf>
    <xf numFmtId="0" fontId="0" fillId="7" borderId="62" xfId="0" applyFill="1" applyBorder="1"/>
    <xf numFmtId="0" fontId="1" fillId="7" borderId="62" xfId="4" applyFill="1" applyBorder="1"/>
    <xf numFmtId="0" fontId="11" fillId="20" borderId="62" xfId="4" applyFont="1" applyFill="1" applyBorder="1" applyAlignment="1">
      <alignment horizontal="center"/>
    </xf>
    <xf numFmtId="0" fontId="13" fillId="20" borderId="62" xfId="3" applyFill="1" applyBorder="1" applyAlignment="1">
      <alignment horizontal="center"/>
    </xf>
    <xf numFmtId="0" fontId="1" fillId="20" borderId="62" xfId="4" applyFill="1" applyBorder="1"/>
    <xf numFmtId="0" fontId="1" fillId="20" borderId="62" xfId="4" applyFill="1" applyBorder="1" applyAlignment="1">
      <alignment horizontal="center"/>
    </xf>
    <xf numFmtId="0" fontId="1" fillId="20" borderId="63" xfId="4" applyFill="1" applyBorder="1" applyAlignment="1">
      <alignment horizontal="center"/>
    </xf>
    <xf numFmtId="0" fontId="55" fillId="20" borderId="62" xfId="3" applyFont="1" applyFill="1" applyBorder="1" applyAlignment="1">
      <alignment horizontal="center" vertical="center"/>
    </xf>
    <xf numFmtId="0" fontId="0" fillId="18" borderId="64" xfId="0" applyFill="1" applyBorder="1"/>
    <xf numFmtId="0" fontId="11" fillId="7" borderId="62" xfId="4" applyFont="1" applyFill="1" applyBorder="1" applyAlignment="1">
      <alignment horizontal="center"/>
    </xf>
    <xf numFmtId="0" fontId="13" fillId="7" borderId="62" xfId="3" applyFill="1" applyBorder="1" applyAlignment="1">
      <alignment horizontal="center"/>
    </xf>
    <xf numFmtId="0" fontId="1" fillId="7" borderId="62" xfId="4" applyFill="1" applyBorder="1" applyAlignment="1">
      <alignment horizontal="center"/>
    </xf>
    <xf numFmtId="0" fontId="1" fillId="7" borderId="63" xfId="4" applyFill="1" applyBorder="1" applyAlignment="1">
      <alignment horizontal="center"/>
    </xf>
    <xf numFmtId="0" fontId="1" fillId="20" borderId="0" xfId="4" applyFill="1" applyBorder="1" applyAlignment="1">
      <alignment horizontal="center"/>
    </xf>
    <xf numFmtId="0" fontId="0" fillId="20" borderId="62" xfId="0" applyFill="1" applyBorder="1"/>
    <xf numFmtId="0" fontId="0" fillId="20" borderId="64" xfId="0" applyFill="1" applyBorder="1"/>
    <xf numFmtId="0" fontId="1" fillId="21" borderId="62" xfId="4" applyFill="1" applyBorder="1"/>
    <xf numFmtId="0" fontId="11" fillId="21" borderId="62" xfId="4" applyFont="1" applyFill="1" applyBorder="1" applyAlignment="1">
      <alignment horizontal="center"/>
    </xf>
    <xf numFmtId="0" fontId="13" fillId="21" borderId="62" xfId="3" applyFill="1" applyBorder="1" applyAlignment="1">
      <alignment horizontal="center"/>
    </xf>
    <xf numFmtId="0" fontId="1" fillId="21" borderId="62" xfId="4" applyFill="1" applyBorder="1" applyAlignment="1">
      <alignment horizontal="center"/>
    </xf>
    <xf numFmtId="0" fontId="1" fillId="21" borderId="63" xfId="4" applyFill="1" applyBorder="1" applyAlignment="1">
      <alignment horizontal="center"/>
    </xf>
    <xf numFmtId="0" fontId="1" fillId="12" borderId="62" xfId="4" applyFill="1" applyBorder="1" applyAlignment="1">
      <alignment horizontal="center"/>
    </xf>
    <xf numFmtId="0" fontId="1" fillId="18" borderId="63" xfId="4" applyFill="1" applyBorder="1" applyAlignment="1">
      <alignment horizontal="center"/>
    </xf>
    <xf numFmtId="0" fontId="1" fillId="7" borderId="0" xfId="4" applyFill="1" applyBorder="1" applyAlignment="1">
      <alignment horizontal="center"/>
    </xf>
    <xf numFmtId="0" fontId="1" fillId="0" borderId="57" xfId="4" applyBorder="1" applyAlignment="1">
      <alignment horizontal="left"/>
    </xf>
    <xf numFmtId="0" fontId="5" fillId="0" borderId="61" xfId="0" applyFont="1" applyBorder="1" applyAlignment="1">
      <alignment horizontal="left"/>
    </xf>
    <xf numFmtId="14" fontId="0" fillId="0" borderId="0" xfId="0" applyNumberFormat="1"/>
    <xf numFmtId="0" fontId="0" fillId="0" borderId="0" xfId="0"/>
    <xf numFmtId="0" fontId="0" fillId="0" borderId="0" xfId="0" applyAlignment="1">
      <alignment vertical="center"/>
    </xf>
    <xf numFmtId="0" fontId="0" fillId="0" borderId="0" xfId="0"/>
    <xf numFmtId="0" fontId="2" fillId="6" borderId="0" xfId="0" applyFont="1" applyFill="1" applyBorder="1" applyAlignment="1">
      <alignment horizontal="center" vertical="center" wrapText="1"/>
    </xf>
    <xf numFmtId="0" fontId="0" fillId="0" borderId="0" xfId="0" applyAlignment="1">
      <alignment vertical="center"/>
    </xf>
    <xf numFmtId="0" fontId="23" fillId="9" borderId="0" xfId="1" applyFont="1" applyFill="1" applyBorder="1" applyAlignment="1">
      <alignment horizontal="center" vertical="center" wrapText="1"/>
    </xf>
    <xf numFmtId="0" fontId="17" fillId="9" borderId="0" xfId="1" applyFont="1" applyFill="1" applyBorder="1" applyAlignment="1">
      <alignment horizontal="center" vertical="center" wrapText="1"/>
    </xf>
    <xf numFmtId="0" fontId="14" fillId="11" borderId="35" xfId="2" applyFont="1" applyFill="1" applyBorder="1" applyAlignment="1">
      <alignment horizontal="center" vertical="center" wrapText="1"/>
    </xf>
    <xf numFmtId="0" fontId="14" fillId="11" borderId="44" xfId="2" applyFont="1" applyFill="1" applyBorder="1" applyAlignment="1">
      <alignment horizontal="center" vertical="center" wrapText="1"/>
    </xf>
    <xf numFmtId="0" fontId="12" fillId="9" borderId="0" xfId="1" applyFont="1" applyFill="1" applyBorder="1" applyAlignment="1">
      <alignment horizontal="left"/>
    </xf>
    <xf numFmtId="0" fontId="11" fillId="9" borderId="0" xfId="1" applyFill="1" applyBorder="1" applyAlignment="1">
      <alignment vertical="top" wrapText="1"/>
    </xf>
    <xf numFmtId="0" fontId="41" fillId="9" borderId="0" xfId="1" applyFont="1" applyFill="1" applyBorder="1" applyAlignment="1">
      <alignment horizontal="center" vertical="center" wrapText="1"/>
    </xf>
    <xf numFmtId="1" fontId="17" fillId="9" borderId="0" xfId="1" applyNumberFormat="1" applyFont="1" applyFill="1" applyBorder="1" applyAlignment="1">
      <alignment horizontal="center" vertical="center" wrapText="1"/>
    </xf>
    <xf numFmtId="0" fontId="56" fillId="9" borderId="0" xfId="1" applyFont="1" applyFill="1" applyBorder="1" applyAlignment="1">
      <alignment vertical="center" wrapText="1"/>
    </xf>
    <xf numFmtId="0" fontId="41" fillId="9" borderId="0" xfId="1" applyFont="1" applyFill="1" applyBorder="1" applyAlignment="1">
      <alignment vertical="center" wrapText="1"/>
    </xf>
    <xf numFmtId="0" fontId="59" fillId="9" borderId="0" xfId="1" applyFont="1" applyFill="1" applyBorder="1" applyAlignment="1">
      <alignment vertical="center" wrapText="1"/>
    </xf>
    <xf numFmtId="0" fontId="15" fillId="11" borderId="44" xfId="1" applyFont="1" applyFill="1" applyBorder="1" applyAlignment="1">
      <alignment horizontal="center" vertical="center" wrapText="1"/>
    </xf>
    <xf numFmtId="0" fontId="65" fillId="9" borderId="0" xfId="0" applyFont="1" applyFill="1" applyBorder="1" applyAlignment="1">
      <alignment vertical="center" wrapText="1"/>
    </xf>
    <xf numFmtId="0" fontId="65" fillId="9" borderId="0" xfId="0" applyFont="1" applyFill="1" applyBorder="1" applyAlignment="1">
      <alignment horizontal="left" vertical="top" wrapText="1"/>
    </xf>
    <xf numFmtId="1" fontId="31" fillId="12" borderId="44" xfId="1" applyNumberFormat="1" applyFont="1" applyFill="1" applyBorder="1" applyAlignment="1">
      <alignment horizontal="center" vertical="center"/>
    </xf>
    <xf numFmtId="0" fontId="34" fillId="27" borderId="44" xfId="0" applyFont="1" applyFill="1" applyBorder="1" applyAlignment="1">
      <alignment horizontal="center" vertical="center" wrapText="1"/>
    </xf>
    <xf numFmtId="0" fontId="37" fillId="0" borderId="44" xfId="0" applyFont="1" applyFill="1" applyBorder="1" applyAlignment="1">
      <alignment horizontal="center" vertical="center" wrapText="1"/>
    </xf>
    <xf numFmtId="0" fontId="38" fillId="0" borderId="44" xfId="0" applyFont="1" applyFill="1" applyBorder="1" applyAlignment="1">
      <alignment horizontal="center" vertical="center" wrapText="1"/>
    </xf>
    <xf numFmtId="0" fontId="14" fillId="10" borderId="35" xfId="2" applyFont="1" applyFill="1" applyBorder="1" applyAlignment="1">
      <alignment horizontal="center" vertical="center" wrapText="1"/>
    </xf>
    <xf numFmtId="0" fontId="14" fillId="10" borderId="60" xfId="2" applyFont="1" applyFill="1" applyBorder="1" applyAlignment="1">
      <alignment horizontal="center" vertical="center" wrapText="1"/>
    </xf>
    <xf numFmtId="0" fontId="16" fillId="10" borderId="44" xfId="1" applyFont="1" applyFill="1" applyBorder="1" applyAlignment="1">
      <alignment horizontal="left" vertical="center" wrapText="1"/>
    </xf>
    <xf numFmtId="0" fontId="37" fillId="10" borderId="44" xfId="2" applyFont="1" applyFill="1" applyBorder="1" applyAlignment="1">
      <alignment horizontal="center" vertical="center" wrapText="1"/>
    </xf>
    <xf numFmtId="0" fontId="56" fillId="28" borderId="0" xfId="1" applyFont="1" applyFill="1"/>
    <xf numFmtId="0" fontId="67" fillId="28" borderId="0" xfId="1" applyFont="1" applyFill="1"/>
    <xf numFmtId="0" fontId="67" fillId="28" borderId="0" xfId="1" applyFont="1" applyFill="1" applyAlignment="1">
      <alignment vertical="center"/>
    </xf>
    <xf numFmtId="0" fontId="11" fillId="28" borderId="0" xfId="1" applyFill="1"/>
    <xf numFmtId="0" fontId="7" fillId="6" borderId="2" xfId="0" applyFont="1" applyFill="1" applyBorder="1" applyAlignment="1">
      <alignment horizontal="center" vertical="center" wrapText="1"/>
    </xf>
    <xf numFmtId="0" fontId="65" fillId="9" borderId="0" xfId="0" applyFont="1" applyFill="1" applyBorder="1" applyAlignment="1">
      <alignment vertical="top" wrapText="1"/>
    </xf>
    <xf numFmtId="0" fontId="68" fillId="9" borderId="0" xfId="1" applyFont="1" applyFill="1" applyAlignment="1">
      <alignment vertical="top" wrapText="1"/>
    </xf>
    <xf numFmtId="0" fontId="68" fillId="9" borderId="0" xfId="1" applyFont="1" applyFill="1" applyAlignment="1">
      <alignment vertical="top"/>
    </xf>
    <xf numFmtId="0" fontId="13" fillId="10" borderId="16" xfId="2" applyFont="1" applyFill="1" applyBorder="1" applyAlignment="1">
      <alignment horizontal="center" vertical="center" wrapText="1"/>
    </xf>
    <xf numFmtId="0" fontId="66" fillId="10" borderId="44" xfId="2" applyFont="1" applyFill="1" applyBorder="1" applyAlignment="1">
      <alignment vertical="top" wrapText="1"/>
    </xf>
    <xf numFmtId="0" fontId="13" fillId="10" borderId="24" xfId="2" applyFont="1" applyFill="1" applyBorder="1" applyAlignment="1">
      <alignment horizontal="center" vertical="center" wrapText="1"/>
    </xf>
    <xf numFmtId="0" fontId="66" fillId="10" borderId="44" xfId="2" applyFont="1" applyFill="1" applyBorder="1" applyAlignment="1">
      <alignment horizontal="left" vertical="top" wrapText="1"/>
    </xf>
    <xf numFmtId="0" fontId="54" fillId="9" borderId="0" xfId="1" applyFont="1" applyFill="1" applyBorder="1" applyAlignment="1">
      <alignment horizontal="center" vertical="center" wrapText="1"/>
    </xf>
    <xf numFmtId="0" fontId="69" fillId="10" borderId="75" xfId="2" applyFont="1" applyFill="1" applyBorder="1" applyAlignment="1">
      <alignment horizontal="center" vertical="center" wrapText="1"/>
    </xf>
    <xf numFmtId="0" fontId="69" fillId="10" borderId="44" xfId="2" applyFont="1" applyFill="1" applyBorder="1" applyAlignment="1">
      <alignment horizontal="left" vertical="top" wrapText="1"/>
    </xf>
    <xf numFmtId="0" fontId="15" fillId="11" borderId="31" xfId="1" applyFont="1" applyFill="1" applyBorder="1" applyAlignment="1">
      <alignment horizontal="center" vertical="center" wrapText="1"/>
    </xf>
    <xf numFmtId="0" fontId="69" fillId="10" borderId="57" xfId="2" applyFont="1" applyFill="1" applyBorder="1" applyAlignment="1">
      <alignment horizontal="center" vertical="center" wrapText="1"/>
    </xf>
    <xf numFmtId="0" fontId="15" fillId="11" borderId="76" xfId="1" applyFont="1" applyFill="1" applyBorder="1" applyAlignment="1">
      <alignment horizontal="center" vertical="center" wrapText="1"/>
    </xf>
    <xf numFmtId="0" fontId="72" fillId="10" borderId="57" xfId="2" applyFont="1" applyFill="1" applyBorder="1" applyAlignment="1">
      <alignment horizontal="left" vertical="top" wrapText="1"/>
    </xf>
    <xf numFmtId="0" fontId="72" fillId="10" borderId="57" xfId="2" applyFont="1" applyFill="1" applyBorder="1" applyAlignment="1">
      <alignment horizontal="left" vertical="center" wrapText="1"/>
    </xf>
    <xf numFmtId="9" fontId="18" fillId="9" borderId="57" xfId="1" applyNumberFormat="1" applyFont="1" applyFill="1" applyBorder="1" applyAlignment="1">
      <alignment horizontal="center" vertical="center"/>
    </xf>
    <xf numFmtId="0" fontId="71" fillId="9" borderId="0" xfId="1" applyFont="1" applyFill="1"/>
    <xf numFmtId="0" fontId="69" fillId="10" borderId="2" xfId="2" applyFont="1" applyFill="1" applyBorder="1" applyAlignment="1">
      <alignment horizontal="center" vertical="center" wrapText="1"/>
    </xf>
    <xf numFmtId="0" fontId="69" fillId="10" borderId="65" xfId="2" applyFont="1" applyFill="1" applyBorder="1" applyAlignment="1">
      <alignment horizontal="left" vertical="top" wrapText="1"/>
    </xf>
    <xf numFmtId="0" fontId="37" fillId="10" borderId="46" xfId="2" applyFont="1" applyFill="1" applyBorder="1" applyAlignment="1">
      <alignment horizontal="center" vertical="center" wrapText="1"/>
    </xf>
    <xf numFmtId="0" fontId="56" fillId="10" borderId="44" xfId="2" applyFont="1" applyFill="1" applyBorder="1" applyAlignment="1">
      <alignment horizontal="center" vertical="center" wrapText="1"/>
    </xf>
    <xf numFmtId="0" fontId="15" fillId="11" borderId="35" xfId="1" applyFont="1" applyFill="1" applyBorder="1" applyAlignment="1">
      <alignment horizontal="center" vertical="center" wrapText="1"/>
    </xf>
    <xf numFmtId="0" fontId="69" fillId="10" borderId="35" xfId="2" applyFont="1" applyFill="1" applyBorder="1" applyAlignment="1">
      <alignment horizontal="left" vertical="top" wrapText="1"/>
    </xf>
    <xf numFmtId="0" fontId="0" fillId="0" borderId="0" xfId="0"/>
    <xf numFmtId="0" fontId="2" fillId="6" borderId="2" xfId="0" applyFont="1" applyFill="1" applyBorder="1" applyAlignment="1">
      <alignment horizontal="center" vertical="center" wrapText="1"/>
    </xf>
    <xf numFmtId="0" fontId="73" fillId="2" borderId="79" xfId="0" applyNumberFormat="1" applyFont="1" applyFill="1" applyBorder="1" applyAlignment="1">
      <alignment horizontal="center"/>
    </xf>
    <xf numFmtId="0" fontId="74" fillId="3" borderId="79" xfId="0" applyNumberFormat="1" applyFont="1" applyFill="1" applyBorder="1" applyAlignment="1">
      <alignment horizontal="center"/>
    </xf>
    <xf numFmtId="0" fontId="74" fillId="5" borderId="79" xfId="0" applyNumberFormat="1" applyFont="1" applyFill="1" applyBorder="1" applyAlignment="1">
      <alignment horizontal="center"/>
    </xf>
    <xf numFmtId="0" fontId="74" fillId="4" borderId="79" xfId="0" applyNumberFormat="1" applyFont="1" applyFill="1" applyBorder="1" applyAlignment="1">
      <alignment horizontal="center"/>
    </xf>
    <xf numFmtId="0" fontId="74" fillId="0" borderId="79" xfId="0" applyNumberFormat="1" applyFont="1" applyBorder="1" applyAlignment="1">
      <alignment horizontal="center"/>
    </xf>
    <xf numFmtId="0" fontId="0" fillId="0" borderId="0" xfId="0"/>
    <xf numFmtId="0" fontId="2" fillId="6" borderId="2" xfId="0" applyFont="1" applyFill="1" applyBorder="1" applyAlignment="1">
      <alignment horizontal="center" vertical="center" wrapText="1"/>
    </xf>
    <xf numFmtId="0" fontId="7" fillId="6" borderId="2" xfId="0" applyFont="1" applyFill="1" applyBorder="1" applyAlignment="1">
      <alignment horizontal="center" vertical="center" wrapText="1"/>
    </xf>
    <xf numFmtId="0" fontId="2" fillId="6" borderId="16" xfId="0" applyFont="1" applyFill="1" applyBorder="1" applyAlignment="1">
      <alignment horizontal="center" vertical="center" wrapText="1"/>
    </xf>
    <xf numFmtId="0" fontId="7" fillId="6" borderId="16" xfId="0" applyFont="1" applyFill="1" applyBorder="1" applyAlignment="1">
      <alignment horizontal="center" vertical="center"/>
    </xf>
    <xf numFmtId="0" fontId="7" fillId="6" borderId="5" xfId="0" applyFont="1" applyFill="1" applyBorder="1" applyAlignment="1">
      <alignment horizontal="center" vertical="center"/>
    </xf>
    <xf numFmtId="0" fontId="73" fillId="2" borderId="79" xfId="0" applyFont="1" applyFill="1" applyBorder="1" applyAlignment="1">
      <alignment horizontal="center"/>
    </xf>
    <xf numFmtId="0" fontId="74" fillId="3" borderId="79" xfId="0" applyFont="1" applyFill="1" applyBorder="1" applyAlignment="1">
      <alignment horizontal="center"/>
    </xf>
    <xf numFmtId="0" fontId="74" fillId="5" borderId="79" xfId="0" applyFont="1" applyFill="1" applyBorder="1" applyAlignment="1">
      <alignment horizontal="center"/>
    </xf>
    <xf numFmtId="0" fontId="74" fillId="0" borderId="79" xfId="0" applyFont="1" applyBorder="1" applyAlignment="1">
      <alignment horizontal="center"/>
    </xf>
    <xf numFmtId="9" fontId="73" fillId="2" borderId="79" xfId="0" applyNumberFormat="1" applyFont="1" applyFill="1" applyBorder="1" applyAlignment="1">
      <alignment horizontal="center"/>
    </xf>
    <xf numFmtId="9" fontId="74" fillId="3" borderId="79" xfId="0" applyNumberFormat="1" applyFont="1" applyFill="1" applyBorder="1" applyAlignment="1">
      <alignment horizontal="center"/>
    </xf>
    <xf numFmtId="9" fontId="74" fillId="5" borderId="79" xfId="0" applyNumberFormat="1" applyFont="1" applyFill="1" applyBorder="1" applyAlignment="1">
      <alignment horizontal="center"/>
    </xf>
    <xf numFmtId="9" fontId="74" fillId="0" borderId="79" xfId="0" applyNumberFormat="1" applyFont="1" applyBorder="1" applyAlignment="1">
      <alignment horizontal="center"/>
    </xf>
    <xf numFmtId="0" fontId="0" fillId="0" borderId="0" xfId="0"/>
    <xf numFmtId="1" fontId="40" fillId="9" borderId="44" xfId="1" applyNumberFormat="1" applyFont="1" applyFill="1" applyBorder="1" applyAlignment="1">
      <alignment horizontal="center" vertical="center" wrapText="1"/>
    </xf>
    <xf numFmtId="0" fontId="2" fillId="6" borderId="5" xfId="0" applyFont="1" applyFill="1" applyBorder="1" applyAlignment="1">
      <alignment horizontal="center" vertical="center" wrapText="1"/>
    </xf>
    <xf numFmtId="0" fontId="2" fillId="6" borderId="0" xfId="0" applyFont="1" applyFill="1" applyBorder="1" applyAlignment="1">
      <alignment horizontal="center" vertical="center" wrapText="1"/>
    </xf>
    <xf numFmtId="0" fontId="2" fillId="6" borderId="6" xfId="0" applyFont="1" applyFill="1" applyBorder="1" applyAlignment="1">
      <alignment horizontal="center" vertical="center" wrapText="1"/>
    </xf>
    <xf numFmtId="0" fontId="0" fillId="0" borderId="0" xfId="0"/>
    <xf numFmtId="1" fontId="40" fillId="9" borderId="44" xfId="1" applyNumberFormat="1" applyFont="1" applyFill="1" applyBorder="1" applyAlignment="1">
      <alignment horizontal="center" vertical="center" wrapText="1"/>
    </xf>
    <xf numFmtId="0" fontId="2" fillId="6" borderId="2" xfId="0" applyFont="1" applyFill="1" applyBorder="1" applyAlignment="1">
      <alignment horizontal="center" vertical="center" wrapText="1"/>
    </xf>
    <xf numFmtId="0" fontId="0" fillId="0" borderId="0" xfId="0" applyAlignment="1">
      <alignment vertical="center"/>
    </xf>
    <xf numFmtId="0" fontId="0" fillId="12" borderId="44" xfId="0" applyFill="1" applyBorder="1" applyAlignment="1">
      <alignment horizontal="center"/>
    </xf>
    <xf numFmtId="0" fontId="0" fillId="0" borderId="44" xfId="0" applyNumberFormat="1" applyBorder="1"/>
    <xf numFmtId="0" fontId="0" fillId="7" borderId="44" xfId="0" applyFill="1" applyBorder="1" applyAlignment="1">
      <alignment horizontal="center"/>
    </xf>
    <xf numFmtId="0" fontId="1" fillId="0" borderId="80" xfId="4" applyBorder="1"/>
    <xf numFmtId="0" fontId="0" fillId="12" borderId="80" xfId="0" applyFill="1" applyBorder="1"/>
    <xf numFmtId="0" fontId="0" fillId="0" borderId="80" xfId="0" applyBorder="1"/>
    <xf numFmtId="0" fontId="1" fillId="12" borderId="80" xfId="4" applyFill="1" applyBorder="1"/>
    <xf numFmtId="164" fontId="1" fillId="0" borderId="80" xfId="4" applyNumberFormat="1" applyBorder="1"/>
    <xf numFmtId="0" fontId="11" fillId="12" borderId="80" xfId="4" applyFont="1" applyFill="1" applyBorder="1" applyAlignment="1">
      <alignment horizontal="center"/>
    </xf>
    <xf numFmtId="0" fontId="13" fillId="19" borderId="80" xfId="3" applyFill="1" applyBorder="1" applyAlignment="1">
      <alignment horizontal="center"/>
    </xf>
    <xf numFmtId="1" fontId="1" fillId="0" borderId="80" xfId="4" applyNumberFormat="1" applyBorder="1" applyAlignment="1">
      <alignment horizontal="center"/>
    </xf>
    <xf numFmtId="0" fontId="0" fillId="0" borderId="0" xfId="0" applyNumberFormat="1" applyBorder="1"/>
    <xf numFmtId="0" fontId="5" fillId="0" borderId="79" xfId="0" applyFont="1" applyBorder="1" applyAlignment="1">
      <alignment horizontal="left"/>
    </xf>
    <xf numFmtId="0" fontId="0" fillId="20" borderId="80" xfId="0" applyFill="1" applyBorder="1" applyAlignment="1">
      <alignment horizontal="center"/>
    </xf>
    <xf numFmtId="0" fontId="0" fillId="0" borderId="80" xfId="0" applyNumberFormat="1" applyBorder="1"/>
    <xf numFmtId="0" fontId="0" fillId="7" borderId="80" xfId="0" applyFill="1" applyBorder="1" applyAlignment="1">
      <alignment horizontal="center"/>
    </xf>
    <xf numFmtId="0" fontId="75" fillId="18" borderId="80" xfId="0" applyFont="1" applyFill="1" applyBorder="1" applyAlignment="1">
      <alignment horizontal="center"/>
    </xf>
    <xf numFmtId="0" fontId="0" fillId="21" borderId="80" xfId="0" applyFill="1" applyBorder="1" applyAlignment="1">
      <alignment horizontal="center"/>
    </xf>
    <xf numFmtId="0" fontId="0" fillId="0" borderId="0" xfId="0" applyNumberFormat="1"/>
    <xf numFmtId="0" fontId="0" fillId="12" borderId="80" xfId="0" applyFill="1" applyBorder="1" applyAlignment="1">
      <alignment horizontal="center"/>
    </xf>
    <xf numFmtId="0" fontId="2" fillId="6" borderId="6" xfId="0" applyFont="1" applyFill="1" applyBorder="1" applyAlignment="1">
      <alignment horizontal="center" vertical="center" wrapText="1"/>
    </xf>
    <xf numFmtId="0" fontId="2" fillId="6" borderId="5" xfId="0" applyFont="1" applyFill="1" applyBorder="1" applyAlignment="1">
      <alignment horizontal="center" vertical="center" wrapText="1"/>
    </xf>
    <xf numFmtId="0" fontId="2" fillId="6" borderId="0" xfId="0" applyFont="1" applyFill="1" applyBorder="1" applyAlignment="1">
      <alignment horizontal="center" vertical="center" wrapText="1"/>
    </xf>
    <xf numFmtId="0" fontId="0" fillId="0" borderId="0" xfId="0"/>
    <xf numFmtId="0" fontId="2" fillId="6" borderId="2" xfId="0" applyFont="1" applyFill="1" applyBorder="1" applyAlignment="1">
      <alignment horizontal="center" vertical="center" wrapText="1"/>
    </xf>
    <xf numFmtId="0" fontId="0" fillId="0" borderId="0" xfId="0" applyAlignment="1">
      <alignment vertical="center"/>
    </xf>
    <xf numFmtId="0" fontId="17" fillId="11" borderId="80" xfId="1" applyFont="1" applyFill="1" applyBorder="1" applyAlignment="1">
      <alignment horizontal="center" vertical="center" wrapText="1"/>
    </xf>
    <xf numFmtId="9" fontId="18" fillId="9" borderId="80" xfId="1" applyNumberFormat="1" applyFont="1" applyFill="1" applyBorder="1" applyAlignment="1">
      <alignment horizontal="center" vertical="center"/>
    </xf>
    <xf numFmtId="0" fontId="15" fillId="11" borderId="81" xfId="1" applyFont="1" applyFill="1" applyBorder="1" applyAlignment="1">
      <alignment horizontal="center" vertical="center" wrapText="1"/>
    </xf>
    <xf numFmtId="0" fontId="12" fillId="9" borderId="0" xfId="1" applyFont="1" applyFill="1" applyAlignment="1" applyProtection="1">
      <alignment horizontal="left"/>
    </xf>
    <xf numFmtId="0" fontId="12" fillId="9" borderId="0" xfId="1" applyFont="1" applyFill="1" applyAlignment="1" applyProtection="1">
      <alignment horizontal="center"/>
    </xf>
    <xf numFmtId="0" fontId="11" fillId="9" borderId="0" xfId="1" applyFill="1" applyProtection="1"/>
    <xf numFmtId="0" fontId="23" fillId="11" borderId="24" xfId="1" applyFont="1" applyFill="1" applyBorder="1" applyAlignment="1" applyProtection="1">
      <alignment horizontal="center" vertical="center" wrapText="1"/>
    </xf>
    <xf numFmtId="0" fontId="23" fillId="11" borderId="44" xfId="1" applyFont="1" applyFill="1" applyBorder="1" applyAlignment="1" applyProtection="1">
      <alignment horizontal="center" vertical="center" wrapText="1"/>
    </xf>
    <xf numFmtId="0" fontId="64" fillId="10" borderId="44" xfId="1" applyFont="1" applyFill="1" applyBorder="1" applyAlignment="1" applyProtection="1">
      <alignment horizontal="left" vertical="top" wrapText="1"/>
    </xf>
    <xf numFmtId="0" fontId="64" fillId="10" borderId="44" xfId="1" applyFont="1" applyFill="1" applyBorder="1" applyAlignment="1" applyProtection="1">
      <alignment horizontal="justify" vertical="top" wrapText="1"/>
    </xf>
    <xf numFmtId="0" fontId="17" fillId="11" borderId="24" xfId="1" applyFont="1" applyFill="1" applyBorder="1" applyAlignment="1" applyProtection="1">
      <alignment horizontal="center" vertical="center" wrapText="1"/>
    </xf>
    <xf numFmtId="9" fontId="18" fillId="9" borderId="24" xfId="1" applyNumberFormat="1" applyFont="1" applyFill="1" applyBorder="1" applyAlignment="1" applyProtection="1">
      <alignment horizontal="center" vertical="center"/>
    </xf>
    <xf numFmtId="1" fontId="11" fillId="9" borderId="0" xfId="1" applyNumberFormat="1" applyFill="1" applyProtection="1"/>
    <xf numFmtId="0" fontId="67" fillId="28" borderId="0" xfId="1" applyFont="1" applyFill="1" applyAlignment="1" applyProtection="1">
      <alignment vertical="center"/>
    </xf>
    <xf numFmtId="0" fontId="56" fillId="28" borderId="0" xfId="1" applyFont="1" applyFill="1" applyProtection="1"/>
    <xf numFmtId="0" fontId="65" fillId="9" borderId="0" xfId="0" applyFont="1" applyFill="1" applyBorder="1" applyAlignment="1" applyProtection="1">
      <alignment horizontal="left" vertical="center" wrapText="1"/>
    </xf>
    <xf numFmtId="0" fontId="11" fillId="10" borderId="0" xfId="1" applyFill="1" applyProtection="1"/>
    <xf numFmtId="0" fontId="46" fillId="9" borderId="0" xfId="1" applyFont="1" applyFill="1" applyAlignment="1" applyProtection="1"/>
    <xf numFmtId="0" fontId="46" fillId="9" borderId="0" xfId="1" applyFont="1" applyFill="1" applyAlignment="1" applyProtection="1">
      <alignment horizontal="left"/>
    </xf>
    <xf numFmtId="0" fontId="46" fillId="9" borderId="0" xfId="1" applyFont="1" applyFill="1" applyBorder="1" applyAlignment="1" applyProtection="1">
      <alignment horizontal="left"/>
    </xf>
    <xf numFmtId="0" fontId="48" fillId="10" borderId="0" xfId="1" applyFont="1" applyFill="1" applyAlignment="1" applyProtection="1">
      <alignment vertical="center" wrapText="1"/>
    </xf>
    <xf numFmtId="0" fontId="11" fillId="13" borderId="0" xfId="1" applyFill="1" applyProtection="1">
      <protection locked="0"/>
    </xf>
    <xf numFmtId="0" fontId="11" fillId="9" borderId="0" xfId="1" applyFill="1" applyBorder="1" applyProtection="1"/>
    <xf numFmtId="0" fontId="11" fillId="9" borderId="0" xfId="1" applyFill="1" applyAlignment="1" applyProtection="1">
      <alignment vertical="top" wrapText="1"/>
    </xf>
    <xf numFmtId="0" fontId="41" fillId="11" borderId="24" xfId="1" applyFont="1" applyFill="1" applyBorder="1" applyAlignment="1" applyProtection="1">
      <alignment horizontal="center" vertical="center" wrapText="1"/>
    </xf>
    <xf numFmtId="0" fontId="41" fillId="25" borderId="24" xfId="1" applyFont="1" applyFill="1" applyBorder="1" applyAlignment="1" applyProtection="1">
      <alignment horizontal="center" vertical="center" wrapText="1"/>
    </xf>
    <xf numFmtId="0" fontId="41" fillId="15" borderId="24" xfId="1" applyFont="1" applyFill="1" applyBorder="1" applyAlignment="1" applyProtection="1">
      <alignment horizontal="center" vertical="center" wrapText="1"/>
    </xf>
    <xf numFmtId="0" fontId="41" fillId="20" borderId="24" xfId="1" applyFont="1" applyFill="1" applyBorder="1" applyAlignment="1" applyProtection="1">
      <alignment horizontal="center" vertical="center" wrapText="1"/>
    </xf>
    <xf numFmtId="1" fontId="17" fillId="9" borderId="24" xfId="1" applyNumberFormat="1" applyFont="1" applyFill="1" applyBorder="1" applyAlignment="1" applyProtection="1">
      <alignment horizontal="center" vertical="center" wrapText="1"/>
    </xf>
    <xf numFmtId="0" fontId="23" fillId="9" borderId="0" xfId="1" applyFont="1" applyFill="1" applyBorder="1" applyAlignment="1" applyProtection="1">
      <alignment horizontal="center" vertical="center" wrapText="1"/>
    </xf>
    <xf numFmtId="0" fontId="17" fillId="11" borderId="44" xfId="1" applyFont="1" applyFill="1" applyBorder="1" applyAlignment="1" applyProtection="1">
      <alignment horizontal="center" vertical="center" wrapText="1"/>
    </xf>
    <xf numFmtId="164" fontId="17" fillId="9" borderId="44" xfId="1" applyNumberFormat="1" applyFont="1" applyFill="1" applyBorder="1" applyAlignment="1" applyProtection="1">
      <alignment horizontal="center" vertical="center" wrapText="1"/>
    </xf>
    <xf numFmtId="0" fontId="17" fillId="9" borderId="0" xfId="1" applyFont="1" applyFill="1" applyBorder="1" applyAlignment="1" applyProtection="1">
      <alignment horizontal="center" vertical="center" wrapText="1"/>
    </xf>
    <xf numFmtId="164" fontId="17" fillId="9" borderId="0" xfId="1" applyNumberFormat="1" applyFont="1" applyFill="1" applyBorder="1" applyAlignment="1" applyProtection="1">
      <alignment horizontal="center" vertical="center" wrapText="1"/>
    </xf>
    <xf numFmtId="0" fontId="17" fillId="9" borderId="0" xfId="1" applyNumberFormat="1" applyFont="1" applyFill="1" applyBorder="1" applyAlignment="1" applyProtection="1">
      <alignment horizontal="center" vertical="center" wrapText="1"/>
    </xf>
    <xf numFmtId="0" fontId="31" fillId="9" borderId="0" xfId="1" applyFont="1" applyFill="1" applyBorder="1" applyAlignment="1" applyProtection="1">
      <alignment vertical="center"/>
    </xf>
    <xf numFmtId="0" fontId="31" fillId="9" borderId="0" xfId="1" applyFont="1" applyFill="1" applyBorder="1" applyAlignment="1" applyProtection="1">
      <alignment horizontal="left" vertical="center"/>
    </xf>
    <xf numFmtId="0" fontId="31" fillId="9" borderId="0" xfId="1" applyFont="1" applyFill="1" applyAlignment="1" applyProtection="1">
      <alignment horizontal="left" vertical="center"/>
    </xf>
    <xf numFmtId="0" fontId="2" fillId="6" borderId="11" xfId="0" applyFont="1" applyFill="1" applyBorder="1" applyAlignment="1">
      <alignment horizontal="center" vertical="center" wrapText="1"/>
    </xf>
    <xf numFmtId="0" fontId="2" fillId="6" borderId="12" xfId="0" applyFont="1" applyFill="1" applyBorder="1" applyAlignment="1">
      <alignment horizontal="center" vertical="center" wrapText="1"/>
    </xf>
    <xf numFmtId="0" fontId="2" fillId="6" borderId="75" xfId="0" applyFont="1" applyFill="1" applyBorder="1" applyAlignment="1">
      <alignment horizontal="center" vertical="center" wrapText="1"/>
    </xf>
    <xf numFmtId="0" fontId="5" fillId="4" borderId="23" xfId="0" applyNumberFormat="1" applyFont="1" applyFill="1" applyBorder="1" applyAlignment="1">
      <alignment horizontal="center"/>
    </xf>
    <xf numFmtId="0" fontId="57" fillId="9" borderId="0" xfId="1" applyFont="1" applyFill="1" applyBorder="1" applyAlignment="1">
      <alignment horizontal="left" vertical="center" wrapText="1"/>
    </xf>
    <xf numFmtId="0" fontId="56" fillId="9" borderId="0" xfId="1" applyFont="1" applyFill="1" applyBorder="1" applyAlignment="1">
      <alignment horizontal="left" vertical="center" wrapText="1"/>
    </xf>
    <xf numFmtId="0" fontId="63" fillId="9" borderId="0" xfId="1" applyFont="1" applyFill="1" applyBorder="1" applyAlignment="1">
      <alignment horizontal="left" vertical="center" wrapText="1"/>
    </xf>
    <xf numFmtId="0" fontId="28" fillId="9" borderId="0" xfId="1" applyFont="1" applyFill="1" applyBorder="1" applyAlignment="1">
      <alignment horizontal="left" vertical="center" wrapText="1"/>
    </xf>
    <xf numFmtId="0" fontId="61" fillId="9" borderId="0" xfId="1" applyFont="1" applyFill="1" applyBorder="1" applyAlignment="1">
      <alignment horizontal="left" vertical="center" wrapText="1"/>
    </xf>
    <xf numFmtId="0" fontId="11" fillId="9" borderId="0" xfId="1" applyFill="1" applyBorder="1" applyAlignment="1">
      <alignment horizontal="center"/>
    </xf>
    <xf numFmtId="0" fontId="23" fillId="9" borderId="0" xfId="1" applyFont="1" applyFill="1" applyBorder="1" applyAlignment="1">
      <alignment horizontal="center" vertical="center" wrapText="1"/>
    </xf>
    <xf numFmtId="0" fontId="48" fillId="9" borderId="0" xfId="1" applyFont="1" applyFill="1" applyAlignment="1">
      <alignment horizontal="left" vertical="center" wrapText="1"/>
    </xf>
    <xf numFmtId="0" fontId="31" fillId="9" borderId="0" xfId="1" applyFont="1" applyFill="1" applyAlignment="1">
      <alignment horizontal="center"/>
    </xf>
    <xf numFmtId="0" fontId="31" fillId="9" borderId="0" xfId="1" applyFont="1" applyFill="1" applyBorder="1" applyAlignment="1">
      <alignment horizontal="center" vertical="center"/>
    </xf>
    <xf numFmtId="0" fontId="60" fillId="9" borderId="0" xfId="1" applyFont="1" applyFill="1" applyBorder="1" applyAlignment="1">
      <alignment horizontal="left" vertical="center" wrapText="1"/>
    </xf>
    <xf numFmtId="0" fontId="2" fillId="6" borderId="6" xfId="0" applyFont="1" applyFill="1" applyBorder="1" applyAlignment="1">
      <alignment horizontal="center" vertical="center" wrapText="1"/>
    </xf>
    <xf numFmtId="0" fontId="2" fillId="6" borderId="8" xfId="0" applyFont="1" applyFill="1" applyBorder="1" applyAlignment="1">
      <alignment horizontal="center" vertical="center" wrapText="1"/>
    </xf>
    <xf numFmtId="0" fontId="2" fillId="6" borderId="7" xfId="0" applyFont="1" applyFill="1" applyBorder="1" applyAlignment="1">
      <alignment horizontal="center" vertical="center" wrapText="1"/>
    </xf>
    <xf numFmtId="0" fontId="2" fillId="6" borderId="5" xfId="0" applyFont="1" applyFill="1" applyBorder="1" applyAlignment="1">
      <alignment horizontal="center" vertical="center" wrapText="1"/>
    </xf>
    <xf numFmtId="0" fontId="2" fillId="6" borderId="0" xfId="0" applyFont="1" applyFill="1" applyBorder="1" applyAlignment="1">
      <alignment horizontal="center" vertical="center" wrapText="1"/>
    </xf>
    <xf numFmtId="0" fontId="2" fillId="0" borderId="0" xfId="0" applyFont="1" applyFill="1" applyBorder="1" applyAlignment="1">
      <alignment horizontal="center" vertical="center" wrapText="1"/>
    </xf>
    <xf numFmtId="0" fontId="0" fillId="0" borderId="0" xfId="0"/>
    <xf numFmtId="0" fontId="2" fillId="6" borderId="54" xfId="0" applyFont="1" applyFill="1" applyBorder="1" applyAlignment="1">
      <alignment horizontal="center" vertical="center" wrapText="1"/>
    </xf>
    <xf numFmtId="0" fontId="2" fillId="6" borderId="51" xfId="0" applyFont="1" applyFill="1" applyBorder="1" applyAlignment="1">
      <alignment horizontal="center" vertical="center" wrapText="1"/>
    </xf>
    <xf numFmtId="0" fontId="2" fillId="6" borderId="18" xfId="0" applyFont="1" applyFill="1" applyBorder="1" applyAlignment="1">
      <alignment horizontal="center" vertical="center" wrapText="1"/>
    </xf>
    <xf numFmtId="0" fontId="2" fillId="6" borderId="19" xfId="0" applyFont="1" applyFill="1" applyBorder="1" applyAlignment="1">
      <alignment horizontal="center" vertical="center" wrapText="1"/>
    </xf>
    <xf numFmtId="0" fontId="2" fillId="6" borderId="15" xfId="0" applyFont="1" applyFill="1" applyBorder="1" applyAlignment="1">
      <alignment horizontal="center" vertical="center" wrapText="1"/>
    </xf>
    <xf numFmtId="0" fontId="2" fillId="6" borderId="3" xfId="0" applyFont="1" applyFill="1" applyBorder="1" applyAlignment="1">
      <alignment horizontal="center" vertical="center" wrapText="1"/>
    </xf>
    <xf numFmtId="0" fontId="3" fillId="0" borderId="0" xfId="0" applyFont="1" applyBorder="1" applyAlignment="1">
      <alignment horizontal="center" vertical="center"/>
    </xf>
    <xf numFmtId="0" fontId="4" fillId="0" borderId="0" xfId="0" applyFont="1" applyBorder="1" applyAlignment="1">
      <alignment horizontal="center" vertical="center"/>
    </xf>
    <xf numFmtId="0" fontId="14" fillId="17" borderId="32" xfId="4" applyFont="1" applyFill="1" applyBorder="1" applyAlignment="1">
      <alignment horizontal="center"/>
    </xf>
    <xf numFmtId="0" fontId="14" fillId="17" borderId="33" xfId="4" applyFont="1" applyFill="1" applyBorder="1" applyAlignment="1">
      <alignment horizontal="center"/>
    </xf>
    <xf numFmtId="164" fontId="14" fillId="17" borderId="33" xfId="4" applyNumberFormat="1" applyFont="1" applyFill="1" applyBorder="1" applyAlignment="1">
      <alignment horizontal="center"/>
    </xf>
    <xf numFmtId="164" fontId="14" fillId="17" borderId="34" xfId="4" applyNumberFormat="1" applyFont="1" applyFill="1" applyBorder="1" applyAlignment="1">
      <alignment horizontal="center"/>
    </xf>
    <xf numFmtId="0" fontId="14" fillId="17" borderId="40" xfId="4" applyFont="1" applyFill="1" applyBorder="1" applyAlignment="1">
      <alignment horizontal="center"/>
    </xf>
    <xf numFmtId="0" fontId="14" fillId="17" borderId="41" xfId="4" applyFont="1" applyFill="1" applyBorder="1" applyAlignment="1">
      <alignment horizontal="center"/>
    </xf>
    <xf numFmtId="0" fontId="14" fillId="17" borderId="39" xfId="4" applyFont="1" applyFill="1" applyBorder="1" applyAlignment="1">
      <alignment horizontal="center"/>
    </xf>
    <xf numFmtId="0" fontId="14" fillId="17" borderId="34" xfId="4" applyFont="1" applyFill="1" applyBorder="1" applyAlignment="1">
      <alignment horizontal="center"/>
    </xf>
    <xf numFmtId="0" fontId="23" fillId="11" borderId="25" xfId="1" applyFont="1" applyFill="1" applyBorder="1" applyAlignment="1" applyProtection="1">
      <alignment horizontal="center" vertical="center" wrapText="1"/>
    </xf>
    <xf numFmtId="0" fontId="23" fillId="11" borderId="26" xfId="1" applyFont="1" applyFill="1" applyBorder="1" applyAlignment="1" applyProtection="1">
      <alignment horizontal="center" vertical="center" wrapText="1"/>
    </xf>
    <xf numFmtId="0" fontId="23" fillId="11" borderId="27" xfId="1" applyFont="1" applyFill="1" applyBorder="1" applyAlignment="1" applyProtection="1">
      <alignment horizontal="center" vertical="center" wrapText="1"/>
    </xf>
    <xf numFmtId="0" fontId="48" fillId="9" borderId="0" xfId="1" applyFont="1" applyFill="1" applyAlignment="1" applyProtection="1">
      <alignment horizontal="left" vertical="center" wrapText="1"/>
    </xf>
    <xf numFmtId="0" fontId="31" fillId="9" borderId="0" xfId="1" applyFont="1" applyFill="1" applyAlignment="1" applyProtection="1">
      <alignment horizontal="center" vertical="center" wrapText="1"/>
    </xf>
    <xf numFmtId="0" fontId="31" fillId="9" borderId="0" xfId="1" applyFont="1" applyFill="1" applyAlignment="1" applyProtection="1">
      <alignment horizontal="center" vertical="center"/>
    </xf>
    <xf numFmtId="0" fontId="31" fillId="9" borderId="0" xfId="1" applyFont="1" applyFill="1" applyAlignment="1" applyProtection="1">
      <alignment horizontal="left" vertical="center"/>
    </xf>
    <xf numFmtId="0" fontId="11" fillId="9" borderId="0" xfId="1" applyFill="1" applyAlignment="1" applyProtection="1">
      <alignment horizontal="center"/>
    </xf>
    <xf numFmtId="0" fontId="23" fillId="9" borderId="0" xfId="1" applyFont="1" applyFill="1" applyBorder="1" applyAlignment="1" applyProtection="1">
      <alignment horizontal="center" vertical="center" wrapText="1"/>
    </xf>
    <xf numFmtId="0" fontId="41" fillId="11" borderId="44" xfId="1" applyFont="1" applyFill="1" applyBorder="1" applyAlignment="1" applyProtection="1">
      <alignment horizontal="center" vertical="center" wrapText="1"/>
    </xf>
    <xf numFmtId="0" fontId="31" fillId="16" borderId="44" xfId="1" applyFont="1" applyFill="1" applyBorder="1" applyAlignment="1" applyProtection="1">
      <alignment horizontal="left" vertical="center"/>
      <protection locked="0"/>
    </xf>
    <xf numFmtId="0" fontId="56" fillId="9" borderId="0" xfId="1" applyFont="1" applyFill="1" applyAlignment="1" applyProtection="1">
      <alignment horizontal="center" vertical="top" wrapText="1"/>
    </xf>
    <xf numFmtId="1" fontId="40" fillId="9" borderId="44" xfId="1" applyNumberFormat="1" applyFont="1" applyFill="1" applyBorder="1" applyAlignment="1">
      <alignment horizontal="center" vertical="center" wrapText="1"/>
    </xf>
    <xf numFmtId="0" fontId="37" fillId="9" borderId="70" xfId="1" applyFont="1" applyFill="1" applyBorder="1" applyAlignment="1">
      <alignment horizontal="center" vertical="center" wrapText="1"/>
    </xf>
    <xf numFmtId="0" fontId="37" fillId="9" borderId="71" xfId="1" applyFont="1" applyFill="1" applyBorder="1" applyAlignment="1">
      <alignment horizontal="center" vertical="center" wrapText="1"/>
    </xf>
    <xf numFmtId="0" fontId="14" fillId="15" borderId="44" xfId="1" applyFont="1" applyFill="1" applyBorder="1" applyAlignment="1">
      <alignment horizontal="center" vertical="center" wrapText="1"/>
    </xf>
    <xf numFmtId="0" fontId="34" fillId="27" borderId="63" xfId="0" applyFont="1" applyFill="1" applyBorder="1" applyAlignment="1">
      <alignment horizontal="center" vertical="center" wrapText="1"/>
    </xf>
    <xf numFmtId="0" fontId="34" fillId="27" borderId="74" xfId="0" applyFont="1" applyFill="1" applyBorder="1" applyAlignment="1">
      <alignment horizontal="center" vertical="center" wrapText="1"/>
    </xf>
    <xf numFmtId="0" fontId="34" fillId="27" borderId="64" xfId="0" applyFont="1" applyFill="1" applyBorder="1" applyAlignment="1">
      <alignment horizontal="center" vertical="center" wrapText="1"/>
    </xf>
    <xf numFmtId="0" fontId="37" fillId="11" borderId="44" xfId="1" applyFont="1" applyFill="1" applyBorder="1" applyAlignment="1">
      <alignment horizontal="center" vertical="center" wrapText="1"/>
    </xf>
    <xf numFmtId="0" fontId="38" fillId="0" borderId="65" xfId="1" applyFont="1" applyFill="1" applyBorder="1" applyAlignment="1">
      <alignment horizontal="left" vertical="center" wrapText="1"/>
    </xf>
    <xf numFmtId="0" fontId="38" fillId="0" borderId="69" xfId="1" applyFont="1" applyFill="1" applyBorder="1" applyAlignment="1">
      <alignment horizontal="left" vertical="center" wrapText="1"/>
    </xf>
    <xf numFmtId="0" fontId="38" fillId="0" borderId="66" xfId="1" applyFont="1" applyFill="1" applyBorder="1" applyAlignment="1">
      <alignment horizontal="left" vertical="center" wrapText="1"/>
    </xf>
    <xf numFmtId="0" fontId="38" fillId="0" borderId="67" xfId="1" applyFont="1" applyFill="1" applyBorder="1" applyAlignment="1">
      <alignment horizontal="left" vertical="center" wrapText="1"/>
    </xf>
    <xf numFmtId="0" fontId="38" fillId="0" borderId="0" xfId="1" applyFont="1" applyFill="1" applyBorder="1" applyAlignment="1">
      <alignment horizontal="left" vertical="center" wrapText="1"/>
    </xf>
    <xf numFmtId="0" fontId="38" fillId="0" borderId="68" xfId="1" applyFont="1" applyFill="1" applyBorder="1" applyAlignment="1">
      <alignment horizontal="left" vertical="center" wrapText="1"/>
    </xf>
    <xf numFmtId="0" fontId="38" fillId="0" borderId="70" xfId="1" applyFont="1" applyFill="1" applyBorder="1" applyAlignment="1">
      <alignment horizontal="left" vertical="center" wrapText="1"/>
    </xf>
    <xf numFmtId="0" fontId="38" fillId="0" borderId="71" xfId="1" applyFont="1" applyFill="1" applyBorder="1" applyAlignment="1">
      <alignment horizontal="left" vertical="center" wrapText="1"/>
    </xf>
    <xf numFmtId="0" fontId="38" fillId="0" borderId="73" xfId="1" applyFont="1" applyFill="1" applyBorder="1" applyAlignment="1">
      <alignment horizontal="left" vertical="center" wrapText="1"/>
    </xf>
    <xf numFmtId="0" fontId="38" fillId="0" borderId="35" xfId="0" applyFont="1" applyFill="1" applyBorder="1" applyAlignment="1">
      <alignment horizontal="center" vertical="center" wrapText="1"/>
    </xf>
    <xf numFmtId="0" fontId="38" fillId="0" borderId="45" xfId="0" applyFont="1" applyFill="1" applyBorder="1" applyAlignment="1">
      <alignment horizontal="center" vertical="center" wrapText="1"/>
    </xf>
    <xf numFmtId="0" fontId="38" fillId="0" borderId="72" xfId="0" applyFont="1" applyFill="1" applyBorder="1" applyAlignment="1">
      <alignment horizontal="center" vertical="center" wrapText="1"/>
    </xf>
    <xf numFmtId="0" fontId="37" fillId="0" borderId="35" xfId="0" applyFont="1" applyFill="1" applyBorder="1" applyAlignment="1">
      <alignment horizontal="center" vertical="center" wrapText="1"/>
    </xf>
    <xf numFmtId="0" fontId="37" fillId="0" borderId="45" xfId="0" applyFont="1" applyFill="1" applyBorder="1" applyAlignment="1">
      <alignment horizontal="center" vertical="center" wrapText="1"/>
    </xf>
    <xf numFmtId="0" fontId="37" fillId="0" borderId="72" xfId="0" applyFont="1" applyFill="1" applyBorder="1" applyAlignment="1">
      <alignment horizontal="center" vertical="center" wrapText="1"/>
    </xf>
    <xf numFmtId="0" fontId="56" fillId="0" borderId="65" xfId="1" applyFont="1" applyFill="1" applyBorder="1" applyAlignment="1">
      <alignment horizontal="left" vertical="center" wrapText="1"/>
    </xf>
    <xf numFmtId="0" fontId="56" fillId="0" borderId="69" xfId="1" applyFont="1" applyFill="1" applyBorder="1" applyAlignment="1">
      <alignment horizontal="left" vertical="center" wrapText="1"/>
    </xf>
    <xf numFmtId="0" fontId="56" fillId="0" borderId="66" xfId="1" applyFont="1" applyFill="1" applyBorder="1" applyAlignment="1">
      <alignment horizontal="left" vertical="center" wrapText="1"/>
    </xf>
    <xf numFmtId="0" fontId="56" fillId="0" borderId="67" xfId="1" applyFont="1" applyFill="1" applyBorder="1" applyAlignment="1">
      <alignment horizontal="left" vertical="center" wrapText="1"/>
    </xf>
    <xf numFmtId="0" fontId="56" fillId="0" borderId="0" xfId="1" applyFont="1" applyFill="1" applyBorder="1" applyAlignment="1">
      <alignment horizontal="left" vertical="center" wrapText="1"/>
    </xf>
    <xf numFmtId="0" fontId="56" fillId="0" borderId="68" xfId="1" applyFont="1" applyFill="1" applyBorder="1" applyAlignment="1">
      <alignment horizontal="left" vertical="center" wrapText="1"/>
    </xf>
    <xf numFmtId="0" fontId="56" fillId="0" borderId="70" xfId="1" applyFont="1" applyFill="1" applyBorder="1" applyAlignment="1">
      <alignment horizontal="left" vertical="center" wrapText="1"/>
    </xf>
    <xf numFmtId="0" fontId="56" fillId="0" borderId="71" xfId="1" applyFont="1" applyFill="1" applyBorder="1" applyAlignment="1">
      <alignment horizontal="left" vertical="center" wrapText="1"/>
    </xf>
    <xf numFmtId="0" fontId="56" fillId="0" borderId="73" xfId="1" applyFont="1" applyFill="1" applyBorder="1" applyAlignment="1">
      <alignment horizontal="left" vertical="center" wrapText="1"/>
    </xf>
    <xf numFmtId="0" fontId="56" fillId="26" borderId="65" xfId="1" applyFont="1" applyFill="1" applyBorder="1" applyAlignment="1">
      <alignment horizontal="left" vertical="center" wrapText="1"/>
    </xf>
    <xf numFmtId="0" fontId="56" fillId="26" borderId="69" xfId="1" applyFont="1" applyFill="1" applyBorder="1" applyAlignment="1">
      <alignment horizontal="left" vertical="center" wrapText="1"/>
    </xf>
    <xf numFmtId="0" fontId="56" fillId="26" borderId="66" xfId="1" applyFont="1" applyFill="1" applyBorder="1" applyAlignment="1">
      <alignment horizontal="left" vertical="center" wrapText="1"/>
    </xf>
    <xf numFmtId="0" fontId="56" fillId="26" borderId="67" xfId="1" applyFont="1" applyFill="1" applyBorder="1" applyAlignment="1">
      <alignment horizontal="left" vertical="center" wrapText="1"/>
    </xf>
    <xf numFmtId="0" fontId="56" fillId="26" borderId="0" xfId="1" applyFont="1" applyFill="1" applyBorder="1" applyAlignment="1">
      <alignment horizontal="left" vertical="center" wrapText="1"/>
    </xf>
    <xf numFmtId="0" fontId="56" fillId="26" borderId="68" xfId="1" applyFont="1" applyFill="1" applyBorder="1" applyAlignment="1">
      <alignment horizontal="left" vertical="center" wrapText="1"/>
    </xf>
    <xf numFmtId="0" fontId="56" fillId="26" borderId="70" xfId="1" applyFont="1" applyFill="1" applyBorder="1" applyAlignment="1">
      <alignment horizontal="left" vertical="center" wrapText="1"/>
    </xf>
    <xf numFmtId="0" fontId="56" fillId="26" borderId="71" xfId="1" applyFont="1" applyFill="1" applyBorder="1" applyAlignment="1">
      <alignment horizontal="left" vertical="center" wrapText="1"/>
    </xf>
    <xf numFmtId="0" fontId="56" fillId="26" borderId="73" xfId="1" applyFont="1" applyFill="1" applyBorder="1" applyAlignment="1">
      <alignment horizontal="left" vertical="center" wrapText="1"/>
    </xf>
    <xf numFmtId="0" fontId="37" fillId="26" borderId="35" xfId="0" applyFont="1" applyFill="1" applyBorder="1" applyAlignment="1">
      <alignment horizontal="center" vertical="center" wrapText="1"/>
    </xf>
    <xf numFmtId="0" fontId="37" fillId="26" borderId="45" xfId="0" applyFont="1" applyFill="1" applyBorder="1" applyAlignment="1">
      <alignment horizontal="center" vertical="center" wrapText="1"/>
    </xf>
    <xf numFmtId="0" fontId="37" fillId="26" borderId="72" xfId="0" applyFont="1" applyFill="1" applyBorder="1" applyAlignment="1">
      <alignment horizontal="center" vertical="center" wrapText="1"/>
    </xf>
    <xf numFmtId="0" fontId="38" fillId="26" borderId="65" xfId="1" applyFont="1" applyFill="1" applyBorder="1" applyAlignment="1">
      <alignment horizontal="left" vertical="center" wrapText="1"/>
    </xf>
    <xf numFmtId="0" fontId="38" fillId="26" borderId="69" xfId="1" applyFont="1" applyFill="1" applyBorder="1" applyAlignment="1">
      <alignment horizontal="left" vertical="center" wrapText="1"/>
    </xf>
    <xf numFmtId="0" fontId="38" fillId="26" borderId="66" xfId="1" applyFont="1" applyFill="1" applyBorder="1" applyAlignment="1">
      <alignment horizontal="left" vertical="center" wrapText="1"/>
    </xf>
    <xf numFmtId="0" fontId="38" fillId="26" borderId="67" xfId="1" applyFont="1" applyFill="1" applyBorder="1" applyAlignment="1">
      <alignment horizontal="left" vertical="center" wrapText="1"/>
    </xf>
    <xf numFmtId="0" fontId="38" fillId="26" borderId="0" xfId="1" applyFont="1" applyFill="1" applyBorder="1" applyAlignment="1">
      <alignment horizontal="left" vertical="center" wrapText="1"/>
    </xf>
    <xf numFmtId="0" fontId="38" fillId="26" borderId="68" xfId="1" applyFont="1" applyFill="1" applyBorder="1" applyAlignment="1">
      <alignment horizontal="left" vertical="center" wrapText="1"/>
    </xf>
    <xf numFmtId="0" fontId="38" fillId="26" borderId="70" xfId="1" applyFont="1" applyFill="1" applyBorder="1" applyAlignment="1">
      <alignment horizontal="left" vertical="center" wrapText="1"/>
    </xf>
    <xf numFmtId="0" fontId="38" fillId="26" borderId="71" xfId="1" applyFont="1" applyFill="1" applyBorder="1" applyAlignment="1">
      <alignment horizontal="left" vertical="center" wrapText="1"/>
    </xf>
    <xf numFmtId="0" fontId="38" fillId="26" borderId="73" xfId="1" applyFont="1" applyFill="1" applyBorder="1" applyAlignment="1">
      <alignment horizontal="left" vertical="center" wrapText="1"/>
    </xf>
    <xf numFmtId="0" fontId="35" fillId="27" borderId="44" xfId="0" applyFont="1" applyFill="1" applyBorder="1" applyAlignment="1">
      <alignment horizontal="center" vertical="center" wrapText="1"/>
    </xf>
    <xf numFmtId="0" fontId="56" fillId="26" borderId="44" xfId="1" applyFont="1" applyFill="1" applyBorder="1" applyAlignment="1">
      <alignment horizontal="left" vertical="center" wrapText="1"/>
    </xf>
    <xf numFmtId="0" fontId="37" fillId="26" borderId="44" xfId="0" applyFont="1" applyFill="1" applyBorder="1" applyAlignment="1">
      <alignment horizontal="center" vertical="center" wrapText="1"/>
    </xf>
    <xf numFmtId="0" fontId="56" fillId="0" borderId="44" xfId="1" applyFont="1" applyFill="1" applyBorder="1" applyAlignment="1">
      <alignment horizontal="left" vertical="center" wrapText="1"/>
    </xf>
    <xf numFmtId="0" fontId="37" fillId="0" borderId="44" xfId="0" applyFont="1" applyFill="1" applyBorder="1" applyAlignment="1">
      <alignment horizontal="center" vertical="center" wrapText="1"/>
    </xf>
    <xf numFmtId="0" fontId="34" fillId="27" borderId="44" xfId="0" applyFont="1" applyFill="1" applyBorder="1" applyAlignment="1">
      <alignment horizontal="center" vertical="center" wrapText="1"/>
    </xf>
    <xf numFmtId="0" fontId="38" fillId="0" borderId="44" xfId="0" applyFont="1" applyFill="1" applyBorder="1" applyAlignment="1">
      <alignment horizontal="center" vertical="center" wrapText="1"/>
    </xf>
    <xf numFmtId="0" fontId="38" fillId="0" borderId="44" xfId="1" applyFont="1" applyFill="1" applyBorder="1" applyAlignment="1">
      <alignment horizontal="left" vertical="center" wrapText="1"/>
    </xf>
    <xf numFmtId="0" fontId="17" fillId="10" borderId="35" xfId="1" applyFont="1" applyFill="1" applyBorder="1" applyAlignment="1">
      <alignment horizontal="center" vertical="center" wrapText="1"/>
    </xf>
    <xf numFmtId="0" fontId="17" fillId="10" borderId="45" xfId="1" applyFont="1" applyFill="1" applyBorder="1" applyAlignment="1">
      <alignment horizontal="center" vertical="center" wrapText="1"/>
    </xf>
    <xf numFmtId="0" fontId="17" fillId="10" borderId="60" xfId="1" applyFont="1" applyFill="1" applyBorder="1" applyAlignment="1">
      <alignment horizontal="center" vertical="center" wrapText="1"/>
    </xf>
    <xf numFmtId="0" fontId="37" fillId="10" borderId="44" xfId="2" applyFont="1" applyFill="1" applyBorder="1" applyAlignment="1">
      <alignment horizontal="center" vertical="center" wrapText="1"/>
    </xf>
    <xf numFmtId="0" fontId="17" fillId="11" borderId="44" xfId="1" applyFont="1" applyFill="1" applyBorder="1" applyAlignment="1">
      <alignment horizontal="center" vertical="center" wrapText="1"/>
    </xf>
    <xf numFmtId="0" fontId="17" fillId="11" borderId="35" xfId="1" applyFont="1" applyFill="1" applyBorder="1" applyAlignment="1">
      <alignment horizontal="center" vertical="center" wrapText="1"/>
    </xf>
    <xf numFmtId="0" fontId="17" fillId="11" borderId="45" xfId="1" applyFont="1" applyFill="1" applyBorder="1" applyAlignment="1">
      <alignment horizontal="center" vertical="center" wrapText="1"/>
    </xf>
    <xf numFmtId="0" fontId="17" fillId="11" borderId="60" xfId="1" applyFont="1" applyFill="1" applyBorder="1" applyAlignment="1">
      <alignment horizontal="center" vertical="center" wrapText="1"/>
    </xf>
    <xf numFmtId="0" fontId="14" fillId="11" borderId="44" xfId="2" applyFont="1" applyFill="1" applyBorder="1" applyAlignment="1">
      <alignment horizontal="center" vertical="center" wrapText="1"/>
    </xf>
    <xf numFmtId="0" fontId="17" fillId="9" borderId="0" xfId="1" applyFont="1" applyFill="1" applyBorder="1" applyAlignment="1">
      <alignment horizontal="center" vertical="center" wrapText="1"/>
    </xf>
    <xf numFmtId="0" fontId="37" fillId="11" borderId="44" xfId="2" applyFont="1" applyFill="1" applyBorder="1" applyAlignment="1">
      <alignment horizontal="center" vertical="center" wrapText="1"/>
    </xf>
    <xf numFmtId="0" fontId="37" fillId="11" borderId="46" xfId="2" applyFont="1" applyFill="1" applyBorder="1" applyAlignment="1">
      <alignment horizontal="center" vertical="center" wrapText="1"/>
    </xf>
    <xf numFmtId="0" fontId="37" fillId="11" borderId="47" xfId="2" applyFont="1" applyFill="1" applyBorder="1" applyAlignment="1">
      <alignment horizontal="center" vertical="center" wrapText="1"/>
    </xf>
    <xf numFmtId="0" fontId="37" fillId="11" borderId="48" xfId="2" applyFont="1" applyFill="1" applyBorder="1" applyAlignment="1">
      <alignment horizontal="center" vertical="center" wrapText="1"/>
    </xf>
    <xf numFmtId="0" fontId="14" fillId="11" borderId="35" xfId="2" applyFont="1" applyFill="1" applyBorder="1" applyAlignment="1">
      <alignment horizontal="center" vertical="center" wrapText="1"/>
    </xf>
    <xf numFmtId="0" fontId="14" fillId="11" borderId="60" xfId="2" applyFont="1" applyFill="1" applyBorder="1" applyAlignment="1">
      <alignment horizontal="center" vertical="center" wrapText="1"/>
    </xf>
    <xf numFmtId="0" fontId="14" fillId="9" borderId="0" xfId="2" applyFont="1" applyFill="1" applyBorder="1" applyAlignment="1">
      <alignment horizontal="center" vertical="center" wrapText="1"/>
    </xf>
    <xf numFmtId="0" fontId="31" fillId="9" borderId="0" xfId="1" applyFont="1" applyFill="1" applyAlignment="1">
      <alignment horizontal="left" vertical="center"/>
    </xf>
    <xf numFmtId="0" fontId="31" fillId="16" borderId="44" xfId="1" applyFont="1" applyFill="1" applyBorder="1" applyAlignment="1">
      <alignment horizontal="left" vertical="center"/>
    </xf>
    <xf numFmtId="0" fontId="31" fillId="9" borderId="0" xfId="1" applyFont="1" applyFill="1" applyAlignment="1">
      <alignment horizontal="center" vertical="center"/>
    </xf>
    <xf numFmtId="0" fontId="38" fillId="0" borderId="44" xfId="1" applyFont="1" applyFill="1" applyBorder="1" applyAlignment="1">
      <alignment horizontal="left" vertical="center"/>
    </xf>
    <xf numFmtId="0" fontId="38" fillId="26" borderId="44" xfId="1" applyFont="1" applyFill="1" applyBorder="1" applyAlignment="1">
      <alignment horizontal="left" vertical="center" wrapText="1"/>
    </xf>
    <xf numFmtId="0" fontId="38" fillId="26" borderId="44" xfId="1" applyFont="1" applyFill="1" applyBorder="1" applyAlignment="1">
      <alignment horizontal="left" vertical="center"/>
    </xf>
    <xf numFmtId="0" fontId="2" fillId="6" borderId="0" xfId="0" applyFont="1" applyFill="1" applyAlignment="1">
      <alignment horizontal="center" vertical="center" wrapText="1"/>
    </xf>
    <xf numFmtId="0" fontId="0" fillId="0" borderId="0" xfId="0" applyAlignment="1">
      <alignment horizontal="center"/>
    </xf>
    <xf numFmtId="0" fontId="2" fillId="6" borderId="13" xfId="0" applyFont="1" applyFill="1" applyBorder="1" applyAlignment="1">
      <alignment horizontal="center" vertical="center" wrapText="1"/>
    </xf>
    <xf numFmtId="0" fontId="9" fillId="6" borderId="7" xfId="0" applyFont="1" applyFill="1" applyBorder="1" applyAlignment="1">
      <alignment horizontal="center" vertical="center" wrapText="1"/>
    </xf>
    <xf numFmtId="0" fontId="9" fillId="6" borderId="9" xfId="0" applyFont="1" applyFill="1" applyBorder="1" applyAlignment="1">
      <alignment horizontal="center" vertical="center" wrapText="1"/>
    </xf>
    <xf numFmtId="0" fontId="9" fillId="6" borderId="10" xfId="0" applyFont="1" applyFill="1" applyBorder="1" applyAlignment="1">
      <alignment horizontal="center" vertical="center" wrapText="1"/>
    </xf>
    <xf numFmtId="0" fontId="9" fillId="6" borderId="5" xfId="0" applyFont="1" applyFill="1" applyBorder="1" applyAlignment="1">
      <alignment horizontal="center" vertical="center" wrapText="1"/>
    </xf>
    <xf numFmtId="0" fontId="9" fillId="6" borderId="0" xfId="0" applyFont="1" applyFill="1" applyBorder="1" applyAlignment="1">
      <alignment horizontal="center" vertical="center" wrapText="1"/>
    </xf>
    <xf numFmtId="0" fontId="2" fillId="6" borderId="2" xfId="0" applyFont="1" applyFill="1" applyBorder="1" applyAlignment="1">
      <alignment horizontal="center" vertical="center" wrapText="1"/>
    </xf>
    <xf numFmtId="0" fontId="9" fillId="6" borderId="6" xfId="0" applyFont="1" applyFill="1" applyBorder="1" applyAlignment="1">
      <alignment horizontal="center" vertical="center" wrapText="1"/>
    </xf>
    <xf numFmtId="0" fontId="2" fillId="6" borderId="17" xfId="0" applyFont="1" applyFill="1" applyBorder="1" applyAlignment="1">
      <alignment horizontal="center" vertical="center" wrapText="1"/>
    </xf>
    <xf numFmtId="0" fontId="2" fillId="6" borderId="14" xfId="0" applyFont="1" applyFill="1" applyBorder="1" applyAlignment="1">
      <alignment horizontal="center" vertical="center" wrapText="1"/>
    </xf>
    <xf numFmtId="0" fontId="7" fillId="6" borderId="18" xfId="0" applyFont="1" applyFill="1" applyBorder="1" applyAlignment="1">
      <alignment horizontal="center" vertical="center" wrapText="1"/>
    </xf>
    <xf numFmtId="0" fontId="7" fillId="6" borderId="3" xfId="0" applyFont="1" applyFill="1" applyBorder="1" applyAlignment="1">
      <alignment horizontal="center" vertical="center" wrapText="1"/>
    </xf>
    <xf numFmtId="0" fontId="7" fillId="6" borderId="2" xfId="0" applyFont="1" applyFill="1" applyBorder="1" applyAlignment="1">
      <alignment horizontal="center" vertical="center" wrapText="1"/>
    </xf>
    <xf numFmtId="0" fontId="0" fillId="0" borderId="0" xfId="0" applyAlignment="1">
      <alignment vertical="center"/>
    </xf>
    <xf numFmtId="0" fontId="7" fillId="6" borderId="0" xfId="0" applyFont="1" applyFill="1" applyBorder="1" applyAlignment="1">
      <alignment horizontal="center" vertical="center" wrapText="1"/>
    </xf>
    <xf numFmtId="0" fontId="7" fillId="6" borderId="9" xfId="0" applyFont="1" applyFill="1" applyBorder="1" applyAlignment="1">
      <alignment horizontal="center" vertical="center" wrapText="1"/>
    </xf>
    <xf numFmtId="0" fontId="7" fillId="6" borderId="10" xfId="0" applyFont="1" applyFill="1" applyBorder="1" applyAlignment="1">
      <alignment horizontal="center" vertical="center" wrapText="1"/>
    </xf>
    <xf numFmtId="0" fontId="2" fillId="6" borderId="16" xfId="0" applyFont="1" applyFill="1" applyBorder="1" applyAlignment="1">
      <alignment horizontal="center" vertical="center" wrapText="1"/>
    </xf>
    <xf numFmtId="0" fontId="2" fillId="6" borderId="10" xfId="0" applyFont="1" applyFill="1" applyBorder="1" applyAlignment="1">
      <alignment horizontal="center" vertical="center" wrapText="1"/>
    </xf>
    <xf numFmtId="0" fontId="7" fillId="6" borderId="6" xfId="0" applyFont="1" applyFill="1" applyBorder="1" applyAlignment="1">
      <alignment horizontal="center" vertical="center" wrapText="1"/>
    </xf>
    <xf numFmtId="0" fontId="7" fillId="6" borderId="7" xfId="0" applyFont="1" applyFill="1" applyBorder="1" applyAlignment="1">
      <alignment horizontal="center" vertical="center" wrapText="1"/>
    </xf>
    <xf numFmtId="0" fontId="7" fillId="6" borderId="8" xfId="0" applyFont="1" applyFill="1" applyBorder="1" applyAlignment="1">
      <alignment horizontal="center" vertical="center" wrapText="1"/>
    </xf>
    <xf numFmtId="0" fontId="2" fillId="6" borderId="9" xfId="0" applyFont="1" applyFill="1" applyBorder="1" applyAlignment="1">
      <alignment horizontal="center" vertical="center" wrapText="1"/>
    </xf>
    <xf numFmtId="0" fontId="7" fillId="6" borderId="53" xfId="0" applyFont="1" applyFill="1" applyBorder="1" applyAlignment="1">
      <alignment horizontal="center" vertical="center" wrapText="1"/>
    </xf>
    <xf numFmtId="0" fontId="51" fillId="6" borderId="16" xfId="0" applyFont="1" applyFill="1" applyBorder="1" applyAlignment="1">
      <alignment horizontal="center" vertical="center" wrapText="1"/>
    </xf>
    <xf numFmtId="0" fontId="7" fillId="6" borderId="54" xfId="0" applyFont="1" applyFill="1" applyBorder="1" applyAlignment="1">
      <alignment horizontal="center" vertical="center"/>
    </xf>
    <xf numFmtId="0" fontId="7" fillId="6" borderId="51" xfId="0" applyFont="1" applyFill="1" applyBorder="1" applyAlignment="1">
      <alignment horizontal="center" vertical="center"/>
    </xf>
    <xf numFmtId="0" fontId="7" fillId="6" borderId="52" xfId="0" applyFont="1" applyFill="1" applyBorder="1" applyAlignment="1">
      <alignment horizontal="center" vertical="center"/>
    </xf>
    <xf numFmtId="0" fontId="7" fillId="6" borderId="54" xfId="0" applyFont="1" applyFill="1" applyBorder="1" applyAlignment="1">
      <alignment horizontal="center" vertical="center" wrapText="1"/>
    </xf>
    <xf numFmtId="0" fontId="7" fillId="6" borderId="51" xfId="0" applyFont="1" applyFill="1" applyBorder="1" applyAlignment="1">
      <alignment horizontal="center" vertical="center" wrapText="1"/>
    </xf>
    <xf numFmtId="0" fontId="7" fillId="6" borderId="52" xfId="0" applyFont="1" applyFill="1" applyBorder="1" applyAlignment="1">
      <alignment horizontal="center" vertical="center" wrapText="1"/>
    </xf>
    <xf numFmtId="0" fontId="7" fillId="6" borderId="5" xfId="0" applyFont="1" applyFill="1" applyBorder="1" applyAlignment="1">
      <alignment horizontal="center" vertical="center"/>
    </xf>
    <xf numFmtId="0" fontId="7" fillId="6" borderId="0" xfId="0" applyFont="1" applyFill="1" applyBorder="1" applyAlignment="1">
      <alignment horizontal="center" vertical="center"/>
    </xf>
    <xf numFmtId="0" fontId="7" fillId="6" borderId="16" xfId="0" applyFont="1" applyFill="1" applyBorder="1" applyAlignment="1">
      <alignment horizontal="center" vertical="center"/>
    </xf>
    <xf numFmtId="0" fontId="7" fillId="6" borderId="20" xfId="0" applyFont="1" applyFill="1" applyBorder="1" applyAlignment="1">
      <alignment horizontal="center" vertical="center"/>
    </xf>
    <xf numFmtId="0" fontId="7" fillId="6" borderId="54" xfId="0" applyFont="1" applyFill="1" applyBorder="1" applyAlignment="1">
      <alignment horizontal="left" vertical="center"/>
    </xf>
    <xf numFmtId="0" fontId="7" fillId="6" borderId="51" xfId="0" applyFont="1" applyFill="1" applyBorder="1" applyAlignment="1">
      <alignment horizontal="left" vertical="center"/>
    </xf>
    <xf numFmtId="0" fontId="7" fillId="6" borderId="52" xfId="0" applyFont="1" applyFill="1" applyBorder="1" applyAlignment="1">
      <alignment horizontal="left" vertical="center"/>
    </xf>
    <xf numFmtId="0" fontId="2" fillId="6" borderId="22" xfId="0" applyFont="1" applyFill="1" applyBorder="1" applyAlignment="1">
      <alignment horizontal="center" vertical="center" wrapText="1"/>
    </xf>
    <xf numFmtId="0" fontId="8" fillId="8" borderId="0" xfId="0" applyFont="1" applyFill="1" applyAlignment="1">
      <alignment horizontal="center"/>
    </xf>
    <xf numFmtId="0" fontId="7" fillId="6" borderId="5" xfId="0" applyFont="1" applyFill="1" applyBorder="1" applyAlignment="1">
      <alignment horizontal="center" vertical="center" wrapText="1"/>
    </xf>
    <xf numFmtId="0" fontId="65" fillId="29" borderId="0" xfId="0" applyFont="1" applyFill="1" applyBorder="1" applyAlignment="1" applyProtection="1">
      <alignment horizontal="left" vertical="center" wrapText="1"/>
    </xf>
    <xf numFmtId="0" fontId="37" fillId="11" borderId="24" xfId="2" applyFont="1" applyFill="1" applyBorder="1" applyAlignment="1" applyProtection="1">
      <alignment horizontal="center" vertical="center" wrapText="1"/>
    </xf>
    <xf numFmtId="0" fontId="46" fillId="11" borderId="28" xfId="1" applyFont="1" applyFill="1" applyBorder="1" applyAlignment="1" applyProtection="1">
      <alignment horizontal="center" vertical="center"/>
    </xf>
    <xf numFmtId="0" fontId="46" fillId="11" borderId="78" xfId="1" applyFont="1" applyFill="1" applyBorder="1" applyAlignment="1" applyProtection="1">
      <alignment horizontal="center" vertical="center"/>
    </xf>
    <xf numFmtId="0" fontId="46" fillId="11" borderId="77" xfId="1" applyFont="1" applyFill="1" applyBorder="1" applyAlignment="1" applyProtection="1">
      <alignment horizontal="center" vertical="center"/>
    </xf>
    <xf numFmtId="0" fontId="47" fillId="9" borderId="0" xfId="1" applyFont="1" applyFill="1" applyAlignment="1">
      <alignment horizontal="left"/>
    </xf>
    <xf numFmtId="0" fontId="14" fillId="11" borderId="24" xfId="2" applyFont="1" applyFill="1" applyBorder="1" applyAlignment="1">
      <alignment horizontal="center" vertical="center" wrapText="1"/>
    </xf>
    <xf numFmtId="0" fontId="31" fillId="9" borderId="0" xfId="1" applyFont="1" applyFill="1" applyAlignment="1">
      <alignment horizontal="center" vertical="center" wrapText="1"/>
    </xf>
    <xf numFmtId="0" fontId="31" fillId="11" borderId="28" xfId="1" applyFont="1" applyFill="1" applyBorder="1" applyAlignment="1">
      <alignment horizontal="center" vertical="center"/>
    </xf>
    <xf numFmtId="0" fontId="31" fillId="11" borderId="78" xfId="1" applyFont="1" applyFill="1" applyBorder="1" applyAlignment="1">
      <alignment horizontal="center" vertical="center"/>
    </xf>
    <xf numFmtId="0" fontId="31" fillId="11" borderId="77" xfId="1" applyFont="1" applyFill="1" applyBorder="1" applyAlignment="1">
      <alignment horizontal="center" vertical="center"/>
    </xf>
    <xf numFmtId="0" fontId="65" fillId="29" borderId="0" xfId="0" applyFont="1" applyFill="1" applyBorder="1" applyAlignment="1">
      <alignment horizontal="left" vertical="center" wrapText="1"/>
    </xf>
    <xf numFmtId="0" fontId="14" fillId="11" borderId="25" xfId="2" applyFont="1" applyFill="1" applyBorder="1" applyAlignment="1">
      <alignment horizontal="center" vertical="center" wrapText="1"/>
    </xf>
    <xf numFmtId="0" fontId="14" fillId="11" borderId="26" xfId="2" applyFont="1" applyFill="1" applyBorder="1" applyAlignment="1">
      <alignment horizontal="center" vertical="center" wrapText="1"/>
    </xf>
    <xf numFmtId="0" fontId="14" fillId="11" borderId="27" xfId="2" applyFont="1" applyFill="1" applyBorder="1" applyAlignment="1">
      <alignment horizontal="center" vertical="center" wrapText="1"/>
    </xf>
    <xf numFmtId="0" fontId="14" fillId="9" borderId="25" xfId="2" applyFont="1" applyFill="1" applyBorder="1" applyAlignment="1">
      <alignment horizontal="center" vertical="center" wrapText="1"/>
    </xf>
    <xf numFmtId="0" fontId="14" fillId="9" borderId="27" xfId="2" applyFont="1" applyFill="1" applyBorder="1" applyAlignment="1">
      <alignment horizontal="center" vertical="center" wrapText="1"/>
    </xf>
    <xf numFmtId="9" fontId="19" fillId="13" borderId="0" xfId="1" applyNumberFormat="1" applyFont="1" applyFill="1" applyAlignment="1">
      <alignment horizontal="center"/>
    </xf>
    <xf numFmtId="0" fontId="31" fillId="11" borderId="28" xfId="1" applyFont="1" applyFill="1" applyBorder="1" applyAlignment="1">
      <alignment horizontal="left" vertical="center"/>
    </xf>
    <xf numFmtId="0" fontId="31" fillId="11" borderId="29" xfId="1" applyFont="1" applyFill="1" applyBorder="1" applyAlignment="1">
      <alignment horizontal="left" vertical="center"/>
    </xf>
    <xf numFmtId="0" fontId="31" fillId="11" borderId="30" xfId="1" applyFont="1" applyFill="1" applyBorder="1" applyAlignment="1">
      <alignment horizontal="left" vertical="center"/>
    </xf>
    <xf numFmtId="0" fontId="65" fillId="29" borderId="0" xfId="0" applyFont="1" applyFill="1" applyBorder="1" applyAlignment="1">
      <alignment horizontal="left" vertical="top" wrapText="1"/>
    </xf>
    <xf numFmtId="0" fontId="71" fillId="29" borderId="0" xfId="1" applyFont="1" applyFill="1" applyAlignment="1">
      <alignment horizontal="left" vertical="top" wrapText="1"/>
    </xf>
    <xf numFmtId="0" fontId="67" fillId="28" borderId="0" xfId="1" applyFont="1" applyFill="1" applyAlignment="1">
      <alignment horizontal="left"/>
    </xf>
    <xf numFmtId="0" fontId="70" fillId="11" borderId="85" xfId="2" applyFont="1" applyFill="1" applyBorder="1" applyAlignment="1">
      <alignment horizontal="center" vertical="center" wrapText="1"/>
    </xf>
    <xf numFmtId="0" fontId="70" fillId="11" borderId="86" xfId="2" applyFont="1" applyFill="1" applyBorder="1" applyAlignment="1">
      <alignment horizontal="center" vertical="center" wrapText="1"/>
    </xf>
    <xf numFmtId="0" fontId="70" fillId="11" borderId="87" xfId="2" applyFont="1" applyFill="1" applyBorder="1" applyAlignment="1">
      <alignment horizontal="center" vertical="center" wrapText="1"/>
    </xf>
    <xf numFmtId="0" fontId="37" fillId="10" borderId="82" xfId="2" applyFont="1" applyFill="1" applyBorder="1" applyAlignment="1">
      <alignment horizontal="center" vertical="center" wrapText="1"/>
    </xf>
    <xf numFmtId="0" fontId="37" fillId="10" borderId="83" xfId="2" applyFont="1" applyFill="1" applyBorder="1" applyAlignment="1">
      <alignment horizontal="center" vertical="center" wrapText="1"/>
    </xf>
    <xf numFmtId="0" fontId="37" fillId="10" borderId="84" xfId="2" applyFont="1" applyFill="1" applyBorder="1" applyAlignment="1">
      <alignment horizontal="center" vertical="center" wrapText="1"/>
    </xf>
    <xf numFmtId="0" fontId="37" fillId="10" borderId="81" xfId="2" applyFont="1" applyFill="1" applyBorder="1" applyAlignment="1">
      <alignment horizontal="center" vertical="center" wrapText="1"/>
    </xf>
    <xf numFmtId="0" fontId="67" fillId="28" borderId="0" xfId="1" applyFont="1" applyFill="1" applyAlignment="1">
      <alignment horizontal="left" vertical="center"/>
    </xf>
    <xf numFmtId="0" fontId="31" fillId="11" borderId="28" xfId="1" applyFont="1" applyFill="1" applyBorder="1" applyAlignment="1">
      <alignment horizontal="left"/>
    </xf>
    <xf numFmtId="0" fontId="31" fillId="11" borderId="29" xfId="1" applyFont="1" applyFill="1" applyBorder="1" applyAlignment="1">
      <alignment horizontal="left"/>
    </xf>
    <xf numFmtId="0" fontId="31" fillId="11" borderId="30" xfId="1" applyFont="1" applyFill="1" applyBorder="1" applyAlignment="1">
      <alignment horizontal="left"/>
    </xf>
    <xf numFmtId="0" fontId="67" fillId="28" borderId="0" xfId="1" applyFont="1" applyFill="1" applyAlignment="1">
      <alignment horizontal="center" vertical="center"/>
    </xf>
    <xf numFmtId="9" fontId="19" fillId="13" borderId="0" xfId="1" applyNumberFormat="1" applyFont="1" applyFill="1" applyAlignment="1">
      <alignment horizontal="center" vertical="center"/>
    </xf>
    <xf numFmtId="0" fontId="71" fillId="29" borderId="0" xfId="1" applyFont="1" applyFill="1" applyAlignment="1">
      <alignment horizontal="left" vertical="center" wrapText="1"/>
    </xf>
    <xf numFmtId="0" fontId="70" fillId="11" borderId="44" xfId="2" applyFont="1" applyFill="1" applyBorder="1" applyAlignment="1">
      <alignment horizontal="center" vertical="center" wrapText="1"/>
    </xf>
    <xf numFmtId="0" fontId="31" fillId="9" borderId="0" xfId="1" applyFont="1" applyFill="1" applyBorder="1" applyAlignment="1">
      <alignment horizontal="left"/>
    </xf>
    <xf numFmtId="0" fontId="31" fillId="11" borderId="77" xfId="1" applyFont="1" applyFill="1" applyBorder="1" applyAlignment="1">
      <alignment horizontal="left" vertical="center"/>
    </xf>
  </cellXfs>
  <cellStyles count="6">
    <cellStyle name="Normal" xfId="0" builtinId="0"/>
    <cellStyle name="Normal 11" xfId="2" xr:uid="{45BFA088-3ABE-42EF-B51C-B3B1B621AD59}"/>
    <cellStyle name="Normal 2" xfId="1" xr:uid="{1CCBB801-4212-4F36-BA13-6E6A4154977C}"/>
    <cellStyle name="Normal 2 2 2" xfId="3" xr:uid="{4A7F107A-7E01-474F-B03C-2DBB1E15986C}"/>
    <cellStyle name="Normal 3" xfId="4" xr:uid="{0EFF2F0B-E8F9-46BD-9EBC-1B6C905323B0}"/>
    <cellStyle name="Porcentaje" xfId="5" builtinId="5"/>
  </cellStyles>
  <dxfs count="139">
    <dxf>
      <fill>
        <patternFill>
          <bgColor rgb="FFFF0000"/>
        </patternFill>
      </fill>
    </dxf>
    <dxf>
      <fill>
        <patternFill>
          <bgColor rgb="FF00B050"/>
        </patternFill>
      </fill>
    </dxf>
    <dxf>
      <fill>
        <patternFill>
          <bgColor rgb="FFFFFF00"/>
        </patternFill>
      </fill>
    </dxf>
    <dxf>
      <fill>
        <patternFill>
          <bgColor rgb="FFFF6600"/>
        </patternFill>
      </fill>
    </dxf>
    <dxf>
      <fill>
        <patternFill patternType="none">
          <bgColor auto="1"/>
        </patternFill>
      </fill>
    </dxf>
    <dxf>
      <fill>
        <patternFill>
          <bgColor rgb="FFFF0000"/>
        </patternFill>
      </fill>
    </dxf>
    <dxf>
      <fill>
        <patternFill>
          <bgColor rgb="FF00B050"/>
        </patternFill>
      </fill>
    </dxf>
    <dxf>
      <fill>
        <patternFill>
          <bgColor rgb="FFFFFF00"/>
        </patternFill>
      </fill>
    </dxf>
    <dxf>
      <fill>
        <patternFill>
          <bgColor rgb="FFFF6600"/>
        </patternFill>
      </fill>
    </dxf>
    <dxf>
      <fill>
        <patternFill patternType="none">
          <bgColor auto="1"/>
        </patternFill>
      </fill>
    </dxf>
    <dxf>
      <fill>
        <patternFill>
          <bgColor rgb="FFFF0000"/>
        </patternFill>
      </fill>
    </dxf>
    <dxf>
      <fill>
        <patternFill>
          <bgColor rgb="FF00B050"/>
        </patternFill>
      </fill>
    </dxf>
    <dxf>
      <fill>
        <patternFill>
          <bgColor rgb="FFFFFF00"/>
        </patternFill>
      </fill>
    </dxf>
    <dxf>
      <fill>
        <patternFill>
          <bgColor rgb="FFFF6600"/>
        </patternFill>
      </fill>
    </dxf>
    <dxf>
      <fill>
        <patternFill patternType="none">
          <bgColor auto="1"/>
        </patternFill>
      </fill>
    </dxf>
    <dxf>
      <fill>
        <patternFill>
          <bgColor rgb="FFFF0000"/>
        </patternFill>
      </fill>
    </dxf>
    <dxf>
      <fill>
        <patternFill>
          <bgColor rgb="FF00B050"/>
        </patternFill>
      </fill>
    </dxf>
    <dxf>
      <fill>
        <patternFill>
          <bgColor rgb="FFFFFF00"/>
        </patternFill>
      </fill>
    </dxf>
    <dxf>
      <fill>
        <patternFill>
          <bgColor rgb="FFFF6600"/>
        </patternFill>
      </fill>
    </dxf>
    <dxf>
      <fill>
        <patternFill patternType="none">
          <bgColor auto="1"/>
        </patternFill>
      </fill>
    </dxf>
    <dxf>
      <fill>
        <patternFill>
          <bgColor rgb="FFFF0000"/>
        </patternFill>
      </fill>
    </dxf>
    <dxf>
      <fill>
        <patternFill>
          <bgColor rgb="FF00B050"/>
        </patternFill>
      </fill>
    </dxf>
    <dxf>
      <fill>
        <patternFill>
          <bgColor rgb="FFFFFF00"/>
        </patternFill>
      </fill>
    </dxf>
    <dxf>
      <fill>
        <patternFill>
          <bgColor rgb="FFFF6600"/>
        </patternFill>
      </fill>
    </dxf>
    <dxf>
      <fill>
        <patternFill patternType="none">
          <bgColor auto="1"/>
        </patternFill>
      </fill>
    </dxf>
    <dxf>
      <fill>
        <patternFill>
          <bgColor rgb="FFFF0000"/>
        </patternFill>
      </fill>
    </dxf>
    <dxf>
      <fill>
        <patternFill>
          <bgColor rgb="FF00B050"/>
        </patternFill>
      </fill>
    </dxf>
    <dxf>
      <fill>
        <patternFill>
          <bgColor rgb="FFFFFF00"/>
        </patternFill>
      </fill>
    </dxf>
    <dxf>
      <fill>
        <patternFill>
          <bgColor rgb="FFFF6600"/>
        </patternFill>
      </fill>
    </dxf>
    <dxf>
      <fill>
        <patternFill patternType="none">
          <bgColor auto="1"/>
        </patternFill>
      </fill>
    </dxf>
    <dxf>
      <fill>
        <patternFill>
          <bgColor rgb="FFFF0000"/>
        </patternFill>
      </fill>
    </dxf>
    <dxf>
      <fill>
        <patternFill>
          <bgColor rgb="FF00B050"/>
        </patternFill>
      </fill>
    </dxf>
    <dxf>
      <fill>
        <patternFill>
          <bgColor rgb="FFFFFF00"/>
        </patternFill>
      </fill>
    </dxf>
    <dxf>
      <fill>
        <patternFill>
          <bgColor rgb="FFFF6600"/>
        </patternFill>
      </fill>
    </dxf>
    <dxf>
      <fill>
        <patternFill patternType="none">
          <bgColor auto="1"/>
        </patternFill>
      </fill>
    </dxf>
    <dxf>
      <fill>
        <patternFill>
          <bgColor rgb="FFFF0000"/>
        </patternFill>
      </fill>
    </dxf>
    <dxf>
      <fill>
        <patternFill>
          <bgColor rgb="FF00B050"/>
        </patternFill>
      </fill>
    </dxf>
    <dxf>
      <fill>
        <patternFill>
          <bgColor rgb="FFFFFF00"/>
        </patternFill>
      </fill>
    </dxf>
    <dxf>
      <fill>
        <patternFill>
          <bgColor rgb="FFFF6600"/>
        </patternFill>
      </fill>
    </dxf>
    <dxf>
      <fill>
        <patternFill patternType="none">
          <bgColor auto="1"/>
        </patternFill>
      </fill>
    </dxf>
    <dxf>
      <fill>
        <patternFill>
          <bgColor rgb="FFFF0000"/>
        </patternFill>
      </fill>
    </dxf>
    <dxf>
      <fill>
        <patternFill>
          <bgColor rgb="FF00B050"/>
        </patternFill>
      </fill>
    </dxf>
    <dxf>
      <fill>
        <patternFill>
          <bgColor rgb="FFFFFF00"/>
        </patternFill>
      </fill>
    </dxf>
    <dxf>
      <fill>
        <patternFill>
          <bgColor rgb="FFFF6600"/>
        </patternFill>
      </fill>
    </dxf>
    <dxf>
      <fill>
        <patternFill patternType="none">
          <bgColor auto="1"/>
        </patternFill>
      </fill>
    </dxf>
    <dxf>
      <fill>
        <patternFill>
          <bgColor rgb="FFFF0000"/>
        </patternFill>
      </fill>
    </dxf>
    <dxf>
      <fill>
        <patternFill>
          <bgColor rgb="FF00B050"/>
        </patternFill>
      </fill>
    </dxf>
    <dxf>
      <fill>
        <patternFill>
          <bgColor rgb="FFFFFF00"/>
        </patternFill>
      </fill>
    </dxf>
    <dxf>
      <fill>
        <patternFill>
          <bgColor rgb="FFFF6600"/>
        </patternFill>
      </fill>
    </dxf>
    <dxf>
      <fill>
        <patternFill patternType="none">
          <bgColor auto="1"/>
        </patternFill>
      </fill>
    </dxf>
    <dxf>
      <fill>
        <patternFill>
          <bgColor rgb="FFFF0000"/>
        </patternFill>
      </fill>
    </dxf>
    <dxf>
      <fill>
        <patternFill>
          <bgColor rgb="FF00B050"/>
        </patternFill>
      </fill>
    </dxf>
    <dxf>
      <fill>
        <patternFill>
          <bgColor rgb="FFFFFF00"/>
        </patternFill>
      </fill>
    </dxf>
    <dxf>
      <fill>
        <patternFill>
          <bgColor rgb="FFFF6600"/>
        </patternFill>
      </fill>
    </dxf>
    <dxf>
      <fill>
        <patternFill patternType="none">
          <bgColor auto="1"/>
        </patternFill>
      </fill>
    </dxf>
    <dxf>
      <fill>
        <patternFill>
          <bgColor rgb="FFFF0000"/>
        </patternFill>
      </fill>
    </dxf>
    <dxf>
      <fill>
        <patternFill>
          <bgColor rgb="FF00B050"/>
        </patternFill>
      </fill>
    </dxf>
    <dxf>
      <fill>
        <patternFill>
          <bgColor rgb="FFFFFF00"/>
        </patternFill>
      </fill>
    </dxf>
    <dxf>
      <fill>
        <patternFill>
          <bgColor rgb="FFFF6600"/>
        </patternFill>
      </fill>
    </dxf>
    <dxf>
      <fill>
        <patternFill patternType="none">
          <bgColor auto="1"/>
        </patternFill>
      </fill>
    </dxf>
    <dxf>
      <fill>
        <patternFill>
          <bgColor rgb="FFFF0000"/>
        </patternFill>
      </fill>
    </dxf>
    <dxf>
      <fill>
        <patternFill>
          <bgColor rgb="FF00B050"/>
        </patternFill>
      </fill>
    </dxf>
    <dxf>
      <fill>
        <patternFill>
          <bgColor rgb="FFFFFF00"/>
        </patternFill>
      </fill>
    </dxf>
    <dxf>
      <fill>
        <patternFill>
          <bgColor rgb="FFFF6600"/>
        </patternFill>
      </fill>
    </dxf>
    <dxf>
      <fill>
        <patternFill patternType="none">
          <bgColor auto="1"/>
        </patternFill>
      </fill>
    </dxf>
    <dxf>
      <fill>
        <patternFill>
          <bgColor rgb="FFFF0000"/>
        </patternFill>
      </fill>
    </dxf>
    <dxf>
      <fill>
        <patternFill>
          <bgColor rgb="FF00B050"/>
        </patternFill>
      </fill>
    </dxf>
    <dxf>
      <fill>
        <patternFill>
          <bgColor rgb="FFFFFF00"/>
        </patternFill>
      </fill>
    </dxf>
    <dxf>
      <fill>
        <patternFill>
          <bgColor rgb="FFFF6600"/>
        </patternFill>
      </fill>
    </dxf>
    <dxf>
      <fill>
        <patternFill patternType="none">
          <bgColor auto="1"/>
        </patternFill>
      </fill>
    </dxf>
    <dxf>
      <fill>
        <patternFill>
          <bgColor rgb="FFFF0000"/>
        </patternFill>
      </fill>
    </dxf>
    <dxf>
      <fill>
        <patternFill>
          <bgColor rgb="FF00B050"/>
        </patternFill>
      </fill>
    </dxf>
    <dxf>
      <fill>
        <patternFill>
          <bgColor rgb="FFFFFF00"/>
        </patternFill>
      </fill>
    </dxf>
    <dxf>
      <fill>
        <patternFill>
          <bgColor rgb="FFFF6600"/>
        </patternFill>
      </fill>
    </dxf>
    <dxf>
      <fill>
        <patternFill patternType="none">
          <bgColor auto="1"/>
        </patternFill>
      </fill>
    </dxf>
    <dxf>
      <fill>
        <patternFill>
          <bgColor rgb="FFFF0000"/>
        </patternFill>
      </fill>
    </dxf>
    <dxf>
      <fill>
        <patternFill>
          <bgColor rgb="FF00B050"/>
        </patternFill>
      </fill>
    </dxf>
    <dxf>
      <fill>
        <patternFill>
          <bgColor rgb="FFFFFF00"/>
        </patternFill>
      </fill>
    </dxf>
    <dxf>
      <fill>
        <patternFill>
          <bgColor rgb="FFFF6600"/>
        </patternFill>
      </fill>
    </dxf>
    <dxf>
      <fill>
        <patternFill patternType="none">
          <bgColor auto="1"/>
        </patternFill>
      </fill>
    </dxf>
    <dxf>
      <fill>
        <patternFill>
          <bgColor rgb="FFFF0000"/>
        </patternFill>
      </fill>
    </dxf>
    <dxf>
      <fill>
        <patternFill>
          <bgColor rgb="FF00B050"/>
        </patternFill>
      </fill>
    </dxf>
    <dxf>
      <fill>
        <patternFill>
          <bgColor rgb="FFFFFF00"/>
        </patternFill>
      </fill>
    </dxf>
    <dxf>
      <fill>
        <patternFill>
          <bgColor rgb="FFFF6600"/>
        </patternFill>
      </fill>
    </dxf>
    <dxf>
      <fill>
        <patternFill patternType="none">
          <bgColor auto="1"/>
        </patternFill>
      </fill>
    </dxf>
    <dxf>
      <fill>
        <patternFill>
          <bgColor rgb="FFFF0000"/>
        </patternFill>
      </fill>
    </dxf>
    <dxf>
      <fill>
        <patternFill>
          <bgColor rgb="FF00B050"/>
        </patternFill>
      </fill>
    </dxf>
    <dxf>
      <fill>
        <patternFill>
          <bgColor rgb="FFFFFF00"/>
        </patternFill>
      </fill>
    </dxf>
    <dxf>
      <fill>
        <patternFill>
          <bgColor rgb="FFFF6600"/>
        </patternFill>
      </fill>
    </dxf>
    <dxf>
      <fill>
        <patternFill patternType="none">
          <bgColor auto="1"/>
        </patternFill>
      </fill>
    </dxf>
    <dxf>
      <fill>
        <patternFill>
          <bgColor rgb="FF00B050"/>
        </patternFill>
      </fill>
    </dxf>
    <dxf>
      <fill>
        <patternFill>
          <bgColor rgb="FFFFFF00"/>
        </patternFill>
      </fill>
    </dxf>
    <dxf>
      <fill>
        <patternFill>
          <bgColor rgb="FFFF6600"/>
        </patternFill>
      </fill>
    </dxf>
    <dxf>
      <fill>
        <patternFill>
          <bgColor rgb="FFFF0000"/>
        </patternFill>
      </fill>
    </dxf>
    <dxf>
      <fill>
        <patternFill patternType="none">
          <bgColor auto="1"/>
        </patternFill>
      </fill>
    </dxf>
    <dxf>
      <fill>
        <patternFill>
          <bgColor rgb="FF00B050"/>
        </patternFill>
      </fill>
    </dxf>
    <dxf>
      <fill>
        <patternFill>
          <bgColor rgb="FFFFFF00"/>
        </patternFill>
      </fill>
    </dxf>
    <dxf>
      <fill>
        <patternFill>
          <bgColor rgb="FFFF6600"/>
        </patternFill>
      </fill>
    </dxf>
    <dxf>
      <fill>
        <patternFill>
          <bgColor rgb="FFFF0000"/>
        </patternFill>
      </fill>
    </dxf>
    <dxf>
      <fill>
        <patternFill patternType="none">
          <bgColor auto="1"/>
        </patternFill>
      </fill>
    </dxf>
    <dxf>
      <fill>
        <patternFill>
          <bgColor rgb="FF00B050"/>
        </patternFill>
      </fill>
    </dxf>
    <dxf>
      <fill>
        <patternFill>
          <bgColor rgb="FFFFFF00"/>
        </patternFill>
      </fill>
    </dxf>
    <dxf>
      <fill>
        <patternFill>
          <bgColor rgb="FFFF6600"/>
        </patternFill>
      </fill>
    </dxf>
    <dxf>
      <fill>
        <patternFill>
          <bgColor rgb="FFFF0000"/>
        </patternFill>
      </fill>
    </dxf>
    <dxf>
      <fill>
        <patternFill patternType="none">
          <bgColor auto="1"/>
        </patternFill>
      </fill>
    </dxf>
    <dxf>
      <fill>
        <patternFill>
          <bgColor rgb="FF00B050"/>
        </patternFill>
      </fill>
    </dxf>
    <dxf>
      <fill>
        <patternFill>
          <bgColor rgb="FFFFFF00"/>
        </patternFill>
      </fill>
    </dxf>
    <dxf>
      <fill>
        <patternFill>
          <bgColor rgb="FFFF6600"/>
        </patternFill>
      </fill>
    </dxf>
    <dxf>
      <fill>
        <patternFill>
          <bgColor rgb="FFFF0000"/>
        </patternFill>
      </fill>
    </dxf>
    <dxf>
      <fill>
        <patternFill patternType="none">
          <bgColor auto="1"/>
        </patternFill>
      </fill>
    </dxf>
    <dxf>
      <fill>
        <patternFill>
          <bgColor rgb="FF00B050"/>
        </patternFill>
      </fill>
    </dxf>
    <dxf>
      <fill>
        <patternFill>
          <bgColor rgb="FFFFFF00"/>
        </patternFill>
      </fill>
    </dxf>
    <dxf>
      <fill>
        <patternFill>
          <bgColor rgb="FFFF6600"/>
        </patternFill>
      </fill>
    </dxf>
    <dxf>
      <fill>
        <patternFill>
          <bgColor rgb="FFFF0000"/>
        </patternFill>
      </fill>
    </dxf>
    <dxf>
      <fill>
        <patternFill patternType="none">
          <bgColor auto="1"/>
        </patternFill>
      </fill>
    </dxf>
    <dxf>
      <fill>
        <patternFill>
          <bgColor rgb="FF00B050"/>
        </patternFill>
      </fill>
    </dxf>
    <dxf>
      <fill>
        <patternFill>
          <bgColor rgb="FFFFFF00"/>
        </patternFill>
      </fill>
    </dxf>
    <dxf>
      <fill>
        <patternFill>
          <bgColor rgb="FFFF6600"/>
        </patternFill>
      </fill>
    </dxf>
    <dxf>
      <fill>
        <patternFill>
          <bgColor rgb="FFFF0000"/>
        </patternFill>
      </fill>
    </dxf>
    <dxf>
      <fill>
        <patternFill patternType="none">
          <bgColor auto="1"/>
        </patternFill>
      </fill>
    </dxf>
    <dxf>
      <fill>
        <patternFill>
          <bgColor rgb="FF00B050"/>
        </patternFill>
      </fill>
    </dxf>
    <dxf>
      <fill>
        <patternFill>
          <bgColor rgb="FFFFFF00"/>
        </patternFill>
      </fill>
    </dxf>
    <dxf>
      <fill>
        <patternFill>
          <bgColor rgb="FFFF6600"/>
        </patternFill>
      </fill>
    </dxf>
    <dxf>
      <fill>
        <patternFill>
          <bgColor rgb="FFFF0000"/>
        </patternFill>
      </fill>
    </dxf>
    <dxf>
      <fill>
        <patternFill patternType="none">
          <bgColor auto="1"/>
        </patternFill>
      </fill>
    </dxf>
    <dxf>
      <fill>
        <patternFill>
          <bgColor rgb="FF00B050"/>
        </patternFill>
      </fill>
    </dxf>
    <dxf>
      <fill>
        <patternFill>
          <bgColor rgb="FFFFFF00"/>
        </patternFill>
      </fill>
    </dxf>
    <dxf>
      <fill>
        <patternFill>
          <bgColor rgb="FFFF6600"/>
        </patternFill>
      </fill>
    </dxf>
    <dxf>
      <fill>
        <patternFill>
          <bgColor rgb="FFFF0000"/>
        </patternFill>
      </fill>
    </dxf>
    <dxf>
      <fill>
        <patternFill patternType="none">
          <bgColor auto="1"/>
        </patternFill>
      </fill>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9" formatCode="d/mm/yyyy"/>
    </dxf>
    <dxf>
      <numFmt numFmtId="19" formatCode="d/mm/yyyy"/>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1F497D"/>
      <rgbColor rgb="00EEECE1"/>
      <rgbColor rgb="00FF00FF"/>
      <rgbColor rgb="0000FFFF"/>
      <rgbColor rgb="00800000"/>
      <rgbColor rgb="00008000"/>
      <rgbColor rgb="00000080"/>
      <rgbColor rgb="00808000"/>
      <rgbColor rgb="00800080"/>
      <rgbColor rgb="00008080"/>
      <rgbColor rgb="00DCE6F1"/>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8DB4E2"/>
      <rgbColor rgb="0099CC00"/>
      <rgbColor rgb="00FFCC00"/>
      <rgbColor rgb="00FF9900"/>
      <rgbColor rgb="00FF6600"/>
      <rgbColor rgb="0016365C"/>
      <rgbColor rgb="0095B3D7"/>
      <rgbColor rgb="00003366"/>
      <rgbColor rgb="00339966"/>
      <rgbColor rgb="00003300"/>
      <rgbColor rgb="00333300"/>
      <rgbColor rgb="00993300"/>
      <rgbColor rgb="00993366"/>
      <rgbColor rgb="00333399"/>
      <rgbColor rgb="00366092"/>
    </indexedColors>
    <mruColors>
      <color rgb="FF800000"/>
      <color rgb="FFFF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microsoft.com/office/2017/10/relationships/person" Target="persons/person.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harts/_rels/chart10.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11.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12.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13.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14.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5.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6.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7.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8.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9.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20.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24.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25.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6.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7.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8.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9.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30.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31.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32.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3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3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3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42.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46.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5.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50.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51.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52.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53.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54.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55.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56.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5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6.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60.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61.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62.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63.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64.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65.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66.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67.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68.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69.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7.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8.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9.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s-CO" sz="1400"/>
              <a:t>Promedio Puntaje Global por Comunas 2016-2023</a:t>
            </a:r>
          </a:p>
        </c:rich>
      </c:tx>
      <c:overlay val="0"/>
    </c:title>
    <c:autoTitleDeleted val="0"/>
    <c:plotArea>
      <c:layout/>
      <c:radarChart>
        <c:radarStyle val="marker"/>
        <c:varyColors val="0"/>
        <c:ser>
          <c:idx val="0"/>
          <c:order val="0"/>
          <c:tx>
            <c:strRef>
              <c:f>PGLOBAL!$AA$170</c:f>
              <c:strCache>
                <c:ptCount val="1"/>
                <c:pt idx="0">
                  <c:v>2016</c:v>
                </c:pt>
              </c:strCache>
            </c:strRef>
          </c:tx>
          <c:spPr>
            <a:ln>
              <a:prstDash val="dashDot"/>
            </a:ln>
          </c:spPr>
          <c:cat>
            <c:strRef>
              <c:f>PGLOBAL!$Z$172:$Z$177</c:f>
              <c:strCache>
                <c:ptCount val="6"/>
                <c:pt idx="0">
                  <c:v>COMUNA 1</c:v>
                </c:pt>
                <c:pt idx="1">
                  <c:v>COMUNA 2</c:v>
                </c:pt>
                <c:pt idx="2">
                  <c:v>COMUNA 3</c:v>
                </c:pt>
                <c:pt idx="3">
                  <c:v>COMUNA 4</c:v>
                </c:pt>
                <c:pt idx="4">
                  <c:v>COMUNA 5</c:v>
                </c:pt>
                <c:pt idx="5">
                  <c:v>COMUNA 6</c:v>
                </c:pt>
              </c:strCache>
            </c:strRef>
          </c:cat>
          <c:val>
            <c:numRef>
              <c:f>PGLOBAL!$AA$172:$AA$177</c:f>
              <c:numCache>
                <c:formatCode>0</c:formatCode>
                <c:ptCount val="6"/>
                <c:pt idx="0">
                  <c:v>260.94117647058823</c:v>
                </c:pt>
                <c:pt idx="1">
                  <c:v>268.45</c:v>
                </c:pt>
                <c:pt idx="2">
                  <c:v>269.4375</c:v>
                </c:pt>
                <c:pt idx="3">
                  <c:v>248.28571428571428</c:v>
                </c:pt>
                <c:pt idx="4">
                  <c:v>276.1764705882353</c:v>
                </c:pt>
                <c:pt idx="5">
                  <c:v>267.13333333333333</c:v>
                </c:pt>
              </c:numCache>
            </c:numRef>
          </c:val>
          <c:extLst>
            <c:ext xmlns:c16="http://schemas.microsoft.com/office/drawing/2014/chart" uri="{C3380CC4-5D6E-409C-BE32-E72D297353CC}">
              <c16:uniqueId val="{00000000-FE33-473D-824A-749E389BE177}"/>
            </c:ext>
          </c:extLst>
        </c:ser>
        <c:ser>
          <c:idx val="1"/>
          <c:order val="1"/>
          <c:tx>
            <c:strRef>
              <c:f>PGLOBAL!$AB$170</c:f>
              <c:strCache>
                <c:ptCount val="1"/>
                <c:pt idx="0">
                  <c:v>2017</c:v>
                </c:pt>
              </c:strCache>
            </c:strRef>
          </c:tx>
          <c:cat>
            <c:strRef>
              <c:f>PGLOBAL!$Z$172:$Z$177</c:f>
              <c:strCache>
                <c:ptCount val="6"/>
                <c:pt idx="0">
                  <c:v>COMUNA 1</c:v>
                </c:pt>
                <c:pt idx="1">
                  <c:v>COMUNA 2</c:v>
                </c:pt>
                <c:pt idx="2">
                  <c:v>COMUNA 3</c:v>
                </c:pt>
                <c:pt idx="3">
                  <c:v>COMUNA 4</c:v>
                </c:pt>
                <c:pt idx="4">
                  <c:v>COMUNA 5</c:v>
                </c:pt>
                <c:pt idx="5">
                  <c:v>COMUNA 6</c:v>
                </c:pt>
              </c:strCache>
            </c:strRef>
          </c:cat>
          <c:val>
            <c:numRef>
              <c:f>PGLOBAL!$AB$172:$AB$177</c:f>
              <c:numCache>
                <c:formatCode>0</c:formatCode>
                <c:ptCount val="6"/>
                <c:pt idx="0">
                  <c:v>260.375</c:v>
                </c:pt>
                <c:pt idx="1">
                  <c:v>265.63157894736844</c:v>
                </c:pt>
                <c:pt idx="2">
                  <c:v>265.64705882352939</c:v>
                </c:pt>
                <c:pt idx="3">
                  <c:v>255.13333333333333</c:v>
                </c:pt>
                <c:pt idx="4">
                  <c:v>275.47058823529414</c:v>
                </c:pt>
                <c:pt idx="5">
                  <c:v>258.86666666666667</c:v>
                </c:pt>
              </c:numCache>
            </c:numRef>
          </c:val>
          <c:extLst>
            <c:ext xmlns:c16="http://schemas.microsoft.com/office/drawing/2014/chart" uri="{C3380CC4-5D6E-409C-BE32-E72D297353CC}">
              <c16:uniqueId val="{00000001-FE33-473D-824A-749E389BE177}"/>
            </c:ext>
          </c:extLst>
        </c:ser>
        <c:ser>
          <c:idx val="2"/>
          <c:order val="2"/>
          <c:tx>
            <c:strRef>
              <c:f>PGLOBAL!$AC$170</c:f>
              <c:strCache>
                <c:ptCount val="1"/>
                <c:pt idx="0">
                  <c:v>2018</c:v>
                </c:pt>
              </c:strCache>
            </c:strRef>
          </c:tx>
          <c:spPr>
            <a:ln>
              <a:prstDash val="sysDot"/>
            </a:ln>
          </c:spPr>
          <c:cat>
            <c:strRef>
              <c:f>PGLOBAL!$Z$172:$Z$177</c:f>
              <c:strCache>
                <c:ptCount val="6"/>
                <c:pt idx="0">
                  <c:v>COMUNA 1</c:v>
                </c:pt>
                <c:pt idx="1">
                  <c:v>COMUNA 2</c:v>
                </c:pt>
                <c:pt idx="2">
                  <c:v>COMUNA 3</c:v>
                </c:pt>
                <c:pt idx="3">
                  <c:v>COMUNA 4</c:v>
                </c:pt>
                <c:pt idx="4">
                  <c:v>COMUNA 5</c:v>
                </c:pt>
                <c:pt idx="5">
                  <c:v>COMUNA 6</c:v>
                </c:pt>
              </c:strCache>
            </c:strRef>
          </c:cat>
          <c:val>
            <c:numRef>
              <c:f>PGLOBAL!$AC$172:$AC$177</c:f>
              <c:numCache>
                <c:formatCode>0</c:formatCode>
                <c:ptCount val="6"/>
                <c:pt idx="0">
                  <c:v>257.1764705882353</c:v>
                </c:pt>
                <c:pt idx="1">
                  <c:v>262.89473684210526</c:v>
                </c:pt>
                <c:pt idx="2">
                  <c:v>265.11764705882354</c:v>
                </c:pt>
                <c:pt idx="3">
                  <c:v>251.46666666666667</c:v>
                </c:pt>
                <c:pt idx="4">
                  <c:v>271.5</c:v>
                </c:pt>
                <c:pt idx="5">
                  <c:v>260.07142857142856</c:v>
                </c:pt>
              </c:numCache>
            </c:numRef>
          </c:val>
          <c:extLst>
            <c:ext xmlns:c16="http://schemas.microsoft.com/office/drawing/2014/chart" uri="{C3380CC4-5D6E-409C-BE32-E72D297353CC}">
              <c16:uniqueId val="{00000002-FE33-473D-824A-749E389BE177}"/>
            </c:ext>
          </c:extLst>
        </c:ser>
        <c:ser>
          <c:idx val="3"/>
          <c:order val="3"/>
          <c:tx>
            <c:strRef>
              <c:f>PGLOBAL!$AD$170</c:f>
              <c:strCache>
                <c:ptCount val="1"/>
                <c:pt idx="0">
                  <c:v>2019</c:v>
                </c:pt>
              </c:strCache>
            </c:strRef>
          </c:tx>
          <c:cat>
            <c:strRef>
              <c:f>PGLOBAL!$Z$172:$Z$177</c:f>
              <c:strCache>
                <c:ptCount val="6"/>
                <c:pt idx="0">
                  <c:v>COMUNA 1</c:v>
                </c:pt>
                <c:pt idx="1">
                  <c:v>COMUNA 2</c:v>
                </c:pt>
                <c:pt idx="2">
                  <c:v>COMUNA 3</c:v>
                </c:pt>
                <c:pt idx="3">
                  <c:v>COMUNA 4</c:v>
                </c:pt>
                <c:pt idx="4">
                  <c:v>COMUNA 5</c:v>
                </c:pt>
                <c:pt idx="5">
                  <c:v>COMUNA 6</c:v>
                </c:pt>
              </c:strCache>
            </c:strRef>
          </c:cat>
          <c:val>
            <c:numRef>
              <c:f>PGLOBAL!$AD$172:$AD$177</c:f>
              <c:numCache>
                <c:formatCode>0</c:formatCode>
                <c:ptCount val="6"/>
                <c:pt idx="0">
                  <c:v>252.8235294117647</c:v>
                </c:pt>
                <c:pt idx="1">
                  <c:v>262.64999999999998</c:v>
                </c:pt>
                <c:pt idx="2">
                  <c:v>259.41176470588238</c:v>
                </c:pt>
                <c:pt idx="3">
                  <c:v>244.78571428571428</c:v>
                </c:pt>
                <c:pt idx="4">
                  <c:v>268.31578947368422</c:v>
                </c:pt>
                <c:pt idx="5">
                  <c:v>259</c:v>
                </c:pt>
              </c:numCache>
            </c:numRef>
          </c:val>
          <c:extLst>
            <c:ext xmlns:c16="http://schemas.microsoft.com/office/drawing/2014/chart" uri="{C3380CC4-5D6E-409C-BE32-E72D297353CC}">
              <c16:uniqueId val="{00000003-FE33-473D-824A-749E389BE177}"/>
            </c:ext>
          </c:extLst>
        </c:ser>
        <c:ser>
          <c:idx val="4"/>
          <c:order val="4"/>
          <c:tx>
            <c:strRef>
              <c:f>PGLOBAL!$AE$170</c:f>
              <c:strCache>
                <c:ptCount val="1"/>
                <c:pt idx="0">
                  <c:v>2020</c:v>
                </c:pt>
              </c:strCache>
            </c:strRef>
          </c:tx>
          <c:cat>
            <c:strRef>
              <c:f>PGLOBAL!$Z$172:$Z$177</c:f>
              <c:strCache>
                <c:ptCount val="6"/>
                <c:pt idx="0">
                  <c:v>COMUNA 1</c:v>
                </c:pt>
                <c:pt idx="1">
                  <c:v>COMUNA 2</c:v>
                </c:pt>
                <c:pt idx="2">
                  <c:v>COMUNA 3</c:v>
                </c:pt>
                <c:pt idx="3">
                  <c:v>COMUNA 4</c:v>
                </c:pt>
                <c:pt idx="4">
                  <c:v>COMUNA 5</c:v>
                </c:pt>
                <c:pt idx="5">
                  <c:v>COMUNA 6</c:v>
                </c:pt>
              </c:strCache>
            </c:strRef>
          </c:cat>
          <c:val>
            <c:numRef>
              <c:f>PGLOBAL!$AE$172:$AE$177</c:f>
              <c:numCache>
                <c:formatCode>0</c:formatCode>
                <c:ptCount val="6"/>
                <c:pt idx="0">
                  <c:v>257.29411764705884</c:v>
                </c:pt>
                <c:pt idx="1">
                  <c:v>259.125</c:v>
                </c:pt>
                <c:pt idx="2">
                  <c:v>262.78947368421052</c:v>
                </c:pt>
                <c:pt idx="3">
                  <c:v>241.84615384615384</c:v>
                </c:pt>
                <c:pt idx="4">
                  <c:v>272</c:v>
                </c:pt>
                <c:pt idx="5">
                  <c:v>252.94117647058823</c:v>
                </c:pt>
              </c:numCache>
            </c:numRef>
          </c:val>
          <c:extLst>
            <c:ext xmlns:c16="http://schemas.microsoft.com/office/drawing/2014/chart" uri="{C3380CC4-5D6E-409C-BE32-E72D297353CC}">
              <c16:uniqueId val="{00000001-851D-49E8-81AE-DA536DFCA90B}"/>
            </c:ext>
          </c:extLst>
        </c:ser>
        <c:ser>
          <c:idx val="5"/>
          <c:order val="5"/>
          <c:tx>
            <c:strRef>
              <c:f>PGLOBAL!$AF$170</c:f>
              <c:strCache>
                <c:ptCount val="1"/>
                <c:pt idx="0">
                  <c:v>2021</c:v>
                </c:pt>
              </c:strCache>
            </c:strRef>
          </c:tx>
          <c:cat>
            <c:strRef>
              <c:f>PGLOBAL!$Z$172:$Z$177</c:f>
              <c:strCache>
                <c:ptCount val="6"/>
                <c:pt idx="0">
                  <c:v>COMUNA 1</c:v>
                </c:pt>
                <c:pt idx="1">
                  <c:v>COMUNA 2</c:v>
                </c:pt>
                <c:pt idx="2">
                  <c:v>COMUNA 3</c:v>
                </c:pt>
                <c:pt idx="3">
                  <c:v>COMUNA 4</c:v>
                </c:pt>
                <c:pt idx="4">
                  <c:v>COMUNA 5</c:v>
                </c:pt>
                <c:pt idx="5">
                  <c:v>COMUNA 6</c:v>
                </c:pt>
              </c:strCache>
            </c:strRef>
          </c:cat>
          <c:val>
            <c:numRef>
              <c:f>PGLOBAL!$AF$172:$AF$177</c:f>
              <c:numCache>
                <c:formatCode>0</c:formatCode>
                <c:ptCount val="6"/>
                <c:pt idx="0">
                  <c:v>257.29411764705884</c:v>
                </c:pt>
                <c:pt idx="1">
                  <c:v>257.45454545454544</c:v>
                </c:pt>
                <c:pt idx="2">
                  <c:v>261.60000000000002</c:v>
                </c:pt>
                <c:pt idx="3">
                  <c:v>243.85714285714286</c:v>
                </c:pt>
                <c:pt idx="4">
                  <c:v>270.44444444444446</c:v>
                </c:pt>
                <c:pt idx="5">
                  <c:v>255.58823529411765</c:v>
                </c:pt>
              </c:numCache>
            </c:numRef>
          </c:val>
          <c:extLst>
            <c:ext xmlns:c16="http://schemas.microsoft.com/office/drawing/2014/chart" uri="{C3380CC4-5D6E-409C-BE32-E72D297353CC}">
              <c16:uniqueId val="{00000001-EB06-4A89-995C-D1A7722C1C2A}"/>
            </c:ext>
          </c:extLst>
        </c:ser>
        <c:ser>
          <c:idx val="6"/>
          <c:order val="6"/>
          <c:tx>
            <c:strRef>
              <c:f>PGLOBAL!$AG$170</c:f>
              <c:strCache>
                <c:ptCount val="1"/>
                <c:pt idx="0">
                  <c:v>2022</c:v>
                </c:pt>
              </c:strCache>
            </c:strRef>
          </c:tx>
          <c:cat>
            <c:strRef>
              <c:f>PGLOBAL!$Z$172:$Z$177</c:f>
              <c:strCache>
                <c:ptCount val="6"/>
                <c:pt idx="0">
                  <c:v>COMUNA 1</c:v>
                </c:pt>
                <c:pt idx="1">
                  <c:v>COMUNA 2</c:v>
                </c:pt>
                <c:pt idx="2">
                  <c:v>COMUNA 3</c:v>
                </c:pt>
                <c:pt idx="3">
                  <c:v>COMUNA 4</c:v>
                </c:pt>
                <c:pt idx="4">
                  <c:v>COMUNA 5</c:v>
                </c:pt>
                <c:pt idx="5">
                  <c:v>COMUNA 6</c:v>
                </c:pt>
              </c:strCache>
            </c:strRef>
          </c:cat>
          <c:val>
            <c:numRef>
              <c:f>PGLOBAL!$AG$172:$AG$177</c:f>
              <c:numCache>
                <c:formatCode>0</c:formatCode>
                <c:ptCount val="6"/>
                <c:pt idx="0">
                  <c:v>258.83333333333331</c:v>
                </c:pt>
                <c:pt idx="1">
                  <c:v>266.72000000000003</c:v>
                </c:pt>
                <c:pt idx="2">
                  <c:v>267.13636363636363</c:v>
                </c:pt>
                <c:pt idx="3">
                  <c:v>249.64285714285714</c:v>
                </c:pt>
                <c:pt idx="4">
                  <c:v>276.64705882352939</c:v>
                </c:pt>
                <c:pt idx="5">
                  <c:v>258.31578947368422</c:v>
                </c:pt>
              </c:numCache>
            </c:numRef>
          </c:val>
          <c:extLst>
            <c:ext xmlns:c16="http://schemas.microsoft.com/office/drawing/2014/chart" uri="{C3380CC4-5D6E-409C-BE32-E72D297353CC}">
              <c16:uniqueId val="{00000000-D799-4AFB-B91F-EEA4CAF16724}"/>
            </c:ext>
          </c:extLst>
        </c:ser>
        <c:ser>
          <c:idx val="7"/>
          <c:order val="7"/>
          <c:tx>
            <c:strRef>
              <c:f>PGLOBAL!$AH$170</c:f>
              <c:strCache>
                <c:ptCount val="1"/>
                <c:pt idx="0">
                  <c:v>2023</c:v>
                </c:pt>
              </c:strCache>
            </c:strRef>
          </c:tx>
          <c:cat>
            <c:strRef>
              <c:f>PGLOBAL!$Z$172:$Z$177</c:f>
              <c:strCache>
                <c:ptCount val="6"/>
                <c:pt idx="0">
                  <c:v>COMUNA 1</c:v>
                </c:pt>
                <c:pt idx="1">
                  <c:v>COMUNA 2</c:v>
                </c:pt>
                <c:pt idx="2">
                  <c:v>COMUNA 3</c:v>
                </c:pt>
                <c:pt idx="3">
                  <c:v>COMUNA 4</c:v>
                </c:pt>
                <c:pt idx="4">
                  <c:v>COMUNA 5</c:v>
                </c:pt>
                <c:pt idx="5">
                  <c:v>COMUNA 6</c:v>
                </c:pt>
              </c:strCache>
            </c:strRef>
          </c:cat>
          <c:val>
            <c:numRef>
              <c:f>PGLOBAL!$AH$172:$AH$177</c:f>
              <c:numCache>
                <c:formatCode>0</c:formatCode>
                <c:ptCount val="6"/>
                <c:pt idx="0">
                  <c:v>262.29411764705884</c:v>
                </c:pt>
                <c:pt idx="1">
                  <c:v>265.03846153846155</c:v>
                </c:pt>
                <c:pt idx="2">
                  <c:v>267.09090909090907</c:v>
                </c:pt>
                <c:pt idx="3">
                  <c:v>245.2</c:v>
                </c:pt>
                <c:pt idx="4">
                  <c:v>278.11764705882354</c:v>
                </c:pt>
                <c:pt idx="5">
                  <c:v>264.3</c:v>
                </c:pt>
              </c:numCache>
            </c:numRef>
          </c:val>
          <c:extLst>
            <c:ext xmlns:c16="http://schemas.microsoft.com/office/drawing/2014/chart" uri="{C3380CC4-5D6E-409C-BE32-E72D297353CC}">
              <c16:uniqueId val="{00000001-D799-4AFB-B91F-EEA4CAF16724}"/>
            </c:ext>
          </c:extLst>
        </c:ser>
        <c:dLbls>
          <c:showLegendKey val="0"/>
          <c:showVal val="0"/>
          <c:showCatName val="0"/>
          <c:showSerName val="0"/>
          <c:showPercent val="0"/>
          <c:showBubbleSize val="0"/>
        </c:dLbls>
        <c:axId val="95953664"/>
        <c:axId val="95955200"/>
      </c:radarChart>
      <c:catAx>
        <c:axId val="95953664"/>
        <c:scaling>
          <c:orientation val="minMax"/>
        </c:scaling>
        <c:delete val="0"/>
        <c:axPos val="b"/>
        <c:majorGridlines/>
        <c:numFmt formatCode="General" sourceLinked="0"/>
        <c:majorTickMark val="none"/>
        <c:minorTickMark val="none"/>
        <c:tickLblPos val="nextTo"/>
        <c:spPr>
          <a:ln w="9525">
            <a:noFill/>
          </a:ln>
        </c:spPr>
        <c:crossAx val="95955200"/>
        <c:crosses val="autoZero"/>
        <c:auto val="1"/>
        <c:lblAlgn val="ctr"/>
        <c:lblOffset val="100"/>
        <c:noMultiLvlLbl val="0"/>
      </c:catAx>
      <c:valAx>
        <c:axId val="95955200"/>
        <c:scaling>
          <c:orientation val="minMax"/>
          <c:max val="280"/>
          <c:min val="240"/>
        </c:scaling>
        <c:delete val="0"/>
        <c:axPos val="l"/>
        <c:majorGridlines/>
        <c:numFmt formatCode="0" sourceLinked="1"/>
        <c:majorTickMark val="none"/>
        <c:minorTickMark val="none"/>
        <c:tickLblPos val="nextTo"/>
        <c:crossAx val="95953664"/>
        <c:crosses val="autoZero"/>
        <c:crossBetween val="between"/>
      </c:valAx>
    </c:plotArea>
    <c:legend>
      <c:legendPos val="r"/>
      <c:overlay val="0"/>
    </c:legend>
    <c:plotVisOnly val="1"/>
    <c:dispBlanksAs val="gap"/>
    <c:showDLblsOverMax val="0"/>
  </c:chart>
  <c:txPr>
    <a:bodyPr/>
    <a:lstStyle/>
    <a:p>
      <a:pPr>
        <a:defRPr>
          <a:latin typeface="+mn-lt"/>
          <a:cs typeface="Arial" panose="020B0604020202020204" pitchFamily="34" charset="0"/>
        </a:defRPr>
      </a:pPr>
      <a:endParaRPr lang="es-CO"/>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ysClr val="windowText" lastClr="000000"/>
                </a:solidFill>
                <a:latin typeface="+mn-lt"/>
                <a:ea typeface="+mn-ea"/>
                <a:cs typeface="+mn-cs"/>
              </a:defRPr>
            </a:pPr>
            <a:r>
              <a:rPr lang="en-US" sz="1800" b="1">
                <a:solidFill>
                  <a:sysClr val="windowText" lastClr="000000"/>
                </a:solidFill>
                <a:latin typeface="Arial" panose="020B0604020202020204" pitchFamily="34" charset="0"/>
                <a:cs typeface="Arial" panose="020B0604020202020204" pitchFamily="34" charset="0"/>
              </a:rPr>
              <a:t>PUNTAJE GLOBAL</a:t>
            </a:r>
            <a:endParaRPr lang="es-CO" sz="1800" b="1">
              <a:solidFill>
                <a:sysClr val="windowText" lastClr="000000"/>
              </a:solidFill>
              <a:latin typeface="Arial" panose="020B0604020202020204" pitchFamily="34" charset="0"/>
              <a:cs typeface="Arial" panose="020B0604020202020204" pitchFamily="34" charset="0"/>
            </a:endParaRPr>
          </a:p>
        </c:rich>
      </c:tx>
      <c:overlay val="0"/>
      <c:spPr>
        <a:noFill/>
        <a:ln>
          <a:noFill/>
        </a:ln>
        <a:effectLst/>
      </c:spPr>
      <c:txPr>
        <a:bodyPr rot="0" spcFirstLastPara="1" vertOverflow="ellipsis" vert="horz" wrap="square" anchor="ctr" anchorCtr="1"/>
        <a:lstStyle/>
        <a:p>
          <a:pPr>
            <a:defRPr sz="1800" b="1" i="0" u="none" strike="noStrike" kern="1200" spc="0" baseline="0">
              <a:solidFill>
                <a:sysClr val="windowText" lastClr="000000"/>
              </a:solidFill>
              <a:latin typeface="+mn-lt"/>
              <a:ea typeface="+mn-ea"/>
              <a:cs typeface="+mn-cs"/>
            </a:defRPr>
          </a:pPr>
          <a:endParaRPr lang="es-CO"/>
        </a:p>
      </c:txPr>
    </c:title>
    <c:autoTitleDeleted val="0"/>
    <c:plotArea>
      <c:layout/>
      <c:lineChart>
        <c:grouping val="standard"/>
        <c:varyColors val="0"/>
        <c:ser>
          <c:idx val="0"/>
          <c:order val="0"/>
          <c:tx>
            <c:strRef>
              <c:f>PuntajeGlobal!$C$14</c:f>
              <c:strCache>
                <c:ptCount val="1"/>
                <c:pt idx="0">
                  <c:v>INSTITUCION EDUCATIVA EDUARDO SANTOS</c:v>
                </c:pt>
              </c:strCache>
            </c:strRef>
          </c:tx>
          <c:spPr>
            <a:ln w="28575" cap="rnd">
              <a:solidFill>
                <a:schemeClr val="accent1"/>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PuntajeGlobal!$B$15:$B$22</c:f>
              <c:numCache>
                <c:formatCode>General</c:formatCode>
                <c:ptCount val="8"/>
                <c:pt idx="0">
                  <c:v>2016</c:v>
                </c:pt>
                <c:pt idx="1">
                  <c:v>2017</c:v>
                </c:pt>
                <c:pt idx="2">
                  <c:v>2018</c:v>
                </c:pt>
                <c:pt idx="3">
                  <c:v>2019</c:v>
                </c:pt>
                <c:pt idx="4">
                  <c:v>2020</c:v>
                </c:pt>
                <c:pt idx="5">
                  <c:v>2021</c:v>
                </c:pt>
                <c:pt idx="6">
                  <c:v>2022</c:v>
                </c:pt>
                <c:pt idx="7">
                  <c:v>2023</c:v>
                </c:pt>
              </c:numCache>
            </c:numRef>
          </c:cat>
          <c:val>
            <c:numRef>
              <c:f>PuntajeGlobal!$C$15:$C$22</c:f>
              <c:numCache>
                <c:formatCode>0</c:formatCode>
                <c:ptCount val="8"/>
                <c:pt idx="0">
                  <c:v>261</c:v>
                </c:pt>
                <c:pt idx="1">
                  <c:v>258</c:v>
                </c:pt>
                <c:pt idx="2">
                  <c:v>248</c:v>
                </c:pt>
                <c:pt idx="3">
                  <c:v>250</c:v>
                </c:pt>
                <c:pt idx="4">
                  <c:v>250</c:v>
                </c:pt>
                <c:pt idx="5">
                  <c:v>250</c:v>
                </c:pt>
                <c:pt idx="6">
                  <c:v>256</c:v>
                </c:pt>
                <c:pt idx="7">
                  <c:v>253</c:v>
                </c:pt>
              </c:numCache>
            </c:numRef>
          </c:val>
          <c:smooth val="0"/>
          <c:extLst>
            <c:ext xmlns:c16="http://schemas.microsoft.com/office/drawing/2014/chart" uri="{C3380CC4-5D6E-409C-BE32-E72D297353CC}">
              <c16:uniqueId val="{00000000-B73B-4880-B21F-EE4FD7B6C452}"/>
            </c:ext>
          </c:extLst>
        </c:ser>
        <c:ser>
          <c:idx val="1"/>
          <c:order val="1"/>
          <c:tx>
            <c:strRef>
              <c:f>PuntajeGlobal!$D$14</c:f>
              <c:strCache>
                <c:ptCount val="1"/>
                <c:pt idx="0">
                  <c:v>OFICIALES URBANOS DE SOACHA</c:v>
                </c:pt>
              </c:strCache>
            </c:strRef>
          </c:tx>
          <c:spPr>
            <a:ln w="28575" cap="rnd">
              <a:solidFill>
                <a:schemeClr val="accent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dLblPos val="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PuntajeGlobal!$B$15:$B$22</c:f>
              <c:numCache>
                <c:formatCode>General</c:formatCode>
                <c:ptCount val="8"/>
                <c:pt idx="0">
                  <c:v>2016</c:v>
                </c:pt>
                <c:pt idx="1">
                  <c:v>2017</c:v>
                </c:pt>
                <c:pt idx="2">
                  <c:v>2018</c:v>
                </c:pt>
                <c:pt idx="3">
                  <c:v>2019</c:v>
                </c:pt>
                <c:pt idx="4">
                  <c:v>2020</c:v>
                </c:pt>
                <c:pt idx="5">
                  <c:v>2021</c:v>
                </c:pt>
                <c:pt idx="6">
                  <c:v>2022</c:v>
                </c:pt>
                <c:pt idx="7">
                  <c:v>2023</c:v>
                </c:pt>
              </c:numCache>
            </c:numRef>
          </c:cat>
          <c:val>
            <c:numRef>
              <c:f>PuntajeGlobal!$D$15:$D$22</c:f>
              <c:numCache>
                <c:formatCode>0</c:formatCode>
                <c:ptCount val="8"/>
                <c:pt idx="0">
                  <c:v>260</c:v>
                </c:pt>
                <c:pt idx="1">
                  <c:v>257</c:v>
                </c:pt>
                <c:pt idx="2">
                  <c:v>252</c:v>
                </c:pt>
                <c:pt idx="3">
                  <c:v>249</c:v>
                </c:pt>
                <c:pt idx="4">
                  <c:v>251</c:v>
                </c:pt>
                <c:pt idx="5">
                  <c:v>248</c:v>
                </c:pt>
                <c:pt idx="6">
                  <c:v>252</c:v>
                </c:pt>
                <c:pt idx="7">
                  <c:v>253</c:v>
                </c:pt>
              </c:numCache>
            </c:numRef>
          </c:val>
          <c:smooth val="0"/>
          <c:extLst>
            <c:ext xmlns:c16="http://schemas.microsoft.com/office/drawing/2014/chart" uri="{C3380CC4-5D6E-409C-BE32-E72D297353CC}">
              <c16:uniqueId val="{00000001-D076-43B3-B34B-5E925A812424}"/>
            </c:ext>
          </c:extLst>
        </c:ser>
        <c:ser>
          <c:idx val="2"/>
          <c:order val="2"/>
          <c:tx>
            <c:strRef>
              <c:f>PuntajeGlobal!$E$14</c:f>
              <c:strCache>
                <c:ptCount val="1"/>
                <c:pt idx="0">
                  <c:v>COMUNA 6 OFICIAL</c:v>
                </c:pt>
              </c:strCache>
            </c:strRef>
          </c:tx>
          <c:spPr>
            <a:ln w="28575" cap="rnd">
              <a:solidFill>
                <a:schemeClr val="accent3"/>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dLblPos val="l"/>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PuntajeGlobal!$B$15:$B$22</c:f>
              <c:numCache>
                <c:formatCode>General</c:formatCode>
                <c:ptCount val="8"/>
                <c:pt idx="0">
                  <c:v>2016</c:v>
                </c:pt>
                <c:pt idx="1">
                  <c:v>2017</c:v>
                </c:pt>
                <c:pt idx="2">
                  <c:v>2018</c:v>
                </c:pt>
                <c:pt idx="3">
                  <c:v>2019</c:v>
                </c:pt>
                <c:pt idx="4">
                  <c:v>2020</c:v>
                </c:pt>
                <c:pt idx="5">
                  <c:v>2021</c:v>
                </c:pt>
                <c:pt idx="6">
                  <c:v>2022</c:v>
                </c:pt>
                <c:pt idx="7">
                  <c:v>2023</c:v>
                </c:pt>
              </c:numCache>
            </c:numRef>
          </c:cat>
          <c:val>
            <c:numRef>
              <c:f>PuntajeGlobal!$E$15:$E$22</c:f>
              <c:numCache>
                <c:formatCode>0</c:formatCode>
                <c:ptCount val="8"/>
                <c:pt idx="0">
                  <c:v>259.33333333333331</c:v>
                </c:pt>
                <c:pt idx="1">
                  <c:v>257</c:v>
                </c:pt>
                <c:pt idx="2">
                  <c:v>252.33333333333334</c:v>
                </c:pt>
                <c:pt idx="3">
                  <c:v>250</c:v>
                </c:pt>
                <c:pt idx="4">
                  <c:v>251.33333333333334</c:v>
                </c:pt>
                <c:pt idx="5">
                  <c:v>246.33333333333334</c:v>
                </c:pt>
                <c:pt idx="6">
                  <c:v>251</c:v>
                </c:pt>
                <c:pt idx="7">
                  <c:v>249.33333333333334</c:v>
                </c:pt>
              </c:numCache>
            </c:numRef>
          </c:val>
          <c:smooth val="0"/>
          <c:extLst>
            <c:ext xmlns:c16="http://schemas.microsoft.com/office/drawing/2014/chart" uri="{C3380CC4-5D6E-409C-BE32-E72D297353CC}">
              <c16:uniqueId val="{00000002-D076-43B3-B34B-5E925A812424}"/>
            </c:ext>
          </c:extLst>
        </c:ser>
        <c:dLbls>
          <c:showLegendKey val="0"/>
          <c:showVal val="0"/>
          <c:showCatName val="0"/>
          <c:showSerName val="0"/>
          <c:showPercent val="0"/>
          <c:showBubbleSize val="0"/>
        </c:dLbls>
        <c:smooth val="0"/>
        <c:axId val="248937647"/>
        <c:axId val="248929743"/>
      </c:lineChart>
      <c:catAx>
        <c:axId val="24893764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crossAx val="248929743"/>
        <c:crosses val="autoZero"/>
        <c:auto val="1"/>
        <c:lblAlgn val="ctr"/>
        <c:lblOffset val="100"/>
        <c:noMultiLvlLbl val="0"/>
      </c:catAx>
      <c:valAx>
        <c:axId val="248929743"/>
        <c:scaling>
          <c:orientation val="minMax"/>
          <c:max val="315"/>
          <c:min val="190"/>
        </c:scaling>
        <c:delete val="1"/>
        <c:axPos val="l"/>
        <c:majorGridlines>
          <c:spPr>
            <a:ln w="9525" cap="flat" cmpd="sng" algn="ctr">
              <a:solidFill>
                <a:schemeClr val="bg1"/>
              </a:solidFill>
              <a:round/>
            </a:ln>
            <a:effectLst>
              <a:glow rad="127000">
                <a:schemeClr val="bg1"/>
              </a:glow>
              <a:outerShdw blurRad="50800" dist="50800" dir="5400000" algn="ctr" rotWithShape="0">
                <a:schemeClr val="bg1"/>
              </a:outerShdw>
              <a:softEdge rad="12700"/>
            </a:effectLst>
          </c:spPr>
        </c:majorGridlines>
        <c:numFmt formatCode="0" sourceLinked="1"/>
        <c:majorTickMark val="out"/>
        <c:minorTickMark val="none"/>
        <c:tickLblPos val="nextTo"/>
        <c:crossAx val="248937647"/>
        <c:crosses val="autoZero"/>
        <c:crossBetween val="between"/>
        <c:majorUnit val="4"/>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s-CO" sz="1600" b="1"/>
              <a:t>PROMEDIO ÁREA</a:t>
            </a:r>
          </a:p>
          <a:p>
            <a:pPr>
              <a:defRPr sz="1600" b="1"/>
            </a:pPr>
            <a:r>
              <a:rPr lang="es-CO" sz="1600" b="1"/>
              <a:t>Lectura Crítica</a:t>
            </a:r>
          </a:p>
        </c:rich>
      </c:tx>
      <c:layout>
        <c:manualLayout>
          <c:xMode val="edge"/>
          <c:yMode val="edge"/>
          <c:x val="0.3993045713191683"/>
          <c:y val="3.1125301342388355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CO"/>
        </a:p>
      </c:txPr>
    </c:title>
    <c:autoTitleDeleted val="0"/>
    <c:plotArea>
      <c:layout/>
      <c:lineChart>
        <c:grouping val="standard"/>
        <c:varyColors val="0"/>
        <c:ser>
          <c:idx val="0"/>
          <c:order val="0"/>
          <c:tx>
            <c:strRef>
              <c:f>Promediosyniveles!$C$13</c:f>
              <c:strCache>
                <c:ptCount val="1"/>
                <c:pt idx="0">
                  <c:v>INSTITUCION EDUCATIVA EDUARDO SANTOS</c:v>
                </c:pt>
              </c:strCache>
            </c:strRef>
          </c:tx>
          <c:spPr>
            <a:ln w="28575" cap="rnd">
              <a:solidFill>
                <a:schemeClr val="accent1"/>
              </a:solidFill>
              <a:round/>
            </a:ln>
            <a:effectLst/>
          </c:spPr>
          <c:marker>
            <c:symbol val="none"/>
          </c:marker>
          <c:dLbls>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dLblPos val="l"/>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Promediosyniveles!$B$14:$B$21</c:f>
              <c:numCache>
                <c:formatCode>General</c:formatCode>
                <c:ptCount val="8"/>
                <c:pt idx="0">
                  <c:v>2016</c:v>
                </c:pt>
                <c:pt idx="1">
                  <c:v>2017</c:v>
                </c:pt>
                <c:pt idx="2">
                  <c:v>2018</c:v>
                </c:pt>
                <c:pt idx="3">
                  <c:v>2019</c:v>
                </c:pt>
                <c:pt idx="4">
                  <c:v>2020</c:v>
                </c:pt>
                <c:pt idx="5">
                  <c:v>2021</c:v>
                </c:pt>
                <c:pt idx="6">
                  <c:v>2022</c:v>
                </c:pt>
                <c:pt idx="7">
                  <c:v>2023</c:v>
                </c:pt>
              </c:numCache>
            </c:numRef>
          </c:cat>
          <c:val>
            <c:numRef>
              <c:f>Promediosyniveles!$C$14:$C$21</c:f>
              <c:numCache>
                <c:formatCode>0</c:formatCode>
                <c:ptCount val="8"/>
                <c:pt idx="0">
                  <c:v>53</c:v>
                </c:pt>
                <c:pt idx="1">
                  <c:v>53</c:v>
                </c:pt>
                <c:pt idx="2">
                  <c:v>52</c:v>
                </c:pt>
                <c:pt idx="3">
                  <c:v>53</c:v>
                </c:pt>
                <c:pt idx="4">
                  <c:v>53</c:v>
                </c:pt>
                <c:pt idx="5">
                  <c:v>53</c:v>
                </c:pt>
                <c:pt idx="6">
                  <c:v>54</c:v>
                </c:pt>
                <c:pt idx="7">
                  <c:v>53</c:v>
                </c:pt>
              </c:numCache>
            </c:numRef>
          </c:val>
          <c:smooth val="0"/>
          <c:extLst>
            <c:ext xmlns:c16="http://schemas.microsoft.com/office/drawing/2014/chart" uri="{C3380CC4-5D6E-409C-BE32-E72D297353CC}">
              <c16:uniqueId val="{00000000-1EB9-4DBB-8045-E59C47A66172}"/>
            </c:ext>
          </c:extLst>
        </c:ser>
        <c:ser>
          <c:idx val="1"/>
          <c:order val="1"/>
          <c:tx>
            <c:strRef>
              <c:f>Promediosyniveles!$D$13</c:f>
              <c:strCache>
                <c:ptCount val="1"/>
                <c:pt idx="0">
                  <c:v>OFICIALES URBANOS DE SOACHA</c:v>
                </c:pt>
              </c:strCache>
            </c:strRef>
          </c:tx>
          <c:spPr>
            <a:ln w="28575" cap="rnd">
              <a:solidFill>
                <a:schemeClr val="accent2"/>
              </a:solidFill>
              <a:round/>
            </a:ln>
            <a:effectLst/>
          </c:spPr>
          <c:marker>
            <c:symbol val="none"/>
          </c:marker>
          <c:dLbls>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Promediosyniveles!$B$14:$B$21</c:f>
              <c:numCache>
                <c:formatCode>General</c:formatCode>
                <c:ptCount val="8"/>
                <c:pt idx="0">
                  <c:v>2016</c:v>
                </c:pt>
                <c:pt idx="1">
                  <c:v>2017</c:v>
                </c:pt>
                <c:pt idx="2">
                  <c:v>2018</c:v>
                </c:pt>
                <c:pt idx="3">
                  <c:v>2019</c:v>
                </c:pt>
                <c:pt idx="4">
                  <c:v>2020</c:v>
                </c:pt>
                <c:pt idx="5">
                  <c:v>2021</c:v>
                </c:pt>
                <c:pt idx="6">
                  <c:v>2022</c:v>
                </c:pt>
                <c:pt idx="7">
                  <c:v>2023</c:v>
                </c:pt>
              </c:numCache>
            </c:numRef>
          </c:cat>
          <c:val>
            <c:numRef>
              <c:f>Promediosyniveles!$D$14:$D$21</c:f>
              <c:numCache>
                <c:formatCode>0</c:formatCode>
                <c:ptCount val="8"/>
                <c:pt idx="0">
                  <c:v>53</c:v>
                </c:pt>
                <c:pt idx="1">
                  <c:v>54</c:v>
                </c:pt>
                <c:pt idx="2">
                  <c:v>53</c:v>
                </c:pt>
                <c:pt idx="3">
                  <c:v>53</c:v>
                </c:pt>
                <c:pt idx="4">
                  <c:v>53</c:v>
                </c:pt>
                <c:pt idx="5">
                  <c:v>53</c:v>
                </c:pt>
                <c:pt idx="6">
                  <c:v>53</c:v>
                </c:pt>
                <c:pt idx="7">
                  <c:v>53</c:v>
                </c:pt>
              </c:numCache>
            </c:numRef>
          </c:val>
          <c:smooth val="0"/>
          <c:extLst>
            <c:ext xmlns:c16="http://schemas.microsoft.com/office/drawing/2014/chart" uri="{C3380CC4-5D6E-409C-BE32-E72D297353CC}">
              <c16:uniqueId val="{00000001-1EB9-4DBB-8045-E59C47A66172}"/>
            </c:ext>
          </c:extLst>
        </c:ser>
        <c:ser>
          <c:idx val="2"/>
          <c:order val="2"/>
          <c:tx>
            <c:strRef>
              <c:f>Promediosyniveles!$F$13</c:f>
              <c:strCache>
                <c:ptCount val="1"/>
                <c:pt idx="0">
                  <c:v>COMUNA 6 OFICIAL</c:v>
                </c:pt>
              </c:strCache>
            </c:strRef>
          </c:tx>
          <c:spPr>
            <a:ln w="28575" cap="rnd">
              <a:solidFill>
                <a:schemeClr val="accent3"/>
              </a:solidFill>
              <a:round/>
            </a:ln>
            <a:effectLst/>
          </c:spPr>
          <c:marker>
            <c:symbol val="none"/>
          </c:marker>
          <c:dLbls>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Promediosyniveles!$B$14:$B$21</c:f>
              <c:numCache>
                <c:formatCode>General</c:formatCode>
                <c:ptCount val="8"/>
                <c:pt idx="0">
                  <c:v>2016</c:v>
                </c:pt>
                <c:pt idx="1">
                  <c:v>2017</c:v>
                </c:pt>
                <c:pt idx="2">
                  <c:v>2018</c:v>
                </c:pt>
                <c:pt idx="3">
                  <c:v>2019</c:v>
                </c:pt>
                <c:pt idx="4">
                  <c:v>2020</c:v>
                </c:pt>
                <c:pt idx="5">
                  <c:v>2021</c:v>
                </c:pt>
                <c:pt idx="6">
                  <c:v>2022</c:v>
                </c:pt>
                <c:pt idx="7">
                  <c:v>2023</c:v>
                </c:pt>
              </c:numCache>
            </c:numRef>
          </c:cat>
          <c:val>
            <c:numRef>
              <c:f>Promediosyniveles!$F$14:$F$21</c:f>
              <c:numCache>
                <c:formatCode>0</c:formatCode>
                <c:ptCount val="8"/>
                <c:pt idx="0">
                  <c:v>52.666666666666664</c:v>
                </c:pt>
                <c:pt idx="1">
                  <c:v>52.666666666666664</c:v>
                </c:pt>
                <c:pt idx="2">
                  <c:v>52.666666666666664</c:v>
                </c:pt>
                <c:pt idx="3">
                  <c:v>52.666666666666664</c:v>
                </c:pt>
                <c:pt idx="4">
                  <c:v>53</c:v>
                </c:pt>
                <c:pt idx="5">
                  <c:v>52.333333333333336</c:v>
                </c:pt>
                <c:pt idx="6">
                  <c:v>53</c:v>
                </c:pt>
                <c:pt idx="7">
                  <c:v>52.333333333333336</c:v>
                </c:pt>
              </c:numCache>
            </c:numRef>
          </c:val>
          <c:smooth val="0"/>
          <c:extLst>
            <c:ext xmlns:c16="http://schemas.microsoft.com/office/drawing/2014/chart" uri="{C3380CC4-5D6E-409C-BE32-E72D297353CC}">
              <c16:uniqueId val="{00000002-1EB9-4DBB-8045-E59C47A66172}"/>
            </c:ext>
          </c:extLst>
        </c:ser>
        <c:dLbls>
          <c:showLegendKey val="0"/>
          <c:showVal val="1"/>
          <c:showCatName val="0"/>
          <c:showSerName val="0"/>
          <c:showPercent val="0"/>
          <c:showBubbleSize val="0"/>
        </c:dLbls>
        <c:smooth val="0"/>
        <c:axId val="-2045508992"/>
        <c:axId val="-2045508448"/>
      </c:lineChart>
      <c:catAx>
        <c:axId val="-20455089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crossAx val="-2045508448"/>
        <c:crosses val="autoZero"/>
        <c:auto val="1"/>
        <c:lblAlgn val="ctr"/>
        <c:lblOffset val="100"/>
        <c:noMultiLvlLbl val="0"/>
      </c:catAx>
      <c:valAx>
        <c:axId val="-2045508448"/>
        <c:scaling>
          <c:orientation val="minMax"/>
        </c:scaling>
        <c:delete val="1"/>
        <c:axPos val="l"/>
        <c:numFmt formatCode="0" sourceLinked="1"/>
        <c:majorTickMark val="none"/>
        <c:minorTickMark val="none"/>
        <c:tickLblPos val="nextTo"/>
        <c:crossAx val="-2045508992"/>
        <c:crosses val="autoZero"/>
        <c:crossBetween val="between"/>
      </c:valAx>
      <c:spPr>
        <a:noFill/>
        <a:ln>
          <a:noFill/>
        </a:ln>
        <a:effectLst/>
      </c:spPr>
    </c:plotArea>
    <c:legend>
      <c:legendPos val="b"/>
      <c:layout>
        <c:manualLayout>
          <c:xMode val="edge"/>
          <c:yMode val="edge"/>
          <c:x val="4.4817124119414298E-2"/>
          <c:y val="0.86405825520234458"/>
          <c:w val="0.92294245292711574"/>
          <c:h val="0.11353318319793113"/>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s-CO" sz="1600" b="1"/>
              <a:t>PROMEDIO ÁREA</a:t>
            </a:r>
          </a:p>
          <a:p>
            <a:pPr>
              <a:defRPr sz="1600" b="1"/>
            </a:pPr>
            <a:r>
              <a:rPr lang="es-CO" sz="1600" b="1"/>
              <a:t>Matemáticas</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CO"/>
        </a:p>
      </c:txPr>
    </c:title>
    <c:autoTitleDeleted val="0"/>
    <c:plotArea>
      <c:layout/>
      <c:lineChart>
        <c:grouping val="standard"/>
        <c:varyColors val="0"/>
        <c:ser>
          <c:idx val="0"/>
          <c:order val="0"/>
          <c:tx>
            <c:strRef>
              <c:f>Promediosyniveles!$C$70</c:f>
              <c:strCache>
                <c:ptCount val="1"/>
                <c:pt idx="0">
                  <c:v>INSTITUCION EDUCATIVA EDUARDO SANTOS</c:v>
                </c:pt>
              </c:strCache>
            </c:strRef>
          </c:tx>
          <c:spPr>
            <a:ln w="28575" cap="rnd">
              <a:solidFill>
                <a:schemeClr val="accent1"/>
              </a:solidFill>
              <a:round/>
            </a:ln>
            <a:effectLst/>
          </c:spPr>
          <c:marker>
            <c:symbol val="none"/>
          </c:marker>
          <c:dLbls>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Promediosyniveles!$B$71:$B$78</c:f>
              <c:numCache>
                <c:formatCode>General</c:formatCode>
                <c:ptCount val="8"/>
                <c:pt idx="0">
                  <c:v>2016</c:v>
                </c:pt>
                <c:pt idx="1">
                  <c:v>2017</c:v>
                </c:pt>
                <c:pt idx="2">
                  <c:v>2018</c:v>
                </c:pt>
                <c:pt idx="3">
                  <c:v>2019</c:v>
                </c:pt>
                <c:pt idx="4">
                  <c:v>2020</c:v>
                </c:pt>
                <c:pt idx="5">
                  <c:v>2021</c:v>
                </c:pt>
                <c:pt idx="6">
                  <c:v>2022</c:v>
                </c:pt>
                <c:pt idx="7">
                  <c:v>2023</c:v>
                </c:pt>
              </c:numCache>
            </c:numRef>
          </c:cat>
          <c:val>
            <c:numRef>
              <c:f>Promediosyniveles!$C$71:$C$78</c:f>
              <c:numCache>
                <c:formatCode>0</c:formatCode>
                <c:ptCount val="8"/>
                <c:pt idx="0">
                  <c:v>51</c:v>
                </c:pt>
                <c:pt idx="1">
                  <c:v>51</c:v>
                </c:pt>
                <c:pt idx="2">
                  <c:v>50</c:v>
                </c:pt>
                <c:pt idx="3">
                  <c:v>52</c:v>
                </c:pt>
                <c:pt idx="4">
                  <c:v>53</c:v>
                </c:pt>
                <c:pt idx="5">
                  <c:v>51</c:v>
                </c:pt>
                <c:pt idx="6">
                  <c:v>54</c:v>
                </c:pt>
                <c:pt idx="7">
                  <c:v>53</c:v>
                </c:pt>
              </c:numCache>
            </c:numRef>
          </c:val>
          <c:smooth val="0"/>
          <c:extLst>
            <c:ext xmlns:c16="http://schemas.microsoft.com/office/drawing/2014/chart" uri="{C3380CC4-5D6E-409C-BE32-E72D297353CC}">
              <c16:uniqueId val="{00000000-3E05-4733-A7DB-5B236E7F4F9D}"/>
            </c:ext>
          </c:extLst>
        </c:ser>
        <c:ser>
          <c:idx val="1"/>
          <c:order val="1"/>
          <c:tx>
            <c:strRef>
              <c:f>Promediosyniveles!$D$70</c:f>
              <c:strCache>
                <c:ptCount val="1"/>
                <c:pt idx="0">
                  <c:v>OFICIALES URBANOS DE SOACHA</c:v>
                </c:pt>
              </c:strCache>
            </c:strRef>
          </c:tx>
          <c:spPr>
            <a:ln w="28575" cap="rnd">
              <a:solidFill>
                <a:schemeClr val="accent2"/>
              </a:solidFill>
              <a:round/>
            </a:ln>
            <a:effectLst/>
          </c:spPr>
          <c:marker>
            <c:symbol val="none"/>
          </c:marker>
          <c:dLbls>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Promediosyniveles!$B$71:$B$78</c:f>
              <c:numCache>
                <c:formatCode>General</c:formatCode>
                <c:ptCount val="8"/>
                <c:pt idx="0">
                  <c:v>2016</c:v>
                </c:pt>
                <c:pt idx="1">
                  <c:v>2017</c:v>
                </c:pt>
                <c:pt idx="2">
                  <c:v>2018</c:v>
                </c:pt>
                <c:pt idx="3">
                  <c:v>2019</c:v>
                </c:pt>
                <c:pt idx="4">
                  <c:v>2020</c:v>
                </c:pt>
                <c:pt idx="5">
                  <c:v>2021</c:v>
                </c:pt>
                <c:pt idx="6">
                  <c:v>2022</c:v>
                </c:pt>
                <c:pt idx="7">
                  <c:v>2023</c:v>
                </c:pt>
              </c:numCache>
            </c:numRef>
          </c:cat>
          <c:val>
            <c:numRef>
              <c:f>Promediosyniveles!$D$71:$D$78</c:f>
              <c:numCache>
                <c:formatCode>0</c:formatCode>
                <c:ptCount val="8"/>
                <c:pt idx="0">
                  <c:v>51</c:v>
                </c:pt>
                <c:pt idx="1">
                  <c:v>51</c:v>
                </c:pt>
                <c:pt idx="2">
                  <c:v>51</c:v>
                </c:pt>
                <c:pt idx="3">
                  <c:v>51</c:v>
                </c:pt>
                <c:pt idx="4">
                  <c:v>52</c:v>
                </c:pt>
                <c:pt idx="5">
                  <c:v>50</c:v>
                </c:pt>
                <c:pt idx="6">
                  <c:v>51</c:v>
                </c:pt>
                <c:pt idx="7">
                  <c:v>51</c:v>
                </c:pt>
              </c:numCache>
            </c:numRef>
          </c:val>
          <c:smooth val="0"/>
          <c:extLst>
            <c:ext xmlns:c16="http://schemas.microsoft.com/office/drawing/2014/chart" uri="{C3380CC4-5D6E-409C-BE32-E72D297353CC}">
              <c16:uniqueId val="{00000001-3E05-4733-A7DB-5B236E7F4F9D}"/>
            </c:ext>
          </c:extLst>
        </c:ser>
        <c:ser>
          <c:idx val="2"/>
          <c:order val="2"/>
          <c:tx>
            <c:strRef>
              <c:f>Promediosyniveles!$F$70</c:f>
              <c:strCache>
                <c:ptCount val="1"/>
                <c:pt idx="0">
                  <c:v>COMUNA 6 OFICIAL</c:v>
                </c:pt>
              </c:strCache>
            </c:strRef>
          </c:tx>
          <c:spPr>
            <a:ln w="28575" cap="rnd">
              <a:solidFill>
                <a:schemeClr val="accent3"/>
              </a:solidFill>
              <a:round/>
            </a:ln>
            <a:effectLst/>
          </c:spPr>
          <c:marker>
            <c:symbol val="none"/>
          </c:marker>
          <c:dLbls>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Promediosyniveles!$B$71:$B$78</c:f>
              <c:numCache>
                <c:formatCode>General</c:formatCode>
                <c:ptCount val="8"/>
                <c:pt idx="0">
                  <c:v>2016</c:v>
                </c:pt>
                <c:pt idx="1">
                  <c:v>2017</c:v>
                </c:pt>
                <c:pt idx="2">
                  <c:v>2018</c:v>
                </c:pt>
                <c:pt idx="3">
                  <c:v>2019</c:v>
                </c:pt>
                <c:pt idx="4">
                  <c:v>2020</c:v>
                </c:pt>
                <c:pt idx="5">
                  <c:v>2021</c:v>
                </c:pt>
                <c:pt idx="6">
                  <c:v>2022</c:v>
                </c:pt>
                <c:pt idx="7">
                  <c:v>2023</c:v>
                </c:pt>
              </c:numCache>
            </c:numRef>
          </c:cat>
          <c:val>
            <c:numRef>
              <c:f>Promediosyniveles!$F$71:$F$78</c:f>
              <c:numCache>
                <c:formatCode>0</c:formatCode>
                <c:ptCount val="8"/>
                <c:pt idx="0">
                  <c:v>51</c:v>
                </c:pt>
                <c:pt idx="1">
                  <c:v>51.333333333333336</c:v>
                </c:pt>
                <c:pt idx="2">
                  <c:v>51</c:v>
                </c:pt>
                <c:pt idx="3">
                  <c:v>52</c:v>
                </c:pt>
                <c:pt idx="4">
                  <c:v>52.666666666666664</c:v>
                </c:pt>
                <c:pt idx="5">
                  <c:v>50.333333333333336</c:v>
                </c:pt>
                <c:pt idx="6">
                  <c:v>51.333333333333336</c:v>
                </c:pt>
                <c:pt idx="7">
                  <c:v>51</c:v>
                </c:pt>
              </c:numCache>
            </c:numRef>
          </c:val>
          <c:smooth val="0"/>
          <c:extLst>
            <c:ext xmlns:c16="http://schemas.microsoft.com/office/drawing/2014/chart" uri="{C3380CC4-5D6E-409C-BE32-E72D297353CC}">
              <c16:uniqueId val="{00000002-3E05-4733-A7DB-5B236E7F4F9D}"/>
            </c:ext>
          </c:extLst>
        </c:ser>
        <c:dLbls>
          <c:showLegendKey val="0"/>
          <c:showVal val="1"/>
          <c:showCatName val="0"/>
          <c:showSerName val="0"/>
          <c:showPercent val="0"/>
          <c:showBubbleSize val="0"/>
        </c:dLbls>
        <c:smooth val="0"/>
        <c:axId val="-2045506816"/>
        <c:axId val="-2031623600"/>
      </c:lineChart>
      <c:catAx>
        <c:axId val="-20455068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crossAx val="-2031623600"/>
        <c:crosses val="autoZero"/>
        <c:auto val="1"/>
        <c:lblAlgn val="ctr"/>
        <c:lblOffset val="100"/>
        <c:noMultiLvlLbl val="0"/>
      </c:catAx>
      <c:valAx>
        <c:axId val="-2031623600"/>
        <c:scaling>
          <c:orientation val="minMax"/>
        </c:scaling>
        <c:delete val="1"/>
        <c:axPos val="l"/>
        <c:numFmt formatCode="0" sourceLinked="1"/>
        <c:majorTickMark val="none"/>
        <c:minorTickMark val="none"/>
        <c:tickLblPos val="nextTo"/>
        <c:crossAx val="-2045506816"/>
        <c:crosses val="autoZero"/>
        <c:crossBetween val="between"/>
      </c:valAx>
      <c:spPr>
        <a:noFill/>
        <a:ln>
          <a:noFill/>
        </a:ln>
        <a:effectLst/>
      </c:spPr>
    </c:plotArea>
    <c:legend>
      <c:legendPos val="b"/>
      <c:layout>
        <c:manualLayout>
          <c:xMode val="edge"/>
          <c:yMode val="edge"/>
          <c:x val="5.2313213216059445E-2"/>
          <c:y val="0.89096413903588922"/>
          <c:w val="0.92396145315994993"/>
          <c:h val="9.1062450290074815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s-CO" sz="1600" b="1"/>
              <a:t>PROMEDIO ÁREA</a:t>
            </a:r>
          </a:p>
          <a:p>
            <a:pPr>
              <a:defRPr sz="1600" b="1"/>
            </a:pPr>
            <a:r>
              <a:rPr lang="es-CO" sz="1600" b="1"/>
              <a:t>Sociales y Ciudadanas</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CO"/>
        </a:p>
      </c:txPr>
    </c:title>
    <c:autoTitleDeleted val="0"/>
    <c:plotArea>
      <c:layout>
        <c:manualLayout>
          <c:layoutTarget val="inner"/>
          <c:xMode val="edge"/>
          <c:yMode val="edge"/>
          <c:x val="1.6668358956510618E-2"/>
          <c:y val="0.1690448063879702"/>
          <c:w val="0.97423980888539274"/>
          <c:h val="0.60480105435066112"/>
        </c:manualLayout>
      </c:layout>
      <c:lineChart>
        <c:grouping val="standard"/>
        <c:varyColors val="0"/>
        <c:ser>
          <c:idx val="0"/>
          <c:order val="0"/>
          <c:tx>
            <c:strRef>
              <c:f>Promediosyniveles!$C$134</c:f>
              <c:strCache>
                <c:ptCount val="1"/>
                <c:pt idx="0">
                  <c:v>INSTITUCION EDUCATIVA EDUARDO SANTOS</c:v>
                </c:pt>
              </c:strCache>
            </c:strRef>
          </c:tx>
          <c:spPr>
            <a:ln w="28575" cap="rnd">
              <a:solidFill>
                <a:schemeClr val="accent1"/>
              </a:solidFill>
              <a:round/>
            </a:ln>
            <a:effectLst/>
          </c:spPr>
          <c:marker>
            <c:symbol val="none"/>
          </c:marker>
          <c:dLbls>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Promediosyniveles!$B$135:$B$142</c:f>
              <c:numCache>
                <c:formatCode>General</c:formatCode>
                <c:ptCount val="8"/>
                <c:pt idx="0">
                  <c:v>2016</c:v>
                </c:pt>
                <c:pt idx="1">
                  <c:v>2017</c:v>
                </c:pt>
                <c:pt idx="2">
                  <c:v>2018</c:v>
                </c:pt>
                <c:pt idx="3">
                  <c:v>2019</c:v>
                </c:pt>
                <c:pt idx="4">
                  <c:v>2020</c:v>
                </c:pt>
                <c:pt idx="5">
                  <c:v>2021</c:v>
                </c:pt>
                <c:pt idx="6">
                  <c:v>2022</c:v>
                </c:pt>
                <c:pt idx="7">
                  <c:v>2023</c:v>
                </c:pt>
              </c:numCache>
            </c:numRef>
          </c:cat>
          <c:val>
            <c:numRef>
              <c:f>Promediosyniveles!$C$135:$C$142</c:f>
              <c:numCache>
                <c:formatCode>0</c:formatCode>
                <c:ptCount val="8"/>
                <c:pt idx="0">
                  <c:v>51</c:v>
                </c:pt>
                <c:pt idx="1">
                  <c:v>50</c:v>
                </c:pt>
                <c:pt idx="2">
                  <c:v>47</c:v>
                </c:pt>
                <c:pt idx="3">
                  <c:v>47</c:v>
                </c:pt>
                <c:pt idx="4">
                  <c:v>48</c:v>
                </c:pt>
                <c:pt idx="5">
                  <c:v>48</c:v>
                </c:pt>
                <c:pt idx="6">
                  <c:v>48</c:v>
                </c:pt>
                <c:pt idx="7">
                  <c:v>48</c:v>
                </c:pt>
              </c:numCache>
            </c:numRef>
          </c:val>
          <c:smooth val="0"/>
          <c:extLst>
            <c:ext xmlns:c16="http://schemas.microsoft.com/office/drawing/2014/chart" uri="{C3380CC4-5D6E-409C-BE32-E72D297353CC}">
              <c16:uniqueId val="{00000000-D9C2-4282-984C-811A90F945E5}"/>
            </c:ext>
          </c:extLst>
        </c:ser>
        <c:ser>
          <c:idx val="1"/>
          <c:order val="1"/>
          <c:tx>
            <c:strRef>
              <c:f>Promediosyniveles!$D$134</c:f>
              <c:strCache>
                <c:ptCount val="1"/>
                <c:pt idx="0">
                  <c:v>OFICIALES URBANOS DE SOACHA</c:v>
                </c:pt>
              </c:strCache>
            </c:strRef>
          </c:tx>
          <c:spPr>
            <a:ln w="28575" cap="rnd">
              <a:solidFill>
                <a:schemeClr val="accent2"/>
              </a:solidFill>
              <a:round/>
            </a:ln>
            <a:effectLst/>
          </c:spPr>
          <c:marker>
            <c:symbol val="none"/>
          </c:marker>
          <c:dLbls>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Promediosyniveles!$B$135:$B$142</c:f>
              <c:numCache>
                <c:formatCode>General</c:formatCode>
                <c:ptCount val="8"/>
                <c:pt idx="0">
                  <c:v>2016</c:v>
                </c:pt>
                <c:pt idx="1">
                  <c:v>2017</c:v>
                </c:pt>
                <c:pt idx="2">
                  <c:v>2018</c:v>
                </c:pt>
                <c:pt idx="3">
                  <c:v>2019</c:v>
                </c:pt>
                <c:pt idx="4">
                  <c:v>2020</c:v>
                </c:pt>
                <c:pt idx="5">
                  <c:v>2021</c:v>
                </c:pt>
                <c:pt idx="6">
                  <c:v>2022</c:v>
                </c:pt>
                <c:pt idx="7">
                  <c:v>2023</c:v>
                </c:pt>
              </c:numCache>
            </c:numRef>
          </c:cat>
          <c:val>
            <c:numRef>
              <c:f>Promediosyniveles!$D$135:$D$142</c:f>
              <c:numCache>
                <c:formatCode>0</c:formatCode>
                <c:ptCount val="8"/>
                <c:pt idx="0">
                  <c:v>51</c:v>
                </c:pt>
                <c:pt idx="1">
                  <c:v>50</c:v>
                </c:pt>
                <c:pt idx="2">
                  <c:v>48</c:v>
                </c:pt>
                <c:pt idx="3">
                  <c:v>47</c:v>
                </c:pt>
                <c:pt idx="4">
                  <c:v>49</c:v>
                </c:pt>
                <c:pt idx="5">
                  <c:v>47</c:v>
                </c:pt>
                <c:pt idx="6">
                  <c:v>48</c:v>
                </c:pt>
                <c:pt idx="7">
                  <c:v>48</c:v>
                </c:pt>
              </c:numCache>
            </c:numRef>
          </c:val>
          <c:smooth val="0"/>
          <c:extLst>
            <c:ext xmlns:c16="http://schemas.microsoft.com/office/drawing/2014/chart" uri="{C3380CC4-5D6E-409C-BE32-E72D297353CC}">
              <c16:uniqueId val="{00000001-D9C2-4282-984C-811A90F945E5}"/>
            </c:ext>
          </c:extLst>
        </c:ser>
        <c:ser>
          <c:idx val="2"/>
          <c:order val="2"/>
          <c:tx>
            <c:strRef>
              <c:f>Promediosyniveles!$F$134</c:f>
              <c:strCache>
                <c:ptCount val="1"/>
                <c:pt idx="0">
                  <c:v>COMUNA 6 OFICIAL</c:v>
                </c:pt>
              </c:strCache>
            </c:strRef>
          </c:tx>
          <c:spPr>
            <a:ln w="28575" cap="rnd">
              <a:solidFill>
                <a:schemeClr val="accent3"/>
              </a:solidFill>
              <a:round/>
            </a:ln>
            <a:effectLst/>
          </c:spPr>
          <c:marker>
            <c:symbol val="none"/>
          </c:marker>
          <c:dLbls>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Promediosyniveles!$B$135:$B$142</c:f>
              <c:numCache>
                <c:formatCode>General</c:formatCode>
                <c:ptCount val="8"/>
                <c:pt idx="0">
                  <c:v>2016</c:v>
                </c:pt>
                <c:pt idx="1">
                  <c:v>2017</c:v>
                </c:pt>
                <c:pt idx="2">
                  <c:v>2018</c:v>
                </c:pt>
                <c:pt idx="3">
                  <c:v>2019</c:v>
                </c:pt>
                <c:pt idx="4">
                  <c:v>2020</c:v>
                </c:pt>
                <c:pt idx="5">
                  <c:v>2021</c:v>
                </c:pt>
                <c:pt idx="6">
                  <c:v>2022</c:v>
                </c:pt>
                <c:pt idx="7">
                  <c:v>2023</c:v>
                </c:pt>
              </c:numCache>
            </c:numRef>
          </c:cat>
          <c:val>
            <c:numRef>
              <c:f>Promediosyniveles!$F$135:$F$142</c:f>
              <c:numCache>
                <c:formatCode>0</c:formatCode>
                <c:ptCount val="8"/>
                <c:pt idx="0">
                  <c:v>50.666666666666664</c:v>
                </c:pt>
                <c:pt idx="1">
                  <c:v>50</c:v>
                </c:pt>
                <c:pt idx="2">
                  <c:v>47.666666666666664</c:v>
                </c:pt>
                <c:pt idx="3">
                  <c:v>46.666666666666664</c:v>
                </c:pt>
                <c:pt idx="4">
                  <c:v>48.666666666666664</c:v>
                </c:pt>
                <c:pt idx="5">
                  <c:v>46.666666666666664</c:v>
                </c:pt>
                <c:pt idx="6">
                  <c:v>47</c:v>
                </c:pt>
                <c:pt idx="7">
                  <c:v>47.333333333333336</c:v>
                </c:pt>
              </c:numCache>
            </c:numRef>
          </c:val>
          <c:smooth val="0"/>
          <c:extLst>
            <c:ext xmlns:c16="http://schemas.microsoft.com/office/drawing/2014/chart" uri="{C3380CC4-5D6E-409C-BE32-E72D297353CC}">
              <c16:uniqueId val="{00000002-D9C2-4282-984C-811A90F945E5}"/>
            </c:ext>
          </c:extLst>
        </c:ser>
        <c:dLbls>
          <c:showLegendKey val="0"/>
          <c:showVal val="1"/>
          <c:showCatName val="0"/>
          <c:showSerName val="0"/>
          <c:showPercent val="0"/>
          <c:showBubbleSize val="0"/>
        </c:dLbls>
        <c:smooth val="0"/>
        <c:axId val="-2031619792"/>
        <c:axId val="-2031620880"/>
      </c:lineChart>
      <c:catAx>
        <c:axId val="-20316197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crossAx val="-2031620880"/>
        <c:crosses val="autoZero"/>
        <c:auto val="1"/>
        <c:lblAlgn val="ctr"/>
        <c:lblOffset val="100"/>
        <c:noMultiLvlLbl val="0"/>
      </c:catAx>
      <c:valAx>
        <c:axId val="-2031620880"/>
        <c:scaling>
          <c:orientation val="minMax"/>
        </c:scaling>
        <c:delete val="1"/>
        <c:axPos val="l"/>
        <c:numFmt formatCode="0" sourceLinked="1"/>
        <c:majorTickMark val="none"/>
        <c:minorTickMark val="none"/>
        <c:tickLblPos val="nextTo"/>
        <c:crossAx val="-2031619792"/>
        <c:crosses val="autoZero"/>
        <c:crossBetween val="between"/>
      </c:valAx>
      <c:spPr>
        <a:noFill/>
        <a:ln>
          <a:noFill/>
        </a:ln>
        <a:effectLst/>
      </c:spPr>
    </c:plotArea>
    <c:legend>
      <c:legendPos val="b"/>
      <c:layout>
        <c:manualLayout>
          <c:xMode val="edge"/>
          <c:yMode val="edge"/>
          <c:x val="3.7882633992069585E-2"/>
          <c:y val="0.89167128124742956"/>
          <c:w val="0.93506582450687836"/>
          <c:h val="9.0471873007362313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s-CO" sz="1400" b="1"/>
              <a:t>PROMEDIO ÁREA </a:t>
            </a:r>
          </a:p>
          <a:p>
            <a:pPr>
              <a:defRPr b="1"/>
            </a:pPr>
            <a:r>
              <a:rPr lang="es-CO" sz="1400" b="1"/>
              <a:t>Ciencias Naturales</a:t>
            </a:r>
          </a:p>
        </c:rich>
      </c:tx>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CO"/>
        </a:p>
      </c:txPr>
    </c:title>
    <c:autoTitleDeleted val="0"/>
    <c:plotArea>
      <c:layout/>
      <c:lineChart>
        <c:grouping val="standard"/>
        <c:varyColors val="0"/>
        <c:ser>
          <c:idx val="0"/>
          <c:order val="0"/>
          <c:tx>
            <c:strRef>
              <c:f>Promediosyniveles!$C$195</c:f>
              <c:strCache>
                <c:ptCount val="1"/>
                <c:pt idx="0">
                  <c:v>INSTITUCION EDUCATIVA EDUARDO SANTOS</c:v>
                </c:pt>
              </c:strCache>
            </c:strRef>
          </c:tx>
          <c:spPr>
            <a:ln w="28575" cap="rnd">
              <a:solidFill>
                <a:schemeClr val="accent1"/>
              </a:solidFill>
              <a:round/>
            </a:ln>
            <a:effectLst/>
          </c:spPr>
          <c:marker>
            <c:symbol val="none"/>
          </c:marker>
          <c:dLbls>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Promediosyniveles!$B$196:$B$203</c:f>
              <c:numCache>
                <c:formatCode>General</c:formatCode>
                <c:ptCount val="8"/>
                <c:pt idx="0">
                  <c:v>2016</c:v>
                </c:pt>
                <c:pt idx="1">
                  <c:v>2017</c:v>
                </c:pt>
                <c:pt idx="2">
                  <c:v>2018</c:v>
                </c:pt>
                <c:pt idx="3">
                  <c:v>2019</c:v>
                </c:pt>
                <c:pt idx="4">
                  <c:v>2020</c:v>
                </c:pt>
                <c:pt idx="5">
                  <c:v>2021</c:v>
                </c:pt>
                <c:pt idx="6">
                  <c:v>2022</c:v>
                </c:pt>
                <c:pt idx="7">
                  <c:v>2023</c:v>
                </c:pt>
              </c:numCache>
            </c:numRef>
          </c:cat>
          <c:val>
            <c:numRef>
              <c:f>Promediosyniveles!$C$196:$C$203</c:f>
              <c:numCache>
                <c:formatCode>0</c:formatCode>
                <c:ptCount val="8"/>
                <c:pt idx="0">
                  <c:v>54</c:v>
                </c:pt>
                <c:pt idx="1">
                  <c:v>52</c:v>
                </c:pt>
                <c:pt idx="2">
                  <c:v>49</c:v>
                </c:pt>
                <c:pt idx="3">
                  <c:v>48</c:v>
                </c:pt>
                <c:pt idx="4">
                  <c:v>48</c:v>
                </c:pt>
                <c:pt idx="5">
                  <c:v>48</c:v>
                </c:pt>
                <c:pt idx="6">
                  <c:v>49</c:v>
                </c:pt>
                <c:pt idx="7">
                  <c:v>49</c:v>
                </c:pt>
              </c:numCache>
            </c:numRef>
          </c:val>
          <c:smooth val="0"/>
          <c:extLst>
            <c:ext xmlns:c16="http://schemas.microsoft.com/office/drawing/2014/chart" uri="{C3380CC4-5D6E-409C-BE32-E72D297353CC}">
              <c16:uniqueId val="{00000000-8417-40E4-A9E7-5964F3F51244}"/>
            </c:ext>
          </c:extLst>
        </c:ser>
        <c:ser>
          <c:idx val="1"/>
          <c:order val="1"/>
          <c:tx>
            <c:strRef>
              <c:f>Promediosyniveles!$D$195</c:f>
              <c:strCache>
                <c:ptCount val="1"/>
                <c:pt idx="0">
                  <c:v>OFICIALES URBANOS DE SOACHA</c:v>
                </c:pt>
              </c:strCache>
            </c:strRef>
          </c:tx>
          <c:spPr>
            <a:ln w="28575" cap="rnd">
              <a:solidFill>
                <a:schemeClr val="accent2"/>
              </a:solidFill>
              <a:round/>
            </a:ln>
            <a:effectLst/>
          </c:spPr>
          <c:marker>
            <c:symbol val="none"/>
          </c:marker>
          <c:dLbls>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Promediosyniveles!$B$196:$B$203</c:f>
              <c:numCache>
                <c:formatCode>General</c:formatCode>
                <c:ptCount val="8"/>
                <c:pt idx="0">
                  <c:v>2016</c:v>
                </c:pt>
                <c:pt idx="1">
                  <c:v>2017</c:v>
                </c:pt>
                <c:pt idx="2">
                  <c:v>2018</c:v>
                </c:pt>
                <c:pt idx="3">
                  <c:v>2019</c:v>
                </c:pt>
                <c:pt idx="4">
                  <c:v>2020</c:v>
                </c:pt>
                <c:pt idx="5">
                  <c:v>2021</c:v>
                </c:pt>
                <c:pt idx="6">
                  <c:v>2022</c:v>
                </c:pt>
                <c:pt idx="7">
                  <c:v>2023</c:v>
                </c:pt>
              </c:numCache>
            </c:numRef>
          </c:cat>
          <c:val>
            <c:numRef>
              <c:f>Promediosyniveles!$D$196:$D$203</c:f>
              <c:numCache>
                <c:formatCode>0</c:formatCode>
                <c:ptCount val="8"/>
                <c:pt idx="0">
                  <c:v>53</c:v>
                </c:pt>
                <c:pt idx="1">
                  <c:v>52</c:v>
                </c:pt>
                <c:pt idx="2">
                  <c:v>50</c:v>
                </c:pt>
                <c:pt idx="3">
                  <c:v>49</c:v>
                </c:pt>
                <c:pt idx="4">
                  <c:v>49</c:v>
                </c:pt>
                <c:pt idx="5">
                  <c:v>48</c:v>
                </c:pt>
                <c:pt idx="6">
                  <c:v>49</c:v>
                </c:pt>
                <c:pt idx="7">
                  <c:v>50</c:v>
                </c:pt>
              </c:numCache>
            </c:numRef>
          </c:val>
          <c:smooth val="0"/>
          <c:extLst>
            <c:ext xmlns:c16="http://schemas.microsoft.com/office/drawing/2014/chart" uri="{C3380CC4-5D6E-409C-BE32-E72D297353CC}">
              <c16:uniqueId val="{00000001-8417-40E4-A9E7-5964F3F51244}"/>
            </c:ext>
          </c:extLst>
        </c:ser>
        <c:ser>
          <c:idx val="2"/>
          <c:order val="2"/>
          <c:tx>
            <c:strRef>
              <c:f>Promediosyniveles!$F$195</c:f>
              <c:strCache>
                <c:ptCount val="1"/>
                <c:pt idx="0">
                  <c:v>COMUNA 6 OFICIAL</c:v>
                </c:pt>
              </c:strCache>
            </c:strRef>
          </c:tx>
          <c:spPr>
            <a:ln w="28575" cap="rnd">
              <a:solidFill>
                <a:schemeClr val="accent3"/>
              </a:solidFill>
              <a:round/>
            </a:ln>
            <a:effectLst/>
          </c:spPr>
          <c:marker>
            <c:symbol val="none"/>
          </c:marker>
          <c:dLbls>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Promediosyniveles!$B$196:$B$203</c:f>
              <c:numCache>
                <c:formatCode>General</c:formatCode>
                <c:ptCount val="8"/>
                <c:pt idx="0">
                  <c:v>2016</c:v>
                </c:pt>
                <c:pt idx="1">
                  <c:v>2017</c:v>
                </c:pt>
                <c:pt idx="2">
                  <c:v>2018</c:v>
                </c:pt>
                <c:pt idx="3">
                  <c:v>2019</c:v>
                </c:pt>
                <c:pt idx="4">
                  <c:v>2020</c:v>
                </c:pt>
                <c:pt idx="5">
                  <c:v>2021</c:v>
                </c:pt>
                <c:pt idx="6">
                  <c:v>2022</c:v>
                </c:pt>
                <c:pt idx="7">
                  <c:v>2023</c:v>
                </c:pt>
              </c:numCache>
            </c:numRef>
          </c:cat>
          <c:val>
            <c:numRef>
              <c:f>Promediosyniveles!$F$196:$F$203</c:f>
              <c:numCache>
                <c:formatCode>0</c:formatCode>
                <c:ptCount val="8"/>
                <c:pt idx="0">
                  <c:v>53.333333333333336</c:v>
                </c:pt>
                <c:pt idx="1">
                  <c:v>52</c:v>
                </c:pt>
                <c:pt idx="2">
                  <c:v>50.333333333333336</c:v>
                </c:pt>
                <c:pt idx="3">
                  <c:v>48.333333333333336</c:v>
                </c:pt>
                <c:pt idx="4">
                  <c:v>48.333333333333336</c:v>
                </c:pt>
                <c:pt idx="5">
                  <c:v>47.666666666666664</c:v>
                </c:pt>
                <c:pt idx="6">
                  <c:v>49</c:v>
                </c:pt>
                <c:pt idx="7">
                  <c:v>49</c:v>
                </c:pt>
              </c:numCache>
            </c:numRef>
          </c:val>
          <c:smooth val="0"/>
          <c:extLst>
            <c:ext xmlns:c16="http://schemas.microsoft.com/office/drawing/2014/chart" uri="{C3380CC4-5D6E-409C-BE32-E72D297353CC}">
              <c16:uniqueId val="{00000002-8417-40E4-A9E7-5964F3F51244}"/>
            </c:ext>
          </c:extLst>
        </c:ser>
        <c:dLbls>
          <c:showLegendKey val="0"/>
          <c:showVal val="1"/>
          <c:showCatName val="0"/>
          <c:showSerName val="0"/>
          <c:showPercent val="0"/>
          <c:showBubbleSize val="0"/>
        </c:dLbls>
        <c:smooth val="0"/>
        <c:axId val="-2031617072"/>
        <c:axId val="-2031612176"/>
      </c:lineChart>
      <c:catAx>
        <c:axId val="-20316170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crossAx val="-2031612176"/>
        <c:crosses val="autoZero"/>
        <c:auto val="1"/>
        <c:lblAlgn val="ctr"/>
        <c:lblOffset val="100"/>
        <c:noMultiLvlLbl val="0"/>
      </c:catAx>
      <c:valAx>
        <c:axId val="-2031612176"/>
        <c:scaling>
          <c:orientation val="minMax"/>
        </c:scaling>
        <c:delete val="1"/>
        <c:axPos val="l"/>
        <c:numFmt formatCode="0" sourceLinked="1"/>
        <c:majorTickMark val="none"/>
        <c:minorTickMark val="none"/>
        <c:tickLblPos val="nextTo"/>
        <c:crossAx val="-2031617072"/>
        <c:crosses val="autoZero"/>
        <c:crossBetween val="between"/>
      </c:valAx>
      <c:spPr>
        <a:noFill/>
        <a:ln>
          <a:noFill/>
        </a:ln>
        <a:effectLst/>
      </c:spPr>
    </c:plotArea>
    <c:legend>
      <c:legendPos val="b"/>
      <c:layout>
        <c:manualLayout>
          <c:xMode val="edge"/>
          <c:yMode val="edge"/>
          <c:x val="3.8256048721347961E-2"/>
          <c:y val="0.89189588640401374"/>
          <c:w val="0.92501906568785086"/>
          <c:h val="9.0284291639860931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s-CO" b="1"/>
              <a:t>PROMEDIO ÁREA </a:t>
            </a:r>
          </a:p>
          <a:p>
            <a:pPr>
              <a:defRPr b="1"/>
            </a:pPr>
            <a:r>
              <a:rPr lang="es-CO" b="1"/>
              <a:t>Inglés</a:t>
            </a:r>
          </a:p>
        </c:rich>
      </c:tx>
      <c:layout>
        <c:manualLayout>
          <c:xMode val="edge"/>
          <c:yMode val="edge"/>
          <c:x val="0.3708097814047549"/>
          <c:y val="5.05314639775893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CO"/>
        </a:p>
      </c:txPr>
    </c:title>
    <c:autoTitleDeleted val="0"/>
    <c:plotArea>
      <c:layout>
        <c:manualLayout>
          <c:layoutTarget val="inner"/>
          <c:xMode val="edge"/>
          <c:yMode val="edge"/>
          <c:x val="4.6547878978438005E-2"/>
          <c:y val="0.12455050900916682"/>
          <c:w val="0.93879373253622156"/>
          <c:h val="0.6796660738815915"/>
        </c:manualLayout>
      </c:layout>
      <c:lineChart>
        <c:grouping val="standard"/>
        <c:varyColors val="0"/>
        <c:ser>
          <c:idx val="0"/>
          <c:order val="0"/>
          <c:tx>
            <c:strRef>
              <c:f>Promediosyniveles!$C$253</c:f>
              <c:strCache>
                <c:ptCount val="1"/>
                <c:pt idx="0">
                  <c:v>INSTITUCION EDUCATIVA EDUARDO SANTOS</c:v>
                </c:pt>
              </c:strCache>
            </c:strRef>
          </c:tx>
          <c:spPr>
            <a:ln w="28575" cap="rnd">
              <a:solidFill>
                <a:schemeClr val="accent1"/>
              </a:solidFill>
              <a:round/>
            </a:ln>
            <a:effectLst/>
          </c:spPr>
          <c:marker>
            <c:symbol val="none"/>
          </c:marker>
          <c:dLbls>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Promediosyniveles!$B$254:$B$261</c:f>
              <c:numCache>
                <c:formatCode>General</c:formatCode>
                <c:ptCount val="8"/>
                <c:pt idx="0">
                  <c:v>2016</c:v>
                </c:pt>
                <c:pt idx="1">
                  <c:v>2017</c:v>
                </c:pt>
                <c:pt idx="2">
                  <c:v>2018</c:v>
                </c:pt>
                <c:pt idx="3">
                  <c:v>2019</c:v>
                </c:pt>
                <c:pt idx="4">
                  <c:v>2020</c:v>
                </c:pt>
                <c:pt idx="5">
                  <c:v>2021</c:v>
                </c:pt>
                <c:pt idx="6">
                  <c:v>2022</c:v>
                </c:pt>
                <c:pt idx="7">
                  <c:v>2023</c:v>
                </c:pt>
              </c:numCache>
            </c:numRef>
          </c:cat>
          <c:val>
            <c:numRef>
              <c:f>Promediosyniveles!$C$254:$C$261</c:f>
              <c:numCache>
                <c:formatCode>0</c:formatCode>
                <c:ptCount val="8"/>
                <c:pt idx="0">
                  <c:v>53</c:v>
                </c:pt>
                <c:pt idx="1">
                  <c:v>49</c:v>
                </c:pt>
                <c:pt idx="2">
                  <c:v>49</c:v>
                </c:pt>
                <c:pt idx="3">
                  <c:v>49</c:v>
                </c:pt>
                <c:pt idx="4">
                  <c:v>47</c:v>
                </c:pt>
                <c:pt idx="5">
                  <c:v>50</c:v>
                </c:pt>
                <c:pt idx="6">
                  <c:v>52</c:v>
                </c:pt>
                <c:pt idx="7">
                  <c:v>50</c:v>
                </c:pt>
              </c:numCache>
            </c:numRef>
          </c:val>
          <c:smooth val="0"/>
          <c:extLst>
            <c:ext xmlns:c16="http://schemas.microsoft.com/office/drawing/2014/chart" uri="{C3380CC4-5D6E-409C-BE32-E72D297353CC}">
              <c16:uniqueId val="{00000000-DE34-47D1-84F6-70922D336F07}"/>
            </c:ext>
          </c:extLst>
        </c:ser>
        <c:ser>
          <c:idx val="1"/>
          <c:order val="1"/>
          <c:tx>
            <c:strRef>
              <c:f>Promediosyniveles!$D$253</c:f>
              <c:strCache>
                <c:ptCount val="1"/>
                <c:pt idx="0">
                  <c:v>OFICIALES URBANOS DE SOACHA</c:v>
                </c:pt>
              </c:strCache>
            </c:strRef>
          </c:tx>
          <c:spPr>
            <a:ln w="28575" cap="rnd">
              <a:solidFill>
                <a:schemeClr val="accent2"/>
              </a:solidFill>
              <a:round/>
            </a:ln>
            <a:effectLst/>
          </c:spPr>
          <c:marker>
            <c:symbol val="none"/>
          </c:marker>
          <c:dLbls>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Promediosyniveles!$B$254:$B$261</c:f>
              <c:numCache>
                <c:formatCode>General</c:formatCode>
                <c:ptCount val="8"/>
                <c:pt idx="0">
                  <c:v>2016</c:v>
                </c:pt>
                <c:pt idx="1">
                  <c:v>2017</c:v>
                </c:pt>
                <c:pt idx="2">
                  <c:v>2018</c:v>
                </c:pt>
                <c:pt idx="3">
                  <c:v>2019</c:v>
                </c:pt>
                <c:pt idx="4">
                  <c:v>2020</c:v>
                </c:pt>
                <c:pt idx="5">
                  <c:v>2021</c:v>
                </c:pt>
                <c:pt idx="6">
                  <c:v>2022</c:v>
                </c:pt>
                <c:pt idx="7">
                  <c:v>2023</c:v>
                </c:pt>
              </c:numCache>
            </c:numRef>
          </c:cat>
          <c:val>
            <c:numRef>
              <c:f>Promediosyniveles!$D$254:$D$261</c:f>
              <c:numCache>
                <c:formatCode>0</c:formatCode>
                <c:ptCount val="8"/>
                <c:pt idx="0">
                  <c:v>52</c:v>
                </c:pt>
                <c:pt idx="1">
                  <c:v>49</c:v>
                </c:pt>
                <c:pt idx="2">
                  <c:v>50</c:v>
                </c:pt>
                <c:pt idx="3">
                  <c:v>49</c:v>
                </c:pt>
                <c:pt idx="4">
                  <c:v>46</c:v>
                </c:pt>
                <c:pt idx="5">
                  <c:v>49</c:v>
                </c:pt>
                <c:pt idx="6">
                  <c:v>51</c:v>
                </c:pt>
                <c:pt idx="7">
                  <c:v>51</c:v>
                </c:pt>
              </c:numCache>
            </c:numRef>
          </c:val>
          <c:smooth val="0"/>
          <c:extLst xmlns:c15="http://schemas.microsoft.com/office/drawing/2012/chart">
            <c:ext xmlns:c16="http://schemas.microsoft.com/office/drawing/2014/chart" uri="{C3380CC4-5D6E-409C-BE32-E72D297353CC}">
              <c16:uniqueId val="{00000001-DE34-47D1-84F6-70922D336F07}"/>
            </c:ext>
          </c:extLst>
        </c:ser>
        <c:ser>
          <c:idx val="2"/>
          <c:order val="2"/>
          <c:tx>
            <c:strRef>
              <c:f>Promediosyniveles!$F$253</c:f>
              <c:strCache>
                <c:ptCount val="1"/>
                <c:pt idx="0">
                  <c:v>COMUNA 6 OFICIAL</c:v>
                </c:pt>
              </c:strCache>
            </c:strRef>
          </c:tx>
          <c:spPr>
            <a:ln w="28575" cap="rnd">
              <a:solidFill>
                <a:schemeClr val="accent3"/>
              </a:solidFill>
              <a:round/>
            </a:ln>
            <a:effectLst/>
          </c:spPr>
          <c:marker>
            <c:symbol val="none"/>
          </c:marker>
          <c:dLbls>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Promediosyniveles!$B$254:$B$261</c:f>
              <c:numCache>
                <c:formatCode>General</c:formatCode>
                <c:ptCount val="8"/>
                <c:pt idx="0">
                  <c:v>2016</c:v>
                </c:pt>
                <c:pt idx="1">
                  <c:v>2017</c:v>
                </c:pt>
                <c:pt idx="2">
                  <c:v>2018</c:v>
                </c:pt>
                <c:pt idx="3">
                  <c:v>2019</c:v>
                </c:pt>
                <c:pt idx="4">
                  <c:v>2020</c:v>
                </c:pt>
                <c:pt idx="5">
                  <c:v>2021</c:v>
                </c:pt>
                <c:pt idx="6">
                  <c:v>2022</c:v>
                </c:pt>
                <c:pt idx="7">
                  <c:v>2023</c:v>
                </c:pt>
              </c:numCache>
            </c:numRef>
          </c:cat>
          <c:val>
            <c:numRef>
              <c:f>Promediosyniveles!$F$254:$F$261</c:f>
              <c:numCache>
                <c:formatCode>0</c:formatCode>
                <c:ptCount val="8"/>
                <c:pt idx="0">
                  <c:v>52.333333333333336</c:v>
                </c:pt>
                <c:pt idx="1">
                  <c:v>49.333333333333336</c:v>
                </c:pt>
                <c:pt idx="2">
                  <c:v>50.666666666666664</c:v>
                </c:pt>
                <c:pt idx="3">
                  <c:v>50</c:v>
                </c:pt>
                <c:pt idx="4">
                  <c:v>47</c:v>
                </c:pt>
                <c:pt idx="5">
                  <c:v>50.333333333333336</c:v>
                </c:pt>
                <c:pt idx="6">
                  <c:v>52</c:v>
                </c:pt>
                <c:pt idx="7">
                  <c:v>50.666666666666664</c:v>
                </c:pt>
              </c:numCache>
            </c:numRef>
          </c:val>
          <c:smooth val="0"/>
          <c:extLst xmlns:c15="http://schemas.microsoft.com/office/drawing/2012/chart">
            <c:ext xmlns:c16="http://schemas.microsoft.com/office/drawing/2014/chart" uri="{C3380CC4-5D6E-409C-BE32-E72D297353CC}">
              <c16:uniqueId val="{00000002-DE34-47D1-84F6-70922D336F07}"/>
            </c:ext>
          </c:extLst>
        </c:ser>
        <c:dLbls>
          <c:showLegendKey val="0"/>
          <c:showVal val="1"/>
          <c:showCatName val="0"/>
          <c:showSerName val="0"/>
          <c:showPercent val="0"/>
          <c:showBubbleSize val="0"/>
        </c:dLbls>
        <c:smooth val="0"/>
        <c:axId val="-2031621968"/>
        <c:axId val="-2031618704"/>
      </c:lineChart>
      <c:catAx>
        <c:axId val="-20316219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crossAx val="-2031618704"/>
        <c:crosses val="autoZero"/>
        <c:auto val="1"/>
        <c:lblAlgn val="ctr"/>
        <c:lblOffset val="100"/>
        <c:noMultiLvlLbl val="0"/>
      </c:catAx>
      <c:valAx>
        <c:axId val="-2031618704"/>
        <c:scaling>
          <c:orientation val="minMax"/>
        </c:scaling>
        <c:delete val="1"/>
        <c:axPos val="l"/>
        <c:numFmt formatCode="0" sourceLinked="1"/>
        <c:majorTickMark val="none"/>
        <c:minorTickMark val="none"/>
        <c:tickLblPos val="nextTo"/>
        <c:crossAx val="-203162196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b="1"/>
          </a:p>
          <a:p>
            <a:pPr>
              <a:defRPr b="1"/>
            </a:pPr>
            <a:endParaRPr lang="es-CO" b="1"/>
          </a:p>
          <a:p>
            <a:pPr>
              <a:defRPr b="1"/>
            </a:pPr>
            <a:endParaRPr lang="es-CO" b="1"/>
          </a:p>
          <a:p>
            <a:pPr>
              <a:defRPr b="1"/>
            </a:pPr>
            <a:endParaRPr lang="es-CO" b="1"/>
          </a:p>
          <a:p>
            <a:pPr>
              <a:defRPr b="1"/>
            </a:pPr>
            <a:endParaRPr lang="es-CO" b="1"/>
          </a:p>
          <a:p>
            <a:pPr>
              <a:defRPr b="1"/>
            </a:pPr>
            <a:endParaRPr lang="es-CO" b="1"/>
          </a:p>
          <a:p>
            <a:pPr>
              <a:defRPr b="1"/>
            </a:pPr>
            <a:endParaRPr lang="es-CO" b="1"/>
          </a:p>
          <a:p>
            <a:pPr>
              <a:defRPr b="1"/>
            </a:pPr>
            <a:endParaRPr lang="es-CO" b="1"/>
          </a:p>
          <a:p>
            <a:pPr>
              <a:defRPr b="1"/>
            </a:pPr>
            <a:endParaRPr lang="es-CO" b="1"/>
          </a:p>
          <a:p>
            <a:pPr>
              <a:defRPr b="1"/>
            </a:pPr>
            <a:endParaRPr lang="es-CO" b="1"/>
          </a:p>
          <a:p>
            <a:pPr>
              <a:defRPr b="1"/>
            </a:pPr>
            <a:endParaRPr lang="es-CO"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title>
    <c:autoTitleDeleted val="0"/>
    <c:plotArea>
      <c:layout/>
      <c:barChart>
        <c:barDir val="col"/>
        <c:grouping val="stacked"/>
        <c:varyColors val="0"/>
        <c:ser>
          <c:idx val="0"/>
          <c:order val="0"/>
          <c:tx>
            <c:strRef>
              <c:f>Promediosyniveles!$K$14</c:f>
              <c:strCache>
                <c:ptCount val="1"/>
                <c:pt idx="0">
                  <c:v>1</c:v>
                </c:pt>
              </c:strCache>
            </c:strRef>
          </c:tx>
          <c:spPr>
            <a:solidFill>
              <a:srgbClr val="FF0000"/>
            </a:solidFill>
            <a:ln>
              <a:noFill/>
            </a:ln>
            <a:effectLst/>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Promediosyniveles!$I$15:$J$38</c:f>
              <c:multiLvlStrCache>
                <c:ptCount val="24"/>
                <c:lvl>
                  <c:pt idx="0">
                    <c:v>INSTITUCION EDUCATIVA EDUARDO SANTOS</c:v>
                  </c:pt>
                  <c:pt idx="1">
                    <c:v>OFICIALES URBANOS DE SOACHA</c:v>
                  </c:pt>
                  <c:pt idx="2">
                    <c:v>COMUNA 6 OFICIAL</c:v>
                  </c:pt>
                  <c:pt idx="3">
                    <c:v>INSTITUCION EDUCATIVA EDUARDO SANTOS</c:v>
                  </c:pt>
                  <c:pt idx="4">
                    <c:v>OFICIALES URBANOS DE SOACHA</c:v>
                  </c:pt>
                  <c:pt idx="5">
                    <c:v>COMUNA 6 OFICIAL</c:v>
                  </c:pt>
                  <c:pt idx="6">
                    <c:v>INSTITUCION EDUCATIVA EDUARDO SANTOS</c:v>
                  </c:pt>
                  <c:pt idx="7">
                    <c:v>OFICIALES URBANOS DE SOACHA</c:v>
                  </c:pt>
                  <c:pt idx="8">
                    <c:v>COMUNA 6 OFICIAL</c:v>
                  </c:pt>
                  <c:pt idx="9">
                    <c:v>INSTITUCION EDUCATIVA EDUARDO SANTOS</c:v>
                  </c:pt>
                  <c:pt idx="10">
                    <c:v>OFICIALES URBANOS DE SOACHA</c:v>
                  </c:pt>
                  <c:pt idx="11">
                    <c:v>COMUNA 6 OFICIAL</c:v>
                  </c:pt>
                  <c:pt idx="12">
                    <c:v>INSTITUCION EDUCATIVA EDUARDO SANTOS</c:v>
                  </c:pt>
                  <c:pt idx="13">
                    <c:v>OFICIALES URBANOS DE SOACHA</c:v>
                  </c:pt>
                  <c:pt idx="14">
                    <c:v>COMUNA 6 OFICIAL</c:v>
                  </c:pt>
                  <c:pt idx="15">
                    <c:v>INSTITUCION EDUCATIVA EDUARDO SANTOS</c:v>
                  </c:pt>
                  <c:pt idx="16">
                    <c:v>OFICIALES URBANOS DE SOACHA</c:v>
                  </c:pt>
                  <c:pt idx="17">
                    <c:v>COMUNA 6 OFICIAL</c:v>
                  </c:pt>
                  <c:pt idx="18">
                    <c:v>INSTITUCION EDUCATIVA EDUARDO SANTOS</c:v>
                  </c:pt>
                  <c:pt idx="19">
                    <c:v>OFICIALES URBANOS DE SOACHA</c:v>
                  </c:pt>
                  <c:pt idx="20">
                    <c:v>COMUNA 6 OFICIAL</c:v>
                  </c:pt>
                  <c:pt idx="21">
                    <c:v>INSTITUCION EDUCATIVA EDUARDO SANTOS</c:v>
                  </c:pt>
                  <c:pt idx="22">
                    <c:v>OFICIALES URBANOS DE SOACHA</c:v>
                  </c:pt>
                  <c:pt idx="23">
                    <c:v>COMUNA 6 OFICIAL</c:v>
                  </c:pt>
                </c:lvl>
                <c:lvl>
                  <c:pt idx="0">
                    <c:v>2016</c:v>
                  </c:pt>
                  <c:pt idx="3">
                    <c:v>2017</c:v>
                  </c:pt>
                  <c:pt idx="6">
                    <c:v>2018</c:v>
                  </c:pt>
                  <c:pt idx="9">
                    <c:v>2019</c:v>
                  </c:pt>
                  <c:pt idx="12">
                    <c:v>2020</c:v>
                  </c:pt>
                  <c:pt idx="15">
                    <c:v>2021</c:v>
                  </c:pt>
                  <c:pt idx="18">
                    <c:v>2022</c:v>
                  </c:pt>
                  <c:pt idx="21">
                    <c:v>2023</c:v>
                  </c:pt>
                </c:lvl>
              </c:multiLvlStrCache>
            </c:multiLvlStrRef>
          </c:cat>
          <c:val>
            <c:numRef>
              <c:f>Promediosyniveles!$K$15:$K$38</c:f>
              <c:numCache>
                <c:formatCode>0%</c:formatCode>
                <c:ptCount val="24"/>
                <c:pt idx="0">
                  <c:v>0.01</c:v>
                </c:pt>
                <c:pt idx="1">
                  <c:v>0.01</c:v>
                </c:pt>
                <c:pt idx="2">
                  <c:v>6.6666666666666671E-3</c:v>
                </c:pt>
                <c:pt idx="3">
                  <c:v>0</c:v>
                </c:pt>
                <c:pt idx="4">
                  <c:v>0.01</c:v>
                </c:pt>
                <c:pt idx="5">
                  <c:v>6.6666666666666671E-3</c:v>
                </c:pt>
                <c:pt idx="6">
                  <c:v>0.01</c:v>
                </c:pt>
                <c:pt idx="7">
                  <c:v>0.02</c:v>
                </c:pt>
                <c:pt idx="8">
                  <c:v>2.6666666666666661E-2</c:v>
                </c:pt>
                <c:pt idx="9">
                  <c:v>0.01</c:v>
                </c:pt>
                <c:pt idx="10">
                  <c:v>0.02</c:v>
                </c:pt>
                <c:pt idx="11">
                  <c:v>2.3333333333333334E-2</c:v>
                </c:pt>
                <c:pt idx="12">
                  <c:v>0.06</c:v>
                </c:pt>
                <c:pt idx="13">
                  <c:v>0.02</c:v>
                </c:pt>
                <c:pt idx="14">
                  <c:v>0.03</c:v>
                </c:pt>
                <c:pt idx="15">
                  <c:v>0.03</c:v>
                </c:pt>
                <c:pt idx="16">
                  <c:v>0.02</c:v>
                </c:pt>
                <c:pt idx="17">
                  <c:v>3.3333333333333333E-2</c:v>
                </c:pt>
                <c:pt idx="18">
                  <c:v>0.01</c:v>
                </c:pt>
                <c:pt idx="19">
                  <c:v>0.02</c:v>
                </c:pt>
                <c:pt idx="20">
                  <c:v>2.3333333333333334E-2</c:v>
                </c:pt>
                <c:pt idx="21">
                  <c:v>0.02</c:v>
                </c:pt>
                <c:pt idx="22">
                  <c:v>0.02</c:v>
                </c:pt>
                <c:pt idx="23">
                  <c:v>2.3333333333333334E-2</c:v>
                </c:pt>
              </c:numCache>
            </c:numRef>
          </c:val>
          <c:extLst>
            <c:ext xmlns:c16="http://schemas.microsoft.com/office/drawing/2014/chart" uri="{C3380CC4-5D6E-409C-BE32-E72D297353CC}">
              <c16:uniqueId val="{00000000-CCA5-48CC-AD49-8F46E0412EAF}"/>
            </c:ext>
          </c:extLst>
        </c:ser>
        <c:ser>
          <c:idx val="1"/>
          <c:order val="1"/>
          <c:tx>
            <c:strRef>
              <c:f>Promediosyniveles!$L$14</c:f>
              <c:strCache>
                <c:ptCount val="1"/>
                <c:pt idx="0">
                  <c:v>2</c:v>
                </c:pt>
              </c:strCache>
            </c:strRef>
          </c:tx>
          <c:spPr>
            <a:solidFill>
              <a:srgbClr val="FF6600"/>
            </a:solidFill>
            <a:ln>
              <a:noFill/>
            </a:ln>
            <a:effectLst/>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Promediosyniveles!$I$15:$J$38</c:f>
              <c:multiLvlStrCache>
                <c:ptCount val="24"/>
                <c:lvl>
                  <c:pt idx="0">
                    <c:v>INSTITUCION EDUCATIVA EDUARDO SANTOS</c:v>
                  </c:pt>
                  <c:pt idx="1">
                    <c:v>OFICIALES URBANOS DE SOACHA</c:v>
                  </c:pt>
                  <c:pt idx="2">
                    <c:v>COMUNA 6 OFICIAL</c:v>
                  </c:pt>
                  <c:pt idx="3">
                    <c:v>INSTITUCION EDUCATIVA EDUARDO SANTOS</c:v>
                  </c:pt>
                  <c:pt idx="4">
                    <c:v>OFICIALES URBANOS DE SOACHA</c:v>
                  </c:pt>
                  <c:pt idx="5">
                    <c:v>COMUNA 6 OFICIAL</c:v>
                  </c:pt>
                  <c:pt idx="6">
                    <c:v>INSTITUCION EDUCATIVA EDUARDO SANTOS</c:v>
                  </c:pt>
                  <c:pt idx="7">
                    <c:v>OFICIALES URBANOS DE SOACHA</c:v>
                  </c:pt>
                  <c:pt idx="8">
                    <c:v>COMUNA 6 OFICIAL</c:v>
                  </c:pt>
                  <c:pt idx="9">
                    <c:v>INSTITUCION EDUCATIVA EDUARDO SANTOS</c:v>
                  </c:pt>
                  <c:pt idx="10">
                    <c:v>OFICIALES URBANOS DE SOACHA</c:v>
                  </c:pt>
                  <c:pt idx="11">
                    <c:v>COMUNA 6 OFICIAL</c:v>
                  </c:pt>
                  <c:pt idx="12">
                    <c:v>INSTITUCION EDUCATIVA EDUARDO SANTOS</c:v>
                  </c:pt>
                  <c:pt idx="13">
                    <c:v>OFICIALES URBANOS DE SOACHA</c:v>
                  </c:pt>
                  <c:pt idx="14">
                    <c:v>COMUNA 6 OFICIAL</c:v>
                  </c:pt>
                  <c:pt idx="15">
                    <c:v>INSTITUCION EDUCATIVA EDUARDO SANTOS</c:v>
                  </c:pt>
                  <c:pt idx="16">
                    <c:v>OFICIALES URBANOS DE SOACHA</c:v>
                  </c:pt>
                  <c:pt idx="17">
                    <c:v>COMUNA 6 OFICIAL</c:v>
                  </c:pt>
                  <c:pt idx="18">
                    <c:v>INSTITUCION EDUCATIVA EDUARDO SANTOS</c:v>
                  </c:pt>
                  <c:pt idx="19">
                    <c:v>OFICIALES URBANOS DE SOACHA</c:v>
                  </c:pt>
                  <c:pt idx="20">
                    <c:v>COMUNA 6 OFICIAL</c:v>
                  </c:pt>
                  <c:pt idx="21">
                    <c:v>INSTITUCION EDUCATIVA EDUARDO SANTOS</c:v>
                  </c:pt>
                  <c:pt idx="22">
                    <c:v>OFICIALES URBANOS DE SOACHA</c:v>
                  </c:pt>
                  <c:pt idx="23">
                    <c:v>COMUNA 6 OFICIAL</c:v>
                  </c:pt>
                </c:lvl>
                <c:lvl>
                  <c:pt idx="0">
                    <c:v>2016</c:v>
                  </c:pt>
                  <c:pt idx="3">
                    <c:v>2017</c:v>
                  </c:pt>
                  <c:pt idx="6">
                    <c:v>2018</c:v>
                  </c:pt>
                  <c:pt idx="9">
                    <c:v>2019</c:v>
                  </c:pt>
                  <c:pt idx="12">
                    <c:v>2020</c:v>
                  </c:pt>
                  <c:pt idx="15">
                    <c:v>2021</c:v>
                  </c:pt>
                  <c:pt idx="18">
                    <c:v>2022</c:v>
                  </c:pt>
                  <c:pt idx="21">
                    <c:v>2023</c:v>
                  </c:pt>
                </c:lvl>
              </c:multiLvlStrCache>
            </c:multiLvlStrRef>
          </c:cat>
          <c:val>
            <c:numRef>
              <c:f>Promediosyniveles!$L$15:$L$38</c:f>
              <c:numCache>
                <c:formatCode>0%</c:formatCode>
                <c:ptCount val="24"/>
                <c:pt idx="0">
                  <c:v>0.4</c:v>
                </c:pt>
                <c:pt idx="1">
                  <c:v>0.39</c:v>
                </c:pt>
                <c:pt idx="2">
                  <c:v>0.41</c:v>
                </c:pt>
                <c:pt idx="3">
                  <c:v>0.37</c:v>
                </c:pt>
                <c:pt idx="4">
                  <c:v>0.34</c:v>
                </c:pt>
                <c:pt idx="5">
                  <c:v>0.39999999999999997</c:v>
                </c:pt>
                <c:pt idx="6">
                  <c:v>0.43</c:v>
                </c:pt>
                <c:pt idx="7">
                  <c:v>0.37</c:v>
                </c:pt>
                <c:pt idx="8">
                  <c:v>0.41</c:v>
                </c:pt>
                <c:pt idx="9">
                  <c:v>0.36</c:v>
                </c:pt>
                <c:pt idx="10">
                  <c:v>0.35</c:v>
                </c:pt>
                <c:pt idx="11">
                  <c:v>0.35666666666666663</c:v>
                </c:pt>
                <c:pt idx="12">
                  <c:v>0.35</c:v>
                </c:pt>
                <c:pt idx="13">
                  <c:v>0.35</c:v>
                </c:pt>
                <c:pt idx="14">
                  <c:v>0.36000000000000004</c:v>
                </c:pt>
                <c:pt idx="15">
                  <c:v>0.39</c:v>
                </c:pt>
                <c:pt idx="16">
                  <c:v>0.37</c:v>
                </c:pt>
                <c:pt idx="17">
                  <c:v>0.39666666666666667</c:v>
                </c:pt>
                <c:pt idx="18">
                  <c:v>0.33</c:v>
                </c:pt>
                <c:pt idx="19">
                  <c:v>0.34</c:v>
                </c:pt>
                <c:pt idx="20">
                  <c:v>0.35666666666666663</c:v>
                </c:pt>
                <c:pt idx="21">
                  <c:v>0.39</c:v>
                </c:pt>
                <c:pt idx="22">
                  <c:v>0.35</c:v>
                </c:pt>
                <c:pt idx="23">
                  <c:v>0.38999999999999996</c:v>
                </c:pt>
              </c:numCache>
            </c:numRef>
          </c:val>
          <c:extLst>
            <c:ext xmlns:c16="http://schemas.microsoft.com/office/drawing/2014/chart" uri="{C3380CC4-5D6E-409C-BE32-E72D297353CC}">
              <c16:uniqueId val="{00000001-CCA5-48CC-AD49-8F46E0412EAF}"/>
            </c:ext>
          </c:extLst>
        </c:ser>
        <c:ser>
          <c:idx val="2"/>
          <c:order val="2"/>
          <c:tx>
            <c:strRef>
              <c:f>Promediosyniveles!$M$14</c:f>
              <c:strCache>
                <c:ptCount val="1"/>
                <c:pt idx="0">
                  <c:v>3</c:v>
                </c:pt>
              </c:strCache>
            </c:strRef>
          </c:tx>
          <c:spPr>
            <a:solidFill>
              <a:srgbClr val="FFFF00"/>
            </a:solidFill>
            <a:ln>
              <a:noFill/>
            </a:ln>
            <a:effectLst/>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Promediosyniveles!$I$15:$J$38</c:f>
              <c:multiLvlStrCache>
                <c:ptCount val="24"/>
                <c:lvl>
                  <c:pt idx="0">
                    <c:v>INSTITUCION EDUCATIVA EDUARDO SANTOS</c:v>
                  </c:pt>
                  <c:pt idx="1">
                    <c:v>OFICIALES URBANOS DE SOACHA</c:v>
                  </c:pt>
                  <c:pt idx="2">
                    <c:v>COMUNA 6 OFICIAL</c:v>
                  </c:pt>
                  <c:pt idx="3">
                    <c:v>INSTITUCION EDUCATIVA EDUARDO SANTOS</c:v>
                  </c:pt>
                  <c:pt idx="4">
                    <c:v>OFICIALES URBANOS DE SOACHA</c:v>
                  </c:pt>
                  <c:pt idx="5">
                    <c:v>COMUNA 6 OFICIAL</c:v>
                  </c:pt>
                  <c:pt idx="6">
                    <c:v>INSTITUCION EDUCATIVA EDUARDO SANTOS</c:v>
                  </c:pt>
                  <c:pt idx="7">
                    <c:v>OFICIALES URBANOS DE SOACHA</c:v>
                  </c:pt>
                  <c:pt idx="8">
                    <c:v>COMUNA 6 OFICIAL</c:v>
                  </c:pt>
                  <c:pt idx="9">
                    <c:v>INSTITUCION EDUCATIVA EDUARDO SANTOS</c:v>
                  </c:pt>
                  <c:pt idx="10">
                    <c:v>OFICIALES URBANOS DE SOACHA</c:v>
                  </c:pt>
                  <c:pt idx="11">
                    <c:v>COMUNA 6 OFICIAL</c:v>
                  </c:pt>
                  <c:pt idx="12">
                    <c:v>INSTITUCION EDUCATIVA EDUARDO SANTOS</c:v>
                  </c:pt>
                  <c:pt idx="13">
                    <c:v>OFICIALES URBANOS DE SOACHA</c:v>
                  </c:pt>
                  <c:pt idx="14">
                    <c:v>COMUNA 6 OFICIAL</c:v>
                  </c:pt>
                  <c:pt idx="15">
                    <c:v>INSTITUCION EDUCATIVA EDUARDO SANTOS</c:v>
                  </c:pt>
                  <c:pt idx="16">
                    <c:v>OFICIALES URBANOS DE SOACHA</c:v>
                  </c:pt>
                  <c:pt idx="17">
                    <c:v>COMUNA 6 OFICIAL</c:v>
                  </c:pt>
                  <c:pt idx="18">
                    <c:v>INSTITUCION EDUCATIVA EDUARDO SANTOS</c:v>
                  </c:pt>
                  <c:pt idx="19">
                    <c:v>OFICIALES URBANOS DE SOACHA</c:v>
                  </c:pt>
                  <c:pt idx="20">
                    <c:v>COMUNA 6 OFICIAL</c:v>
                  </c:pt>
                  <c:pt idx="21">
                    <c:v>INSTITUCION EDUCATIVA EDUARDO SANTOS</c:v>
                  </c:pt>
                  <c:pt idx="22">
                    <c:v>OFICIALES URBANOS DE SOACHA</c:v>
                  </c:pt>
                  <c:pt idx="23">
                    <c:v>COMUNA 6 OFICIAL</c:v>
                  </c:pt>
                </c:lvl>
                <c:lvl>
                  <c:pt idx="0">
                    <c:v>2016</c:v>
                  </c:pt>
                  <c:pt idx="3">
                    <c:v>2017</c:v>
                  </c:pt>
                  <c:pt idx="6">
                    <c:v>2018</c:v>
                  </c:pt>
                  <c:pt idx="9">
                    <c:v>2019</c:v>
                  </c:pt>
                  <c:pt idx="12">
                    <c:v>2020</c:v>
                  </c:pt>
                  <c:pt idx="15">
                    <c:v>2021</c:v>
                  </c:pt>
                  <c:pt idx="18">
                    <c:v>2022</c:v>
                  </c:pt>
                  <c:pt idx="21">
                    <c:v>2023</c:v>
                  </c:pt>
                </c:lvl>
              </c:multiLvlStrCache>
            </c:multiLvlStrRef>
          </c:cat>
          <c:val>
            <c:numRef>
              <c:f>Promediosyniveles!$M$15:$M$38</c:f>
              <c:numCache>
                <c:formatCode>0%</c:formatCode>
                <c:ptCount val="24"/>
                <c:pt idx="0">
                  <c:v>0.55000000000000004</c:v>
                </c:pt>
                <c:pt idx="1">
                  <c:v>0.54</c:v>
                </c:pt>
                <c:pt idx="2">
                  <c:v>0.54</c:v>
                </c:pt>
                <c:pt idx="3">
                  <c:v>0.59</c:v>
                </c:pt>
                <c:pt idx="4">
                  <c:v>0.56999999999999995</c:v>
                </c:pt>
                <c:pt idx="5">
                  <c:v>0.54666666666666675</c:v>
                </c:pt>
                <c:pt idx="6">
                  <c:v>0.48</c:v>
                </c:pt>
                <c:pt idx="7">
                  <c:v>0.53</c:v>
                </c:pt>
                <c:pt idx="8">
                  <c:v>0.47666666666666663</c:v>
                </c:pt>
                <c:pt idx="9">
                  <c:v>0.55000000000000004</c:v>
                </c:pt>
                <c:pt idx="10">
                  <c:v>0.55000000000000004</c:v>
                </c:pt>
                <c:pt idx="11">
                  <c:v>0.55000000000000004</c:v>
                </c:pt>
                <c:pt idx="12">
                  <c:v>0.48</c:v>
                </c:pt>
                <c:pt idx="13">
                  <c:v>0.56000000000000005</c:v>
                </c:pt>
                <c:pt idx="14">
                  <c:v>0.53666666666666663</c:v>
                </c:pt>
                <c:pt idx="15">
                  <c:v>0.49</c:v>
                </c:pt>
                <c:pt idx="16">
                  <c:v>0.52</c:v>
                </c:pt>
                <c:pt idx="17">
                  <c:v>0.5033333333333333</c:v>
                </c:pt>
                <c:pt idx="18">
                  <c:v>0.6</c:v>
                </c:pt>
                <c:pt idx="19">
                  <c:v>0.56000000000000005</c:v>
                </c:pt>
                <c:pt idx="20">
                  <c:v>0.54</c:v>
                </c:pt>
                <c:pt idx="21">
                  <c:v>0.54</c:v>
                </c:pt>
                <c:pt idx="22">
                  <c:v>0.55000000000000004</c:v>
                </c:pt>
                <c:pt idx="23">
                  <c:v>0.53333333333333333</c:v>
                </c:pt>
              </c:numCache>
            </c:numRef>
          </c:val>
          <c:extLst>
            <c:ext xmlns:c16="http://schemas.microsoft.com/office/drawing/2014/chart" uri="{C3380CC4-5D6E-409C-BE32-E72D297353CC}">
              <c16:uniqueId val="{00000002-CCA5-48CC-AD49-8F46E0412EAF}"/>
            </c:ext>
          </c:extLst>
        </c:ser>
        <c:ser>
          <c:idx val="3"/>
          <c:order val="3"/>
          <c:tx>
            <c:strRef>
              <c:f>Promediosyniveles!$N$14</c:f>
              <c:strCache>
                <c:ptCount val="1"/>
                <c:pt idx="0">
                  <c:v>4</c:v>
                </c:pt>
              </c:strCache>
            </c:strRef>
          </c:tx>
          <c:spPr>
            <a:solidFill>
              <a:srgbClr val="00B050"/>
            </a:solidFill>
            <a:ln>
              <a:noFill/>
            </a:ln>
            <a:effectLst/>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Promediosyniveles!$I$15:$J$38</c:f>
              <c:multiLvlStrCache>
                <c:ptCount val="24"/>
                <c:lvl>
                  <c:pt idx="0">
                    <c:v>INSTITUCION EDUCATIVA EDUARDO SANTOS</c:v>
                  </c:pt>
                  <c:pt idx="1">
                    <c:v>OFICIALES URBANOS DE SOACHA</c:v>
                  </c:pt>
                  <c:pt idx="2">
                    <c:v>COMUNA 6 OFICIAL</c:v>
                  </c:pt>
                  <c:pt idx="3">
                    <c:v>INSTITUCION EDUCATIVA EDUARDO SANTOS</c:v>
                  </c:pt>
                  <c:pt idx="4">
                    <c:v>OFICIALES URBANOS DE SOACHA</c:v>
                  </c:pt>
                  <c:pt idx="5">
                    <c:v>COMUNA 6 OFICIAL</c:v>
                  </c:pt>
                  <c:pt idx="6">
                    <c:v>INSTITUCION EDUCATIVA EDUARDO SANTOS</c:v>
                  </c:pt>
                  <c:pt idx="7">
                    <c:v>OFICIALES URBANOS DE SOACHA</c:v>
                  </c:pt>
                  <c:pt idx="8">
                    <c:v>COMUNA 6 OFICIAL</c:v>
                  </c:pt>
                  <c:pt idx="9">
                    <c:v>INSTITUCION EDUCATIVA EDUARDO SANTOS</c:v>
                  </c:pt>
                  <c:pt idx="10">
                    <c:v>OFICIALES URBANOS DE SOACHA</c:v>
                  </c:pt>
                  <c:pt idx="11">
                    <c:v>COMUNA 6 OFICIAL</c:v>
                  </c:pt>
                  <c:pt idx="12">
                    <c:v>INSTITUCION EDUCATIVA EDUARDO SANTOS</c:v>
                  </c:pt>
                  <c:pt idx="13">
                    <c:v>OFICIALES URBANOS DE SOACHA</c:v>
                  </c:pt>
                  <c:pt idx="14">
                    <c:v>COMUNA 6 OFICIAL</c:v>
                  </c:pt>
                  <c:pt idx="15">
                    <c:v>INSTITUCION EDUCATIVA EDUARDO SANTOS</c:v>
                  </c:pt>
                  <c:pt idx="16">
                    <c:v>OFICIALES URBANOS DE SOACHA</c:v>
                  </c:pt>
                  <c:pt idx="17">
                    <c:v>COMUNA 6 OFICIAL</c:v>
                  </c:pt>
                  <c:pt idx="18">
                    <c:v>INSTITUCION EDUCATIVA EDUARDO SANTOS</c:v>
                  </c:pt>
                  <c:pt idx="19">
                    <c:v>OFICIALES URBANOS DE SOACHA</c:v>
                  </c:pt>
                  <c:pt idx="20">
                    <c:v>COMUNA 6 OFICIAL</c:v>
                  </c:pt>
                  <c:pt idx="21">
                    <c:v>INSTITUCION EDUCATIVA EDUARDO SANTOS</c:v>
                  </c:pt>
                  <c:pt idx="22">
                    <c:v>OFICIALES URBANOS DE SOACHA</c:v>
                  </c:pt>
                  <c:pt idx="23">
                    <c:v>COMUNA 6 OFICIAL</c:v>
                  </c:pt>
                </c:lvl>
                <c:lvl>
                  <c:pt idx="0">
                    <c:v>2016</c:v>
                  </c:pt>
                  <c:pt idx="3">
                    <c:v>2017</c:v>
                  </c:pt>
                  <c:pt idx="6">
                    <c:v>2018</c:v>
                  </c:pt>
                  <c:pt idx="9">
                    <c:v>2019</c:v>
                  </c:pt>
                  <c:pt idx="12">
                    <c:v>2020</c:v>
                  </c:pt>
                  <c:pt idx="15">
                    <c:v>2021</c:v>
                  </c:pt>
                  <c:pt idx="18">
                    <c:v>2022</c:v>
                  </c:pt>
                  <c:pt idx="21">
                    <c:v>2023</c:v>
                  </c:pt>
                </c:lvl>
              </c:multiLvlStrCache>
            </c:multiLvlStrRef>
          </c:cat>
          <c:val>
            <c:numRef>
              <c:f>Promediosyniveles!$N$15:$N$38</c:f>
              <c:numCache>
                <c:formatCode>0%</c:formatCode>
                <c:ptCount val="24"/>
                <c:pt idx="0">
                  <c:v>0.04</c:v>
                </c:pt>
                <c:pt idx="1">
                  <c:v>0.05</c:v>
                </c:pt>
                <c:pt idx="2">
                  <c:v>4.3333333333333335E-2</c:v>
                </c:pt>
                <c:pt idx="3">
                  <c:v>0.03</c:v>
                </c:pt>
                <c:pt idx="4">
                  <c:v>7.0000000000000007E-2</c:v>
                </c:pt>
                <c:pt idx="5">
                  <c:v>4.6666666666666669E-2</c:v>
                </c:pt>
                <c:pt idx="6">
                  <c:v>7.0000000000000007E-2</c:v>
                </c:pt>
                <c:pt idx="7">
                  <c:v>0.08</c:v>
                </c:pt>
                <c:pt idx="8">
                  <c:v>8.666666666666667E-2</c:v>
                </c:pt>
                <c:pt idx="9">
                  <c:v>0.08</c:v>
                </c:pt>
                <c:pt idx="10">
                  <c:v>0.08</c:v>
                </c:pt>
                <c:pt idx="11">
                  <c:v>7.3333333333333348E-2</c:v>
                </c:pt>
                <c:pt idx="12">
                  <c:v>0.11</c:v>
                </c:pt>
                <c:pt idx="13">
                  <c:v>7.0000000000000007E-2</c:v>
                </c:pt>
                <c:pt idx="14">
                  <c:v>7.6666666666666675E-2</c:v>
                </c:pt>
                <c:pt idx="15">
                  <c:v>0.1</c:v>
                </c:pt>
                <c:pt idx="16">
                  <c:v>0.09</c:v>
                </c:pt>
                <c:pt idx="17">
                  <c:v>7.3333333333333334E-2</c:v>
                </c:pt>
                <c:pt idx="18">
                  <c:v>0.05</c:v>
                </c:pt>
                <c:pt idx="19">
                  <c:v>0.09</c:v>
                </c:pt>
                <c:pt idx="20">
                  <c:v>7.3333333333333334E-2</c:v>
                </c:pt>
                <c:pt idx="21">
                  <c:v>0.05</c:v>
                </c:pt>
                <c:pt idx="22">
                  <c:v>0.08</c:v>
                </c:pt>
                <c:pt idx="23">
                  <c:v>4.9999999999999996E-2</c:v>
                </c:pt>
              </c:numCache>
            </c:numRef>
          </c:val>
          <c:extLst>
            <c:ext xmlns:c16="http://schemas.microsoft.com/office/drawing/2014/chart" uri="{C3380CC4-5D6E-409C-BE32-E72D297353CC}">
              <c16:uniqueId val="{00000003-CCA5-48CC-AD49-8F46E0412EAF}"/>
            </c:ext>
          </c:extLst>
        </c:ser>
        <c:dLbls>
          <c:showLegendKey val="0"/>
          <c:showVal val="0"/>
          <c:showCatName val="0"/>
          <c:showSerName val="0"/>
          <c:showPercent val="0"/>
          <c:showBubbleSize val="0"/>
        </c:dLbls>
        <c:gapWidth val="150"/>
        <c:overlap val="100"/>
        <c:axId val="419681552"/>
        <c:axId val="419681968"/>
      </c:barChart>
      <c:catAx>
        <c:axId val="4196815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crossAx val="419681968"/>
        <c:crosses val="autoZero"/>
        <c:auto val="1"/>
        <c:lblAlgn val="ctr"/>
        <c:lblOffset val="100"/>
        <c:noMultiLvlLbl val="0"/>
      </c:catAx>
      <c:valAx>
        <c:axId val="419681968"/>
        <c:scaling>
          <c:orientation val="minMax"/>
          <c:max val="1"/>
        </c:scaling>
        <c:delete val="0"/>
        <c:axPos val="l"/>
        <c:majorGridlines>
          <c:spPr>
            <a:ln w="9525" cap="flat" cmpd="sng" algn="ctr">
              <a:solidFill>
                <a:schemeClr val="bg1"/>
              </a:solidFill>
              <a:round/>
            </a:ln>
            <a:effectLst/>
          </c:spPr>
        </c:maj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crossAx val="41968155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s-CO" b="1"/>
              <a:t>Porcentaje de estudiantes por niveles de desempeño</a:t>
            </a:r>
          </a:p>
          <a:p>
            <a:pPr>
              <a:defRPr b="1"/>
            </a:pPr>
            <a:r>
              <a:rPr lang="es-CO" b="1"/>
              <a:t>Matemáticas</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title>
    <c:autoTitleDeleted val="0"/>
    <c:plotArea>
      <c:layout>
        <c:manualLayout>
          <c:layoutTarget val="inner"/>
          <c:xMode val="edge"/>
          <c:yMode val="edge"/>
          <c:x val="5.6349913519790802E-2"/>
          <c:y val="0.11601590038758022"/>
          <c:w val="0.92597295827438564"/>
          <c:h val="0.50639522678848303"/>
        </c:manualLayout>
      </c:layout>
      <c:barChart>
        <c:barDir val="col"/>
        <c:grouping val="stacked"/>
        <c:varyColors val="0"/>
        <c:ser>
          <c:idx val="0"/>
          <c:order val="0"/>
          <c:tx>
            <c:strRef>
              <c:f>Promediosyniveles!$K$71</c:f>
              <c:strCache>
                <c:ptCount val="1"/>
                <c:pt idx="0">
                  <c:v>1</c:v>
                </c:pt>
              </c:strCache>
            </c:strRef>
          </c:tx>
          <c:spPr>
            <a:solidFill>
              <a:srgbClr val="FF0000"/>
            </a:solidFill>
            <a:ln>
              <a:noFill/>
            </a:ln>
            <a:effectLst/>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Promediosyniveles!$I$72:$J$95</c:f>
              <c:multiLvlStrCache>
                <c:ptCount val="24"/>
                <c:lvl>
                  <c:pt idx="0">
                    <c:v>INSTITUCION EDUCATIVA EDUARDO SANTOS</c:v>
                  </c:pt>
                  <c:pt idx="1">
                    <c:v>OFICIALES URBANOS DE SOACHA</c:v>
                  </c:pt>
                  <c:pt idx="2">
                    <c:v>COMUNA 6 OFICIAL</c:v>
                  </c:pt>
                  <c:pt idx="3">
                    <c:v>INSTITUCION EDUCATIVA EDUARDO SANTOS</c:v>
                  </c:pt>
                  <c:pt idx="4">
                    <c:v>OFICIALES URBANOS DE SOACHA</c:v>
                  </c:pt>
                  <c:pt idx="5">
                    <c:v>COMUNA 6 OFICIAL</c:v>
                  </c:pt>
                  <c:pt idx="6">
                    <c:v>INSTITUCION EDUCATIVA EDUARDO SANTOS</c:v>
                  </c:pt>
                  <c:pt idx="7">
                    <c:v>OFICIALES URBANOS DE SOACHA</c:v>
                  </c:pt>
                  <c:pt idx="8">
                    <c:v>COMUNA 6 OFICIAL</c:v>
                  </c:pt>
                  <c:pt idx="9">
                    <c:v>INSTITUCION EDUCATIVA EDUARDO SANTOS</c:v>
                  </c:pt>
                  <c:pt idx="10">
                    <c:v>OFICIALES URBANOS DE SOACHA</c:v>
                  </c:pt>
                  <c:pt idx="11">
                    <c:v>COMUNA 6 OFICIAL</c:v>
                  </c:pt>
                  <c:pt idx="12">
                    <c:v>INSTITUCION EDUCATIVA EDUARDO SANTOS</c:v>
                  </c:pt>
                  <c:pt idx="13">
                    <c:v>OFICIALES URBANOS DE SOACHA</c:v>
                  </c:pt>
                  <c:pt idx="14">
                    <c:v>COMUNA 6 OFICIAL</c:v>
                  </c:pt>
                  <c:pt idx="15">
                    <c:v>INSTITUCION EDUCATIVA EDUARDO SANTOS</c:v>
                  </c:pt>
                  <c:pt idx="16">
                    <c:v>OFICIALES URBANOS DE SOACHA</c:v>
                  </c:pt>
                  <c:pt idx="17">
                    <c:v>COMUNA 6 OFICIAL</c:v>
                  </c:pt>
                  <c:pt idx="18">
                    <c:v>INSTITUCION EDUCATIVA EDUARDO SANTOS</c:v>
                  </c:pt>
                  <c:pt idx="19">
                    <c:v>OFICIALES URBANOS DE SOACHA</c:v>
                  </c:pt>
                  <c:pt idx="20">
                    <c:v>COMUNA 6 OFICIAL</c:v>
                  </c:pt>
                  <c:pt idx="21">
                    <c:v>INSTITUCION EDUCATIVA EDUARDO SANTOS</c:v>
                  </c:pt>
                  <c:pt idx="22">
                    <c:v>OFICIALES URBANOS DE SOACHA</c:v>
                  </c:pt>
                  <c:pt idx="23">
                    <c:v>COMUNA 6 OFICIAL</c:v>
                  </c:pt>
                </c:lvl>
                <c:lvl>
                  <c:pt idx="0">
                    <c:v>2016</c:v>
                  </c:pt>
                  <c:pt idx="3">
                    <c:v>2017</c:v>
                  </c:pt>
                  <c:pt idx="6">
                    <c:v>2018</c:v>
                  </c:pt>
                  <c:pt idx="9">
                    <c:v>2019</c:v>
                  </c:pt>
                  <c:pt idx="12">
                    <c:v>2020</c:v>
                  </c:pt>
                  <c:pt idx="15">
                    <c:v>2021</c:v>
                  </c:pt>
                  <c:pt idx="18">
                    <c:v>2022</c:v>
                  </c:pt>
                  <c:pt idx="21">
                    <c:v>2023</c:v>
                  </c:pt>
                </c:lvl>
              </c:multiLvlStrCache>
            </c:multiLvlStrRef>
          </c:cat>
          <c:val>
            <c:numRef>
              <c:f>Promediosyniveles!$K$72:$K$95</c:f>
              <c:numCache>
                <c:formatCode>0%</c:formatCode>
                <c:ptCount val="24"/>
                <c:pt idx="0">
                  <c:v>0.06</c:v>
                </c:pt>
                <c:pt idx="1">
                  <c:v>0.05</c:v>
                </c:pt>
                <c:pt idx="2">
                  <c:v>3.3333333333333333E-2</c:v>
                </c:pt>
                <c:pt idx="3">
                  <c:v>0.06</c:v>
                </c:pt>
                <c:pt idx="4">
                  <c:v>0.06</c:v>
                </c:pt>
                <c:pt idx="5">
                  <c:v>5.000000000000001E-2</c:v>
                </c:pt>
                <c:pt idx="6">
                  <c:v>0.05</c:v>
                </c:pt>
                <c:pt idx="7">
                  <c:v>0.06</c:v>
                </c:pt>
                <c:pt idx="8">
                  <c:v>4.9999999999999996E-2</c:v>
                </c:pt>
                <c:pt idx="9">
                  <c:v>0.05</c:v>
                </c:pt>
                <c:pt idx="10">
                  <c:v>0.05</c:v>
                </c:pt>
                <c:pt idx="11">
                  <c:v>5.000000000000001E-2</c:v>
                </c:pt>
                <c:pt idx="12">
                  <c:v>0.02</c:v>
                </c:pt>
                <c:pt idx="13">
                  <c:v>0.04</c:v>
                </c:pt>
                <c:pt idx="14">
                  <c:v>0.02</c:v>
                </c:pt>
                <c:pt idx="15">
                  <c:v>0.04</c:v>
                </c:pt>
                <c:pt idx="16">
                  <c:v>0.06</c:v>
                </c:pt>
                <c:pt idx="17">
                  <c:v>4.9999999999999996E-2</c:v>
                </c:pt>
                <c:pt idx="18">
                  <c:v>0.06</c:v>
                </c:pt>
                <c:pt idx="19">
                  <c:v>7.0000000000000007E-2</c:v>
                </c:pt>
                <c:pt idx="20">
                  <c:v>8.666666666666667E-2</c:v>
                </c:pt>
                <c:pt idx="21">
                  <c:v>0.05</c:v>
                </c:pt>
                <c:pt idx="22">
                  <c:v>7.0000000000000007E-2</c:v>
                </c:pt>
                <c:pt idx="23">
                  <c:v>7.6666666666666675E-2</c:v>
                </c:pt>
              </c:numCache>
            </c:numRef>
          </c:val>
          <c:extLst>
            <c:ext xmlns:c16="http://schemas.microsoft.com/office/drawing/2014/chart" uri="{C3380CC4-5D6E-409C-BE32-E72D297353CC}">
              <c16:uniqueId val="{00000000-EA10-4777-A858-C2626BB091A8}"/>
            </c:ext>
          </c:extLst>
        </c:ser>
        <c:ser>
          <c:idx val="1"/>
          <c:order val="1"/>
          <c:tx>
            <c:strRef>
              <c:f>Promediosyniveles!$L$71</c:f>
              <c:strCache>
                <c:ptCount val="1"/>
                <c:pt idx="0">
                  <c:v>2</c:v>
                </c:pt>
              </c:strCache>
            </c:strRef>
          </c:tx>
          <c:spPr>
            <a:solidFill>
              <a:srgbClr val="FF6600"/>
            </a:solidFill>
            <a:ln>
              <a:noFill/>
            </a:ln>
            <a:effectLst/>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Promediosyniveles!$I$72:$J$95</c:f>
              <c:multiLvlStrCache>
                <c:ptCount val="24"/>
                <c:lvl>
                  <c:pt idx="0">
                    <c:v>INSTITUCION EDUCATIVA EDUARDO SANTOS</c:v>
                  </c:pt>
                  <c:pt idx="1">
                    <c:v>OFICIALES URBANOS DE SOACHA</c:v>
                  </c:pt>
                  <c:pt idx="2">
                    <c:v>COMUNA 6 OFICIAL</c:v>
                  </c:pt>
                  <c:pt idx="3">
                    <c:v>INSTITUCION EDUCATIVA EDUARDO SANTOS</c:v>
                  </c:pt>
                  <c:pt idx="4">
                    <c:v>OFICIALES URBANOS DE SOACHA</c:v>
                  </c:pt>
                  <c:pt idx="5">
                    <c:v>COMUNA 6 OFICIAL</c:v>
                  </c:pt>
                  <c:pt idx="6">
                    <c:v>INSTITUCION EDUCATIVA EDUARDO SANTOS</c:v>
                  </c:pt>
                  <c:pt idx="7">
                    <c:v>OFICIALES URBANOS DE SOACHA</c:v>
                  </c:pt>
                  <c:pt idx="8">
                    <c:v>COMUNA 6 OFICIAL</c:v>
                  </c:pt>
                  <c:pt idx="9">
                    <c:v>INSTITUCION EDUCATIVA EDUARDO SANTOS</c:v>
                  </c:pt>
                  <c:pt idx="10">
                    <c:v>OFICIALES URBANOS DE SOACHA</c:v>
                  </c:pt>
                  <c:pt idx="11">
                    <c:v>COMUNA 6 OFICIAL</c:v>
                  </c:pt>
                  <c:pt idx="12">
                    <c:v>INSTITUCION EDUCATIVA EDUARDO SANTOS</c:v>
                  </c:pt>
                  <c:pt idx="13">
                    <c:v>OFICIALES URBANOS DE SOACHA</c:v>
                  </c:pt>
                  <c:pt idx="14">
                    <c:v>COMUNA 6 OFICIAL</c:v>
                  </c:pt>
                  <c:pt idx="15">
                    <c:v>INSTITUCION EDUCATIVA EDUARDO SANTOS</c:v>
                  </c:pt>
                  <c:pt idx="16">
                    <c:v>OFICIALES URBANOS DE SOACHA</c:v>
                  </c:pt>
                  <c:pt idx="17">
                    <c:v>COMUNA 6 OFICIAL</c:v>
                  </c:pt>
                  <c:pt idx="18">
                    <c:v>INSTITUCION EDUCATIVA EDUARDO SANTOS</c:v>
                  </c:pt>
                  <c:pt idx="19">
                    <c:v>OFICIALES URBANOS DE SOACHA</c:v>
                  </c:pt>
                  <c:pt idx="20">
                    <c:v>COMUNA 6 OFICIAL</c:v>
                  </c:pt>
                  <c:pt idx="21">
                    <c:v>INSTITUCION EDUCATIVA EDUARDO SANTOS</c:v>
                  </c:pt>
                  <c:pt idx="22">
                    <c:v>OFICIALES URBANOS DE SOACHA</c:v>
                  </c:pt>
                  <c:pt idx="23">
                    <c:v>COMUNA 6 OFICIAL</c:v>
                  </c:pt>
                </c:lvl>
                <c:lvl>
                  <c:pt idx="0">
                    <c:v>2016</c:v>
                  </c:pt>
                  <c:pt idx="3">
                    <c:v>2017</c:v>
                  </c:pt>
                  <c:pt idx="6">
                    <c:v>2018</c:v>
                  </c:pt>
                  <c:pt idx="9">
                    <c:v>2019</c:v>
                  </c:pt>
                  <c:pt idx="12">
                    <c:v>2020</c:v>
                  </c:pt>
                  <c:pt idx="15">
                    <c:v>2021</c:v>
                  </c:pt>
                  <c:pt idx="18">
                    <c:v>2022</c:v>
                  </c:pt>
                  <c:pt idx="21">
                    <c:v>2023</c:v>
                  </c:pt>
                </c:lvl>
              </c:multiLvlStrCache>
            </c:multiLvlStrRef>
          </c:cat>
          <c:val>
            <c:numRef>
              <c:f>Promediosyniveles!$L$72:$L$95</c:f>
              <c:numCache>
                <c:formatCode>0%</c:formatCode>
                <c:ptCount val="24"/>
                <c:pt idx="0">
                  <c:v>0.42</c:v>
                </c:pt>
                <c:pt idx="1">
                  <c:v>0.44</c:v>
                </c:pt>
                <c:pt idx="2">
                  <c:v>0.48666666666666664</c:v>
                </c:pt>
                <c:pt idx="3">
                  <c:v>0.42</c:v>
                </c:pt>
                <c:pt idx="4">
                  <c:v>0.42</c:v>
                </c:pt>
                <c:pt idx="5">
                  <c:v>0.41</c:v>
                </c:pt>
                <c:pt idx="6">
                  <c:v>0.49</c:v>
                </c:pt>
                <c:pt idx="7">
                  <c:v>0.43</c:v>
                </c:pt>
                <c:pt idx="8">
                  <c:v>0.4366666666666667</c:v>
                </c:pt>
                <c:pt idx="9">
                  <c:v>0.34</c:v>
                </c:pt>
                <c:pt idx="10">
                  <c:v>0.41</c:v>
                </c:pt>
                <c:pt idx="11">
                  <c:v>0.36333333333333334</c:v>
                </c:pt>
                <c:pt idx="12">
                  <c:v>0.42</c:v>
                </c:pt>
                <c:pt idx="13">
                  <c:v>0.39</c:v>
                </c:pt>
                <c:pt idx="14">
                  <c:v>0.38333333333333336</c:v>
                </c:pt>
                <c:pt idx="15">
                  <c:v>0.45</c:v>
                </c:pt>
                <c:pt idx="16">
                  <c:v>0.45</c:v>
                </c:pt>
                <c:pt idx="17">
                  <c:v>0.47333333333333333</c:v>
                </c:pt>
                <c:pt idx="18">
                  <c:v>0.3</c:v>
                </c:pt>
                <c:pt idx="19">
                  <c:v>0.39</c:v>
                </c:pt>
                <c:pt idx="20">
                  <c:v>0.38000000000000006</c:v>
                </c:pt>
                <c:pt idx="21">
                  <c:v>0.33</c:v>
                </c:pt>
                <c:pt idx="22">
                  <c:v>0.4</c:v>
                </c:pt>
                <c:pt idx="23">
                  <c:v>0.41</c:v>
                </c:pt>
              </c:numCache>
            </c:numRef>
          </c:val>
          <c:extLst>
            <c:ext xmlns:c16="http://schemas.microsoft.com/office/drawing/2014/chart" uri="{C3380CC4-5D6E-409C-BE32-E72D297353CC}">
              <c16:uniqueId val="{00000001-EA10-4777-A858-C2626BB091A8}"/>
            </c:ext>
          </c:extLst>
        </c:ser>
        <c:ser>
          <c:idx val="2"/>
          <c:order val="2"/>
          <c:tx>
            <c:strRef>
              <c:f>Promediosyniveles!$M$71</c:f>
              <c:strCache>
                <c:ptCount val="1"/>
                <c:pt idx="0">
                  <c:v>3</c:v>
                </c:pt>
              </c:strCache>
            </c:strRef>
          </c:tx>
          <c:spPr>
            <a:solidFill>
              <a:srgbClr val="FFFF00"/>
            </a:solidFill>
            <a:ln>
              <a:noFill/>
            </a:ln>
            <a:effectLst/>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Promediosyniveles!$I$72:$J$95</c:f>
              <c:multiLvlStrCache>
                <c:ptCount val="24"/>
                <c:lvl>
                  <c:pt idx="0">
                    <c:v>INSTITUCION EDUCATIVA EDUARDO SANTOS</c:v>
                  </c:pt>
                  <c:pt idx="1">
                    <c:v>OFICIALES URBANOS DE SOACHA</c:v>
                  </c:pt>
                  <c:pt idx="2">
                    <c:v>COMUNA 6 OFICIAL</c:v>
                  </c:pt>
                  <c:pt idx="3">
                    <c:v>INSTITUCION EDUCATIVA EDUARDO SANTOS</c:v>
                  </c:pt>
                  <c:pt idx="4">
                    <c:v>OFICIALES URBANOS DE SOACHA</c:v>
                  </c:pt>
                  <c:pt idx="5">
                    <c:v>COMUNA 6 OFICIAL</c:v>
                  </c:pt>
                  <c:pt idx="6">
                    <c:v>INSTITUCION EDUCATIVA EDUARDO SANTOS</c:v>
                  </c:pt>
                  <c:pt idx="7">
                    <c:v>OFICIALES URBANOS DE SOACHA</c:v>
                  </c:pt>
                  <c:pt idx="8">
                    <c:v>COMUNA 6 OFICIAL</c:v>
                  </c:pt>
                  <c:pt idx="9">
                    <c:v>INSTITUCION EDUCATIVA EDUARDO SANTOS</c:v>
                  </c:pt>
                  <c:pt idx="10">
                    <c:v>OFICIALES URBANOS DE SOACHA</c:v>
                  </c:pt>
                  <c:pt idx="11">
                    <c:v>COMUNA 6 OFICIAL</c:v>
                  </c:pt>
                  <c:pt idx="12">
                    <c:v>INSTITUCION EDUCATIVA EDUARDO SANTOS</c:v>
                  </c:pt>
                  <c:pt idx="13">
                    <c:v>OFICIALES URBANOS DE SOACHA</c:v>
                  </c:pt>
                  <c:pt idx="14">
                    <c:v>COMUNA 6 OFICIAL</c:v>
                  </c:pt>
                  <c:pt idx="15">
                    <c:v>INSTITUCION EDUCATIVA EDUARDO SANTOS</c:v>
                  </c:pt>
                  <c:pt idx="16">
                    <c:v>OFICIALES URBANOS DE SOACHA</c:v>
                  </c:pt>
                  <c:pt idx="17">
                    <c:v>COMUNA 6 OFICIAL</c:v>
                  </c:pt>
                  <c:pt idx="18">
                    <c:v>INSTITUCION EDUCATIVA EDUARDO SANTOS</c:v>
                  </c:pt>
                  <c:pt idx="19">
                    <c:v>OFICIALES URBANOS DE SOACHA</c:v>
                  </c:pt>
                  <c:pt idx="20">
                    <c:v>COMUNA 6 OFICIAL</c:v>
                  </c:pt>
                  <c:pt idx="21">
                    <c:v>INSTITUCION EDUCATIVA EDUARDO SANTOS</c:v>
                  </c:pt>
                  <c:pt idx="22">
                    <c:v>OFICIALES URBANOS DE SOACHA</c:v>
                  </c:pt>
                  <c:pt idx="23">
                    <c:v>COMUNA 6 OFICIAL</c:v>
                  </c:pt>
                </c:lvl>
                <c:lvl>
                  <c:pt idx="0">
                    <c:v>2016</c:v>
                  </c:pt>
                  <c:pt idx="3">
                    <c:v>2017</c:v>
                  </c:pt>
                  <c:pt idx="6">
                    <c:v>2018</c:v>
                  </c:pt>
                  <c:pt idx="9">
                    <c:v>2019</c:v>
                  </c:pt>
                  <c:pt idx="12">
                    <c:v>2020</c:v>
                  </c:pt>
                  <c:pt idx="15">
                    <c:v>2021</c:v>
                  </c:pt>
                  <c:pt idx="18">
                    <c:v>2022</c:v>
                  </c:pt>
                  <c:pt idx="21">
                    <c:v>2023</c:v>
                  </c:pt>
                </c:lvl>
              </c:multiLvlStrCache>
            </c:multiLvlStrRef>
          </c:cat>
          <c:val>
            <c:numRef>
              <c:f>Promediosyniveles!$M$72:$M$95</c:f>
              <c:numCache>
                <c:formatCode>0%</c:formatCode>
                <c:ptCount val="24"/>
                <c:pt idx="0">
                  <c:v>0.51</c:v>
                </c:pt>
                <c:pt idx="1">
                  <c:v>0.5</c:v>
                </c:pt>
                <c:pt idx="2">
                  <c:v>0.47</c:v>
                </c:pt>
                <c:pt idx="3">
                  <c:v>0.5</c:v>
                </c:pt>
                <c:pt idx="4">
                  <c:v>0.5</c:v>
                </c:pt>
                <c:pt idx="5">
                  <c:v>0.52333333333333332</c:v>
                </c:pt>
                <c:pt idx="6">
                  <c:v>0.45</c:v>
                </c:pt>
                <c:pt idx="7">
                  <c:v>0.5</c:v>
                </c:pt>
                <c:pt idx="8">
                  <c:v>0.5</c:v>
                </c:pt>
                <c:pt idx="9">
                  <c:v>0.62</c:v>
                </c:pt>
                <c:pt idx="10">
                  <c:v>0.52</c:v>
                </c:pt>
                <c:pt idx="11">
                  <c:v>0.58333333333333337</c:v>
                </c:pt>
                <c:pt idx="12">
                  <c:v>0.5</c:v>
                </c:pt>
                <c:pt idx="13">
                  <c:v>0.54</c:v>
                </c:pt>
                <c:pt idx="14">
                  <c:v>0.56000000000000005</c:v>
                </c:pt>
                <c:pt idx="15">
                  <c:v>0.49</c:v>
                </c:pt>
                <c:pt idx="16">
                  <c:v>0.48</c:v>
                </c:pt>
                <c:pt idx="17">
                  <c:v>0.46333333333333332</c:v>
                </c:pt>
                <c:pt idx="18">
                  <c:v>0.6</c:v>
                </c:pt>
                <c:pt idx="19">
                  <c:v>0.52</c:v>
                </c:pt>
                <c:pt idx="20">
                  <c:v>0.51666666666666672</c:v>
                </c:pt>
                <c:pt idx="21">
                  <c:v>0.56999999999999995</c:v>
                </c:pt>
                <c:pt idx="22">
                  <c:v>0.51</c:v>
                </c:pt>
                <c:pt idx="23">
                  <c:v>0.48</c:v>
                </c:pt>
              </c:numCache>
            </c:numRef>
          </c:val>
          <c:extLst>
            <c:ext xmlns:c16="http://schemas.microsoft.com/office/drawing/2014/chart" uri="{C3380CC4-5D6E-409C-BE32-E72D297353CC}">
              <c16:uniqueId val="{00000002-EA10-4777-A858-C2626BB091A8}"/>
            </c:ext>
          </c:extLst>
        </c:ser>
        <c:ser>
          <c:idx val="3"/>
          <c:order val="3"/>
          <c:tx>
            <c:strRef>
              <c:f>Promediosyniveles!$N$71</c:f>
              <c:strCache>
                <c:ptCount val="1"/>
                <c:pt idx="0">
                  <c:v>4</c:v>
                </c:pt>
              </c:strCache>
            </c:strRef>
          </c:tx>
          <c:spPr>
            <a:solidFill>
              <a:srgbClr val="00B050"/>
            </a:solidFill>
            <a:ln>
              <a:noFill/>
            </a:ln>
            <a:effectLst/>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Promediosyniveles!$I$72:$J$95</c:f>
              <c:multiLvlStrCache>
                <c:ptCount val="24"/>
                <c:lvl>
                  <c:pt idx="0">
                    <c:v>INSTITUCION EDUCATIVA EDUARDO SANTOS</c:v>
                  </c:pt>
                  <c:pt idx="1">
                    <c:v>OFICIALES URBANOS DE SOACHA</c:v>
                  </c:pt>
                  <c:pt idx="2">
                    <c:v>COMUNA 6 OFICIAL</c:v>
                  </c:pt>
                  <c:pt idx="3">
                    <c:v>INSTITUCION EDUCATIVA EDUARDO SANTOS</c:v>
                  </c:pt>
                  <c:pt idx="4">
                    <c:v>OFICIALES URBANOS DE SOACHA</c:v>
                  </c:pt>
                  <c:pt idx="5">
                    <c:v>COMUNA 6 OFICIAL</c:v>
                  </c:pt>
                  <c:pt idx="6">
                    <c:v>INSTITUCION EDUCATIVA EDUARDO SANTOS</c:v>
                  </c:pt>
                  <c:pt idx="7">
                    <c:v>OFICIALES URBANOS DE SOACHA</c:v>
                  </c:pt>
                  <c:pt idx="8">
                    <c:v>COMUNA 6 OFICIAL</c:v>
                  </c:pt>
                  <c:pt idx="9">
                    <c:v>INSTITUCION EDUCATIVA EDUARDO SANTOS</c:v>
                  </c:pt>
                  <c:pt idx="10">
                    <c:v>OFICIALES URBANOS DE SOACHA</c:v>
                  </c:pt>
                  <c:pt idx="11">
                    <c:v>COMUNA 6 OFICIAL</c:v>
                  </c:pt>
                  <c:pt idx="12">
                    <c:v>INSTITUCION EDUCATIVA EDUARDO SANTOS</c:v>
                  </c:pt>
                  <c:pt idx="13">
                    <c:v>OFICIALES URBANOS DE SOACHA</c:v>
                  </c:pt>
                  <c:pt idx="14">
                    <c:v>COMUNA 6 OFICIAL</c:v>
                  </c:pt>
                  <c:pt idx="15">
                    <c:v>INSTITUCION EDUCATIVA EDUARDO SANTOS</c:v>
                  </c:pt>
                  <c:pt idx="16">
                    <c:v>OFICIALES URBANOS DE SOACHA</c:v>
                  </c:pt>
                  <c:pt idx="17">
                    <c:v>COMUNA 6 OFICIAL</c:v>
                  </c:pt>
                  <c:pt idx="18">
                    <c:v>INSTITUCION EDUCATIVA EDUARDO SANTOS</c:v>
                  </c:pt>
                  <c:pt idx="19">
                    <c:v>OFICIALES URBANOS DE SOACHA</c:v>
                  </c:pt>
                  <c:pt idx="20">
                    <c:v>COMUNA 6 OFICIAL</c:v>
                  </c:pt>
                  <c:pt idx="21">
                    <c:v>INSTITUCION EDUCATIVA EDUARDO SANTOS</c:v>
                  </c:pt>
                  <c:pt idx="22">
                    <c:v>OFICIALES URBANOS DE SOACHA</c:v>
                  </c:pt>
                  <c:pt idx="23">
                    <c:v>COMUNA 6 OFICIAL</c:v>
                  </c:pt>
                </c:lvl>
                <c:lvl>
                  <c:pt idx="0">
                    <c:v>2016</c:v>
                  </c:pt>
                  <c:pt idx="3">
                    <c:v>2017</c:v>
                  </c:pt>
                  <c:pt idx="6">
                    <c:v>2018</c:v>
                  </c:pt>
                  <c:pt idx="9">
                    <c:v>2019</c:v>
                  </c:pt>
                  <c:pt idx="12">
                    <c:v>2020</c:v>
                  </c:pt>
                  <c:pt idx="15">
                    <c:v>2021</c:v>
                  </c:pt>
                  <c:pt idx="18">
                    <c:v>2022</c:v>
                  </c:pt>
                  <c:pt idx="21">
                    <c:v>2023</c:v>
                  </c:pt>
                </c:lvl>
              </c:multiLvlStrCache>
            </c:multiLvlStrRef>
          </c:cat>
          <c:val>
            <c:numRef>
              <c:f>Promediosyniveles!$N$72:$N$95</c:f>
              <c:numCache>
                <c:formatCode>0%</c:formatCode>
                <c:ptCount val="24"/>
                <c:pt idx="0">
                  <c:v>0.01</c:v>
                </c:pt>
                <c:pt idx="1">
                  <c:v>0.02</c:v>
                </c:pt>
                <c:pt idx="2">
                  <c:v>0.01</c:v>
                </c:pt>
                <c:pt idx="3">
                  <c:v>0.02</c:v>
                </c:pt>
                <c:pt idx="4">
                  <c:v>0.02</c:v>
                </c:pt>
                <c:pt idx="5">
                  <c:v>0.02</c:v>
                </c:pt>
                <c:pt idx="6">
                  <c:v>0.01</c:v>
                </c:pt>
                <c:pt idx="7">
                  <c:v>0.01</c:v>
                </c:pt>
                <c:pt idx="8">
                  <c:v>1.6666666666666666E-2</c:v>
                </c:pt>
                <c:pt idx="9">
                  <c:v>0</c:v>
                </c:pt>
                <c:pt idx="10">
                  <c:v>0.02</c:v>
                </c:pt>
                <c:pt idx="11">
                  <c:v>1.3333333333333334E-2</c:v>
                </c:pt>
                <c:pt idx="12">
                  <c:v>0.06</c:v>
                </c:pt>
                <c:pt idx="13">
                  <c:v>0.02</c:v>
                </c:pt>
                <c:pt idx="14">
                  <c:v>3.6666666666666667E-2</c:v>
                </c:pt>
                <c:pt idx="15">
                  <c:v>0.03</c:v>
                </c:pt>
                <c:pt idx="16">
                  <c:v>0.01</c:v>
                </c:pt>
                <c:pt idx="17">
                  <c:v>0.02</c:v>
                </c:pt>
                <c:pt idx="18">
                  <c:v>0.03</c:v>
                </c:pt>
                <c:pt idx="19">
                  <c:v>0.02</c:v>
                </c:pt>
                <c:pt idx="20">
                  <c:v>1.3333333333333334E-2</c:v>
                </c:pt>
                <c:pt idx="21">
                  <c:v>0.05</c:v>
                </c:pt>
                <c:pt idx="22">
                  <c:v>0.03</c:v>
                </c:pt>
                <c:pt idx="23">
                  <c:v>0.04</c:v>
                </c:pt>
              </c:numCache>
            </c:numRef>
          </c:val>
          <c:extLst>
            <c:ext xmlns:c16="http://schemas.microsoft.com/office/drawing/2014/chart" uri="{C3380CC4-5D6E-409C-BE32-E72D297353CC}">
              <c16:uniqueId val="{00000003-EA10-4777-A858-C2626BB091A8}"/>
            </c:ext>
          </c:extLst>
        </c:ser>
        <c:dLbls>
          <c:showLegendKey val="0"/>
          <c:showVal val="0"/>
          <c:showCatName val="0"/>
          <c:showSerName val="0"/>
          <c:showPercent val="0"/>
          <c:showBubbleSize val="0"/>
        </c:dLbls>
        <c:gapWidth val="150"/>
        <c:overlap val="100"/>
        <c:axId val="419681552"/>
        <c:axId val="419681968"/>
      </c:barChart>
      <c:catAx>
        <c:axId val="4196815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crossAx val="419681968"/>
        <c:crosses val="autoZero"/>
        <c:auto val="1"/>
        <c:lblAlgn val="ctr"/>
        <c:lblOffset val="100"/>
        <c:noMultiLvlLbl val="0"/>
      </c:catAx>
      <c:valAx>
        <c:axId val="419681968"/>
        <c:scaling>
          <c:orientation val="minMax"/>
          <c:max val="1"/>
        </c:scaling>
        <c:delete val="0"/>
        <c:axPos val="l"/>
        <c:majorGridlines>
          <c:spPr>
            <a:ln w="9525" cap="flat" cmpd="sng" algn="ctr">
              <a:solidFill>
                <a:schemeClr val="bg1"/>
              </a:solidFill>
              <a:round/>
            </a:ln>
            <a:effectLst/>
          </c:spPr>
        </c:maj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crossAx val="41968155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s-CO" b="1"/>
              <a:t>Porcentaje de estudiantes por niveles de desempeño</a:t>
            </a:r>
          </a:p>
          <a:p>
            <a:pPr>
              <a:defRPr b="1"/>
            </a:pPr>
            <a:r>
              <a:rPr lang="es-CO" b="1"/>
              <a:t>Sociales y Ciudadanas</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title>
    <c:autoTitleDeleted val="0"/>
    <c:plotArea>
      <c:layout>
        <c:manualLayout>
          <c:layoutTarget val="inner"/>
          <c:xMode val="edge"/>
          <c:yMode val="edge"/>
          <c:x val="5.6349913519790802E-2"/>
          <c:y val="0.11601590038758022"/>
          <c:w val="0.91042416682974181"/>
          <c:h val="0.51189431804926688"/>
        </c:manualLayout>
      </c:layout>
      <c:barChart>
        <c:barDir val="col"/>
        <c:grouping val="stacked"/>
        <c:varyColors val="0"/>
        <c:ser>
          <c:idx val="0"/>
          <c:order val="0"/>
          <c:tx>
            <c:strRef>
              <c:f>Promediosyniveles!$K$135</c:f>
              <c:strCache>
                <c:ptCount val="1"/>
                <c:pt idx="0">
                  <c:v>1</c:v>
                </c:pt>
              </c:strCache>
            </c:strRef>
          </c:tx>
          <c:spPr>
            <a:solidFill>
              <a:srgbClr val="FF0000"/>
            </a:solidFill>
            <a:ln>
              <a:noFill/>
            </a:ln>
            <a:effectLst/>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Promediosyniveles!$I$136:$J$159</c:f>
              <c:multiLvlStrCache>
                <c:ptCount val="24"/>
                <c:lvl>
                  <c:pt idx="0">
                    <c:v>INSTITUCION EDUCATIVA EDUARDO SANTOS</c:v>
                  </c:pt>
                  <c:pt idx="1">
                    <c:v>OFICIALES URBANOS DE SOACHA</c:v>
                  </c:pt>
                  <c:pt idx="2">
                    <c:v>COMUNA 6 OFICIAL</c:v>
                  </c:pt>
                  <c:pt idx="3">
                    <c:v>INSTITUCION EDUCATIVA EDUARDO SANTOS</c:v>
                  </c:pt>
                  <c:pt idx="4">
                    <c:v>OFICIALES URBANOS DE SOACHA</c:v>
                  </c:pt>
                  <c:pt idx="5">
                    <c:v>COMUNA 6 OFICIAL</c:v>
                  </c:pt>
                  <c:pt idx="6">
                    <c:v>INSTITUCION EDUCATIVA EDUARDO SANTOS</c:v>
                  </c:pt>
                  <c:pt idx="7">
                    <c:v>OFICIALES URBANOS DE SOACHA</c:v>
                  </c:pt>
                  <c:pt idx="8">
                    <c:v>COMUNA 6 OFICIAL</c:v>
                  </c:pt>
                  <c:pt idx="9">
                    <c:v>INSTITUCION EDUCATIVA EDUARDO SANTOS</c:v>
                  </c:pt>
                  <c:pt idx="10">
                    <c:v>OFICIALES URBANOS DE SOACHA</c:v>
                  </c:pt>
                  <c:pt idx="11">
                    <c:v>COMUNA 6 OFICIAL</c:v>
                  </c:pt>
                  <c:pt idx="12">
                    <c:v>INSTITUCION EDUCATIVA EDUARDO SANTOS</c:v>
                  </c:pt>
                  <c:pt idx="13">
                    <c:v>OFICIALES URBANOS DE SOACHA</c:v>
                  </c:pt>
                  <c:pt idx="14">
                    <c:v>COMUNA 6 OFICIAL</c:v>
                  </c:pt>
                  <c:pt idx="15">
                    <c:v>INSTITUCION EDUCATIVA EDUARDO SANTOS</c:v>
                  </c:pt>
                  <c:pt idx="16">
                    <c:v>OFICIALES URBANOS DE SOACHA</c:v>
                  </c:pt>
                  <c:pt idx="17">
                    <c:v>COMUNA 6 OFICIAL</c:v>
                  </c:pt>
                  <c:pt idx="18">
                    <c:v>INSTITUCION EDUCATIVA EDUARDO SANTOS</c:v>
                  </c:pt>
                  <c:pt idx="19">
                    <c:v>OFICIALES URBANOS DE SOACHA</c:v>
                  </c:pt>
                  <c:pt idx="20">
                    <c:v>COMUNA 6 OFICIAL</c:v>
                  </c:pt>
                  <c:pt idx="21">
                    <c:v>INSTITUCION EDUCATIVA EDUARDO SANTOS</c:v>
                  </c:pt>
                  <c:pt idx="22">
                    <c:v>OFICIALES URBANOS DE SOACHA</c:v>
                  </c:pt>
                  <c:pt idx="23">
                    <c:v>COMUNA 6 OFICIAL</c:v>
                  </c:pt>
                </c:lvl>
                <c:lvl>
                  <c:pt idx="0">
                    <c:v>2016</c:v>
                  </c:pt>
                  <c:pt idx="3">
                    <c:v>2017</c:v>
                  </c:pt>
                  <c:pt idx="6">
                    <c:v>2018</c:v>
                  </c:pt>
                  <c:pt idx="9">
                    <c:v>2019</c:v>
                  </c:pt>
                  <c:pt idx="12">
                    <c:v>2020</c:v>
                  </c:pt>
                  <c:pt idx="15">
                    <c:v>2021</c:v>
                  </c:pt>
                  <c:pt idx="18">
                    <c:v>2022</c:v>
                  </c:pt>
                  <c:pt idx="21">
                    <c:v>2023</c:v>
                  </c:pt>
                </c:lvl>
              </c:multiLvlStrCache>
            </c:multiLvlStrRef>
          </c:cat>
          <c:val>
            <c:numRef>
              <c:f>Promediosyniveles!$K$136:$K$159</c:f>
              <c:numCache>
                <c:formatCode>0%</c:formatCode>
                <c:ptCount val="24"/>
                <c:pt idx="0">
                  <c:v>0.12</c:v>
                </c:pt>
                <c:pt idx="1">
                  <c:v>0.16</c:v>
                </c:pt>
                <c:pt idx="2">
                  <c:v>0.14000000000000001</c:v>
                </c:pt>
                <c:pt idx="3">
                  <c:v>0.15</c:v>
                </c:pt>
                <c:pt idx="4">
                  <c:v>0.16</c:v>
                </c:pt>
                <c:pt idx="5">
                  <c:v>0.15333333333333335</c:v>
                </c:pt>
                <c:pt idx="6">
                  <c:v>0.31</c:v>
                </c:pt>
                <c:pt idx="7">
                  <c:v>0.25</c:v>
                </c:pt>
                <c:pt idx="8">
                  <c:v>0.27666666666666667</c:v>
                </c:pt>
                <c:pt idx="9">
                  <c:v>0.3</c:v>
                </c:pt>
                <c:pt idx="10">
                  <c:v>0.31</c:v>
                </c:pt>
                <c:pt idx="11">
                  <c:v>0.31</c:v>
                </c:pt>
                <c:pt idx="12">
                  <c:v>0.26</c:v>
                </c:pt>
                <c:pt idx="13">
                  <c:v>0.22</c:v>
                </c:pt>
                <c:pt idx="14">
                  <c:v>0.23333333333333331</c:v>
                </c:pt>
                <c:pt idx="15">
                  <c:v>0.27</c:v>
                </c:pt>
                <c:pt idx="16">
                  <c:v>0.28000000000000003</c:v>
                </c:pt>
                <c:pt idx="17">
                  <c:v>0.29000000000000004</c:v>
                </c:pt>
                <c:pt idx="18">
                  <c:v>0.28999999999999998</c:v>
                </c:pt>
                <c:pt idx="19">
                  <c:v>0.25</c:v>
                </c:pt>
                <c:pt idx="20">
                  <c:v>0.29333333333333328</c:v>
                </c:pt>
                <c:pt idx="21">
                  <c:v>0.25</c:v>
                </c:pt>
                <c:pt idx="22">
                  <c:v>0.24</c:v>
                </c:pt>
                <c:pt idx="23">
                  <c:v>0.27</c:v>
                </c:pt>
              </c:numCache>
            </c:numRef>
          </c:val>
          <c:extLst>
            <c:ext xmlns:c16="http://schemas.microsoft.com/office/drawing/2014/chart" uri="{C3380CC4-5D6E-409C-BE32-E72D297353CC}">
              <c16:uniqueId val="{00000000-65C9-4603-AEA2-99BA8F0A933A}"/>
            </c:ext>
          </c:extLst>
        </c:ser>
        <c:ser>
          <c:idx val="1"/>
          <c:order val="1"/>
          <c:tx>
            <c:strRef>
              <c:f>Promediosyniveles!$L$135</c:f>
              <c:strCache>
                <c:ptCount val="1"/>
                <c:pt idx="0">
                  <c:v>2</c:v>
                </c:pt>
              </c:strCache>
            </c:strRef>
          </c:tx>
          <c:spPr>
            <a:solidFill>
              <a:srgbClr val="FF6600"/>
            </a:solidFill>
            <a:ln>
              <a:noFill/>
            </a:ln>
            <a:effectLst/>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Promediosyniveles!$I$136:$J$159</c:f>
              <c:multiLvlStrCache>
                <c:ptCount val="24"/>
                <c:lvl>
                  <c:pt idx="0">
                    <c:v>INSTITUCION EDUCATIVA EDUARDO SANTOS</c:v>
                  </c:pt>
                  <c:pt idx="1">
                    <c:v>OFICIALES URBANOS DE SOACHA</c:v>
                  </c:pt>
                  <c:pt idx="2">
                    <c:v>COMUNA 6 OFICIAL</c:v>
                  </c:pt>
                  <c:pt idx="3">
                    <c:v>INSTITUCION EDUCATIVA EDUARDO SANTOS</c:v>
                  </c:pt>
                  <c:pt idx="4">
                    <c:v>OFICIALES URBANOS DE SOACHA</c:v>
                  </c:pt>
                  <c:pt idx="5">
                    <c:v>COMUNA 6 OFICIAL</c:v>
                  </c:pt>
                  <c:pt idx="6">
                    <c:v>INSTITUCION EDUCATIVA EDUARDO SANTOS</c:v>
                  </c:pt>
                  <c:pt idx="7">
                    <c:v>OFICIALES URBANOS DE SOACHA</c:v>
                  </c:pt>
                  <c:pt idx="8">
                    <c:v>COMUNA 6 OFICIAL</c:v>
                  </c:pt>
                  <c:pt idx="9">
                    <c:v>INSTITUCION EDUCATIVA EDUARDO SANTOS</c:v>
                  </c:pt>
                  <c:pt idx="10">
                    <c:v>OFICIALES URBANOS DE SOACHA</c:v>
                  </c:pt>
                  <c:pt idx="11">
                    <c:v>COMUNA 6 OFICIAL</c:v>
                  </c:pt>
                  <c:pt idx="12">
                    <c:v>INSTITUCION EDUCATIVA EDUARDO SANTOS</c:v>
                  </c:pt>
                  <c:pt idx="13">
                    <c:v>OFICIALES URBANOS DE SOACHA</c:v>
                  </c:pt>
                  <c:pt idx="14">
                    <c:v>COMUNA 6 OFICIAL</c:v>
                  </c:pt>
                  <c:pt idx="15">
                    <c:v>INSTITUCION EDUCATIVA EDUARDO SANTOS</c:v>
                  </c:pt>
                  <c:pt idx="16">
                    <c:v>OFICIALES URBANOS DE SOACHA</c:v>
                  </c:pt>
                  <c:pt idx="17">
                    <c:v>COMUNA 6 OFICIAL</c:v>
                  </c:pt>
                  <c:pt idx="18">
                    <c:v>INSTITUCION EDUCATIVA EDUARDO SANTOS</c:v>
                  </c:pt>
                  <c:pt idx="19">
                    <c:v>OFICIALES URBANOS DE SOACHA</c:v>
                  </c:pt>
                  <c:pt idx="20">
                    <c:v>COMUNA 6 OFICIAL</c:v>
                  </c:pt>
                  <c:pt idx="21">
                    <c:v>INSTITUCION EDUCATIVA EDUARDO SANTOS</c:v>
                  </c:pt>
                  <c:pt idx="22">
                    <c:v>OFICIALES URBANOS DE SOACHA</c:v>
                  </c:pt>
                  <c:pt idx="23">
                    <c:v>COMUNA 6 OFICIAL</c:v>
                  </c:pt>
                </c:lvl>
                <c:lvl>
                  <c:pt idx="0">
                    <c:v>2016</c:v>
                  </c:pt>
                  <c:pt idx="3">
                    <c:v>2017</c:v>
                  </c:pt>
                  <c:pt idx="6">
                    <c:v>2018</c:v>
                  </c:pt>
                  <c:pt idx="9">
                    <c:v>2019</c:v>
                  </c:pt>
                  <c:pt idx="12">
                    <c:v>2020</c:v>
                  </c:pt>
                  <c:pt idx="15">
                    <c:v>2021</c:v>
                  </c:pt>
                  <c:pt idx="18">
                    <c:v>2022</c:v>
                  </c:pt>
                  <c:pt idx="21">
                    <c:v>2023</c:v>
                  </c:pt>
                </c:lvl>
              </c:multiLvlStrCache>
            </c:multiLvlStrRef>
          </c:cat>
          <c:val>
            <c:numRef>
              <c:f>Promediosyniveles!$L$136:$L$159</c:f>
              <c:numCache>
                <c:formatCode>0%</c:formatCode>
                <c:ptCount val="24"/>
                <c:pt idx="0">
                  <c:v>0.56000000000000005</c:v>
                </c:pt>
                <c:pt idx="1">
                  <c:v>0.55000000000000004</c:v>
                </c:pt>
                <c:pt idx="2">
                  <c:v>0.57333333333333325</c:v>
                </c:pt>
                <c:pt idx="3">
                  <c:v>0.56999999999999995</c:v>
                </c:pt>
                <c:pt idx="4">
                  <c:v>0.54</c:v>
                </c:pt>
                <c:pt idx="5">
                  <c:v>0.54333333333333333</c:v>
                </c:pt>
                <c:pt idx="6">
                  <c:v>0.45</c:v>
                </c:pt>
                <c:pt idx="7">
                  <c:v>0.51</c:v>
                </c:pt>
                <c:pt idx="8">
                  <c:v>0.48333333333333334</c:v>
                </c:pt>
                <c:pt idx="9">
                  <c:v>0.54</c:v>
                </c:pt>
                <c:pt idx="10">
                  <c:v>0.48</c:v>
                </c:pt>
                <c:pt idx="11">
                  <c:v>0.5</c:v>
                </c:pt>
                <c:pt idx="12">
                  <c:v>0.5</c:v>
                </c:pt>
                <c:pt idx="13">
                  <c:v>0.5</c:v>
                </c:pt>
                <c:pt idx="14">
                  <c:v>0.49666666666666665</c:v>
                </c:pt>
                <c:pt idx="15">
                  <c:v>0.47</c:v>
                </c:pt>
                <c:pt idx="16">
                  <c:v>0.5</c:v>
                </c:pt>
                <c:pt idx="17">
                  <c:v>0.50666666666666671</c:v>
                </c:pt>
                <c:pt idx="18">
                  <c:v>0.45</c:v>
                </c:pt>
                <c:pt idx="19">
                  <c:v>0.5</c:v>
                </c:pt>
                <c:pt idx="20">
                  <c:v>0.48</c:v>
                </c:pt>
                <c:pt idx="21">
                  <c:v>0.55000000000000004</c:v>
                </c:pt>
                <c:pt idx="22">
                  <c:v>0.51</c:v>
                </c:pt>
                <c:pt idx="23">
                  <c:v>0.51666666666666672</c:v>
                </c:pt>
              </c:numCache>
            </c:numRef>
          </c:val>
          <c:extLst>
            <c:ext xmlns:c16="http://schemas.microsoft.com/office/drawing/2014/chart" uri="{C3380CC4-5D6E-409C-BE32-E72D297353CC}">
              <c16:uniqueId val="{00000001-65C9-4603-AEA2-99BA8F0A933A}"/>
            </c:ext>
          </c:extLst>
        </c:ser>
        <c:ser>
          <c:idx val="2"/>
          <c:order val="2"/>
          <c:tx>
            <c:strRef>
              <c:f>Promediosyniveles!$M$135</c:f>
              <c:strCache>
                <c:ptCount val="1"/>
                <c:pt idx="0">
                  <c:v>3</c:v>
                </c:pt>
              </c:strCache>
            </c:strRef>
          </c:tx>
          <c:spPr>
            <a:solidFill>
              <a:srgbClr val="FFFF00"/>
            </a:solidFill>
            <a:ln>
              <a:noFill/>
            </a:ln>
            <a:effectLst/>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Promediosyniveles!$I$136:$J$159</c:f>
              <c:multiLvlStrCache>
                <c:ptCount val="24"/>
                <c:lvl>
                  <c:pt idx="0">
                    <c:v>INSTITUCION EDUCATIVA EDUARDO SANTOS</c:v>
                  </c:pt>
                  <c:pt idx="1">
                    <c:v>OFICIALES URBANOS DE SOACHA</c:v>
                  </c:pt>
                  <c:pt idx="2">
                    <c:v>COMUNA 6 OFICIAL</c:v>
                  </c:pt>
                  <c:pt idx="3">
                    <c:v>INSTITUCION EDUCATIVA EDUARDO SANTOS</c:v>
                  </c:pt>
                  <c:pt idx="4">
                    <c:v>OFICIALES URBANOS DE SOACHA</c:v>
                  </c:pt>
                  <c:pt idx="5">
                    <c:v>COMUNA 6 OFICIAL</c:v>
                  </c:pt>
                  <c:pt idx="6">
                    <c:v>INSTITUCION EDUCATIVA EDUARDO SANTOS</c:v>
                  </c:pt>
                  <c:pt idx="7">
                    <c:v>OFICIALES URBANOS DE SOACHA</c:v>
                  </c:pt>
                  <c:pt idx="8">
                    <c:v>COMUNA 6 OFICIAL</c:v>
                  </c:pt>
                  <c:pt idx="9">
                    <c:v>INSTITUCION EDUCATIVA EDUARDO SANTOS</c:v>
                  </c:pt>
                  <c:pt idx="10">
                    <c:v>OFICIALES URBANOS DE SOACHA</c:v>
                  </c:pt>
                  <c:pt idx="11">
                    <c:v>COMUNA 6 OFICIAL</c:v>
                  </c:pt>
                  <c:pt idx="12">
                    <c:v>INSTITUCION EDUCATIVA EDUARDO SANTOS</c:v>
                  </c:pt>
                  <c:pt idx="13">
                    <c:v>OFICIALES URBANOS DE SOACHA</c:v>
                  </c:pt>
                  <c:pt idx="14">
                    <c:v>COMUNA 6 OFICIAL</c:v>
                  </c:pt>
                  <c:pt idx="15">
                    <c:v>INSTITUCION EDUCATIVA EDUARDO SANTOS</c:v>
                  </c:pt>
                  <c:pt idx="16">
                    <c:v>OFICIALES URBANOS DE SOACHA</c:v>
                  </c:pt>
                  <c:pt idx="17">
                    <c:v>COMUNA 6 OFICIAL</c:v>
                  </c:pt>
                  <c:pt idx="18">
                    <c:v>INSTITUCION EDUCATIVA EDUARDO SANTOS</c:v>
                  </c:pt>
                  <c:pt idx="19">
                    <c:v>OFICIALES URBANOS DE SOACHA</c:v>
                  </c:pt>
                  <c:pt idx="20">
                    <c:v>COMUNA 6 OFICIAL</c:v>
                  </c:pt>
                  <c:pt idx="21">
                    <c:v>INSTITUCION EDUCATIVA EDUARDO SANTOS</c:v>
                  </c:pt>
                  <c:pt idx="22">
                    <c:v>OFICIALES URBANOS DE SOACHA</c:v>
                  </c:pt>
                  <c:pt idx="23">
                    <c:v>COMUNA 6 OFICIAL</c:v>
                  </c:pt>
                </c:lvl>
                <c:lvl>
                  <c:pt idx="0">
                    <c:v>2016</c:v>
                  </c:pt>
                  <c:pt idx="3">
                    <c:v>2017</c:v>
                  </c:pt>
                  <c:pt idx="6">
                    <c:v>2018</c:v>
                  </c:pt>
                  <c:pt idx="9">
                    <c:v>2019</c:v>
                  </c:pt>
                  <c:pt idx="12">
                    <c:v>2020</c:v>
                  </c:pt>
                  <c:pt idx="15">
                    <c:v>2021</c:v>
                  </c:pt>
                  <c:pt idx="18">
                    <c:v>2022</c:v>
                  </c:pt>
                  <c:pt idx="21">
                    <c:v>2023</c:v>
                  </c:pt>
                </c:lvl>
              </c:multiLvlStrCache>
            </c:multiLvlStrRef>
          </c:cat>
          <c:val>
            <c:numRef>
              <c:f>Promediosyniveles!$M$136:$M$159</c:f>
              <c:numCache>
                <c:formatCode>0%</c:formatCode>
                <c:ptCount val="24"/>
                <c:pt idx="0">
                  <c:v>0.32</c:v>
                </c:pt>
                <c:pt idx="1">
                  <c:v>0.28000000000000003</c:v>
                </c:pt>
                <c:pt idx="2">
                  <c:v>0.28333333333333338</c:v>
                </c:pt>
                <c:pt idx="3">
                  <c:v>0.28000000000000003</c:v>
                </c:pt>
                <c:pt idx="4">
                  <c:v>0.28999999999999998</c:v>
                </c:pt>
                <c:pt idx="5">
                  <c:v>0.29333333333333333</c:v>
                </c:pt>
                <c:pt idx="6">
                  <c:v>0.23</c:v>
                </c:pt>
                <c:pt idx="7">
                  <c:v>0.24</c:v>
                </c:pt>
                <c:pt idx="8">
                  <c:v>0.22666666666666668</c:v>
                </c:pt>
                <c:pt idx="9">
                  <c:v>0.15</c:v>
                </c:pt>
                <c:pt idx="10">
                  <c:v>0.2</c:v>
                </c:pt>
                <c:pt idx="11">
                  <c:v>0.17333333333333334</c:v>
                </c:pt>
                <c:pt idx="12">
                  <c:v>0.22</c:v>
                </c:pt>
                <c:pt idx="13">
                  <c:v>0.26</c:v>
                </c:pt>
                <c:pt idx="14">
                  <c:v>0.25</c:v>
                </c:pt>
                <c:pt idx="15">
                  <c:v>0.26</c:v>
                </c:pt>
                <c:pt idx="16">
                  <c:v>0.21</c:v>
                </c:pt>
                <c:pt idx="17">
                  <c:v>0.20333333333333334</c:v>
                </c:pt>
                <c:pt idx="18">
                  <c:v>0.26</c:v>
                </c:pt>
                <c:pt idx="19">
                  <c:v>0.23</c:v>
                </c:pt>
                <c:pt idx="20">
                  <c:v>0.22</c:v>
                </c:pt>
                <c:pt idx="21">
                  <c:v>0.2</c:v>
                </c:pt>
                <c:pt idx="22">
                  <c:v>0.24</c:v>
                </c:pt>
                <c:pt idx="23">
                  <c:v>0.20666666666666667</c:v>
                </c:pt>
              </c:numCache>
            </c:numRef>
          </c:val>
          <c:extLst>
            <c:ext xmlns:c16="http://schemas.microsoft.com/office/drawing/2014/chart" uri="{C3380CC4-5D6E-409C-BE32-E72D297353CC}">
              <c16:uniqueId val="{00000002-65C9-4603-AEA2-99BA8F0A933A}"/>
            </c:ext>
          </c:extLst>
        </c:ser>
        <c:ser>
          <c:idx val="3"/>
          <c:order val="3"/>
          <c:tx>
            <c:strRef>
              <c:f>Promediosyniveles!$N$135</c:f>
              <c:strCache>
                <c:ptCount val="1"/>
                <c:pt idx="0">
                  <c:v>4</c:v>
                </c:pt>
              </c:strCache>
            </c:strRef>
          </c:tx>
          <c:spPr>
            <a:solidFill>
              <a:srgbClr val="00B050"/>
            </a:solidFill>
            <a:ln>
              <a:noFill/>
            </a:ln>
            <a:effectLst/>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Promediosyniveles!$I$136:$J$159</c:f>
              <c:multiLvlStrCache>
                <c:ptCount val="24"/>
                <c:lvl>
                  <c:pt idx="0">
                    <c:v>INSTITUCION EDUCATIVA EDUARDO SANTOS</c:v>
                  </c:pt>
                  <c:pt idx="1">
                    <c:v>OFICIALES URBANOS DE SOACHA</c:v>
                  </c:pt>
                  <c:pt idx="2">
                    <c:v>COMUNA 6 OFICIAL</c:v>
                  </c:pt>
                  <c:pt idx="3">
                    <c:v>INSTITUCION EDUCATIVA EDUARDO SANTOS</c:v>
                  </c:pt>
                  <c:pt idx="4">
                    <c:v>OFICIALES URBANOS DE SOACHA</c:v>
                  </c:pt>
                  <c:pt idx="5">
                    <c:v>COMUNA 6 OFICIAL</c:v>
                  </c:pt>
                  <c:pt idx="6">
                    <c:v>INSTITUCION EDUCATIVA EDUARDO SANTOS</c:v>
                  </c:pt>
                  <c:pt idx="7">
                    <c:v>OFICIALES URBANOS DE SOACHA</c:v>
                  </c:pt>
                  <c:pt idx="8">
                    <c:v>COMUNA 6 OFICIAL</c:v>
                  </c:pt>
                  <c:pt idx="9">
                    <c:v>INSTITUCION EDUCATIVA EDUARDO SANTOS</c:v>
                  </c:pt>
                  <c:pt idx="10">
                    <c:v>OFICIALES URBANOS DE SOACHA</c:v>
                  </c:pt>
                  <c:pt idx="11">
                    <c:v>COMUNA 6 OFICIAL</c:v>
                  </c:pt>
                  <c:pt idx="12">
                    <c:v>INSTITUCION EDUCATIVA EDUARDO SANTOS</c:v>
                  </c:pt>
                  <c:pt idx="13">
                    <c:v>OFICIALES URBANOS DE SOACHA</c:v>
                  </c:pt>
                  <c:pt idx="14">
                    <c:v>COMUNA 6 OFICIAL</c:v>
                  </c:pt>
                  <c:pt idx="15">
                    <c:v>INSTITUCION EDUCATIVA EDUARDO SANTOS</c:v>
                  </c:pt>
                  <c:pt idx="16">
                    <c:v>OFICIALES URBANOS DE SOACHA</c:v>
                  </c:pt>
                  <c:pt idx="17">
                    <c:v>COMUNA 6 OFICIAL</c:v>
                  </c:pt>
                  <c:pt idx="18">
                    <c:v>INSTITUCION EDUCATIVA EDUARDO SANTOS</c:v>
                  </c:pt>
                  <c:pt idx="19">
                    <c:v>OFICIALES URBANOS DE SOACHA</c:v>
                  </c:pt>
                  <c:pt idx="20">
                    <c:v>COMUNA 6 OFICIAL</c:v>
                  </c:pt>
                  <c:pt idx="21">
                    <c:v>INSTITUCION EDUCATIVA EDUARDO SANTOS</c:v>
                  </c:pt>
                  <c:pt idx="22">
                    <c:v>OFICIALES URBANOS DE SOACHA</c:v>
                  </c:pt>
                  <c:pt idx="23">
                    <c:v>COMUNA 6 OFICIAL</c:v>
                  </c:pt>
                </c:lvl>
                <c:lvl>
                  <c:pt idx="0">
                    <c:v>2016</c:v>
                  </c:pt>
                  <c:pt idx="3">
                    <c:v>2017</c:v>
                  </c:pt>
                  <c:pt idx="6">
                    <c:v>2018</c:v>
                  </c:pt>
                  <c:pt idx="9">
                    <c:v>2019</c:v>
                  </c:pt>
                  <c:pt idx="12">
                    <c:v>2020</c:v>
                  </c:pt>
                  <c:pt idx="15">
                    <c:v>2021</c:v>
                  </c:pt>
                  <c:pt idx="18">
                    <c:v>2022</c:v>
                  </c:pt>
                  <c:pt idx="21">
                    <c:v>2023</c:v>
                  </c:pt>
                </c:lvl>
              </c:multiLvlStrCache>
            </c:multiLvlStrRef>
          </c:cat>
          <c:val>
            <c:numRef>
              <c:f>Promediosyniveles!$N$136:$N$159</c:f>
              <c:numCache>
                <c:formatCode>0%</c:formatCode>
                <c:ptCount val="24"/>
                <c:pt idx="0">
                  <c:v>0</c:v>
                </c:pt>
                <c:pt idx="1">
                  <c:v>0.01</c:v>
                </c:pt>
                <c:pt idx="2">
                  <c:v>3.3333333333333335E-3</c:v>
                </c:pt>
                <c:pt idx="3">
                  <c:v>0.01</c:v>
                </c:pt>
                <c:pt idx="4">
                  <c:v>0.01</c:v>
                </c:pt>
                <c:pt idx="5">
                  <c:v>1.3333333333333334E-2</c:v>
                </c:pt>
                <c:pt idx="6">
                  <c:v>0.01</c:v>
                </c:pt>
                <c:pt idx="7">
                  <c:v>0.01</c:v>
                </c:pt>
                <c:pt idx="8">
                  <c:v>1.6666666666666666E-2</c:v>
                </c:pt>
                <c:pt idx="9">
                  <c:v>0.01</c:v>
                </c:pt>
                <c:pt idx="10">
                  <c:v>0.01</c:v>
                </c:pt>
                <c:pt idx="11">
                  <c:v>1.6666666666666666E-2</c:v>
                </c:pt>
                <c:pt idx="12">
                  <c:v>0.02</c:v>
                </c:pt>
                <c:pt idx="13">
                  <c:v>0.01</c:v>
                </c:pt>
                <c:pt idx="14">
                  <c:v>0.02</c:v>
                </c:pt>
                <c:pt idx="15">
                  <c:v>0.01</c:v>
                </c:pt>
                <c:pt idx="16">
                  <c:v>0.01</c:v>
                </c:pt>
                <c:pt idx="17">
                  <c:v>6.6666666666666671E-3</c:v>
                </c:pt>
                <c:pt idx="18">
                  <c:v>0</c:v>
                </c:pt>
                <c:pt idx="19">
                  <c:v>0.01</c:v>
                </c:pt>
                <c:pt idx="20">
                  <c:v>3.3333333333333335E-3</c:v>
                </c:pt>
                <c:pt idx="21">
                  <c:v>0</c:v>
                </c:pt>
                <c:pt idx="22">
                  <c:v>0.01</c:v>
                </c:pt>
                <c:pt idx="23">
                  <c:v>3.3333333333333335E-3</c:v>
                </c:pt>
              </c:numCache>
            </c:numRef>
          </c:val>
          <c:extLst>
            <c:ext xmlns:c16="http://schemas.microsoft.com/office/drawing/2014/chart" uri="{C3380CC4-5D6E-409C-BE32-E72D297353CC}">
              <c16:uniqueId val="{00000003-65C9-4603-AEA2-99BA8F0A933A}"/>
            </c:ext>
          </c:extLst>
        </c:ser>
        <c:dLbls>
          <c:showLegendKey val="0"/>
          <c:showVal val="0"/>
          <c:showCatName val="0"/>
          <c:showSerName val="0"/>
          <c:showPercent val="0"/>
          <c:showBubbleSize val="0"/>
        </c:dLbls>
        <c:gapWidth val="150"/>
        <c:overlap val="100"/>
        <c:axId val="419681552"/>
        <c:axId val="419681968"/>
      </c:barChart>
      <c:catAx>
        <c:axId val="4196815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crossAx val="419681968"/>
        <c:crosses val="autoZero"/>
        <c:auto val="1"/>
        <c:lblAlgn val="ctr"/>
        <c:lblOffset val="100"/>
        <c:noMultiLvlLbl val="0"/>
      </c:catAx>
      <c:valAx>
        <c:axId val="419681968"/>
        <c:scaling>
          <c:orientation val="minMax"/>
          <c:max val="1"/>
        </c:scaling>
        <c:delete val="0"/>
        <c:axPos val="l"/>
        <c:majorGridlines>
          <c:spPr>
            <a:ln w="9525" cap="flat" cmpd="sng" algn="ctr">
              <a:solidFill>
                <a:schemeClr val="bg1"/>
              </a:solidFill>
              <a:round/>
            </a:ln>
            <a:effectLst/>
          </c:spPr>
        </c:maj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crossAx val="41968155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s-CO" b="1"/>
              <a:t>Porcentaje de estudiantes por niveles de desempeño</a:t>
            </a:r>
          </a:p>
          <a:p>
            <a:pPr>
              <a:defRPr b="1"/>
            </a:pPr>
            <a:r>
              <a:rPr lang="es-CO" b="1"/>
              <a:t>Ciencias</a:t>
            </a:r>
            <a:r>
              <a:rPr lang="es-CO" b="1" baseline="0"/>
              <a:t> Naturales</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title>
    <c:autoTitleDeleted val="0"/>
    <c:plotArea>
      <c:layout>
        <c:manualLayout>
          <c:layoutTarget val="inner"/>
          <c:xMode val="edge"/>
          <c:yMode val="edge"/>
          <c:x val="5.8824970037937116E-2"/>
          <c:y val="7.8342270887734031E-2"/>
          <c:w val="0.87882379682560963"/>
          <c:h val="0.5411602842510862"/>
        </c:manualLayout>
      </c:layout>
      <c:barChart>
        <c:barDir val="col"/>
        <c:grouping val="stacked"/>
        <c:varyColors val="0"/>
        <c:ser>
          <c:idx val="0"/>
          <c:order val="0"/>
          <c:tx>
            <c:strRef>
              <c:f>Promediosyniveles!$K$196</c:f>
              <c:strCache>
                <c:ptCount val="1"/>
                <c:pt idx="0">
                  <c:v>1</c:v>
                </c:pt>
              </c:strCache>
            </c:strRef>
          </c:tx>
          <c:spPr>
            <a:solidFill>
              <a:srgbClr val="FF0000"/>
            </a:solidFill>
            <a:ln>
              <a:noFill/>
            </a:ln>
            <a:effectLst/>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Promediosyniveles!$I$197:$J$220</c:f>
              <c:multiLvlStrCache>
                <c:ptCount val="24"/>
                <c:lvl>
                  <c:pt idx="0">
                    <c:v>INSTITUCION EDUCATIVA EDUARDO SANTOS</c:v>
                  </c:pt>
                  <c:pt idx="1">
                    <c:v>OFICIALES URBANOS DE SOACHA</c:v>
                  </c:pt>
                  <c:pt idx="2">
                    <c:v>COMUNA 6 OFICIAL</c:v>
                  </c:pt>
                  <c:pt idx="3">
                    <c:v>INSTITUCION EDUCATIVA EDUARDO SANTOS</c:v>
                  </c:pt>
                  <c:pt idx="4">
                    <c:v>OFICIALES URBANOS DE SOACHA</c:v>
                  </c:pt>
                  <c:pt idx="5">
                    <c:v>COMUNA 6 OFICIAL</c:v>
                  </c:pt>
                  <c:pt idx="6">
                    <c:v>INSTITUCION EDUCATIVA EDUARDO SANTOS</c:v>
                  </c:pt>
                  <c:pt idx="7">
                    <c:v>OFICIALES URBANOS DE SOACHA</c:v>
                  </c:pt>
                  <c:pt idx="8">
                    <c:v>COMUNA 6 OFICIAL</c:v>
                  </c:pt>
                  <c:pt idx="9">
                    <c:v>INSTITUCION EDUCATIVA EDUARDO SANTOS</c:v>
                  </c:pt>
                  <c:pt idx="10">
                    <c:v>OFICIALES URBANOS DE SOACHA</c:v>
                  </c:pt>
                  <c:pt idx="11">
                    <c:v>COMUNA 6 OFICIAL</c:v>
                  </c:pt>
                  <c:pt idx="12">
                    <c:v>INSTITUCION EDUCATIVA EDUARDO SANTOS</c:v>
                  </c:pt>
                  <c:pt idx="13">
                    <c:v>OFICIALES URBANOS DE SOACHA</c:v>
                  </c:pt>
                  <c:pt idx="14">
                    <c:v>COMUNA 6 OFICIAL</c:v>
                  </c:pt>
                  <c:pt idx="15">
                    <c:v>INSTITUCION EDUCATIVA EDUARDO SANTOS</c:v>
                  </c:pt>
                  <c:pt idx="16">
                    <c:v>OFICIALES URBANOS DE SOACHA</c:v>
                  </c:pt>
                  <c:pt idx="17">
                    <c:v>COMUNA 6 OFICIAL</c:v>
                  </c:pt>
                  <c:pt idx="18">
                    <c:v>INSTITUCION EDUCATIVA EDUARDO SANTOS</c:v>
                  </c:pt>
                  <c:pt idx="19">
                    <c:v>OFICIALES URBANOS DE SOACHA</c:v>
                  </c:pt>
                  <c:pt idx="20">
                    <c:v>COMUNA 6 OFICIAL</c:v>
                  </c:pt>
                  <c:pt idx="21">
                    <c:v>INSTITUCION EDUCATIVA EDUARDO SANTOS</c:v>
                  </c:pt>
                  <c:pt idx="22">
                    <c:v>OFICIALES URBANOS DE SOACHA</c:v>
                  </c:pt>
                  <c:pt idx="23">
                    <c:v>COMUNA 6 OFICIAL</c:v>
                  </c:pt>
                </c:lvl>
                <c:lvl>
                  <c:pt idx="0">
                    <c:v>2016</c:v>
                  </c:pt>
                  <c:pt idx="3">
                    <c:v>2017</c:v>
                  </c:pt>
                  <c:pt idx="6">
                    <c:v>2018</c:v>
                  </c:pt>
                  <c:pt idx="9">
                    <c:v>2019</c:v>
                  </c:pt>
                  <c:pt idx="12">
                    <c:v>2020</c:v>
                  </c:pt>
                  <c:pt idx="15">
                    <c:v>2021</c:v>
                  </c:pt>
                  <c:pt idx="18">
                    <c:v>2022</c:v>
                  </c:pt>
                  <c:pt idx="21">
                    <c:v>2023</c:v>
                  </c:pt>
                </c:lvl>
              </c:multiLvlStrCache>
            </c:multiLvlStrRef>
          </c:cat>
          <c:val>
            <c:numRef>
              <c:f>Promediosyniveles!$K$197:$K$220</c:f>
              <c:numCache>
                <c:formatCode>0%</c:formatCode>
                <c:ptCount val="24"/>
                <c:pt idx="0">
                  <c:v>0.03</c:v>
                </c:pt>
                <c:pt idx="1">
                  <c:v>0.06</c:v>
                </c:pt>
                <c:pt idx="2">
                  <c:v>3.6666666666666667E-2</c:v>
                </c:pt>
                <c:pt idx="3">
                  <c:v>0.09</c:v>
                </c:pt>
                <c:pt idx="4">
                  <c:v>0.09</c:v>
                </c:pt>
                <c:pt idx="5">
                  <c:v>8.666666666666667E-2</c:v>
                </c:pt>
                <c:pt idx="6">
                  <c:v>0.16</c:v>
                </c:pt>
                <c:pt idx="7">
                  <c:v>0.14000000000000001</c:v>
                </c:pt>
                <c:pt idx="8">
                  <c:v>0.12666666666666668</c:v>
                </c:pt>
                <c:pt idx="9">
                  <c:v>0.14000000000000001</c:v>
                </c:pt>
                <c:pt idx="10">
                  <c:v>0.18</c:v>
                </c:pt>
                <c:pt idx="11">
                  <c:v>0.15000000000000002</c:v>
                </c:pt>
                <c:pt idx="12">
                  <c:v>0.21</c:v>
                </c:pt>
                <c:pt idx="13">
                  <c:v>0.19</c:v>
                </c:pt>
                <c:pt idx="14">
                  <c:v>0.19999999999999998</c:v>
                </c:pt>
                <c:pt idx="15">
                  <c:v>0.17</c:v>
                </c:pt>
                <c:pt idx="16">
                  <c:v>0.17</c:v>
                </c:pt>
                <c:pt idx="17">
                  <c:v>0.17333333333333334</c:v>
                </c:pt>
                <c:pt idx="18">
                  <c:v>0.14000000000000001</c:v>
                </c:pt>
                <c:pt idx="19">
                  <c:v>0.17</c:v>
                </c:pt>
                <c:pt idx="20">
                  <c:v>0.16666666666666666</c:v>
                </c:pt>
                <c:pt idx="21">
                  <c:v>0.17</c:v>
                </c:pt>
                <c:pt idx="22">
                  <c:v>0.16</c:v>
                </c:pt>
                <c:pt idx="23">
                  <c:v>0.17666666666666667</c:v>
                </c:pt>
              </c:numCache>
            </c:numRef>
          </c:val>
          <c:extLst>
            <c:ext xmlns:c16="http://schemas.microsoft.com/office/drawing/2014/chart" uri="{C3380CC4-5D6E-409C-BE32-E72D297353CC}">
              <c16:uniqueId val="{00000000-570D-4E79-9623-C9A2F43421E2}"/>
            </c:ext>
          </c:extLst>
        </c:ser>
        <c:ser>
          <c:idx val="1"/>
          <c:order val="1"/>
          <c:tx>
            <c:strRef>
              <c:f>Promediosyniveles!$L$196</c:f>
              <c:strCache>
                <c:ptCount val="1"/>
                <c:pt idx="0">
                  <c:v>2</c:v>
                </c:pt>
              </c:strCache>
            </c:strRef>
          </c:tx>
          <c:spPr>
            <a:solidFill>
              <a:srgbClr val="FF6600"/>
            </a:solidFill>
            <a:ln>
              <a:noFill/>
            </a:ln>
            <a:effectLst/>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Promediosyniveles!$I$197:$J$220</c:f>
              <c:multiLvlStrCache>
                <c:ptCount val="24"/>
                <c:lvl>
                  <c:pt idx="0">
                    <c:v>INSTITUCION EDUCATIVA EDUARDO SANTOS</c:v>
                  </c:pt>
                  <c:pt idx="1">
                    <c:v>OFICIALES URBANOS DE SOACHA</c:v>
                  </c:pt>
                  <c:pt idx="2">
                    <c:v>COMUNA 6 OFICIAL</c:v>
                  </c:pt>
                  <c:pt idx="3">
                    <c:v>INSTITUCION EDUCATIVA EDUARDO SANTOS</c:v>
                  </c:pt>
                  <c:pt idx="4">
                    <c:v>OFICIALES URBANOS DE SOACHA</c:v>
                  </c:pt>
                  <c:pt idx="5">
                    <c:v>COMUNA 6 OFICIAL</c:v>
                  </c:pt>
                  <c:pt idx="6">
                    <c:v>INSTITUCION EDUCATIVA EDUARDO SANTOS</c:v>
                  </c:pt>
                  <c:pt idx="7">
                    <c:v>OFICIALES URBANOS DE SOACHA</c:v>
                  </c:pt>
                  <c:pt idx="8">
                    <c:v>COMUNA 6 OFICIAL</c:v>
                  </c:pt>
                  <c:pt idx="9">
                    <c:v>INSTITUCION EDUCATIVA EDUARDO SANTOS</c:v>
                  </c:pt>
                  <c:pt idx="10">
                    <c:v>OFICIALES URBANOS DE SOACHA</c:v>
                  </c:pt>
                  <c:pt idx="11">
                    <c:v>COMUNA 6 OFICIAL</c:v>
                  </c:pt>
                  <c:pt idx="12">
                    <c:v>INSTITUCION EDUCATIVA EDUARDO SANTOS</c:v>
                  </c:pt>
                  <c:pt idx="13">
                    <c:v>OFICIALES URBANOS DE SOACHA</c:v>
                  </c:pt>
                  <c:pt idx="14">
                    <c:v>COMUNA 6 OFICIAL</c:v>
                  </c:pt>
                  <c:pt idx="15">
                    <c:v>INSTITUCION EDUCATIVA EDUARDO SANTOS</c:v>
                  </c:pt>
                  <c:pt idx="16">
                    <c:v>OFICIALES URBANOS DE SOACHA</c:v>
                  </c:pt>
                  <c:pt idx="17">
                    <c:v>COMUNA 6 OFICIAL</c:v>
                  </c:pt>
                  <c:pt idx="18">
                    <c:v>INSTITUCION EDUCATIVA EDUARDO SANTOS</c:v>
                  </c:pt>
                  <c:pt idx="19">
                    <c:v>OFICIALES URBANOS DE SOACHA</c:v>
                  </c:pt>
                  <c:pt idx="20">
                    <c:v>COMUNA 6 OFICIAL</c:v>
                  </c:pt>
                  <c:pt idx="21">
                    <c:v>INSTITUCION EDUCATIVA EDUARDO SANTOS</c:v>
                  </c:pt>
                  <c:pt idx="22">
                    <c:v>OFICIALES URBANOS DE SOACHA</c:v>
                  </c:pt>
                  <c:pt idx="23">
                    <c:v>COMUNA 6 OFICIAL</c:v>
                  </c:pt>
                </c:lvl>
                <c:lvl>
                  <c:pt idx="0">
                    <c:v>2016</c:v>
                  </c:pt>
                  <c:pt idx="3">
                    <c:v>2017</c:v>
                  </c:pt>
                  <c:pt idx="6">
                    <c:v>2018</c:v>
                  </c:pt>
                  <c:pt idx="9">
                    <c:v>2019</c:v>
                  </c:pt>
                  <c:pt idx="12">
                    <c:v>2020</c:v>
                  </c:pt>
                  <c:pt idx="15">
                    <c:v>2021</c:v>
                  </c:pt>
                  <c:pt idx="18">
                    <c:v>2022</c:v>
                  </c:pt>
                  <c:pt idx="21">
                    <c:v>2023</c:v>
                  </c:pt>
                </c:lvl>
              </c:multiLvlStrCache>
            </c:multiLvlStrRef>
          </c:cat>
          <c:val>
            <c:numRef>
              <c:f>Promediosyniveles!$L$197:$L$220</c:f>
              <c:numCache>
                <c:formatCode>0%</c:formatCode>
                <c:ptCount val="24"/>
                <c:pt idx="0">
                  <c:v>0.57999999999999996</c:v>
                </c:pt>
                <c:pt idx="1">
                  <c:v>0.59</c:v>
                </c:pt>
                <c:pt idx="2">
                  <c:v>0.61</c:v>
                </c:pt>
                <c:pt idx="3">
                  <c:v>0.53</c:v>
                </c:pt>
                <c:pt idx="4">
                  <c:v>0.56999999999999995</c:v>
                </c:pt>
                <c:pt idx="5">
                  <c:v>0.57333333333333336</c:v>
                </c:pt>
                <c:pt idx="6">
                  <c:v>0.61</c:v>
                </c:pt>
                <c:pt idx="7">
                  <c:v>0.6</c:v>
                </c:pt>
                <c:pt idx="8">
                  <c:v>0.60333333333333328</c:v>
                </c:pt>
                <c:pt idx="9">
                  <c:v>0.7</c:v>
                </c:pt>
                <c:pt idx="10">
                  <c:v>0.61</c:v>
                </c:pt>
                <c:pt idx="11">
                  <c:v>0.65333333333333332</c:v>
                </c:pt>
                <c:pt idx="12">
                  <c:v>0.65</c:v>
                </c:pt>
                <c:pt idx="13">
                  <c:v>0.59</c:v>
                </c:pt>
                <c:pt idx="14">
                  <c:v>0.62</c:v>
                </c:pt>
                <c:pt idx="15">
                  <c:v>0.69</c:v>
                </c:pt>
                <c:pt idx="16">
                  <c:v>0.64</c:v>
                </c:pt>
                <c:pt idx="17">
                  <c:v>0.67666666666666664</c:v>
                </c:pt>
                <c:pt idx="18">
                  <c:v>0.63</c:v>
                </c:pt>
                <c:pt idx="19">
                  <c:v>0.59</c:v>
                </c:pt>
                <c:pt idx="20">
                  <c:v>0.59666666666666668</c:v>
                </c:pt>
                <c:pt idx="21">
                  <c:v>0.61</c:v>
                </c:pt>
                <c:pt idx="22">
                  <c:v>0.57999999999999996</c:v>
                </c:pt>
                <c:pt idx="23">
                  <c:v>0.59333333333333338</c:v>
                </c:pt>
              </c:numCache>
            </c:numRef>
          </c:val>
          <c:extLst>
            <c:ext xmlns:c16="http://schemas.microsoft.com/office/drawing/2014/chart" uri="{C3380CC4-5D6E-409C-BE32-E72D297353CC}">
              <c16:uniqueId val="{00000001-570D-4E79-9623-C9A2F43421E2}"/>
            </c:ext>
          </c:extLst>
        </c:ser>
        <c:ser>
          <c:idx val="2"/>
          <c:order val="2"/>
          <c:tx>
            <c:strRef>
              <c:f>Promediosyniveles!$M$196</c:f>
              <c:strCache>
                <c:ptCount val="1"/>
                <c:pt idx="0">
                  <c:v>3</c:v>
                </c:pt>
              </c:strCache>
            </c:strRef>
          </c:tx>
          <c:spPr>
            <a:solidFill>
              <a:srgbClr val="FFFF00"/>
            </a:solidFill>
            <a:ln>
              <a:noFill/>
            </a:ln>
            <a:effectLst/>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Promediosyniveles!$I$197:$J$220</c:f>
              <c:multiLvlStrCache>
                <c:ptCount val="24"/>
                <c:lvl>
                  <c:pt idx="0">
                    <c:v>INSTITUCION EDUCATIVA EDUARDO SANTOS</c:v>
                  </c:pt>
                  <c:pt idx="1">
                    <c:v>OFICIALES URBANOS DE SOACHA</c:v>
                  </c:pt>
                  <c:pt idx="2">
                    <c:v>COMUNA 6 OFICIAL</c:v>
                  </c:pt>
                  <c:pt idx="3">
                    <c:v>INSTITUCION EDUCATIVA EDUARDO SANTOS</c:v>
                  </c:pt>
                  <c:pt idx="4">
                    <c:v>OFICIALES URBANOS DE SOACHA</c:v>
                  </c:pt>
                  <c:pt idx="5">
                    <c:v>COMUNA 6 OFICIAL</c:v>
                  </c:pt>
                  <c:pt idx="6">
                    <c:v>INSTITUCION EDUCATIVA EDUARDO SANTOS</c:v>
                  </c:pt>
                  <c:pt idx="7">
                    <c:v>OFICIALES URBANOS DE SOACHA</c:v>
                  </c:pt>
                  <c:pt idx="8">
                    <c:v>COMUNA 6 OFICIAL</c:v>
                  </c:pt>
                  <c:pt idx="9">
                    <c:v>INSTITUCION EDUCATIVA EDUARDO SANTOS</c:v>
                  </c:pt>
                  <c:pt idx="10">
                    <c:v>OFICIALES URBANOS DE SOACHA</c:v>
                  </c:pt>
                  <c:pt idx="11">
                    <c:v>COMUNA 6 OFICIAL</c:v>
                  </c:pt>
                  <c:pt idx="12">
                    <c:v>INSTITUCION EDUCATIVA EDUARDO SANTOS</c:v>
                  </c:pt>
                  <c:pt idx="13">
                    <c:v>OFICIALES URBANOS DE SOACHA</c:v>
                  </c:pt>
                  <c:pt idx="14">
                    <c:v>COMUNA 6 OFICIAL</c:v>
                  </c:pt>
                  <c:pt idx="15">
                    <c:v>INSTITUCION EDUCATIVA EDUARDO SANTOS</c:v>
                  </c:pt>
                  <c:pt idx="16">
                    <c:v>OFICIALES URBANOS DE SOACHA</c:v>
                  </c:pt>
                  <c:pt idx="17">
                    <c:v>COMUNA 6 OFICIAL</c:v>
                  </c:pt>
                  <c:pt idx="18">
                    <c:v>INSTITUCION EDUCATIVA EDUARDO SANTOS</c:v>
                  </c:pt>
                  <c:pt idx="19">
                    <c:v>OFICIALES URBANOS DE SOACHA</c:v>
                  </c:pt>
                  <c:pt idx="20">
                    <c:v>COMUNA 6 OFICIAL</c:v>
                  </c:pt>
                  <c:pt idx="21">
                    <c:v>INSTITUCION EDUCATIVA EDUARDO SANTOS</c:v>
                  </c:pt>
                  <c:pt idx="22">
                    <c:v>OFICIALES URBANOS DE SOACHA</c:v>
                  </c:pt>
                  <c:pt idx="23">
                    <c:v>COMUNA 6 OFICIAL</c:v>
                  </c:pt>
                </c:lvl>
                <c:lvl>
                  <c:pt idx="0">
                    <c:v>2016</c:v>
                  </c:pt>
                  <c:pt idx="3">
                    <c:v>2017</c:v>
                  </c:pt>
                  <c:pt idx="6">
                    <c:v>2018</c:v>
                  </c:pt>
                  <c:pt idx="9">
                    <c:v>2019</c:v>
                  </c:pt>
                  <c:pt idx="12">
                    <c:v>2020</c:v>
                  </c:pt>
                  <c:pt idx="15">
                    <c:v>2021</c:v>
                  </c:pt>
                  <c:pt idx="18">
                    <c:v>2022</c:v>
                  </c:pt>
                  <c:pt idx="21">
                    <c:v>2023</c:v>
                  </c:pt>
                </c:lvl>
              </c:multiLvlStrCache>
            </c:multiLvlStrRef>
          </c:cat>
          <c:val>
            <c:numRef>
              <c:f>Promediosyniveles!$M$197:$M$220</c:f>
              <c:numCache>
                <c:formatCode>0%</c:formatCode>
                <c:ptCount val="24"/>
                <c:pt idx="0">
                  <c:v>0.39</c:v>
                </c:pt>
                <c:pt idx="1">
                  <c:v>0.35</c:v>
                </c:pt>
                <c:pt idx="2">
                  <c:v>0.35000000000000003</c:v>
                </c:pt>
                <c:pt idx="3">
                  <c:v>0.38</c:v>
                </c:pt>
                <c:pt idx="4">
                  <c:v>0.33</c:v>
                </c:pt>
                <c:pt idx="5">
                  <c:v>0.34333333333333332</c:v>
                </c:pt>
                <c:pt idx="6">
                  <c:v>0.23</c:v>
                </c:pt>
                <c:pt idx="7">
                  <c:v>0.25</c:v>
                </c:pt>
                <c:pt idx="8">
                  <c:v>0.26666666666666666</c:v>
                </c:pt>
                <c:pt idx="9">
                  <c:v>0.17</c:v>
                </c:pt>
                <c:pt idx="10">
                  <c:v>0.2</c:v>
                </c:pt>
                <c:pt idx="11">
                  <c:v>0.19666666666666666</c:v>
                </c:pt>
                <c:pt idx="12">
                  <c:v>0.13</c:v>
                </c:pt>
                <c:pt idx="13">
                  <c:v>0.22</c:v>
                </c:pt>
                <c:pt idx="14">
                  <c:v>0.17333333333333334</c:v>
                </c:pt>
                <c:pt idx="15">
                  <c:v>0.14000000000000001</c:v>
                </c:pt>
                <c:pt idx="16">
                  <c:v>0.18</c:v>
                </c:pt>
                <c:pt idx="17">
                  <c:v>0.15000000000000002</c:v>
                </c:pt>
                <c:pt idx="18">
                  <c:v>0.23</c:v>
                </c:pt>
                <c:pt idx="19">
                  <c:v>0.23</c:v>
                </c:pt>
                <c:pt idx="20">
                  <c:v>0.23333333333333331</c:v>
                </c:pt>
                <c:pt idx="21">
                  <c:v>0.21</c:v>
                </c:pt>
                <c:pt idx="22">
                  <c:v>0.25</c:v>
                </c:pt>
                <c:pt idx="23">
                  <c:v>0.22</c:v>
                </c:pt>
              </c:numCache>
            </c:numRef>
          </c:val>
          <c:extLst>
            <c:ext xmlns:c16="http://schemas.microsoft.com/office/drawing/2014/chart" uri="{C3380CC4-5D6E-409C-BE32-E72D297353CC}">
              <c16:uniqueId val="{00000002-570D-4E79-9623-C9A2F43421E2}"/>
            </c:ext>
          </c:extLst>
        </c:ser>
        <c:ser>
          <c:idx val="3"/>
          <c:order val="3"/>
          <c:tx>
            <c:strRef>
              <c:f>Promediosyniveles!$N$196</c:f>
              <c:strCache>
                <c:ptCount val="1"/>
                <c:pt idx="0">
                  <c:v>4</c:v>
                </c:pt>
              </c:strCache>
            </c:strRef>
          </c:tx>
          <c:spPr>
            <a:solidFill>
              <a:srgbClr val="00B050"/>
            </a:solidFill>
            <a:ln>
              <a:noFill/>
            </a:ln>
            <a:effectLst/>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Promediosyniveles!$I$197:$J$220</c:f>
              <c:multiLvlStrCache>
                <c:ptCount val="24"/>
                <c:lvl>
                  <c:pt idx="0">
                    <c:v>INSTITUCION EDUCATIVA EDUARDO SANTOS</c:v>
                  </c:pt>
                  <c:pt idx="1">
                    <c:v>OFICIALES URBANOS DE SOACHA</c:v>
                  </c:pt>
                  <c:pt idx="2">
                    <c:v>COMUNA 6 OFICIAL</c:v>
                  </c:pt>
                  <c:pt idx="3">
                    <c:v>INSTITUCION EDUCATIVA EDUARDO SANTOS</c:v>
                  </c:pt>
                  <c:pt idx="4">
                    <c:v>OFICIALES URBANOS DE SOACHA</c:v>
                  </c:pt>
                  <c:pt idx="5">
                    <c:v>COMUNA 6 OFICIAL</c:v>
                  </c:pt>
                  <c:pt idx="6">
                    <c:v>INSTITUCION EDUCATIVA EDUARDO SANTOS</c:v>
                  </c:pt>
                  <c:pt idx="7">
                    <c:v>OFICIALES URBANOS DE SOACHA</c:v>
                  </c:pt>
                  <c:pt idx="8">
                    <c:v>COMUNA 6 OFICIAL</c:v>
                  </c:pt>
                  <c:pt idx="9">
                    <c:v>INSTITUCION EDUCATIVA EDUARDO SANTOS</c:v>
                  </c:pt>
                  <c:pt idx="10">
                    <c:v>OFICIALES URBANOS DE SOACHA</c:v>
                  </c:pt>
                  <c:pt idx="11">
                    <c:v>COMUNA 6 OFICIAL</c:v>
                  </c:pt>
                  <c:pt idx="12">
                    <c:v>INSTITUCION EDUCATIVA EDUARDO SANTOS</c:v>
                  </c:pt>
                  <c:pt idx="13">
                    <c:v>OFICIALES URBANOS DE SOACHA</c:v>
                  </c:pt>
                  <c:pt idx="14">
                    <c:v>COMUNA 6 OFICIAL</c:v>
                  </c:pt>
                  <c:pt idx="15">
                    <c:v>INSTITUCION EDUCATIVA EDUARDO SANTOS</c:v>
                  </c:pt>
                  <c:pt idx="16">
                    <c:v>OFICIALES URBANOS DE SOACHA</c:v>
                  </c:pt>
                  <c:pt idx="17">
                    <c:v>COMUNA 6 OFICIAL</c:v>
                  </c:pt>
                  <c:pt idx="18">
                    <c:v>INSTITUCION EDUCATIVA EDUARDO SANTOS</c:v>
                  </c:pt>
                  <c:pt idx="19">
                    <c:v>OFICIALES URBANOS DE SOACHA</c:v>
                  </c:pt>
                  <c:pt idx="20">
                    <c:v>COMUNA 6 OFICIAL</c:v>
                  </c:pt>
                  <c:pt idx="21">
                    <c:v>INSTITUCION EDUCATIVA EDUARDO SANTOS</c:v>
                  </c:pt>
                  <c:pt idx="22">
                    <c:v>OFICIALES URBANOS DE SOACHA</c:v>
                  </c:pt>
                  <c:pt idx="23">
                    <c:v>COMUNA 6 OFICIAL</c:v>
                  </c:pt>
                </c:lvl>
                <c:lvl>
                  <c:pt idx="0">
                    <c:v>2016</c:v>
                  </c:pt>
                  <c:pt idx="3">
                    <c:v>2017</c:v>
                  </c:pt>
                  <c:pt idx="6">
                    <c:v>2018</c:v>
                  </c:pt>
                  <c:pt idx="9">
                    <c:v>2019</c:v>
                  </c:pt>
                  <c:pt idx="12">
                    <c:v>2020</c:v>
                  </c:pt>
                  <c:pt idx="15">
                    <c:v>2021</c:v>
                  </c:pt>
                  <c:pt idx="18">
                    <c:v>2022</c:v>
                  </c:pt>
                  <c:pt idx="21">
                    <c:v>2023</c:v>
                  </c:pt>
                </c:lvl>
              </c:multiLvlStrCache>
            </c:multiLvlStrRef>
          </c:cat>
          <c:val>
            <c:numRef>
              <c:f>Promediosyniveles!$N$197:$N$220</c:f>
              <c:numCache>
                <c:formatCode>0%</c:formatCode>
                <c:ptCount val="24"/>
                <c:pt idx="0">
                  <c:v>0</c:v>
                </c:pt>
                <c:pt idx="1">
                  <c:v>0.01</c:v>
                </c:pt>
                <c:pt idx="2">
                  <c:v>0</c:v>
                </c:pt>
                <c:pt idx="3">
                  <c:v>0</c:v>
                </c:pt>
                <c:pt idx="4">
                  <c:v>0.01</c:v>
                </c:pt>
                <c:pt idx="5">
                  <c:v>0</c:v>
                </c:pt>
                <c:pt idx="6">
                  <c:v>0</c:v>
                </c:pt>
                <c:pt idx="7">
                  <c:v>0.01</c:v>
                </c:pt>
                <c:pt idx="8">
                  <c:v>3.3333333333333335E-3</c:v>
                </c:pt>
                <c:pt idx="9">
                  <c:v>0</c:v>
                </c:pt>
                <c:pt idx="10">
                  <c:v>0.01</c:v>
                </c:pt>
                <c:pt idx="11">
                  <c:v>3.3333333333333335E-3</c:v>
                </c:pt>
                <c:pt idx="12">
                  <c:v>0.01</c:v>
                </c:pt>
                <c:pt idx="13">
                  <c:v>0.01</c:v>
                </c:pt>
                <c:pt idx="14">
                  <c:v>6.6666666666666671E-3</c:v>
                </c:pt>
                <c:pt idx="15">
                  <c:v>0</c:v>
                </c:pt>
                <c:pt idx="16">
                  <c:v>0</c:v>
                </c:pt>
                <c:pt idx="17">
                  <c:v>3.3333333333333335E-3</c:v>
                </c:pt>
                <c:pt idx="18">
                  <c:v>0.01</c:v>
                </c:pt>
                <c:pt idx="19">
                  <c:v>0.01</c:v>
                </c:pt>
                <c:pt idx="20">
                  <c:v>3.3333333333333335E-3</c:v>
                </c:pt>
                <c:pt idx="21">
                  <c:v>0.01</c:v>
                </c:pt>
                <c:pt idx="22">
                  <c:v>0.01</c:v>
                </c:pt>
                <c:pt idx="23">
                  <c:v>6.6666666666666671E-3</c:v>
                </c:pt>
              </c:numCache>
            </c:numRef>
          </c:val>
          <c:extLst>
            <c:ext xmlns:c16="http://schemas.microsoft.com/office/drawing/2014/chart" uri="{C3380CC4-5D6E-409C-BE32-E72D297353CC}">
              <c16:uniqueId val="{00000003-570D-4E79-9623-C9A2F43421E2}"/>
            </c:ext>
          </c:extLst>
        </c:ser>
        <c:dLbls>
          <c:showLegendKey val="0"/>
          <c:showVal val="0"/>
          <c:showCatName val="0"/>
          <c:showSerName val="0"/>
          <c:showPercent val="0"/>
          <c:showBubbleSize val="0"/>
        </c:dLbls>
        <c:gapWidth val="150"/>
        <c:overlap val="100"/>
        <c:axId val="419681552"/>
        <c:axId val="419681968"/>
      </c:barChart>
      <c:catAx>
        <c:axId val="4196815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crossAx val="419681968"/>
        <c:crosses val="autoZero"/>
        <c:auto val="1"/>
        <c:lblAlgn val="ctr"/>
        <c:lblOffset val="100"/>
        <c:noMultiLvlLbl val="0"/>
      </c:catAx>
      <c:valAx>
        <c:axId val="419681968"/>
        <c:scaling>
          <c:orientation val="minMax"/>
          <c:max val="1"/>
        </c:scaling>
        <c:delete val="0"/>
        <c:axPos val="l"/>
        <c:majorGridlines>
          <c:spPr>
            <a:ln w="9525" cap="flat" cmpd="sng" algn="ctr">
              <a:solidFill>
                <a:schemeClr val="bg1"/>
              </a:solidFill>
              <a:round/>
            </a:ln>
            <a:effectLst/>
          </c:spPr>
        </c:maj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crossAx val="41968155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s-CO" sz="1400"/>
              <a:t>Promedio Puntaje Global Instituciones Oficiales por Comunas 2016-2023</a:t>
            </a:r>
          </a:p>
        </c:rich>
      </c:tx>
      <c:overlay val="0"/>
    </c:title>
    <c:autoTitleDeleted val="0"/>
    <c:plotArea>
      <c:layout/>
      <c:radarChart>
        <c:radarStyle val="marker"/>
        <c:varyColors val="0"/>
        <c:ser>
          <c:idx val="0"/>
          <c:order val="0"/>
          <c:tx>
            <c:strRef>
              <c:f>PGLOBAL!$I$196</c:f>
              <c:strCache>
                <c:ptCount val="1"/>
                <c:pt idx="0">
                  <c:v>2016</c:v>
                </c:pt>
              </c:strCache>
            </c:strRef>
          </c:tx>
          <c:spPr>
            <a:ln>
              <a:prstDash val="dashDot"/>
            </a:ln>
          </c:spPr>
          <c:cat>
            <c:strRef>
              <c:f>PGLOBAL!$H$198:$H$203</c:f>
              <c:strCache>
                <c:ptCount val="6"/>
                <c:pt idx="0">
                  <c:v>COMUNA 1</c:v>
                </c:pt>
                <c:pt idx="1">
                  <c:v>COMUNA 2</c:v>
                </c:pt>
                <c:pt idx="2">
                  <c:v>COMUNA 3</c:v>
                </c:pt>
                <c:pt idx="3">
                  <c:v>COMUNA 4</c:v>
                </c:pt>
                <c:pt idx="4">
                  <c:v>COMUNA 5</c:v>
                </c:pt>
                <c:pt idx="5">
                  <c:v>COMUNA 6</c:v>
                </c:pt>
              </c:strCache>
            </c:strRef>
          </c:cat>
          <c:val>
            <c:numRef>
              <c:f>PGLOBAL!$I$198:$I$203</c:f>
              <c:numCache>
                <c:formatCode>0</c:formatCode>
                <c:ptCount val="6"/>
                <c:pt idx="0">
                  <c:v>262.5</c:v>
                </c:pt>
                <c:pt idx="1">
                  <c:v>264.5</c:v>
                </c:pt>
                <c:pt idx="2">
                  <c:v>259</c:v>
                </c:pt>
                <c:pt idx="3">
                  <c:v>243.83333333333334</c:v>
                </c:pt>
                <c:pt idx="4">
                  <c:v>264.5</c:v>
                </c:pt>
                <c:pt idx="5">
                  <c:v>259.33333333333331</c:v>
                </c:pt>
              </c:numCache>
            </c:numRef>
          </c:val>
          <c:extLst>
            <c:ext xmlns:c16="http://schemas.microsoft.com/office/drawing/2014/chart" uri="{C3380CC4-5D6E-409C-BE32-E72D297353CC}">
              <c16:uniqueId val="{00000000-A093-4265-9E01-CFF1436F20BA}"/>
            </c:ext>
          </c:extLst>
        </c:ser>
        <c:ser>
          <c:idx val="1"/>
          <c:order val="1"/>
          <c:tx>
            <c:strRef>
              <c:f>PGLOBAL!$J$196</c:f>
              <c:strCache>
                <c:ptCount val="1"/>
                <c:pt idx="0">
                  <c:v>2017</c:v>
                </c:pt>
              </c:strCache>
            </c:strRef>
          </c:tx>
          <c:cat>
            <c:strRef>
              <c:f>PGLOBAL!$H$198:$H$203</c:f>
              <c:strCache>
                <c:ptCount val="6"/>
                <c:pt idx="0">
                  <c:v>COMUNA 1</c:v>
                </c:pt>
                <c:pt idx="1">
                  <c:v>COMUNA 2</c:v>
                </c:pt>
                <c:pt idx="2">
                  <c:v>COMUNA 3</c:v>
                </c:pt>
                <c:pt idx="3">
                  <c:v>COMUNA 4</c:v>
                </c:pt>
                <c:pt idx="4">
                  <c:v>COMUNA 5</c:v>
                </c:pt>
                <c:pt idx="5">
                  <c:v>COMUNA 6</c:v>
                </c:pt>
              </c:strCache>
            </c:strRef>
          </c:cat>
          <c:val>
            <c:numRef>
              <c:f>PGLOBAL!$J$198:$J$203</c:f>
              <c:numCache>
                <c:formatCode>0</c:formatCode>
                <c:ptCount val="6"/>
                <c:pt idx="0">
                  <c:v>263</c:v>
                </c:pt>
                <c:pt idx="1">
                  <c:v>261.5</c:v>
                </c:pt>
                <c:pt idx="2">
                  <c:v>256.66666666666669</c:v>
                </c:pt>
                <c:pt idx="3">
                  <c:v>244.33333333333334</c:v>
                </c:pt>
                <c:pt idx="4">
                  <c:v>257.5</c:v>
                </c:pt>
                <c:pt idx="5">
                  <c:v>257</c:v>
                </c:pt>
              </c:numCache>
            </c:numRef>
          </c:val>
          <c:extLst>
            <c:ext xmlns:c16="http://schemas.microsoft.com/office/drawing/2014/chart" uri="{C3380CC4-5D6E-409C-BE32-E72D297353CC}">
              <c16:uniqueId val="{00000001-A093-4265-9E01-CFF1436F20BA}"/>
            </c:ext>
          </c:extLst>
        </c:ser>
        <c:ser>
          <c:idx val="2"/>
          <c:order val="2"/>
          <c:tx>
            <c:strRef>
              <c:f>PGLOBAL!$K$196</c:f>
              <c:strCache>
                <c:ptCount val="1"/>
                <c:pt idx="0">
                  <c:v>2018</c:v>
                </c:pt>
              </c:strCache>
            </c:strRef>
          </c:tx>
          <c:spPr>
            <a:ln>
              <a:prstDash val="sysDot"/>
            </a:ln>
          </c:spPr>
          <c:cat>
            <c:strRef>
              <c:f>PGLOBAL!$H$198:$H$203</c:f>
              <c:strCache>
                <c:ptCount val="6"/>
                <c:pt idx="0">
                  <c:v>COMUNA 1</c:v>
                </c:pt>
                <c:pt idx="1">
                  <c:v>COMUNA 2</c:v>
                </c:pt>
                <c:pt idx="2">
                  <c:v>COMUNA 3</c:v>
                </c:pt>
                <c:pt idx="3">
                  <c:v>COMUNA 4</c:v>
                </c:pt>
                <c:pt idx="4">
                  <c:v>COMUNA 5</c:v>
                </c:pt>
                <c:pt idx="5">
                  <c:v>COMUNA 6</c:v>
                </c:pt>
              </c:strCache>
            </c:strRef>
          </c:cat>
          <c:val>
            <c:numRef>
              <c:f>PGLOBAL!$K$198:$K$203</c:f>
              <c:numCache>
                <c:formatCode>0</c:formatCode>
                <c:ptCount val="6"/>
                <c:pt idx="0">
                  <c:v>255.75</c:v>
                </c:pt>
                <c:pt idx="1">
                  <c:v>257.5</c:v>
                </c:pt>
                <c:pt idx="2">
                  <c:v>257</c:v>
                </c:pt>
                <c:pt idx="3">
                  <c:v>237</c:v>
                </c:pt>
                <c:pt idx="4">
                  <c:v>251</c:v>
                </c:pt>
                <c:pt idx="5">
                  <c:v>252.33333333333334</c:v>
                </c:pt>
              </c:numCache>
            </c:numRef>
          </c:val>
          <c:extLst>
            <c:ext xmlns:c16="http://schemas.microsoft.com/office/drawing/2014/chart" uri="{C3380CC4-5D6E-409C-BE32-E72D297353CC}">
              <c16:uniqueId val="{00000002-A093-4265-9E01-CFF1436F20BA}"/>
            </c:ext>
          </c:extLst>
        </c:ser>
        <c:ser>
          <c:idx val="3"/>
          <c:order val="3"/>
          <c:tx>
            <c:strRef>
              <c:f>PGLOBAL!$L$196</c:f>
              <c:strCache>
                <c:ptCount val="1"/>
                <c:pt idx="0">
                  <c:v>2019</c:v>
                </c:pt>
              </c:strCache>
            </c:strRef>
          </c:tx>
          <c:cat>
            <c:strRef>
              <c:f>PGLOBAL!$H$198:$H$203</c:f>
              <c:strCache>
                <c:ptCount val="6"/>
                <c:pt idx="0">
                  <c:v>COMUNA 1</c:v>
                </c:pt>
                <c:pt idx="1">
                  <c:v>COMUNA 2</c:v>
                </c:pt>
                <c:pt idx="2">
                  <c:v>COMUNA 3</c:v>
                </c:pt>
                <c:pt idx="3">
                  <c:v>COMUNA 4</c:v>
                </c:pt>
                <c:pt idx="4">
                  <c:v>COMUNA 5</c:v>
                </c:pt>
                <c:pt idx="5">
                  <c:v>COMUNA 6</c:v>
                </c:pt>
              </c:strCache>
            </c:strRef>
          </c:cat>
          <c:val>
            <c:numRef>
              <c:f>PGLOBAL!$L$198:$L$203</c:f>
              <c:numCache>
                <c:formatCode>0</c:formatCode>
                <c:ptCount val="6"/>
                <c:pt idx="0">
                  <c:v>253.75</c:v>
                </c:pt>
                <c:pt idx="1">
                  <c:v>253.5</c:v>
                </c:pt>
                <c:pt idx="2">
                  <c:v>250</c:v>
                </c:pt>
                <c:pt idx="3">
                  <c:v>232.5</c:v>
                </c:pt>
                <c:pt idx="4">
                  <c:v>252.5</c:v>
                </c:pt>
                <c:pt idx="5">
                  <c:v>250</c:v>
                </c:pt>
              </c:numCache>
            </c:numRef>
          </c:val>
          <c:extLst>
            <c:ext xmlns:c16="http://schemas.microsoft.com/office/drawing/2014/chart" uri="{C3380CC4-5D6E-409C-BE32-E72D297353CC}">
              <c16:uniqueId val="{00000003-A093-4265-9E01-CFF1436F20BA}"/>
            </c:ext>
          </c:extLst>
        </c:ser>
        <c:ser>
          <c:idx val="4"/>
          <c:order val="4"/>
          <c:tx>
            <c:strRef>
              <c:f>PGLOBAL!$M$196</c:f>
              <c:strCache>
                <c:ptCount val="1"/>
                <c:pt idx="0">
                  <c:v>2020</c:v>
                </c:pt>
              </c:strCache>
            </c:strRef>
          </c:tx>
          <c:cat>
            <c:strRef>
              <c:f>PGLOBAL!$H$198:$H$203</c:f>
              <c:strCache>
                <c:ptCount val="6"/>
                <c:pt idx="0">
                  <c:v>COMUNA 1</c:v>
                </c:pt>
                <c:pt idx="1">
                  <c:v>COMUNA 2</c:v>
                </c:pt>
                <c:pt idx="2">
                  <c:v>COMUNA 3</c:v>
                </c:pt>
                <c:pt idx="3">
                  <c:v>COMUNA 4</c:v>
                </c:pt>
                <c:pt idx="4">
                  <c:v>COMUNA 5</c:v>
                </c:pt>
                <c:pt idx="5">
                  <c:v>COMUNA 6</c:v>
                </c:pt>
              </c:strCache>
            </c:strRef>
          </c:cat>
          <c:val>
            <c:numRef>
              <c:f>PGLOBAL!$M$198:$M$203</c:f>
              <c:numCache>
                <c:formatCode>0</c:formatCode>
                <c:ptCount val="6"/>
                <c:pt idx="0">
                  <c:v>255.5</c:v>
                </c:pt>
                <c:pt idx="1">
                  <c:v>255.5</c:v>
                </c:pt>
                <c:pt idx="2">
                  <c:v>252.75</c:v>
                </c:pt>
                <c:pt idx="3">
                  <c:v>234.5</c:v>
                </c:pt>
                <c:pt idx="4">
                  <c:v>252.5</c:v>
                </c:pt>
                <c:pt idx="5">
                  <c:v>251.33333333333334</c:v>
                </c:pt>
              </c:numCache>
            </c:numRef>
          </c:val>
          <c:extLst>
            <c:ext xmlns:c16="http://schemas.microsoft.com/office/drawing/2014/chart" uri="{C3380CC4-5D6E-409C-BE32-E72D297353CC}">
              <c16:uniqueId val="{00000002-CA36-43E4-8330-B78367BCEA89}"/>
            </c:ext>
          </c:extLst>
        </c:ser>
        <c:ser>
          <c:idx val="5"/>
          <c:order val="5"/>
          <c:tx>
            <c:strRef>
              <c:f>PGLOBAL!$N$196</c:f>
              <c:strCache>
                <c:ptCount val="1"/>
                <c:pt idx="0">
                  <c:v>2021</c:v>
                </c:pt>
              </c:strCache>
            </c:strRef>
          </c:tx>
          <c:cat>
            <c:strRef>
              <c:f>PGLOBAL!$H$198:$H$203</c:f>
              <c:strCache>
                <c:ptCount val="6"/>
                <c:pt idx="0">
                  <c:v>COMUNA 1</c:v>
                </c:pt>
                <c:pt idx="1">
                  <c:v>COMUNA 2</c:v>
                </c:pt>
                <c:pt idx="2">
                  <c:v>COMUNA 3</c:v>
                </c:pt>
                <c:pt idx="3">
                  <c:v>COMUNA 4</c:v>
                </c:pt>
                <c:pt idx="4">
                  <c:v>COMUNA 5</c:v>
                </c:pt>
                <c:pt idx="5">
                  <c:v>COMUNA 6</c:v>
                </c:pt>
              </c:strCache>
            </c:strRef>
          </c:cat>
          <c:val>
            <c:numRef>
              <c:f>PGLOBAL!$N$198:$N$203</c:f>
              <c:numCache>
                <c:formatCode>0</c:formatCode>
                <c:ptCount val="6"/>
                <c:pt idx="0">
                  <c:v>251.5</c:v>
                </c:pt>
                <c:pt idx="1">
                  <c:v>250.5</c:v>
                </c:pt>
                <c:pt idx="2">
                  <c:v>250.4</c:v>
                </c:pt>
                <c:pt idx="3">
                  <c:v>233.66666666666666</c:v>
                </c:pt>
                <c:pt idx="4">
                  <c:v>251</c:v>
                </c:pt>
                <c:pt idx="5">
                  <c:v>246.33333333333334</c:v>
                </c:pt>
              </c:numCache>
            </c:numRef>
          </c:val>
          <c:extLst>
            <c:ext xmlns:c16="http://schemas.microsoft.com/office/drawing/2014/chart" uri="{C3380CC4-5D6E-409C-BE32-E72D297353CC}">
              <c16:uniqueId val="{00000001-CA54-4446-90A4-8D5787BFC3EC}"/>
            </c:ext>
          </c:extLst>
        </c:ser>
        <c:ser>
          <c:idx val="6"/>
          <c:order val="6"/>
          <c:tx>
            <c:strRef>
              <c:f>PGLOBAL!$O$196</c:f>
              <c:strCache>
                <c:ptCount val="1"/>
                <c:pt idx="0">
                  <c:v>2022</c:v>
                </c:pt>
              </c:strCache>
            </c:strRef>
          </c:tx>
          <c:cat>
            <c:strRef>
              <c:f>PGLOBAL!$H$198:$H$203</c:f>
              <c:strCache>
                <c:ptCount val="6"/>
                <c:pt idx="0">
                  <c:v>COMUNA 1</c:v>
                </c:pt>
                <c:pt idx="1">
                  <c:v>COMUNA 2</c:v>
                </c:pt>
                <c:pt idx="2">
                  <c:v>COMUNA 3</c:v>
                </c:pt>
                <c:pt idx="3">
                  <c:v>COMUNA 4</c:v>
                </c:pt>
                <c:pt idx="4">
                  <c:v>COMUNA 5</c:v>
                </c:pt>
                <c:pt idx="5">
                  <c:v>COMUNA 6</c:v>
                </c:pt>
              </c:strCache>
            </c:strRef>
          </c:cat>
          <c:val>
            <c:numRef>
              <c:f>PGLOBAL!$O$198:$O$203</c:f>
              <c:numCache>
                <c:formatCode>0</c:formatCode>
                <c:ptCount val="6"/>
                <c:pt idx="0">
                  <c:v>252.8</c:v>
                </c:pt>
                <c:pt idx="1">
                  <c:v>253.25</c:v>
                </c:pt>
                <c:pt idx="2">
                  <c:v>257</c:v>
                </c:pt>
                <c:pt idx="3">
                  <c:v>238.33333333333334</c:v>
                </c:pt>
                <c:pt idx="4">
                  <c:v>259.5</c:v>
                </c:pt>
                <c:pt idx="5">
                  <c:v>251</c:v>
                </c:pt>
              </c:numCache>
            </c:numRef>
          </c:val>
          <c:extLst>
            <c:ext xmlns:c16="http://schemas.microsoft.com/office/drawing/2014/chart" uri="{C3380CC4-5D6E-409C-BE32-E72D297353CC}">
              <c16:uniqueId val="{00000000-F3DD-46A2-A84A-1C6AEA5C9F17}"/>
            </c:ext>
          </c:extLst>
        </c:ser>
        <c:ser>
          <c:idx val="7"/>
          <c:order val="7"/>
          <c:tx>
            <c:strRef>
              <c:f>PGLOBAL!$P$196</c:f>
              <c:strCache>
                <c:ptCount val="1"/>
                <c:pt idx="0">
                  <c:v>2023</c:v>
                </c:pt>
              </c:strCache>
            </c:strRef>
          </c:tx>
          <c:cat>
            <c:strRef>
              <c:f>PGLOBAL!$H$198:$H$203</c:f>
              <c:strCache>
                <c:ptCount val="6"/>
                <c:pt idx="0">
                  <c:v>COMUNA 1</c:v>
                </c:pt>
                <c:pt idx="1">
                  <c:v>COMUNA 2</c:v>
                </c:pt>
                <c:pt idx="2">
                  <c:v>COMUNA 3</c:v>
                </c:pt>
                <c:pt idx="3">
                  <c:v>COMUNA 4</c:v>
                </c:pt>
                <c:pt idx="4">
                  <c:v>COMUNA 5</c:v>
                </c:pt>
                <c:pt idx="5">
                  <c:v>COMUNA 6</c:v>
                </c:pt>
              </c:strCache>
            </c:strRef>
          </c:cat>
          <c:val>
            <c:numRef>
              <c:f>PGLOBAL!$P$198:$P$203</c:f>
              <c:numCache>
                <c:formatCode>0</c:formatCode>
                <c:ptCount val="6"/>
                <c:pt idx="0">
                  <c:v>253.6</c:v>
                </c:pt>
                <c:pt idx="1">
                  <c:v>255.5</c:v>
                </c:pt>
                <c:pt idx="2">
                  <c:v>257</c:v>
                </c:pt>
                <c:pt idx="3">
                  <c:v>237.66666666666666</c:v>
                </c:pt>
                <c:pt idx="4">
                  <c:v>256.5</c:v>
                </c:pt>
                <c:pt idx="5">
                  <c:v>249.33333333333334</c:v>
                </c:pt>
              </c:numCache>
            </c:numRef>
          </c:val>
          <c:extLst>
            <c:ext xmlns:c16="http://schemas.microsoft.com/office/drawing/2014/chart" uri="{C3380CC4-5D6E-409C-BE32-E72D297353CC}">
              <c16:uniqueId val="{00000001-F3DD-46A2-A84A-1C6AEA5C9F17}"/>
            </c:ext>
          </c:extLst>
        </c:ser>
        <c:dLbls>
          <c:showLegendKey val="0"/>
          <c:showVal val="0"/>
          <c:showCatName val="0"/>
          <c:showSerName val="0"/>
          <c:showPercent val="0"/>
          <c:showBubbleSize val="0"/>
        </c:dLbls>
        <c:axId val="95994624"/>
        <c:axId val="95996160"/>
      </c:radarChart>
      <c:catAx>
        <c:axId val="95994624"/>
        <c:scaling>
          <c:orientation val="minMax"/>
        </c:scaling>
        <c:delete val="0"/>
        <c:axPos val="b"/>
        <c:majorGridlines/>
        <c:numFmt formatCode="General" sourceLinked="0"/>
        <c:majorTickMark val="none"/>
        <c:minorTickMark val="none"/>
        <c:tickLblPos val="nextTo"/>
        <c:spPr>
          <a:ln w="9525">
            <a:noFill/>
          </a:ln>
        </c:spPr>
        <c:crossAx val="95996160"/>
        <c:crosses val="autoZero"/>
        <c:auto val="1"/>
        <c:lblAlgn val="ctr"/>
        <c:lblOffset val="100"/>
        <c:noMultiLvlLbl val="0"/>
      </c:catAx>
      <c:valAx>
        <c:axId val="95996160"/>
        <c:scaling>
          <c:orientation val="minMax"/>
          <c:max val="270"/>
          <c:min val="233"/>
        </c:scaling>
        <c:delete val="0"/>
        <c:axPos val="l"/>
        <c:majorGridlines/>
        <c:numFmt formatCode="0" sourceLinked="1"/>
        <c:majorTickMark val="none"/>
        <c:minorTickMark val="none"/>
        <c:tickLblPos val="nextTo"/>
        <c:crossAx val="95994624"/>
        <c:crosses val="autoZero"/>
        <c:crossBetween val="between"/>
      </c:valAx>
    </c:plotArea>
    <c:legend>
      <c:legendPos val="r"/>
      <c:overlay val="0"/>
    </c:legend>
    <c:plotVisOnly val="1"/>
    <c:dispBlanksAs val="gap"/>
    <c:showDLblsOverMax val="0"/>
  </c:chart>
  <c:txPr>
    <a:bodyPr/>
    <a:lstStyle/>
    <a:p>
      <a:pPr>
        <a:defRPr>
          <a:latin typeface="+mn-lt"/>
          <a:cs typeface="Arial" panose="020B0604020202020204" pitchFamily="34" charset="0"/>
        </a:defRPr>
      </a:pPr>
      <a:endParaRPr lang="es-CO"/>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s-CO" b="1"/>
              <a:t>Porcentaje de estudiantes por niveles de desempeño</a:t>
            </a:r>
          </a:p>
          <a:p>
            <a:pPr>
              <a:defRPr b="1"/>
            </a:pPr>
            <a:r>
              <a:rPr lang="es-CO" b="1" baseline="0"/>
              <a:t>Inglés</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title>
    <c:autoTitleDeleted val="0"/>
    <c:plotArea>
      <c:layout>
        <c:manualLayout>
          <c:layoutTarget val="inner"/>
          <c:xMode val="edge"/>
          <c:yMode val="edge"/>
          <c:x val="6.1185934424348463E-2"/>
          <c:y val="9.1641937668466497E-2"/>
          <c:w val="0.91425089504809598"/>
          <c:h val="0.52445331967102826"/>
        </c:manualLayout>
      </c:layout>
      <c:barChart>
        <c:barDir val="col"/>
        <c:grouping val="stacked"/>
        <c:varyColors val="0"/>
        <c:ser>
          <c:idx val="0"/>
          <c:order val="0"/>
          <c:tx>
            <c:strRef>
              <c:f>Promediosyniveles!$K$254</c:f>
              <c:strCache>
                <c:ptCount val="1"/>
                <c:pt idx="0">
                  <c:v>A-</c:v>
                </c:pt>
              </c:strCache>
            </c:strRef>
          </c:tx>
          <c:spPr>
            <a:solidFill>
              <a:srgbClr val="800000"/>
            </a:solidFill>
            <a:ln>
              <a:noFill/>
            </a:ln>
            <a:effectLst/>
          </c:spPr>
          <c:invertIfNegative val="0"/>
          <c:dLbls>
            <c:spPr>
              <a:noFill/>
              <a:ln>
                <a:noFill/>
              </a:ln>
              <a:effectLst/>
            </c:spPr>
            <c:txPr>
              <a:bodyPr rot="0" spcFirstLastPara="1" vertOverflow="ellipsis" vert="horz" wrap="square" anchor="ctr" anchorCtr="1"/>
              <a:lstStyle/>
              <a:p>
                <a:pPr>
                  <a:defRPr sz="1000" b="1" i="0" u="none" strike="noStrike" kern="1200" baseline="0">
                    <a:solidFill>
                      <a:schemeClr val="bg1"/>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Promediosyniveles!$I$255:$J$278</c:f>
              <c:multiLvlStrCache>
                <c:ptCount val="24"/>
                <c:lvl>
                  <c:pt idx="0">
                    <c:v>INSTITUCION EDUCATIVA EDUARDO SANTOS</c:v>
                  </c:pt>
                  <c:pt idx="1">
                    <c:v>OFICIALES URBANOS DE SOACHA</c:v>
                  </c:pt>
                  <c:pt idx="2">
                    <c:v>COMUNA 6 OFICIAL</c:v>
                  </c:pt>
                  <c:pt idx="3">
                    <c:v>INSTITUCION EDUCATIVA EDUARDO SANTOS</c:v>
                  </c:pt>
                  <c:pt idx="4">
                    <c:v>OFICIALES URBANOS DE SOACHA</c:v>
                  </c:pt>
                  <c:pt idx="5">
                    <c:v>COMUNA 6 OFICIAL</c:v>
                  </c:pt>
                  <c:pt idx="6">
                    <c:v>INSTITUCION EDUCATIVA EDUARDO SANTOS</c:v>
                  </c:pt>
                  <c:pt idx="7">
                    <c:v>OFICIALES URBANOS DE SOACHA</c:v>
                  </c:pt>
                  <c:pt idx="8">
                    <c:v>COMUNA 6 OFICIAL</c:v>
                  </c:pt>
                  <c:pt idx="9">
                    <c:v>INSTITUCION EDUCATIVA EDUARDO SANTOS</c:v>
                  </c:pt>
                  <c:pt idx="10">
                    <c:v>OFICIALES URBANOS DE SOACHA</c:v>
                  </c:pt>
                  <c:pt idx="11">
                    <c:v>COMUNA 6 OFICIAL</c:v>
                  </c:pt>
                  <c:pt idx="12">
                    <c:v>INSTITUCION EDUCATIVA EDUARDO SANTOS</c:v>
                  </c:pt>
                  <c:pt idx="13">
                    <c:v>OFICIALES URBANOS DE SOACHA</c:v>
                  </c:pt>
                  <c:pt idx="14">
                    <c:v>COMUNA 6 OFICIAL</c:v>
                  </c:pt>
                  <c:pt idx="15">
                    <c:v>INSTITUCION EDUCATIVA EDUARDO SANTOS</c:v>
                  </c:pt>
                  <c:pt idx="16">
                    <c:v>OFICIALES URBANOS DE SOACHA</c:v>
                  </c:pt>
                  <c:pt idx="17">
                    <c:v>COMUNA 6 OFICIAL</c:v>
                  </c:pt>
                  <c:pt idx="18">
                    <c:v>INSTITUCION EDUCATIVA EDUARDO SANTOS</c:v>
                  </c:pt>
                  <c:pt idx="19">
                    <c:v>OFICIALES URBANOS DE SOACHA</c:v>
                  </c:pt>
                  <c:pt idx="20">
                    <c:v>COMUNA 6 OFICIAL</c:v>
                  </c:pt>
                  <c:pt idx="21">
                    <c:v>INSTITUCION EDUCATIVA EDUARDO SANTOS</c:v>
                  </c:pt>
                  <c:pt idx="22">
                    <c:v>OFICIALES URBANOS DE SOACHA</c:v>
                  </c:pt>
                  <c:pt idx="23">
                    <c:v>COMUNA 6 OFICIAL</c:v>
                  </c:pt>
                </c:lvl>
                <c:lvl>
                  <c:pt idx="0">
                    <c:v>2016</c:v>
                  </c:pt>
                  <c:pt idx="3">
                    <c:v>2017</c:v>
                  </c:pt>
                  <c:pt idx="6">
                    <c:v>2018</c:v>
                  </c:pt>
                  <c:pt idx="9">
                    <c:v>2019</c:v>
                  </c:pt>
                  <c:pt idx="12">
                    <c:v>2020</c:v>
                  </c:pt>
                  <c:pt idx="15">
                    <c:v>2021</c:v>
                  </c:pt>
                  <c:pt idx="18">
                    <c:v>2022</c:v>
                  </c:pt>
                  <c:pt idx="21">
                    <c:v>2023</c:v>
                  </c:pt>
                </c:lvl>
              </c:multiLvlStrCache>
            </c:multiLvlStrRef>
          </c:cat>
          <c:val>
            <c:numRef>
              <c:f>Promediosyniveles!$K$255:$K$278</c:f>
              <c:numCache>
                <c:formatCode>0%</c:formatCode>
                <c:ptCount val="24"/>
                <c:pt idx="0">
                  <c:v>0.22</c:v>
                </c:pt>
                <c:pt idx="1">
                  <c:v>0.35</c:v>
                </c:pt>
                <c:pt idx="2">
                  <c:v>0.33</c:v>
                </c:pt>
                <c:pt idx="3">
                  <c:v>0.43</c:v>
                </c:pt>
                <c:pt idx="4">
                  <c:v>0.45</c:v>
                </c:pt>
                <c:pt idx="5">
                  <c:v>0.47666666666666663</c:v>
                </c:pt>
                <c:pt idx="6">
                  <c:v>0.41</c:v>
                </c:pt>
                <c:pt idx="7">
                  <c:v>0.37</c:v>
                </c:pt>
                <c:pt idx="8">
                  <c:v>0.35000000000000003</c:v>
                </c:pt>
                <c:pt idx="9">
                  <c:v>0.46</c:v>
                </c:pt>
                <c:pt idx="10">
                  <c:v>0.43</c:v>
                </c:pt>
                <c:pt idx="11">
                  <c:v>0.39666666666666667</c:v>
                </c:pt>
                <c:pt idx="12">
                  <c:v>0.57999999999999996</c:v>
                </c:pt>
                <c:pt idx="13">
                  <c:v>0.59</c:v>
                </c:pt>
                <c:pt idx="14">
                  <c:v>0.56000000000000005</c:v>
                </c:pt>
                <c:pt idx="15">
                  <c:v>0.38</c:v>
                </c:pt>
                <c:pt idx="16">
                  <c:v>0.44</c:v>
                </c:pt>
                <c:pt idx="17">
                  <c:v>0.41333333333333333</c:v>
                </c:pt>
                <c:pt idx="18">
                  <c:v>0.32</c:v>
                </c:pt>
                <c:pt idx="19">
                  <c:v>0.39</c:v>
                </c:pt>
                <c:pt idx="20">
                  <c:v>0.3133333333333333</c:v>
                </c:pt>
                <c:pt idx="21">
                  <c:v>0.36</c:v>
                </c:pt>
                <c:pt idx="22">
                  <c:v>0.39</c:v>
                </c:pt>
                <c:pt idx="23">
                  <c:v>0.39666666666666667</c:v>
                </c:pt>
              </c:numCache>
            </c:numRef>
          </c:val>
          <c:extLst>
            <c:ext xmlns:c16="http://schemas.microsoft.com/office/drawing/2014/chart" uri="{C3380CC4-5D6E-409C-BE32-E72D297353CC}">
              <c16:uniqueId val="{00000000-1D1C-401A-ACCB-988B1CBF31F3}"/>
            </c:ext>
          </c:extLst>
        </c:ser>
        <c:ser>
          <c:idx val="1"/>
          <c:order val="1"/>
          <c:tx>
            <c:strRef>
              <c:f>Promediosyniveles!$L$254</c:f>
              <c:strCache>
                <c:ptCount val="1"/>
                <c:pt idx="0">
                  <c:v>A1</c:v>
                </c:pt>
              </c:strCache>
            </c:strRef>
          </c:tx>
          <c:spPr>
            <a:solidFill>
              <a:srgbClr val="FF0000"/>
            </a:solidFill>
            <a:ln>
              <a:noFill/>
            </a:ln>
            <a:effectLst/>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Promediosyniveles!$I$255:$J$278</c:f>
              <c:multiLvlStrCache>
                <c:ptCount val="24"/>
                <c:lvl>
                  <c:pt idx="0">
                    <c:v>INSTITUCION EDUCATIVA EDUARDO SANTOS</c:v>
                  </c:pt>
                  <c:pt idx="1">
                    <c:v>OFICIALES URBANOS DE SOACHA</c:v>
                  </c:pt>
                  <c:pt idx="2">
                    <c:v>COMUNA 6 OFICIAL</c:v>
                  </c:pt>
                  <c:pt idx="3">
                    <c:v>INSTITUCION EDUCATIVA EDUARDO SANTOS</c:v>
                  </c:pt>
                  <c:pt idx="4">
                    <c:v>OFICIALES URBANOS DE SOACHA</c:v>
                  </c:pt>
                  <c:pt idx="5">
                    <c:v>COMUNA 6 OFICIAL</c:v>
                  </c:pt>
                  <c:pt idx="6">
                    <c:v>INSTITUCION EDUCATIVA EDUARDO SANTOS</c:v>
                  </c:pt>
                  <c:pt idx="7">
                    <c:v>OFICIALES URBANOS DE SOACHA</c:v>
                  </c:pt>
                  <c:pt idx="8">
                    <c:v>COMUNA 6 OFICIAL</c:v>
                  </c:pt>
                  <c:pt idx="9">
                    <c:v>INSTITUCION EDUCATIVA EDUARDO SANTOS</c:v>
                  </c:pt>
                  <c:pt idx="10">
                    <c:v>OFICIALES URBANOS DE SOACHA</c:v>
                  </c:pt>
                  <c:pt idx="11">
                    <c:v>COMUNA 6 OFICIAL</c:v>
                  </c:pt>
                  <c:pt idx="12">
                    <c:v>INSTITUCION EDUCATIVA EDUARDO SANTOS</c:v>
                  </c:pt>
                  <c:pt idx="13">
                    <c:v>OFICIALES URBANOS DE SOACHA</c:v>
                  </c:pt>
                  <c:pt idx="14">
                    <c:v>COMUNA 6 OFICIAL</c:v>
                  </c:pt>
                  <c:pt idx="15">
                    <c:v>INSTITUCION EDUCATIVA EDUARDO SANTOS</c:v>
                  </c:pt>
                  <c:pt idx="16">
                    <c:v>OFICIALES URBANOS DE SOACHA</c:v>
                  </c:pt>
                  <c:pt idx="17">
                    <c:v>COMUNA 6 OFICIAL</c:v>
                  </c:pt>
                  <c:pt idx="18">
                    <c:v>INSTITUCION EDUCATIVA EDUARDO SANTOS</c:v>
                  </c:pt>
                  <c:pt idx="19">
                    <c:v>OFICIALES URBANOS DE SOACHA</c:v>
                  </c:pt>
                  <c:pt idx="20">
                    <c:v>COMUNA 6 OFICIAL</c:v>
                  </c:pt>
                  <c:pt idx="21">
                    <c:v>INSTITUCION EDUCATIVA EDUARDO SANTOS</c:v>
                  </c:pt>
                  <c:pt idx="22">
                    <c:v>OFICIALES URBANOS DE SOACHA</c:v>
                  </c:pt>
                  <c:pt idx="23">
                    <c:v>COMUNA 6 OFICIAL</c:v>
                  </c:pt>
                </c:lvl>
                <c:lvl>
                  <c:pt idx="0">
                    <c:v>2016</c:v>
                  </c:pt>
                  <c:pt idx="3">
                    <c:v>2017</c:v>
                  </c:pt>
                  <c:pt idx="6">
                    <c:v>2018</c:v>
                  </c:pt>
                  <c:pt idx="9">
                    <c:v>2019</c:v>
                  </c:pt>
                  <c:pt idx="12">
                    <c:v>2020</c:v>
                  </c:pt>
                  <c:pt idx="15">
                    <c:v>2021</c:v>
                  </c:pt>
                  <c:pt idx="18">
                    <c:v>2022</c:v>
                  </c:pt>
                  <c:pt idx="21">
                    <c:v>2023</c:v>
                  </c:pt>
                </c:lvl>
              </c:multiLvlStrCache>
            </c:multiLvlStrRef>
          </c:cat>
          <c:val>
            <c:numRef>
              <c:f>Promediosyniveles!$L$255:$L$278</c:f>
              <c:numCache>
                <c:formatCode>0%</c:formatCode>
                <c:ptCount val="24"/>
                <c:pt idx="0">
                  <c:v>0.52</c:v>
                </c:pt>
                <c:pt idx="1">
                  <c:v>0.41</c:v>
                </c:pt>
                <c:pt idx="2">
                  <c:v>0.40333333333333332</c:v>
                </c:pt>
                <c:pt idx="3">
                  <c:v>0.39</c:v>
                </c:pt>
                <c:pt idx="4">
                  <c:v>0.36</c:v>
                </c:pt>
                <c:pt idx="5">
                  <c:v>0.3133333333333333</c:v>
                </c:pt>
                <c:pt idx="6">
                  <c:v>0.47</c:v>
                </c:pt>
                <c:pt idx="7">
                  <c:v>0.43</c:v>
                </c:pt>
                <c:pt idx="8">
                  <c:v>0.4466666666666666</c:v>
                </c:pt>
                <c:pt idx="9">
                  <c:v>0.34</c:v>
                </c:pt>
                <c:pt idx="10">
                  <c:v>0.38</c:v>
                </c:pt>
                <c:pt idx="11">
                  <c:v>0.37666666666666665</c:v>
                </c:pt>
                <c:pt idx="12">
                  <c:v>0.36</c:v>
                </c:pt>
                <c:pt idx="13">
                  <c:v>0.32</c:v>
                </c:pt>
                <c:pt idx="14">
                  <c:v>0.33666666666666667</c:v>
                </c:pt>
                <c:pt idx="15">
                  <c:v>0.44</c:v>
                </c:pt>
                <c:pt idx="16">
                  <c:v>0.37</c:v>
                </c:pt>
                <c:pt idx="17">
                  <c:v>0.37333333333333335</c:v>
                </c:pt>
                <c:pt idx="18">
                  <c:v>0.38</c:v>
                </c:pt>
                <c:pt idx="19">
                  <c:v>0.36</c:v>
                </c:pt>
                <c:pt idx="20">
                  <c:v>0.40333333333333332</c:v>
                </c:pt>
                <c:pt idx="21">
                  <c:v>0.5</c:v>
                </c:pt>
                <c:pt idx="22">
                  <c:v>0.39</c:v>
                </c:pt>
                <c:pt idx="23">
                  <c:v>0.39333333333333337</c:v>
                </c:pt>
              </c:numCache>
            </c:numRef>
          </c:val>
          <c:extLst>
            <c:ext xmlns:c16="http://schemas.microsoft.com/office/drawing/2014/chart" uri="{C3380CC4-5D6E-409C-BE32-E72D297353CC}">
              <c16:uniqueId val="{00000001-1D1C-401A-ACCB-988B1CBF31F3}"/>
            </c:ext>
          </c:extLst>
        </c:ser>
        <c:ser>
          <c:idx val="2"/>
          <c:order val="2"/>
          <c:tx>
            <c:strRef>
              <c:f>Promediosyniveles!$M$254</c:f>
              <c:strCache>
                <c:ptCount val="1"/>
                <c:pt idx="0">
                  <c:v>A2</c:v>
                </c:pt>
              </c:strCache>
            </c:strRef>
          </c:tx>
          <c:spPr>
            <a:solidFill>
              <a:srgbClr val="FF6600"/>
            </a:solidFill>
            <a:ln>
              <a:noFill/>
            </a:ln>
            <a:effectLst/>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Promediosyniveles!$I$255:$J$278</c:f>
              <c:multiLvlStrCache>
                <c:ptCount val="24"/>
                <c:lvl>
                  <c:pt idx="0">
                    <c:v>INSTITUCION EDUCATIVA EDUARDO SANTOS</c:v>
                  </c:pt>
                  <c:pt idx="1">
                    <c:v>OFICIALES URBANOS DE SOACHA</c:v>
                  </c:pt>
                  <c:pt idx="2">
                    <c:v>COMUNA 6 OFICIAL</c:v>
                  </c:pt>
                  <c:pt idx="3">
                    <c:v>INSTITUCION EDUCATIVA EDUARDO SANTOS</c:v>
                  </c:pt>
                  <c:pt idx="4">
                    <c:v>OFICIALES URBANOS DE SOACHA</c:v>
                  </c:pt>
                  <c:pt idx="5">
                    <c:v>COMUNA 6 OFICIAL</c:v>
                  </c:pt>
                  <c:pt idx="6">
                    <c:v>INSTITUCION EDUCATIVA EDUARDO SANTOS</c:v>
                  </c:pt>
                  <c:pt idx="7">
                    <c:v>OFICIALES URBANOS DE SOACHA</c:v>
                  </c:pt>
                  <c:pt idx="8">
                    <c:v>COMUNA 6 OFICIAL</c:v>
                  </c:pt>
                  <c:pt idx="9">
                    <c:v>INSTITUCION EDUCATIVA EDUARDO SANTOS</c:v>
                  </c:pt>
                  <c:pt idx="10">
                    <c:v>OFICIALES URBANOS DE SOACHA</c:v>
                  </c:pt>
                  <c:pt idx="11">
                    <c:v>COMUNA 6 OFICIAL</c:v>
                  </c:pt>
                  <c:pt idx="12">
                    <c:v>INSTITUCION EDUCATIVA EDUARDO SANTOS</c:v>
                  </c:pt>
                  <c:pt idx="13">
                    <c:v>OFICIALES URBANOS DE SOACHA</c:v>
                  </c:pt>
                  <c:pt idx="14">
                    <c:v>COMUNA 6 OFICIAL</c:v>
                  </c:pt>
                  <c:pt idx="15">
                    <c:v>INSTITUCION EDUCATIVA EDUARDO SANTOS</c:v>
                  </c:pt>
                  <c:pt idx="16">
                    <c:v>OFICIALES URBANOS DE SOACHA</c:v>
                  </c:pt>
                  <c:pt idx="17">
                    <c:v>COMUNA 6 OFICIAL</c:v>
                  </c:pt>
                  <c:pt idx="18">
                    <c:v>INSTITUCION EDUCATIVA EDUARDO SANTOS</c:v>
                  </c:pt>
                  <c:pt idx="19">
                    <c:v>OFICIALES URBANOS DE SOACHA</c:v>
                  </c:pt>
                  <c:pt idx="20">
                    <c:v>COMUNA 6 OFICIAL</c:v>
                  </c:pt>
                  <c:pt idx="21">
                    <c:v>INSTITUCION EDUCATIVA EDUARDO SANTOS</c:v>
                  </c:pt>
                  <c:pt idx="22">
                    <c:v>OFICIALES URBANOS DE SOACHA</c:v>
                  </c:pt>
                  <c:pt idx="23">
                    <c:v>COMUNA 6 OFICIAL</c:v>
                  </c:pt>
                </c:lvl>
                <c:lvl>
                  <c:pt idx="0">
                    <c:v>2016</c:v>
                  </c:pt>
                  <c:pt idx="3">
                    <c:v>2017</c:v>
                  </c:pt>
                  <c:pt idx="6">
                    <c:v>2018</c:v>
                  </c:pt>
                  <c:pt idx="9">
                    <c:v>2019</c:v>
                  </c:pt>
                  <c:pt idx="12">
                    <c:v>2020</c:v>
                  </c:pt>
                  <c:pt idx="15">
                    <c:v>2021</c:v>
                  </c:pt>
                  <c:pt idx="18">
                    <c:v>2022</c:v>
                  </c:pt>
                  <c:pt idx="21">
                    <c:v>2023</c:v>
                  </c:pt>
                </c:lvl>
              </c:multiLvlStrCache>
            </c:multiLvlStrRef>
          </c:cat>
          <c:val>
            <c:numRef>
              <c:f>Promediosyniveles!$M$255:$M$278</c:f>
              <c:numCache>
                <c:formatCode>0%</c:formatCode>
                <c:ptCount val="24"/>
                <c:pt idx="0">
                  <c:v>0.22</c:v>
                </c:pt>
                <c:pt idx="1">
                  <c:v>0.2</c:v>
                </c:pt>
                <c:pt idx="2">
                  <c:v>0.21666666666666667</c:v>
                </c:pt>
                <c:pt idx="3">
                  <c:v>0.16</c:v>
                </c:pt>
                <c:pt idx="4">
                  <c:v>0.16</c:v>
                </c:pt>
                <c:pt idx="5">
                  <c:v>0.15</c:v>
                </c:pt>
                <c:pt idx="6">
                  <c:v>0.11</c:v>
                </c:pt>
                <c:pt idx="7">
                  <c:v>0.16</c:v>
                </c:pt>
                <c:pt idx="8">
                  <c:v>0.16</c:v>
                </c:pt>
                <c:pt idx="9">
                  <c:v>0.18</c:v>
                </c:pt>
                <c:pt idx="10">
                  <c:v>0.15</c:v>
                </c:pt>
                <c:pt idx="11">
                  <c:v>0.19000000000000003</c:v>
                </c:pt>
                <c:pt idx="12">
                  <c:v>0.05</c:v>
                </c:pt>
                <c:pt idx="13">
                  <c:v>7.0000000000000007E-2</c:v>
                </c:pt>
                <c:pt idx="14">
                  <c:v>9.0000000000000011E-2</c:v>
                </c:pt>
                <c:pt idx="15">
                  <c:v>0.11</c:v>
                </c:pt>
                <c:pt idx="16">
                  <c:v>0.15</c:v>
                </c:pt>
                <c:pt idx="17">
                  <c:v>0.13666666666666669</c:v>
                </c:pt>
                <c:pt idx="18">
                  <c:v>0.23</c:v>
                </c:pt>
                <c:pt idx="19">
                  <c:v>0.19</c:v>
                </c:pt>
                <c:pt idx="20">
                  <c:v>0.21333333333333335</c:v>
                </c:pt>
                <c:pt idx="21">
                  <c:v>0.1</c:v>
                </c:pt>
                <c:pt idx="22">
                  <c:v>0.17</c:v>
                </c:pt>
                <c:pt idx="23">
                  <c:v>0.16</c:v>
                </c:pt>
              </c:numCache>
            </c:numRef>
          </c:val>
          <c:extLst>
            <c:ext xmlns:c16="http://schemas.microsoft.com/office/drawing/2014/chart" uri="{C3380CC4-5D6E-409C-BE32-E72D297353CC}">
              <c16:uniqueId val="{00000002-1D1C-401A-ACCB-988B1CBF31F3}"/>
            </c:ext>
          </c:extLst>
        </c:ser>
        <c:ser>
          <c:idx val="3"/>
          <c:order val="3"/>
          <c:tx>
            <c:strRef>
              <c:f>Promediosyniveles!$N$254</c:f>
              <c:strCache>
                <c:ptCount val="1"/>
                <c:pt idx="0">
                  <c:v>B1</c:v>
                </c:pt>
              </c:strCache>
            </c:strRef>
          </c:tx>
          <c:spPr>
            <a:solidFill>
              <a:srgbClr val="FFFF00"/>
            </a:solidFill>
            <a:ln>
              <a:noFill/>
            </a:ln>
            <a:effectLst/>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Promediosyniveles!$I$255:$J$278</c:f>
              <c:multiLvlStrCache>
                <c:ptCount val="24"/>
                <c:lvl>
                  <c:pt idx="0">
                    <c:v>INSTITUCION EDUCATIVA EDUARDO SANTOS</c:v>
                  </c:pt>
                  <c:pt idx="1">
                    <c:v>OFICIALES URBANOS DE SOACHA</c:v>
                  </c:pt>
                  <c:pt idx="2">
                    <c:v>COMUNA 6 OFICIAL</c:v>
                  </c:pt>
                  <c:pt idx="3">
                    <c:v>INSTITUCION EDUCATIVA EDUARDO SANTOS</c:v>
                  </c:pt>
                  <c:pt idx="4">
                    <c:v>OFICIALES URBANOS DE SOACHA</c:v>
                  </c:pt>
                  <c:pt idx="5">
                    <c:v>COMUNA 6 OFICIAL</c:v>
                  </c:pt>
                  <c:pt idx="6">
                    <c:v>INSTITUCION EDUCATIVA EDUARDO SANTOS</c:v>
                  </c:pt>
                  <c:pt idx="7">
                    <c:v>OFICIALES URBANOS DE SOACHA</c:v>
                  </c:pt>
                  <c:pt idx="8">
                    <c:v>COMUNA 6 OFICIAL</c:v>
                  </c:pt>
                  <c:pt idx="9">
                    <c:v>INSTITUCION EDUCATIVA EDUARDO SANTOS</c:v>
                  </c:pt>
                  <c:pt idx="10">
                    <c:v>OFICIALES URBANOS DE SOACHA</c:v>
                  </c:pt>
                  <c:pt idx="11">
                    <c:v>COMUNA 6 OFICIAL</c:v>
                  </c:pt>
                  <c:pt idx="12">
                    <c:v>INSTITUCION EDUCATIVA EDUARDO SANTOS</c:v>
                  </c:pt>
                  <c:pt idx="13">
                    <c:v>OFICIALES URBANOS DE SOACHA</c:v>
                  </c:pt>
                  <c:pt idx="14">
                    <c:v>COMUNA 6 OFICIAL</c:v>
                  </c:pt>
                  <c:pt idx="15">
                    <c:v>INSTITUCION EDUCATIVA EDUARDO SANTOS</c:v>
                  </c:pt>
                  <c:pt idx="16">
                    <c:v>OFICIALES URBANOS DE SOACHA</c:v>
                  </c:pt>
                  <c:pt idx="17">
                    <c:v>COMUNA 6 OFICIAL</c:v>
                  </c:pt>
                  <c:pt idx="18">
                    <c:v>INSTITUCION EDUCATIVA EDUARDO SANTOS</c:v>
                  </c:pt>
                  <c:pt idx="19">
                    <c:v>OFICIALES URBANOS DE SOACHA</c:v>
                  </c:pt>
                  <c:pt idx="20">
                    <c:v>COMUNA 6 OFICIAL</c:v>
                  </c:pt>
                  <c:pt idx="21">
                    <c:v>INSTITUCION EDUCATIVA EDUARDO SANTOS</c:v>
                  </c:pt>
                  <c:pt idx="22">
                    <c:v>OFICIALES URBANOS DE SOACHA</c:v>
                  </c:pt>
                  <c:pt idx="23">
                    <c:v>COMUNA 6 OFICIAL</c:v>
                  </c:pt>
                </c:lvl>
                <c:lvl>
                  <c:pt idx="0">
                    <c:v>2016</c:v>
                  </c:pt>
                  <c:pt idx="3">
                    <c:v>2017</c:v>
                  </c:pt>
                  <c:pt idx="6">
                    <c:v>2018</c:v>
                  </c:pt>
                  <c:pt idx="9">
                    <c:v>2019</c:v>
                  </c:pt>
                  <c:pt idx="12">
                    <c:v>2020</c:v>
                  </c:pt>
                  <c:pt idx="15">
                    <c:v>2021</c:v>
                  </c:pt>
                  <c:pt idx="18">
                    <c:v>2022</c:v>
                  </c:pt>
                  <c:pt idx="21">
                    <c:v>2023</c:v>
                  </c:pt>
                </c:lvl>
              </c:multiLvlStrCache>
            </c:multiLvlStrRef>
          </c:cat>
          <c:val>
            <c:numRef>
              <c:f>Promediosyniveles!$N$255:$N$278</c:f>
              <c:numCache>
                <c:formatCode>0%</c:formatCode>
                <c:ptCount val="24"/>
                <c:pt idx="0">
                  <c:v>0.05</c:v>
                </c:pt>
                <c:pt idx="1">
                  <c:v>0.04</c:v>
                </c:pt>
                <c:pt idx="2">
                  <c:v>5.3333333333333337E-2</c:v>
                </c:pt>
                <c:pt idx="3">
                  <c:v>0.01</c:v>
                </c:pt>
                <c:pt idx="4">
                  <c:v>0.03</c:v>
                </c:pt>
                <c:pt idx="5">
                  <c:v>5.3333333333333323E-2</c:v>
                </c:pt>
                <c:pt idx="6">
                  <c:v>0.01</c:v>
                </c:pt>
                <c:pt idx="7">
                  <c:v>0.03</c:v>
                </c:pt>
                <c:pt idx="8">
                  <c:v>4.3333333333333335E-2</c:v>
                </c:pt>
                <c:pt idx="9">
                  <c:v>0.02</c:v>
                </c:pt>
                <c:pt idx="10">
                  <c:v>0.03</c:v>
                </c:pt>
                <c:pt idx="11">
                  <c:v>4.3333333333333335E-2</c:v>
                </c:pt>
                <c:pt idx="12">
                  <c:v>0.01</c:v>
                </c:pt>
                <c:pt idx="13">
                  <c:v>0.02</c:v>
                </c:pt>
                <c:pt idx="14">
                  <c:v>1.3333333333333334E-2</c:v>
                </c:pt>
                <c:pt idx="15">
                  <c:v>7.0000000000000007E-2</c:v>
                </c:pt>
                <c:pt idx="16">
                  <c:v>0.04</c:v>
                </c:pt>
                <c:pt idx="17">
                  <c:v>7.3333333333333348E-2</c:v>
                </c:pt>
                <c:pt idx="18">
                  <c:v>7.0000000000000007E-2</c:v>
                </c:pt>
                <c:pt idx="19">
                  <c:v>0.05</c:v>
                </c:pt>
                <c:pt idx="20">
                  <c:v>6.6666666666666666E-2</c:v>
                </c:pt>
                <c:pt idx="21">
                  <c:v>0.03</c:v>
                </c:pt>
                <c:pt idx="22">
                  <c:v>0.05</c:v>
                </c:pt>
                <c:pt idx="23">
                  <c:v>4.6666666666666669E-2</c:v>
                </c:pt>
              </c:numCache>
            </c:numRef>
          </c:val>
          <c:extLst>
            <c:ext xmlns:c16="http://schemas.microsoft.com/office/drawing/2014/chart" uri="{C3380CC4-5D6E-409C-BE32-E72D297353CC}">
              <c16:uniqueId val="{00000003-1D1C-401A-ACCB-988B1CBF31F3}"/>
            </c:ext>
          </c:extLst>
        </c:ser>
        <c:ser>
          <c:idx val="4"/>
          <c:order val="4"/>
          <c:tx>
            <c:strRef>
              <c:f>Promediosyniveles!$O$254</c:f>
              <c:strCache>
                <c:ptCount val="1"/>
                <c:pt idx="0">
                  <c:v>B+</c:v>
                </c:pt>
              </c:strCache>
            </c:strRef>
          </c:tx>
          <c:spPr>
            <a:solidFill>
              <a:srgbClr val="00B05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Promediosyniveles!$I$255:$J$278</c:f>
              <c:multiLvlStrCache>
                <c:ptCount val="24"/>
                <c:lvl>
                  <c:pt idx="0">
                    <c:v>INSTITUCION EDUCATIVA EDUARDO SANTOS</c:v>
                  </c:pt>
                  <c:pt idx="1">
                    <c:v>OFICIALES URBANOS DE SOACHA</c:v>
                  </c:pt>
                  <c:pt idx="2">
                    <c:v>COMUNA 6 OFICIAL</c:v>
                  </c:pt>
                  <c:pt idx="3">
                    <c:v>INSTITUCION EDUCATIVA EDUARDO SANTOS</c:v>
                  </c:pt>
                  <c:pt idx="4">
                    <c:v>OFICIALES URBANOS DE SOACHA</c:v>
                  </c:pt>
                  <c:pt idx="5">
                    <c:v>COMUNA 6 OFICIAL</c:v>
                  </c:pt>
                  <c:pt idx="6">
                    <c:v>INSTITUCION EDUCATIVA EDUARDO SANTOS</c:v>
                  </c:pt>
                  <c:pt idx="7">
                    <c:v>OFICIALES URBANOS DE SOACHA</c:v>
                  </c:pt>
                  <c:pt idx="8">
                    <c:v>COMUNA 6 OFICIAL</c:v>
                  </c:pt>
                  <c:pt idx="9">
                    <c:v>INSTITUCION EDUCATIVA EDUARDO SANTOS</c:v>
                  </c:pt>
                  <c:pt idx="10">
                    <c:v>OFICIALES URBANOS DE SOACHA</c:v>
                  </c:pt>
                  <c:pt idx="11">
                    <c:v>COMUNA 6 OFICIAL</c:v>
                  </c:pt>
                  <c:pt idx="12">
                    <c:v>INSTITUCION EDUCATIVA EDUARDO SANTOS</c:v>
                  </c:pt>
                  <c:pt idx="13">
                    <c:v>OFICIALES URBANOS DE SOACHA</c:v>
                  </c:pt>
                  <c:pt idx="14">
                    <c:v>COMUNA 6 OFICIAL</c:v>
                  </c:pt>
                  <c:pt idx="15">
                    <c:v>INSTITUCION EDUCATIVA EDUARDO SANTOS</c:v>
                  </c:pt>
                  <c:pt idx="16">
                    <c:v>OFICIALES URBANOS DE SOACHA</c:v>
                  </c:pt>
                  <c:pt idx="17">
                    <c:v>COMUNA 6 OFICIAL</c:v>
                  </c:pt>
                  <c:pt idx="18">
                    <c:v>INSTITUCION EDUCATIVA EDUARDO SANTOS</c:v>
                  </c:pt>
                  <c:pt idx="19">
                    <c:v>OFICIALES URBANOS DE SOACHA</c:v>
                  </c:pt>
                  <c:pt idx="20">
                    <c:v>COMUNA 6 OFICIAL</c:v>
                  </c:pt>
                  <c:pt idx="21">
                    <c:v>INSTITUCION EDUCATIVA EDUARDO SANTOS</c:v>
                  </c:pt>
                  <c:pt idx="22">
                    <c:v>OFICIALES URBANOS DE SOACHA</c:v>
                  </c:pt>
                  <c:pt idx="23">
                    <c:v>COMUNA 6 OFICIAL</c:v>
                  </c:pt>
                </c:lvl>
                <c:lvl>
                  <c:pt idx="0">
                    <c:v>2016</c:v>
                  </c:pt>
                  <c:pt idx="3">
                    <c:v>2017</c:v>
                  </c:pt>
                  <c:pt idx="6">
                    <c:v>2018</c:v>
                  </c:pt>
                  <c:pt idx="9">
                    <c:v>2019</c:v>
                  </c:pt>
                  <c:pt idx="12">
                    <c:v>2020</c:v>
                  </c:pt>
                  <c:pt idx="15">
                    <c:v>2021</c:v>
                  </c:pt>
                  <c:pt idx="18">
                    <c:v>2022</c:v>
                  </c:pt>
                  <c:pt idx="21">
                    <c:v>2023</c:v>
                  </c:pt>
                </c:lvl>
              </c:multiLvlStrCache>
            </c:multiLvlStrRef>
          </c:cat>
          <c:val>
            <c:numRef>
              <c:f>Promediosyniveles!$O$255:$O$278</c:f>
              <c:numCache>
                <c:formatCode>0%</c:formatCode>
                <c:ptCount val="24"/>
                <c:pt idx="0">
                  <c:v>0</c:v>
                </c:pt>
                <c:pt idx="1">
                  <c:v>0</c:v>
                </c:pt>
                <c:pt idx="2">
                  <c:v>0</c:v>
                </c:pt>
                <c:pt idx="3">
                  <c:v>0.01</c:v>
                </c:pt>
                <c:pt idx="4">
                  <c:v>0</c:v>
                </c:pt>
                <c:pt idx="5">
                  <c:v>6.6666666666666671E-3</c:v>
                </c:pt>
                <c:pt idx="6">
                  <c:v>0</c:v>
                </c:pt>
                <c:pt idx="7">
                  <c:v>0</c:v>
                </c:pt>
                <c:pt idx="8">
                  <c:v>0</c:v>
                </c:pt>
                <c:pt idx="9">
                  <c:v>0</c:v>
                </c:pt>
                <c:pt idx="10">
                  <c:v>0</c:v>
                </c:pt>
                <c:pt idx="11">
                  <c:v>0</c:v>
                </c:pt>
                <c:pt idx="12">
                  <c:v>0</c:v>
                </c:pt>
                <c:pt idx="13">
                  <c:v>0</c:v>
                </c:pt>
                <c:pt idx="14">
                  <c:v>0</c:v>
                </c:pt>
                <c:pt idx="15">
                  <c:v>0</c:v>
                </c:pt>
                <c:pt idx="16">
                  <c:v>0</c:v>
                </c:pt>
                <c:pt idx="17">
                  <c:v>3.3333333333333335E-3</c:v>
                </c:pt>
                <c:pt idx="18">
                  <c:v>0</c:v>
                </c:pt>
                <c:pt idx="19">
                  <c:v>0</c:v>
                </c:pt>
                <c:pt idx="20">
                  <c:v>3.3333333333333335E-3</c:v>
                </c:pt>
                <c:pt idx="21">
                  <c:v>0</c:v>
                </c:pt>
                <c:pt idx="22">
                  <c:v>0</c:v>
                </c:pt>
                <c:pt idx="23">
                  <c:v>3.3333333333333335E-3</c:v>
                </c:pt>
              </c:numCache>
            </c:numRef>
          </c:val>
          <c:extLst>
            <c:ext xmlns:c16="http://schemas.microsoft.com/office/drawing/2014/chart" uri="{C3380CC4-5D6E-409C-BE32-E72D297353CC}">
              <c16:uniqueId val="{00000004-1D1C-401A-ACCB-988B1CBF31F3}"/>
            </c:ext>
          </c:extLst>
        </c:ser>
        <c:dLbls>
          <c:showLegendKey val="0"/>
          <c:showVal val="0"/>
          <c:showCatName val="0"/>
          <c:showSerName val="0"/>
          <c:showPercent val="0"/>
          <c:showBubbleSize val="0"/>
        </c:dLbls>
        <c:gapWidth val="150"/>
        <c:overlap val="100"/>
        <c:axId val="419681552"/>
        <c:axId val="419681968"/>
      </c:barChart>
      <c:catAx>
        <c:axId val="4196815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crossAx val="419681968"/>
        <c:crosses val="autoZero"/>
        <c:auto val="1"/>
        <c:lblAlgn val="ctr"/>
        <c:lblOffset val="100"/>
        <c:noMultiLvlLbl val="0"/>
      </c:catAx>
      <c:valAx>
        <c:axId val="419681968"/>
        <c:scaling>
          <c:orientation val="minMax"/>
          <c:max val="1"/>
        </c:scaling>
        <c:delete val="0"/>
        <c:axPos val="l"/>
        <c:majorGridlines>
          <c:spPr>
            <a:ln w="9525" cap="flat" cmpd="sng" algn="ctr">
              <a:solidFill>
                <a:schemeClr val="bg1"/>
              </a:solidFill>
              <a:round/>
            </a:ln>
            <a:effectLst/>
          </c:spPr>
        </c:maj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crossAx val="41968155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s-CO" sz="1400"/>
              <a:t>Lectura</a:t>
            </a:r>
            <a:r>
              <a:rPr lang="es-CO" sz="1400" baseline="0"/>
              <a:t> Crítica por Comunas 2016-2023</a:t>
            </a:r>
            <a:endParaRPr lang="es-CO" sz="1400"/>
          </a:p>
        </c:rich>
      </c:tx>
      <c:overlay val="0"/>
    </c:title>
    <c:autoTitleDeleted val="0"/>
    <c:plotArea>
      <c:layout/>
      <c:radarChart>
        <c:radarStyle val="marker"/>
        <c:varyColors val="0"/>
        <c:ser>
          <c:idx val="0"/>
          <c:order val="0"/>
          <c:tx>
            <c:strRef>
              <c:f>LC!$V$174</c:f>
              <c:strCache>
                <c:ptCount val="1"/>
                <c:pt idx="0">
                  <c:v>2016</c:v>
                </c:pt>
              </c:strCache>
            </c:strRef>
          </c:tx>
          <c:spPr>
            <a:ln>
              <a:prstDash val="lgDashDot"/>
            </a:ln>
          </c:spPr>
          <c:cat>
            <c:strRef>
              <c:f>LC!$U$175:$U$180</c:f>
              <c:strCache>
                <c:ptCount val="6"/>
                <c:pt idx="0">
                  <c:v>COMUNA 1</c:v>
                </c:pt>
                <c:pt idx="1">
                  <c:v>COMUNA 2</c:v>
                </c:pt>
                <c:pt idx="2">
                  <c:v>COMUNA 3</c:v>
                </c:pt>
                <c:pt idx="3">
                  <c:v>COMUNA 4</c:v>
                </c:pt>
                <c:pt idx="4">
                  <c:v>COMUNA 5</c:v>
                </c:pt>
                <c:pt idx="5">
                  <c:v>COMUNA 6</c:v>
                </c:pt>
              </c:strCache>
            </c:strRef>
          </c:cat>
          <c:val>
            <c:numRef>
              <c:f>LC!$V$175:$V$180</c:f>
              <c:numCache>
                <c:formatCode>0</c:formatCode>
                <c:ptCount val="6"/>
                <c:pt idx="0">
                  <c:v>53.117647058823529</c:v>
                </c:pt>
                <c:pt idx="1">
                  <c:v>54.75</c:v>
                </c:pt>
                <c:pt idx="2">
                  <c:v>54.8125</c:v>
                </c:pt>
                <c:pt idx="3">
                  <c:v>50.714285714285715</c:v>
                </c:pt>
                <c:pt idx="4">
                  <c:v>55.529411764705884</c:v>
                </c:pt>
                <c:pt idx="5">
                  <c:v>54.2</c:v>
                </c:pt>
              </c:numCache>
            </c:numRef>
          </c:val>
          <c:extLst>
            <c:ext xmlns:c16="http://schemas.microsoft.com/office/drawing/2014/chart" uri="{C3380CC4-5D6E-409C-BE32-E72D297353CC}">
              <c16:uniqueId val="{00000000-6005-469A-BA8A-B68F42B4C59F}"/>
            </c:ext>
          </c:extLst>
        </c:ser>
        <c:ser>
          <c:idx val="1"/>
          <c:order val="1"/>
          <c:tx>
            <c:strRef>
              <c:f>LC!$W$174</c:f>
              <c:strCache>
                <c:ptCount val="1"/>
                <c:pt idx="0">
                  <c:v>2017</c:v>
                </c:pt>
              </c:strCache>
            </c:strRef>
          </c:tx>
          <c:cat>
            <c:strRef>
              <c:f>LC!$U$175:$U$180</c:f>
              <c:strCache>
                <c:ptCount val="6"/>
                <c:pt idx="0">
                  <c:v>COMUNA 1</c:v>
                </c:pt>
                <c:pt idx="1">
                  <c:v>COMUNA 2</c:v>
                </c:pt>
                <c:pt idx="2">
                  <c:v>COMUNA 3</c:v>
                </c:pt>
                <c:pt idx="3">
                  <c:v>COMUNA 4</c:v>
                </c:pt>
                <c:pt idx="4">
                  <c:v>COMUNA 5</c:v>
                </c:pt>
                <c:pt idx="5">
                  <c:v>COMUNA 6</c:v>
                </c:pt>
              </c:strCache>
            </c:strRef>
          </c:cat>
          <c:val>
            <c:numRef>
              <c:f>LC!$W$175:$W$180</c:f>
              <c:numCache>
                <c:formatCode>0</c:formatCode>
                <c:ptCount val="6"/>
                <c:pt idx="0">
                  <c:v>53.75</c:v>
                </c:pt>
                <c:pt idx="1">
                  <c:v>55.578947368421055</c:v>
                </c:pt>
                <c:pt idx="2">
                  <c:v>55.411764705882355</c:v>
                </c:pt>
                <c:pt idx="3">
                  <c:v>53.6</c:v>
                </c:pt>
                <c:pt idx="4">
                  <c:v>56.941176470588232</c:v>
                </c:pt>
                <c:pt idx="5">
                  <c:v>53.733333333333334</c:v>
                </c:pt>
              </c:numCache>
            </c:numRef>
          </c:val>
          <c:extLst>
            <c:ext xmlns:c16="http://schemas.microsoft.com/office/drawing/2014/chart" uri="{C3380CC4-5D6E-409C-BE32-E72D297353CC}">
              <c16:uniqueId val="{00000001-6005-469A-BA8A-B68F42B4C59F}"/>
            </c:ext>
          </c:extLst>
        </c:ser>
        <c:ser>
          <c:idx val="2"/>
          <c:order val="2"/>
          <c:tx>
            <c:strRef>
              <c:f>LC!$X$174</c:f>
              <c:strCache>
                <c:ptCount val="1"/>
                <c:pt idx="0">
                  <c:v>2018</c:v>
                </c:pt>
              </c:strCache>
            </c:strRef>
          </c:tx>
          <c:spPr>
            <a:ln>
              <a:prstDash val="sysDash"/>
            </a:ln>
          </c:spPr>
          <c:cat>
            <c:strRef>
              <c:f>LC!$U$175:$U$180</c:f>
              <c:strCache>
                <c:ptCount val="6"/>
                <c:pt idx="0">
                  <c:v>COMUNA 1</c:v>
                </c:pt>
                <c:pt idx="1">
                  <c:v>COMUNA 2</c:v>
                </c:pt>
                <c:pt idx="2">
                  <c:v>COMUNA 3</c:v>
                </c:pt>
                <c:pt idx="3">
                  <c:v>COMUNA 4</c:v>
                </c:pt>
                <c:pt idx="4">
                  <c:v>COMUNA 5</c:v>
                </c:pt>
                <c:pt idx="5">
                  <c:v>COMUNA 6</c:v>
                </c:pt>
              </c:strCache>
            </c:strRef>
          </c:cat>
          <c:val>
            <c:numRef>
              <c:f>LC!$X$175:$X$180</c:f>
              <c:numCache>
                <c:formatCode>0</c:formatCode>
                <c:ptCount val="6"/>
                <c:pt idx="0">
                  <c:v>53.823529411764703</c:v>
                </c:pt>
                <c:pt idx="1">
                  <c:v>54.684210526315788</c:v>
                </c:pt>
                <c:pt idx="2">
                  <c:v>55.823529411764703</c:v>
                </c:pt>
                <c:pt idx="3">
                  <c:v>52.93333333333333</c:v>
                </c:pt>
                <c:pt idx="4">
                  <c:v>55.888888888888886</c:v>
                </c:pt>
                <c:pt idx="5">
                  <c:v>54.357142857142854</c:v>
                </c:pt>
              </c:numCache>
            </c:numRef>
          </c:val>
          <c:extLst>
            <c:ext xmlns:c16="http://schemas.microsoft.com/office/drawing/2014/chart" uri="{C3380CC4-5D6E-409C-BE32-E72D297353CC}">
              <c16:uniqueId val="{00000002-6005-469A-BA8A-B68F42B4C59F}"/>
            </c:ext>
          </c:extLst>
        </c:ser>
        <c:ser>
          <c:idx val="3"/>
          <c:order val="3"/>
          <c:tx>
            <c:strRef>
              <c:f>LC!$Y$174</c:f>
              <c:strCache>
                <c:ptCount val="1"/>
                <c:pt idx="0">
                  <c:v>2019</c:v>
                </c:pt>
              </c:strCache>
            </c:strRef>
          </c:tx>
          <c:cat>
            <c:strRef>
              <c:f>LC!$U$175:$U$180</c:f>
              <c:strCache>
                <c:ptCount val="6"/>
                <c:pt idx="0">
                  <c:v>COMUNA 1</c:v>
                </c:pt>
                <c:pt idx="1">
                  <c:v>COMUNA 2</c:v>
                </c:pt>
                <c:pt idx="2">
                  <c:v>COMUNA 3</c:v>
                </c:pt>
                <c:pt idx="3">
                  <c:v>COMUNA 4</c:v>
                </c:pt>
                <c:pt idx="4">
                  <c:v>COMUNA 5</c:v>
                </c:pt>
                <c:pt idx="5">
                  <c:v>COMUNA 6</c:v>
                </c:pt>
              </c:strCache>
            </c:strRef>
          </c:cat>
          <c:val>
            <c:numRef>
              <c:f>LC!$Y$175:$Y$180</c:f>
              <c:numCache>
                <c:formatCode>0</c:formatCode>
                <c:ptCount val="6"/>
                <c:pt idx="0">
                  <c:v>53.705882352941174</c:v>
                </c:pt>
                <c:pt idx="1">
                  <c:v>55.3</c:v>
                </c:pt>
                <c:pt idx="2">
                  <c:v>55.352941176470587</c:v>
                </c:pt>
                <c:pt idx="3">
                  <c:v>52.5</c:v>
                </c:pt>
                <c:pt idx="4">
                  <c:v>56.368421052631582</c:v>
                </c:pt>
                <c:pt idx="5">
                  <c:v>54.6</c:v>
                </c:pt>
              </c:numCache>
            </c:numRef>
          </c:val>
          <c:extLst>
            <c:ext xmlns:c16="http://schemas.microsoft.com/office/drawing/2014/chart" uri="{C3380CC4-5D6E-409C-BE32-E72D297353CC}">
              <c16:uniqueId val="{00000003-6005-469A-BA8A-B68F42B4C59F}"/>
            </c:ext>
          </c:extLst>
        </c:ser>
        <c:ser>
          <c:idx val="4"/>
          <c:order val="4"/>
          <c:tx>
            <c:strRef>
              <c:f>LC!$Z$174</c:f>
              <c:strCache>
                <c:ptCount val="1"/>
                <c:pt idx="0">
                  <c:v>2020</c:v>
                </c:pt>
              </c:strCache>
            </c:strRef>
          </c:tx>
          <c:cat>
            <c:strRef>
              <c:f>LC!$U$175:$U$180</c:f>
              <c:strCache>
                <c:ptCount val="6"/>
                <c:pt idx="0">
                  <c:v>COMUNA 1</c:v>
                </c:pt>
                <c:pt idx="1">
                  <c:v>COMUNA 2</c:v>
                </c:pt>
                <c:pt idx="2">
                  <c:v>COMUNA 3</c:v>
                </c:pt>
                <c:pt idx="3">
                  <c:v>COMUNA 4</c:v>
                </c:pt>
                <c:pt idx="4">
                  <c:v>COMUNA 5</c:v>
                </c:pt>
                <c:pt idx="5">
                  <c:v>COMUNA 6</c:v>
                </c:pt>
              </c:strCache>
            </c:strRef>
          </c:cat>
          <c:val>
            <c:numRef>
              <c:f>LC!$Z$175:$Z$180</c:f>
              <c:numCache>
                <c:formatCode>0</c:formatCode>
                <c:ptCount val="6"/>
                <c:pt idx="0">
                  <c:v>53.823529411764703</c:v>
                </c:pt>
                <c:pt idx="1">
                  <c:v>54.791666666666664</c:v>
                </c:pt>
                <c:pt idx="2">
                  <c:v>54.89473684210526</c:v>
                </c:pt>
                <c:pt idx="3">
                  <c:v>51.153846153846153</c:v>
                </c:pt>
                <c:pt idx="4">
                  <c:v>56.5</c:v>
                </c:pt>
                <c:pt idx="5">
                  <c:v>52.588235294117645</c:v>
                </c:pt>
              </c:numCache>
            </c:numRef>
          </c:val>
          <c:extLst>
            <c:ext xmlns:c16="http://schemas.microsoft.com/office/drawing/2014/chart" uri="{C3380CC4-5D6E-409C-BE32-E72D297353CC}">
              <c16:uniqueId val="{00000001-0070-490A-99FF-7CA7DEBAC34F}"/>
            </c:ext>
          </c:extLst>
        </c:ser>
        <c:ser>
          <c:idx val="5"/>
          <c:order val="5"/>
          <c:tx>
            <c:strRef>
              <c:f>LC!$AA$174</c:f>
              <c:strCache>
                <c:ptCount val="1"/>
                <c:pt idx="0">
                  <c:v>2021</c:v>
                </c:pt>
              </c:strCache>
            </c:strRef>
          </c:tx>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LC!$U$175:$U$180</c:f>
              <c:strCache>
                <c:ptCount val="6"/>
                <c:pt idx="0">
                  <c:v>COMUNA 1</c:v>
                </c:pt>
                <c:pt idx="1">
                  <c:v>COMUNA 2</c:v>
                </c:pt>
                <c:pt idx="2">
                  <c:v>COMUNA 3</c:v>
                </c:pt>
                <c:pt idx="3">
                  <c:v>COMUNA 4</c:v>
                </c:pt>
                <c:pt idx="4">
                  <c:v>COMUNA 5</c:v>
                </c:pt>
                <c:pt idx="5">
                  <c:v>COMUNA 6</c:v>
                </c:pt>
              </c:strCache>
            </c:strRef>
          </c:cat>
          <c:val>
            <c:numRef>
              <c:f>LC!$AA$175:$AA$180</c:f>
              <c:numCache>
                <c:formatCode>0</c:formatCode>
                <c:ptCount val="6"/>
                <c:pt idx="0">
                  <c:v>54.588235294117645</c:v>
                </c:pt>
                <c:pt idx="1">
                  <c:v>54.545454545454547</c:v>
                </c:pt>
                <c:pt idx="2">
                  <c:v>55.6</c:v>
                </c:pt>
                <c:pt idx="3">
                  <c:v>52.357142857142854</c:v>
                </c:pt>
                <c:pt idx="4">
                  <c:v>56.944444444444443</c:v>
                </c:pt>
                <c:pt idx="5">
                  <c:v>54.1875</c:v>
                </c:pt>
              </c:numCache>
            </c:numRef>
          </c:val>
          <c:extLst>
            <c:ext xmlns:c16="http://schemas.microsoft.com/office/drawing/2014/chart" uri="{C3380CC4-5D6E-409C-BE32-E72D297353CC}">
              <c16:uniqueId val="{00000000-F0C3-4ED1-8924-C6D55A236138}"/>
            </c:ext>
          </c:extLst>
        </c:ser>
        <c:dLbls>
          <c:showLegendKey val="0"/>
          <c:showVal val="0"/>
          <c:showCatName val="0"/>
          <c:showSerName val="0"/>
          <c:showPercent val="0"/>
          <c:showBubbleSize val="0"/>
        </c:dLbls>
        <c:axId val="39209600"/>
        <c:axId val="39223680"/>
      </c:radarChart>
      <c:catAx>
        <c:axId val="39209600"/>
        <c:scaling>
          <c:orientation val="minMax"/>
        </c:scaling>
        <c:delete val="0"/>
        <c:axPos val="b"/>
        <c:majorGridlines/>
        <c:numFmt formatCode="General" sourceLinked="0"/>
        <c:majorTickMark val="none"/>
        <c:minorTickMark val="none"/>
        <c:tickLblPos val="nextTo"/>
        <c:spPr>
          <a:ln w="9525">
            <a:noFill/>
          </a:ln>
        </c:spPr>
        <c:crossAx val="39223680"/>
        <c:crosses val="autoZero"/>
        <c:auto val="1"/>
        <c:lblAlgn val="ctr"/>
        <c:lblOffset val="100"/>
        <c:noMultiLvlLbl val="0"/>
      </c:catAx>
      <c:valAx>
        <c:axId val="39223680"/>
        <c:scaling>
          <c:orientation val="minMax"/>
          <c:max val="58"/>
          <c:min val="48"/>
        </c:scaling>
        <c:delete val="0"/>
        <c:axPos val="l"/>
        <c:majorGridlines/>
        <c:numFmt formatCode="0" sourceLinked="1"/>
        <c:majorTickMark val="none"/>
        <c:minorTickMark val="none"/>
        <c:tickLblPos val="nextTo"/>
        <c:crossAx val="39209600"/>
        <c:crosses val="autoZero"/>
        <c:crossBetween val="between"/>
        <c:majorUnit val="2"/>
      </c:valAx>
    </c:plotArea>
    <c:legend>
      <c:legendPos val="r"/>
      <c:overlay val="0"/>
    </c:legend>
    <c:plotVisOnly val="1"/>
    <c:dispBlanksAs val="gap"/>
    <c:showDLblsOverMax val="0"/>
  </c:chart>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s-CO" sz="1400"/>
              <a:t>Lectura</a:t>
            </a:r>
            <a:r>
              <a:rPr lang="es-CO" sz="1400" baseline="0"/>
              <a:t> Crítica Instituciónes Oficiales por Comunas 2016-2023</a:t>
            </a:r>
            <a:endParaRPr lang="es-CO" sz="1400"/>
          </a:p>
        </c:rich>
      </c:tx>
      <c:overlay val="0"/>
    </c:title>
    <c:autoTitleDeleted val="0"/>
    <c:plotArea>
      <c:layout/>
      <c:radarChart>
        <c:radarStyle val="marker"/>
        <c:varyColors val="0"/>
        <c:ser>
          <c:idx val="0"/>
          <c:order val="0"/>
          <c:tx>
            <c:strRef>
              <c:f>LC!$D$197</c:f>
              <c:strCache>
                <c:ptCount val="1"/>
                <c:pt idx="0">
                  <c:v>2016</c:v>
                </c:pt>
              </c:strCache>
            </c:strRef>
          </c:tx>
          <c:spPr>
            <a:ln>
              <a:prstDash val="lgDashDot"/>
            </a:ln>
          </c:spPr>
          <c:cat>
            <c:strRef>
              <c:f>LC!$C$198:$C$203</c:f>
              <c:strCache>
                <c:ptCount val="6"/>
                <c:pt idx="0">
                  <c:v>COMUNA 1</c:v>
                </c:pt>
                <c:pt idx="1">
                  <c:v>COMUNA 2</c:v>
                </c:pt>
                <c:pt idx="2">
                  <c:v>COMUNA 3</c:v>
                </c:pt>
                <c:pt idx="3">
                  <c:v>COMUNA 4</c:v>
                </c:pt>
                <c:pt idx="4">
                  <c:v>COMUNA 5</c:v>
                </c:pt>
                <c:pt idx="5">
                  <c:v>COMUNA 6</c:v>
                </c:pt>
              </c:strCache>
            </c:strRef>
          </c:cat>
          <c:val>
            <c:numRef>
              <c:f>LC!$D$198:$D$203</c:f>
              <c:numCache>
                <c:formatCode>0</c:formatCode>
                <c:ptCount val="6"/>
                <c:pt idx="0">
                  <c:v>53</c:v>
                </c:pt>
                <c:pt idx="1">
                  <c:v>53.5</c:v>
                </c:pt>
                <c:pt idx="2">
                  <c:v>53.333333333333336</c:v>
                </c:pt>
                <c:pt idx="3">
                  <c:v>49.666666666666664</c:v>
                </c:pt>
                <c:pt idx="4">
                  <c:v>53.5</c:v>
                </c:pt>
                <c:pt idx="5">
                  <c:v>52.666666666666664</c:v>
                </c:pt>
              </c:numCache>
            </c:numRef>
          </c:val>
          <c:extLst>
            <c:ext xmlns:c16="http://schemas.microsoft.com/office/drawing/2014/chart" uri="{C3380CC4-5D6E-409C-BE32-E72D297353CC}">
              <c16:uniqueId val="{00000000-B841-447B-9845-623613E75B3A}"/>
            </c:ext>
          </c:extLst>
        </c:ser>
        <c:ser>
          <c:idx val="1"/>
          <c:order val="1"/>
          <c:tx>
            <c:strRef>
              <c:f>LC!$E$197</c:f>
              <c:strCache>
                <c:ptCount val="1"/>
                <c:pt idx="0">
                  <c:v>2017</c:v>
                </c:pt>
              </c:strCache>
            </c:strRef>
          </c:tx>
          <c:cat>
            <c:strRef>
              <c:f>LC!$C$198:$C$203</c:f>
              <c:strCache>
                <c:ptCount val="6"/>
                <c:pt idx="0">
                  <c:v>COMUNA 1</c:v>
                </c:pt>
                <c:pt idx="1">
                  <c:v>COMUNA 2</c:v>
                </c:pt>
                <c:pt idx="2">
                  <c:v>COMUNA 3</c:v>
                </c:pt>
                <c:pt idx="3">
                  <c:v>COMUNA 4</c:v>
                </c:pt>
                <c:pt idx="4">
                  <c:v>COMUNA 5</c:v>
                </c:pt>
                <c:pt idx="5">
                  <c:v>COMUNA 6</c:v>
                </c:pt>
              </c:strCache>
            </c:strRef>
          </c:cat>
          <c:val>
            <c:numRef>
              <c:f>LC!$E$198:$E$203</c:f>
              <c:numCache>
                <c:formatCode>0</c:formatCode>
                <c:ptCount val="6"/>
                <c:pt idx="0">
                  <c:v>55</c:v>
                </c:pt>
                <c:pt idx="1">
                  <c:v>54.5</c:v>
                </c:pt>
                <c:pt idx="2">
                  <c:v>54</c:v>
                </c:pt>
                <c:pt idx="3">
                  <c:v>51.333333333333336</c:v>
                </c:pt>
                <c:pt idx="4">
                  <c:v>54</c:v>
                </c:pt>
                <c:pt idx="5">
                  <c:v>52.666666666666664</c:v>
                </c:pt>
              </c:numCache>
            </c:numRef>
          </c:val>
          <c:extLst>
            <c:ext xmlns:c16="http://schemas.microsoft.com/office/drawing/2014/chart" uri="{C3380CC4-5D6E-409C-BE32-E72D297353CC}">
              <c16:uniqueId val="{00000001-B841-447B-9845-623613E75B3A}"/>
            </c:ext>
          </c:extLst>
        </c:ser>
        <c:ser>
          <c:idx val="2"/>
          <c:order val="2"/>
          <c:tx>
            <c:strRef>
              <c:f>LC!$F$197</c:f>
              <c:strCache>
                <c:ptCount val="1"/>
                <c:pt idx="0">
                  <c:v>2018</c:v>
                </c:pt>
              </c:strCache>
            </c:strRef>
          </c:tx>
          <c:spPr>
            <a:ln>
              <a:prstDash val="sysDash"/>
            </a:ln>
          </c:spPr>
          <c:cat>
            <c:strRef>
              <c:f>LC!$C$198:$C$203</c:f>
              <c:strCache>
                <c:ptCount val="6"/>
                <c:pt idx="0">
                  <c:v>COMUNA 1</c:v>
                </c:pt>
                <c:pt idx="1">
                  <c:v>COMUNA 2</c:v>
                </c:pt>
                <c:pt idx="2">
                  <c:v>COMUNA 3</c:v>
                </c:pt>
                <c:pt idx="3">
                  <c:v>COMUNA 4</c:v>
                </c:pt>
                <c:pt idx="4">
                  <c:v>COMUNA 5</c:v>
                </c:pt>
                <c:pt idx="5">
                  <c:v>COMUNA 6</c:v>
                </c:pt>
              </c:strCache>
            </c:strRef>
          </c:cat>
          <c:val>
            <c:numRef>
              <c:f>LC!$F$198:$F$203</c:f>
              <c:numCache>
                <c:formatCode>0</c:formatCode>
                <c:ptCount val="6"/>
                <c:pt idx="0">
                  <c:v>53.75</c:v>
                </c:pt>
                <c:pt idx="1">
                  <c:v>53.5</c:v>
                </c:pt>
                <c:pt idx="2">
                  <c:v>54</c:v>
                </c:pt>
                <c:pt idx="3">
                  <c:v>50.333333333333336</c:v>
                </c:pt>
                <c:pt idx="4">
                  <c:v>52.5</c:v>
                </c:pt>
                <c:pt idx="5">
                  <c:v>52.666666666666664</c:v>
                </c:pt>
              </c:numCache>
            </c:numRef>
          </c:val>
          <c:extLst>
            <c:ext xmlns:c16="http://schemas.microsoft.com/office/drawing/2014/chart" uri="{C3380CC4-5D6E-409C-BE32-E72D297353CC}">
              <c16:uniqueId val="{00000002-B841-447B-9845-623613E75B3A}"/>
            </c:ext>
          </c:extLst>
        </c:ser>
        <c:ser>
          <c:idx val="3"/>
          <c:order val="3"/>
          <c:tx>
            <c:strRef>
              <c:f>LC!$G$197</c:f>
              <c:strCache>
                <c:ptCount val="1"/>
                <c:pt idx="0">
                  <c:v>2019</c:v>
                </c:pt>
              </c:strCache>
            </c:strRef>
          </c:tx>
          <c:cat>
            <c:strRef>
              <c:f>LC!$C$198:$C$203</c:f>
              <c:strCache>
                <c:ptCount val="6"/>
                <c:pt idx="0">
                  <c:v>COMUNA 1</c:v>
                </c:pt>
                <c:pt idx="1">
                  <c:v>COMUNA 2</c:v>
                </c:pt>
                <c:pt idx="2">
                  <c:v>COMUNA 3</c:v>
                </c:pt>
                <c:pt idx="3">
                  <c:v>COMUNA 4</c:v>
                </c:pt>
                <c:pt idx="4">
                  <c:v>COMUNA 5</c:v>
                </c:pt>
                <c:pt idx="5">
                  <c:v>COMUNA 6</c:v>
                </c:pt>
              </c:strCache>
            </c:strRef>
          </c:cat>
          <c:val>
            <c:numRef>
              <c:f>LC!$G$198:$G$203</c:f>
              <c:numCache>
                <c:formatCode>0</c:formatCode>
                <c:ptCount val="6"/>
                <c:pt idx="0">
                  <c:v>54.25</c:v>
                </c:pt>
                <c:pt idx="1">
                  <c:v>54</c:v>
                </c:pt>
                <c:pt idx="2">
                  <c:v>53.333333333333336</c:v>
                </c:pt>
                <c:pt idx="3">
                  <c:v>50</c:v>
                </c:pt>
                <c:pt idx="4">
                  <c:v>53.5</c:v>
                </c:pt>
                <c:pt idx="5">
                  <c:v>52.666666666666664</c:v>
                </c:pt>
              </c:numCache>
            </c:numRef>
          </c:val>
          <c:extLst>
            <c:ext xmlns:c16="http://schemas.microsoft.com/office/drawing/2014/chart" uri="{C3380CC4-5D6E-409C-BE32-E72D297353CC}">
              <c16:uniqueId val="{00000003-B841-447B-9845-623613E75B3A}"/>
            </c:ext>
          </c:extLst>
        </c:ser>
        <c:ser>
          <c:idx val="4"/>
          <c:order val="4"/>
          <c:tx>
            <c:strRef>
              <c:f>LC!$H$197</c:f>
              <c:strCache>
                <c:ptCount val="1"/>
                <c:pt idx="0">
                  <c:v>2020</c:v>
                </c:pt>
              </c:strCache>
            </c:strRef>
          </c:tx>
          <c:cat>
            <c:strRef>
              <c:f>LC!$C$198:$C$203</c:f>
              <c:strCache>
                <c:ptCount val="6"/>
                <c:pt idx="0">
                  <c:v>COMUNA 1</c:v>
                </c:pt>
                <c:pt idx="1">
                  <c:v>COMUNA 2</c:v>
                </c:pt>
                <c:pt idx="2">
                  <c:v>COMUNA 3</c:v>
                </c:pt>
                <c:pt idx="3">
                  <c:v>COMUNA 4</c:v>
                </c:pt>
                <c:pt idx="4">
                  <c:v>COMUNA 5</c:v>
                </c:pt>
                <c:pt idx="5">
                  <c:v>COMUNA 6</c:v>
                </c:pt>
              </c:strCache>
            </c:strRef>
          </c:cat>
          <c:val>
            <c:numRef>
              <c:f>LC!$H$198:$H$203</c:f>
              <c:numCache>
                <c:formatCode>0</c:formatCode>
                <c:ptCount val="6"/>
                <c:pt idx="0">
                  <c:v>54.25</c:v>
                </c:pt>
                <c:pt idx="1">
                  <c:v>54</c:v>
                </c:pt>
                <c:pt idx="2">
                  <c:v>53.25</c:v>
                </c:pt>
                <c:pt idx="3">
                  <c:v>50</c:v>
                </c:pt>
                <c:pt idx="4">
                  <c:v>53.5</c:v>
                </c:pt>
                <c:pt idx="5">
                  <c:v>53</c:v>
                </c:pt>
              </c:numCache>
            </c:numRef>
          </c:val>
          <c:extLst>
            <c:ext xmlns:c16="http://schemas.microsoft.com/office/drawing/2014/chart" uri="{C3380CC4-5D6E-409C-BE32-E72D297353CC}">
              <c16:uniqueId val="{00000001-D0E5-46CE-88D7-2D691323A903}"/>
            </c:ext>
          </c:extLst>
        </c:ser>
        <c:ser>
          <c:idx val="5"/>
          <c:order val="5"/>
          <c:tx>
            <c:strRef>
              <c:f>LC!$I$197</c:f>
              <c:strCache>
                <c:ptCount val="1"/>
                <c:pt idx="0">
                  <c:v>2021</c:v>
                </c:pt>
              </c:strCache>
            </c:strRef>
          </c:tx>
          <c:cat>
            <c:strRef>
              <c:f>LC!$C$198:$C$203</c:f>
              <c:strCache>
                <c:ptCount val="6"/>
                <c:pt idx="0">
                  <c:v>COMUNA 1</c:v>
                </c:pt>
                <c:pt idx="1">
                  <c:v>COMUNA 2</c:v>
                </c:pt>
                <c:pt idx="2">
                  <c:v>COMUNA 3</c:v>
                </c:pt>
                <c:pt idx="3">
                  <c:v>COMUNA 4</c:v>
                </c:pt>
                <c:pt idx="4">
                  <c:v>COMUNA 5</c:v>
                </c:pt>
                <c:pt idx="5">
                  <c:v>COMUNA 6</c:v>
                </c:pt>
              </c:strCache>
            </c:strRef>
          </c:cat>
          <c:val>
            <c:numRef>
              <c:f>LC!$I$198:$I$203</c:f>
              <c:numCache>
                <c:formatCode>0</c:formatCode>
                <c:ptCount val="6"/>
                <c:pt idx="0">
                  <c:v>53.75</c:v>
                </c:pt>
                <c:pt idx="1">
                  <c:v>53.5</c:v>
                </c:pt>
                <c:pt idx="2">
                  <c:v>53.8</c:v>
                </c:pt>
                <c:pt idx="3">
                  <c:v>50.333333333333336</c:v>
                </c:pt>
                <c:pt idx="4">
                  <c:v>54</c:v>
                </c:pt>
                <c:pt idx="5">
                  <c:v>52.333333333333336</c:v>
                </c:pt>
              </c:numCache>
            </c:numRef>
          </c:val>
          <c:extLst>
            <c:ext xmlns:c16="http://schemas.microsoft.com/office/drawing/2014/chart" uri="{C3380CC4-5D6E-409C-BE32-E72D297353CC}">
              <c16:uniqueId val="{00000001-2AD0-4CCB-93FE-5D77D6F0D6C4}"/>
            </c:ext>
          </c:extLst>
        </c:ser>
        <c:ser>
          <c:idx val="6"/>
          <c:order val="6"/>
          <c:tx>
            <c:strRef>
              <c:f>LC!$J$197</c:f>
              <c:strCache>
                <c:ptCount val="1"/>
                <c:pt idx="0">
                  <c:v>2022</c:v>
                </c:pt>
              </c:strCache>
            </c:strRef>
          </c:tx>
          <c:cat>
            <c:strRef>
              <c:f>LC!$C$198:$C$203</c:f>
              <c:strCache>
                <c:ptCount val="6"/>
                <c:pt idx="0">
                  <c:v>COMUNA 1</c:v>
                </c:pt>
                <c:pt idx="1">
                  <c:v>COMUNA 2</c:v>
                </c:pt>
                <c:pt idx="2">
                  <c:v>COMUNA 3</c:v>
                </c:pt>
                <c:pt idx="3">
                  <c:v>COMUNA 4</c:v>
                </c:pt>
                <c:pt idx="4">
                  <c:v>COMUNA 5</c:v>
                </c:pt>
                <c:pt idx="5">
                  <c:v>COMUNA 6</c:v>
                </c:pt>
              </c:strCache>
            </c:strRef>
          </c:cat>
          <c:val>
            <c:numRef>
              <c:f>LC!$J$198:$J$203</c:f>
              <c:numCache>
                <c:formatCode>0</c:formatCode>
                <c:ptCount val="6"/>
                <c:pt idx="0">
                  <c:v>54</c:v>
                </c:pt>
                <c:pt idx="1">
                  <c:v>53.75</c:v>
                </c:pt>
                <c:pt idx="2">
                  <c:v>54.333333333333336</c:v>
                </c:pt>
                <c:pt idx="3">
                  <c:v>51</c:v>
                </c:pt>
                <c:pt idx="4">
                  <c:v>55</c:v>
                </c:pt>
                <c:pt idx="5">
                  <c:v>53</c:v>
                </c:pt>
              </c:numCache>
            </c:numRef>
          </c:val>
          <c:extLst>
            <c:ext xmlns:c16="http://schemas.microsoft.com/office/drawing/2014/chart" uri="{C3380CC4-5D6E-409C-BE32-E72D297353CC}">
              <c16:uniqueId val="{00000000-2DE8-4991-9559-0F866ABE42A1}"/>
            </c:ext>
          </c:extLst>
        </c:ser>
        <c:ser>
          <c:idx val="7"/>
          <c:order val="7"/>
          <c:tx>
            <c:strRef>
              <c:f>LC!$K$197</c:f>
              <c:strCache>
                <c:ptCount val="1"/>
                <c:pt idx="0">
                  <c:v>2023</c:v>
                </c:pt>
              </c:strCache>
            </c:strRef>
          </c:tx>
          <c:cat>
            <c:strRef>
              <c:f>LC!$C$198:$C$203</c:f>
              <c:strCache>
                <c:ptCount val="6"/>
                <c:pt idx="0">
                  <c:v>COMUNA 1</c:v>
                </c:pt>
                <c:pt idx="1">
                  <c:v>COMUNA 2</c:v>
                </c:pt>
                <c:pt idx="2">
                  <c:v>COMUNA 3</c:v>
                </c:pt>
                <c:pt idx="3">
                  <c:v>COMUNA 4</c:v>
                </c:pt>
                <c:pt idx="4">
                  <c:v>COMUNA 5</c:v>
                </c:pt>
                <c:pt idx="5">
                  <c:v>COMUNA 6</c:v>
                </c:pt>
              </c:strCache>
            </c:strRef>
          </c:cat>
          <c:val>
            <c:numRef>
              <c:f>LC!$K$198:$K$203</c:f>
              <c:numCache>
                <c:formatCode>0</c:formatCode>
                <c:ptCount val="6"/>
                <c:pt idx="0">
                  <c:v>52.8</c:v>
                </c:pt>
                <c:pt idx="1">
                  <c:v>54.25</c:v>
                </c:pt>
                <c:pt idx="2">
                  <c:v>54</c:v>
                </c:pt>
                <c:pt idx="3">
                  <c:v>49.833333333333336</c:v>
                </c:pt>
                <c:pt idx="4">
                  <c:v>53.5</c:v>
                </c:pt>
                <c:pt idx="5">
                  <c:v>52.333333333333336</c:v>
                </c:pt>
              </c:numCache>
            </c:numRef>
          </c:val>
          <c:extLst>
            <c:ext xmlns:c16="http://schemas.microsoft.com/office/drawing/2014/chart" uri="{C3380CC4-5D6E-409C-BE32-E72D297353CC}">
              <c16:uniqueId val="{00000001-2DE8-4991-9559-0F866ABE42A1}"/>
            </c:ext>
          </c:extLst>
        </c:ser>
        <c:dLbls>
          <c:showLegendKey val="0"/>
          <c:showVal val="0"/>
          <c:showCatName val="0"/>
          <c:showSerName val="0"/>
          <c:showPercent val="0"/>
          <c:showBubbleSize val="0"/>
        </c:dLbls>
        <c:axId val="39250560"/>
        <c:axId val="38543744"/>
      </c:radarChart>
      <c:catAx>
        <c:axId val="39250560"/>
        <c:scaling>
          <c:orientation val="minMax"/>
        </c:scaling>
        <c:delete val="0"/>
        <c:axPos val="b"/>
        <c:majorGridlines/>
        <c:numFmt formatCode="General" sourceLinked="0"/>
        <c:majorTickMark val="none"/>
        <c:minorTickMark val="none"/>
        <c:tickLblPos val="nextTo"/>
        <c:spPr>
          <a:ln w="9525">
            <a:noFill/>
          </a:ln>
        </c:spPr>
        <c:crossAx val="38543744"/>
        <c:crosses val="autoZero"/>
        <c:auto val="1"/>
        <c:lblAlgn val="ctr"/>
        <c:lblOffset val="100"/>
        <c:noMultiLvlLbl val="0"/>
      </c:catAx>
      <c:valAx>
        <c:axId val="38543744"/>
        <c:scaling>
          <c:orientation val="minMax"/>
          <c:max val="58"/>
          <c:min val="48"/>
        </c:scaling>
        <c:delete val="0"/>
        <c:axPos val="l"/>
        <c:majorGridlines/>
        <c:numFmt formatCode="0" sourceLinked="1"/>
        <c:majorTickMark val="none"/>
        <c:minorTickMark val="none"/>
        <c:tickLblPos val="nextTo"/>
        <c:crossAx val="39250560"/>
        <c:crosses val="autoZero"/>
        <c:crossBetween val="between"/>
        <c:majorUnit val="2"/>
      </c:valAx>
    </c:plotArea>
    <c:legend>
      <c:legendPos val="r"/>
      <c:overlay val="0"/>
    </c:legend>
    <c:plotVisOnly val="1"/>
    <c:dispBlanksAs val="gap"/>
    <c:showDLblsOverMax val="0"/>
  </c:chart>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a:defRPr/>
            </a:pPr>
            <a:r>
              <a:rPr lang="es-CO" sz="1400" b="1" i="0" baseline="0">
                <a:effectLst/>
              </a:rPr>
              <a:t>Lectura Crítica Instituciones No Oficiales por Comunas 2016-2023</a:t>
            </a:r>
            <a:endParaRPr lang="es-CO" sz="1400">
              <a:effectLst/>
            </a:endParaRPr>
          </a:p>
        </c:rich>
      </c:tx>
      <c:overlay val="0"/>
    </c:title>
    <c:autoTitleDeleted val="0"/>
    <c:plotArea>
      <c:layout>
        <c:manualLayout>
          <c:layoutTarget val="inner"/>
          <c:xMode val="edge"/>
          <c:yMode val="edge"/>
          <c:x val="0.1086654825862963"/>
          <c:y val="0.14645895667926781"/>
          <c:w val="0.5823671311056442"/>
          <c:h val="0.68293020545108274"/>
        </c:manualLayout>
      </c:layout>
      <c:radarChart>
        <c:radarStyle val="marker"/>
        <c:varyColors val="0"/>
        <c:ser>
          <c:idx val="0"/>
          <c:order val="0"/>
          <c:tx>
            <c:strRef>
              <c:f>LC!$O$197</c:f>
              <c:strCache>
                <c:ptCount val="1"/>
                <c:pt idx="0">
                  <c:v>2016</c:v>
                </c:pt>
              </c:strCache>
            </c:strRef>
          </c:tx>
          <c:spPr>
            <a:ln>
              <a:prstDash val="lgDashDot"/>
            </a:ln>
          </c:spPr>
          <c:cat>
            <c:strRef>
              <c:f>LC!$N$198:$N$203</c:f>
              <c:strCache>
                <c:ptCount val="6"/>
                <c:pt idx="0">
                  <c:v>COMUNA 1</c:v>
                </c:pt>
                <c:pt idx="1">
                  <c:v>COMUNA 2</c:v>
                </c:pt>
                <c:pt idx="2">
                  <c:v>COMUNA 3</c:v>
                </c:pt>
                <c:pt idx="3">
                  <c:v>COMUNA 4</c:v>
                </c:pt>
                <c:pt idx="4">
                  <c:v>COMUNA 5</c:v>
                </c:pt>
                <c:pt idx="5">
                  <c:v>COMUNA 6</c:v>
                </c:pt>
              </c:strCache>
            </c:strRef>
          </c:cat>
          <c:val>
            <c:numRef>
              <c:f>LC!$O$198:$O$203</c:f>
              <c:numCache>
                <c:formatCode>0</c:formatCode>
                <c:ptCount val="6"/>
                <c:pt idx="0">
                  <c:v>53.153846153846153</c:v>
                </c:pt>
                <c:pt idx="1">
                  <c:v>54.888888888888886</c:v>
                </c:pt>
                <c:pt idx="2">
                  <c:v>55.153846153846153</c:v>
                </c:pt>
                <c:pt idx="3">
                  <c:v>51.5</c:v>
                </c:pt>
                <c:pt idx="4">
                  <c:v>55.8</c:v>
                </c:pt>
                <c:pt idx="5">
                  <c:v>54.583333333333336</c:v>
                </c:pt>
              </c:numCache>
            </c:numRef>
          </c:val>
          <c:extLst>
            <c:ext xmlns:c16="http://schemas.microsoft.com/office/drawing/2014/chart" uri="{C3380CC4-5D6E-409C-BE32-E72D297353CC}">
              <c16:uniqueId val="{00000000-9F3F-44C5-B9F6-FD9F632224D2}"/>
            </c:ext>
          </c:extLst>
        </c:ser>
        <c:ser>
          <c:idx val="1"/>
          <c:order val="1"/>
          <c:tx>
            <c:strRef>
              <c:f>LC!$P$197</c:f>
              <c:strCache>
                <c:ptCount val="1"/>
                <c:pt idx="0">
                  <c:v>2017</c:v>
                </c:pt>
              </c:strCache>
            </c:strRef>
          </c:tx>
          <c:cat>
            <c:strRef>
              <c:f>LC!$N$198:$N$203</c:f>
              <c:strCache>
                <c:ptCount val="6"/>
                <c:pt idx="0">
                  <c:v>COMUNA 1</c:v>
                </c:pt>
                <c:pt idx="1">
                  <c:v>COMUNA 2</c:v>
                </c:pt>
                <c:pt idx="2">
                  <c:v>COMUNA 3</c:v>
                </c:pt>
                <c:pt idx="3">
                  <c:v>COMUNA 4</c:v>
                </c:pt>
                <c:pt idx="4">
                  <c:v>COMUNA 5</c:v>
                </c:pt>
                <c:pt idx="5">
                  <c:v>COMUNA 6</c:v>
                </c:pt>
              </c:strCache>
            </c:strRef>
          </c:cat>
          <c:val>
            <c:numRef>
              <c:f>LC!$P$198:$P$203</c:f>
              <c:numCache>
                <c:formatCode>0</c:formatCode>
                <c:ptCount val="6"/>
                <c:pt idx="0">
                  <c:v>53.333333333333336</c:v>
                </c:pt>
                <c:pt idx="1">
                  <c:v>55.705882352941174</c:v>
                </c:pt>
                <c:pt idx="2">
                  <c:v>55.714285714285715</c:v>
                </c:pt>
                <c:pt idx="3">
                  <c:v>55.111111111111114</c:v>
                </c:pt>
                <c:pt idx="4">
                  <c:v>57.333333333333336</c:v>
                </c:pt>
                <c:pt idx="5">
                  <c:v>54</c:v>
                </c:pt>
              </c:numCache>
            </c:numRef>
          </c:val>
          <c:extLst>
            <c:ext xmlns:c16="http://schemas.microsoft.com/office/drawing/2014/chart" uri="{C3380CC4-5D6E-409C-BE32-E72D297353CC}">
              <c16:uniqueId val="{00000001-9F3F-44C5-B9F6-FD9F632224D2}"/>
            </c:ext>
          </c:extLst>
        </c:ser>
        <c:ser>
          <c:idx val="2"/>
          <c:order val="2"/>
          <c:tx>
            <c:strRef>
              <c:f>LC!$Q$197</c:f>
              <c:strCache>
                <c:ptCount val="1"/>
                <c:pt idx="0">
                  <c:v>2018</c:v>
                </c:pt>
              </c:strCache>
            </c:strRef>
          </c:tx>
          <c:spPr>
            <a:ln>
              <a:prstDash val="sysDash"/>
            </a:ln>
          </c:spPr>
          <c:cat>
            <c:strRef>
              <c:f>LC!$N$198:$N$203</c:f>
              <c:strCache>
                <c:ptCount val="6"/>
                <c:pt idx="0">
                  <c:v>COMUNA 1</c:v>
                </c:pt>
                <c:pt idx="1">
                  <c:v>COMUNA 2</c:v>
                </c:pt>
                <c:pt idx="2">
                  <c:v>COMUNA 3</c:v>
                </c:pt>
                <c:pt idx="3">
                  <c:v>COMUNA 4</c:v>
                </c:pt>
                <c:pt idx="4">
                  <c:v>COMUNA 5</c:v>
                </c:pt>
                <c:pt idx="5">
                  <c:v>COMUNA 6</c:v>
                </c:pt>
              </c:strCache>
            </c:strRef>
          </c:cat>
          <c:val>
            <c:numRef>
              <c:f>LC!$Q$198:$Q$203</c:f>
              <c:numCache>
                <c:formatCode>0</c:formatCode>
                <c:ptCount val="6"/>
                <c:pt idx="0">
                  <c:v>53.846153846153847</c:v>
                </c:pt>
                <c:pt idx="1">
                  <c:v>54.823529411764703</c:v>
                </c:pt>
                <c:pt idx="2">
                  <c:v>56.214285714285715</c:v>
                </c:pt>
                <c:pt idx="3">
                  <c:v>54.666666666666664</c:v>
                </c:pt>
                <c:pt idx="4">
                  <c:v>56.3125</c:v>
                </c:pt>
                <c:pt idx="5">
                  <c:v>54.81818181818182</c:v>
                </c:pt>
              </c:numCache>
            </c:numRef>
          </c:val>
          <c:extLst>
            <c:ext xmlns:c16="http://schemas.microsoft.com/office/drawing/2014/chart" uri="{C3380CC4-5D6E-409C-BE32-E72D297353CC}">
              <c16:uniqueId val="{00000002-9F3F-44C5-B9F6-FD9F632224D2}"/>
            </c:ext>
          </c:extLst>
        </c:ser>
        <c:ser>
          <c:idx val="3"/>
          <c:order val="3"/>
          <c:tx>
            <c:strRef>
              <c:f>LC!$R$197</c:f>
              <c:strCache>
                <c:ptCount val="1"/>
                <c:pt idx="0">
                  <c:v>2019</c:v>
                </c:pt>
              </c:strCache>
            </c:strRef>
          </c:tx>
          <c:cat>
            <c:strRef>
              <c:f>LC!$N$198:$N$203</c:f>
              <c:strCache>
                <c:ptCount val="6"/>
                <c:pt idx="0">
                  <c:v>COMUNA 1</c:v>
                </c:pt>
                <c:pt idx="1">
                  <c:v>COMUNA 2</c:v>
                </c:pt>
                <c:pt idx="2">
                  <c:v>COMUNA 3</c:v>
                </c:pt>
                <c:pt idx="3">
                  <c:v>COMUNA 4</c:v>
                </c:pt>
                <c:pt idx="4">
                  <c:v>COMUNA 5</c:v>
                </c:pt>
                <c:pt idx="5">
                  <c:v>COMUNA 6</c:v>
                </c:pt>
              </c:strCache>
            </c:strRef>
          </c:cat>
          <c:val>
            <c:numRef>
              <c:f>LC!$R$198:$R$203</c:f>
              <c:numCache>
                <c:formatCode>0</c:formatCode>
                <c:ptCount val="6"/>
                <c:pt idx="0">
                  <c:v>53.53846153846154</c:v>
                </c:pt>
                <c:pt idx="1">
                  <c:v>55.444444444444443</c:v>
                </c:pt>
                <c:pt idx="2">
                  <c:v>55.785714285714285</c:v>
                </c:pt>
                <c:pt idx="3">
                  <c:v>54.375</c:v>
                </c:pt>
                <c:pt idx="4">
                  <c:v>56.705882352941174</c:v>
                </c:pt>
                <c:pt idx="5">
                  <c:v>55.083333333333336</c:v>
                </c:pt>
              </c:numCache>
            </c:numRef>
          </c:val>
          <c:extLst>
            <c:ext xmlns:c16="http://schemas.microsoft.com/office/drawing/2014/chart" uri="{C3380CC4-5D6E-409C-BE32-E72D297353CC}">
              <c16:uniqueId val="{00000003-9F3F-44C5-B9F6-FD9F632224D2}"/>
            </c:ext>
          </c:extLst>
        </c:ser>
        <c:ser>
          <c:idx val="4"/>
          <c:order val="4"/>
          <c:tx>
            <c:strRef>
              <c:f>LC!$S$197</c:f>
              <c:strCache>
                <c:ptCount val="1"/>
                <c:pt idx="0">
                  <c:v>2020</c:v>
                </c:pt>
              </c:strCache>
            </c:strRef>
          </c:tx>
          <c:cat>
            <c:strRef>
              <c:f>LC!$N$198:$N$203</c:f>
              <c:strCache>
                <c:ptCount val="6"/>
                <c:pt idx="0">
                  <c:v>COMUNA 1</c:v>
                </c:pt>
                <c:pt idx="1">
                  <c:v>COMUNA 2</c:v>
                </c:pt>
                <c:pt idx="2">
                  <c:v>COMUNA 3</c:v>
                </c:pt>
                <c:pt idx="3">
                  <c:v>COMUNA 4</c:v>
                </c:pt>
                <c:pt idx="4">
                  <c:v>COMUNA 5</c:v>
                </c:pt>
                <c:pt idx="5">
                  <c:v>COMUNA 6</c:v>
                </c:pt>
              </c:strCache>
            </c:strRef>
          </c:cat>
          <c:val>
            <c:numRef>
              <c:f>LC!$S$198:$S$203</c:f>
              <c:numCache>
                <c:formatCode>0</c:formatCode>
                <c:ptCount val="6"/>
                <c:pt idx="0">
                  <c:v>53.692307692307693</c:v>
                </c:pt>
                <c:pt idx="1">
                  <c:v>54.863636363636367</c:v>
                </c:pt>
                <c:pt idx="2">
                  <c:v>55.333333333333336</c:v>
                </c:pt>
                <c:pt idx="3">
                  <c:v>52.142857142857146</c:v>
                </c:pt>
                <c:pt idx="4">
                  <c:v>56.875</c:v>
                </c:pt>
                <c:pt idx="5">
                  <c:v>52.5</c:v>
                </c:pt>
              </c:numCache>
            </c:numRef>
          </c:val>
          <c:extLst>
            <c:ext xmlns:c16="http://schemas.microsoft.com/office/drawing/2014/chart" uri="{C3380CC4-5D6E-409C-BE32-E72D297353CC}">
              <c16:uniqueId val="{00000001-906E-44E8-8304-C95F0B7FE9A4}"/>
            </c:ext>
          </c:extLst>
        </c:ser>
        <c:ser>
          <c:idx val="5"/>
          <c:order val="5"/>
          <c:tx>
            <c:strRef>
              <c:f>LC!$T$197</c:f>
              <c:strCache>
                <c:ptCount val="1"/>
                <c:pt idx="0">
                  <c:v>2021</c:v>
                </c:pt>
              </c:strCache>
            </c:strRef>
          </c:tx>
          <c:cat>
            <c:strRef>
              <c:f>LC!$N$198:$N$203</c:f>
              <c:strCache>
                <c:ptCount val="6"/>
                <c:pt idx="0">
                  <c:v>COMUNA 1</c:v>
                </c:pt>
                <c:pt idx="1">
                  <c:v>COMUNA 2</c:v>
                </c:pt>
                <c:pt idx="2">
                  <c:v>COMUNA 3</c:v>
                </c:pt>
                <c:pt idx="3">
                  <c:v>COMUNA 4</c:v>
                </c:pt>
                <c:pt idx="4">
                  <c:v>COMUNA 5</c:v>
                </c:pt>
                <c:pt idx="5">
                  <c:v>COMUNA 6</c:v>
                </c:pt>
              </c:strCache>
            </c:strRef>
          </c:cat>
          <c:val>
            <c:numRef>
              <c:f>LC!$T$198:$T$203</c:f>
              <c:numCache>
                <c:formatCode>0</c:formatCode>
                <c:ptCount val="6"/>
                <c:pt idx="0">
                  <c:v>54.846153846153847</c:v>
                </c:pt>
                <c:pt idx="1">
                  <c:v>54.65</c:v>
                </c:pt>
                <c:pt idx="2">
                  <c:v>56.2</c:v>
                </c:pt>
                <c:pt idx="3">
                  <c:v>53.875</c:v>
                </c:pt>
                <c:pt idx="4">
                  <c:v>57.3125</c:v>
                </c:pt>
                <c:pt idx="5">
                  <c:v>54.615384615384613</c:v>
                </c:pt>
              </c:numCache>
            </c:numRef>
          </c:val>
          <c:extLst>
            <c:ext xmlns:c16="http://schemas.microsoft.com/office/drawing/2014/chart" uri="{C3380CC4-5D6E-409C-BE32-E72D297353CC}">
              <c16:uniqueId val="{00000001-331C-4B0C-8208-7421C4D80051}"/>
            </c:ext>
          </c:extLst>
        </c:ser>
        <c:ser>
          <c:idx val="6"/>
          <c:order val="6"/>
          <c:tx>
            <c:strRef>
              <c:f>LC!$U$197</c:f>
              <c:strCache>
                <c:ptCount val="1"/>
                <c:pt idx="0">
                  <c:v>2022</c:v>
                </c:pt>
              </c:strCache>
            </c:strRef>
          </c:tx>
          <c:cat>
            <c:strRef>
              <c:f>LC!$N$198:$N$203</c:f>
              <c:strCache>
                <c:ptCount val="6"/>
                <c:pt idx="0">
                  <c:v>COMUNA 1</c:v>
                </c:pt>
                <c:pt idx="1">
                  <c:v>COMUNA 2</c:v>
                </c:pt>
                <c:pt idx="2">
                  <c:v>COMUNA 3</c:v>
                </c:pt>
                <c:pt idx="3">
                  <c:v>COMUNA 4</c:v>
                </c:pt>
                <c:pt idx="4">
                  <c:v>COMUNA 5</c:v>
                </c:pt>
                <c:pt idx="5">
                  <c:v>COMUNA 6</c:v>
                </c:pt>
              </c:strCache>
            </c:strRef>
          </c:cat>
          <c:val>
            <c:numRef>
              <c:f>LC!$U$198:$U$203</c:f>
              <c:numCache>
                <c:formatCode>0</c:formatCode>
                <c:ptCount val="6"/>
                <c:pt idx="0">
                  <c:v>55</c:v>
                </c:pt>
                <c:pt idx="1">
                  <c:v>56.952380952380949</c:v>
                </c:pt>
                <c:pt idx="2">
                  <c:v>57</c:v>
                </c:pt>
                <c:pt idx="3">
                  <c:v>55</c:v>
                </c:pt>
                <c:pt idx="4">
                  <c:v>58.266666666666666</c:v>
                </c:pt>
                <c:pt idx="5">
                  <c:v>54.8125</c:v>
                </c:pt>
              </c:numCache>
            </c:numRef>
          </c:val>
          <c:extLst>
            <c:ext xmlns:c16="http://schemas.microsoft.com/office/drawing/2014/chart" uri="{C3380CC4-5D6E-409C-BE32-E72D297353CC}">
              <c16:uniqueId val="{00000000-A4B0-4EE5-A932-E2E40679DC01}"/>
            </c:ext>
          </c:extLst>
        </c:ser>
        <c:ser>
          <c:idx val="7"/>
          <c:order val="7"/>
          <c:tx>
            <c:strRef>
              <c:f>LC!$V$197</c:f>
              <c:strCache>
                <c:ptCount val="1"/>
                <c:pt idx="0">
                  <c:v>2023</c:v>
                </c:pt>
              </c:strCache>
            </c:strRef>
          </c:tx>
          <c:cat>
            <c:strRef>
              <c:f>LC!$N$198:$N$203</c:f>
              <c:strCache>
                <c:ptCount val="6"/>
                <c:pt idx="0">
                  <c:v>COMUNA 1</c:v>
                </c:pt>
                <c:pt idx="1">
                  <c:v>COMUNA 2</c:v>
                </c:pt>
                <c:pt idx="2">
                  <c:v>COMUNA 3</c:v>
                </c:pt>
                <c:pt idx="3">
                  <c:v>COMUNA 4</c:v>
                </c:pt>
                <c:pt idx="4">
                  <c:v>COMUNA 5</c:v>
                </c:pt>
                <c:pt idx="5">
                  <c:v>COMUNA 6</c:v>
                </c:pt>
              </c:strCache>
            </c:strRef>
          </c:cat>
          <c:val>
            <c:numRef>
              <c:f>LC!$V$198:$V$203</c:f>
              <c:numCache>
                <c:formatCode>0</c:formatCode>
                <c:ptCount val="6"/>
                <c:pt idx="0">
                  <c:v>55.25</c:v>
                </c:pt>
                <c:pt idx="1">
                  <c:v>56.272727272727273</c:v>
                </c:pt>
                <c:pt idx="2">
                  <c:v>56.625</c:v>
                </c:pt>
                <c:pt idx="3">
                  <c:v>52.555555555555557</c:v>
                </c:pt>
                <c:pt idx="4">
                  <c:v>58.4</c:v>
                </c:pt>
                <c:pt idx="5">
                  <c:v>56.176470588235297</c:v>
                </c:pt>
              </c:numCache>
            </c:numRef>
          </c:val>
          <c:extLst>
            <c:ext xmlns:c16="http://schemas.microsoft.com/office/drawing/2014/chart" uri="{C3380CC4-5D6E-409C-BE32-E72D297353CC}">
              <c16:uniqueId val="{00000001-A4B0-4EE5-A932-E2E40679DC01}"/>
            </c:ext>
          </c:extLst>
        </c:ser>
        <c:dLbls>
          <c:showLegendKey val="0"/>
          <c:showVal val="0"/>
          <c:showCatName val="0"/>
          <c:showSerName val="0"/>
          <c:showPercent val="0"/>
          <c:showBubbleSize val="0"/>
        </c:dLbls>
        <c:axId val="38569088"/>
        <c:axId val="38570624"/>
      </c:radarChart>
      <c:catAx>
        <c:axId val="38569088"/>
        <c:scaling>
          <c:orientation val="minMax"/>
        </c:scaling>
        <c:delete val="0"/>
        <c:axPos val="b"/>
        <c:majorGridlines/>
        <c:numFmt formatCode="General" sourceLinked="0"/>
        <c:majorTickMark val="none"/>
        <c:minorTickMark val="none"/>
        <c:tickLblPos val="nextTo"/>
        <c:spPr>
          <a:ln w="9525">
            <a:noFill/>
          </a:ln>
        </c:spPr>
        <c:crossAx val="38570624"/>
        <c:crosses val="autoZero"/>
        <c:auto val="1"/>
        <c:lblAlgn val="ctr"/>
        <c:lblOffset val="100"/>
        <c:noMultiLvlLbl val="0"/>
      </c:catAx>
      <c:valAx>
        <c:axId val="38570624"/>
        <c:scaling>
          <c:orientation val="minMax"/>
          <c:min val="48"/>
        </c:scaling>
        <c:delete val="0"/>
        <c:axPos val="l"/>
        <c:majorGridlines/>
        <c:numFmt formatCode="0" sourceLinked="1"/>
        <c:majorTickMark val="none"/>
        <c:minorTickMark val="none"/>
        <c:tickLblPos val="nextTo"/>
        <c:crossAx val="38569088"/>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Niveles</a:t>
            </a:r>
            <a:r>
              <a:rPr lang="es-CO" baseline="0"/>
              <a:t> de Desempeño Lectura Crítica Saber 11 2016 - 2021 </a:t>
            </a:r>
            <a:endParaRPr lang="es-CO"/>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stacked"/>
        <c:varyColors val="0"/>
        <c:ser>
          <c:idx val="0"/>
          <c:order val="0"/>
          <c:tx>
            <c:strRef>
              <c:f>LC!$AK$187</c:f>
              <c:strCache>
                <c:ptCount val="1"/>
                <c:pt idx="0">
                  <c:v>1</c:v>
                </c:pt>
              </c:strCache>
            </c:strRef>
          </c:tx>
          <c:spPr>
            <a:solidFill>
              <a:srgbClr val="FF0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LC!$AL$185:$BA$186</c:f>
              <c:multiLvlStrCache>
                <c:ptCount val="16"/>
                <c:lvl>
                  <c:pt idx="0">
                    <c:v>OFICIAL</c:v>
                  </c:pt>
                  <c:pt idx="1">
                    <c:v>NO OFICIAL</c:v>
                  </c:pt>
                  <c:pt idx="2">
                    <c:v>OFICIAL</c:v>
                  </c:pt>
                  <c:pt idx="3">
                    <c:v>NO OFICIAL</c:v>
                  </c:pt>
                  <c:pt idx="4">
                    <c:v>OFICIAL</c:v>
                  </c:pt>
                  <c:pt idx="5">
                    <c:v>NO OFICIAL</c:v>
                  </c:pt>
                  <c:pt idx="6">
                    <c:v>OFICIAL</c:v>
                  </c:pt>
                  <c:pt idx="7">
                    <c:v>NO OFICIAL</c:v>
                  </c:pt>
                  <c:pt idx="8">
                    <c:v>OFICIAL</c:v>
                  </c:pt>
                  <c:pt idx="9">
                    <c:v>NO OFICIAL</c:v>
                  </c:pt>
                  <c:pt idx="10">
                    <c:v>OFICIAL</c:v>
                  </c:pt>
                  <c:pt idx="11">
                    <c:v>NO OFICIAL</c:v>
                  </c:pt>
                  <c:pt idx="12">
                    <c:v>OFICIAL</c:v>
                  </c:pt>
                  <c:pt idx="13">
                    <c:v>NO OFICIAL</c:v>
                  </c:pt>
                  <c:pt idx="14">
                    <c:v>OFICIAL</c:v>
                  </c:pt>
                  <c:pt idx="15">
                    <c:v>NO OFICIAL</c:v>
                  </c:pt>
                </c:lvl>
                <c:lvl>
                  <c:pt idx="0">
                    <c:v>2016</c:v>
                  </c:pt>
                  <c:pt idx="2">
                    <c:v>2017</c:v>
                  </c:pt>
                  <c:pt idx="4">
                    <c:v>2018</c:v>
                  </c:pt>
                  <c:pt idx="6">
                    <c:v>2019</c:v>
                  </c:pt>
                  <c:pt idx="8">
                    <c:v>2020</c:v>
                  </c:pt>
                  <c:pt idx="10">
                    <c:v>2021</c:v>
                  </c:pt>
                  <c:pt idx="12">
                    <c:v>2022</c:v>
                  </c:pt>
                  <c:pt idx="14">
                    <c:v>2023</c:v>
                  </c:pt>
                </c:lvl>
              </c:multiLvlStrCache>
            </c:multiLvlStrRef>
          </c:cat>
          <c:val>
            <c:numRef>
              <c:f>LC!$AL$187:$BA$187</c:f>
              <c:numCache>
                <c:formatCode>0%</c:formatCode>
                <c:ptCount val="16"/>
                <c:pt idx="0">
                  <c:v>0.01</c:v>
                </c:pt>
                <c:pt idx="1">
                  <c:v>0.01</c:v>
                </c:pt>
                <c:pt idx="2">
                  <c:v>0.01</c:v>
                </c:pt>
                <c:pt idx="3">
                  <c:v>0.01</c:v>
                </c:pt>
                <c:pt idx="4">
                  <c:v>0.02</c:v>
                </c:pt>
                <c:pt idx="5">
                  <c:v>0.01</c:v>
                </c:pt>
                <c:pt idx="6">
                  <c:v>0.02</c:v>
                </c:pt>
                <c:pt idx="7">
                  <c:v>0.01</c:v>
                </c:pt>
                <c:pt idx="8">
                  <c:v>0.02</c:v>
                </c:pt>
                <c:pt idx="9">
                  <c:v>0.01</c:v>
                </c:pt>
                <c:pt idx="10">
                  <c:v>0.02</c:v>
                </c:pt>
                <c:pt idx="11">
                  <c:v>0.01</c:v>
                </c:pt>
                <c:pt idx="12">
                  <c:v>0.02</c:v>
                </c:pt>
                <c:pt idx="13">
                  <c:v>0.01</c:v>
                </c:pt>
                <c:pt idx="14">
                  <c:v>0.02</c:v>
                </c:pt>
                <c:pt idx="15">
                  <c:v>0.01</c:v>
                </c:pt>
              </c:numCache>
            </c:numRef>
          </c:val>
          <c:extLst>
            <c:ext xmlns:c16="http://schemas.microsoft.com/office/drawing/2014/chart" uri="{C3380CC4-5D6E-409C-BE32-E72D297353CC}">
              <c16:uniqueId val="{00000000-876A-48F9-BBD8-D92BA2422A21}"/>
            </c:ext>
          </c:extLst>
        </c:ser>
        <c:ser>
          <c:idx val="1"/>
          <c:order val="1"/>
          <c:tx>
            <c:strRef>
              <c:f>LC!$AK$188</c:f>
              <c:strCache>
                <c:ptCount val="1"/>
                <c:pt idx="0">
                  <c:v>2</c:v>
                </c:pt>
              </c:strCache>
            </c:strRef>
          </c:tx>
          <c:spPr>
            <a:solidFill>
              <a:srgbClr val="FFFF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LC!$AL$185:$BA$186</c:f>
              <c:multiLvlStrCache>
                <c:ptCount val="16"/>
                <c:lvl>
                  <c:pt idx="0">
                    <c:v>OFICIAL</c:v>
                  </c:pt>
                  <c:pt idx="1">
                    <c:v>NO OFICIAL</c:v>
                  </c:pt>
                  <c:pt idx="2">
                    <c:v>OFICIAL</c:v>
                  </c:pt>
                  <c:pt idx="3">
                    <c:v>NO OFICIAL</c:v>
                  </c:pt>
                  <c:pt idx="4">
                    <c:v>OFICIAL</c:v>
                  </c:pt>
                  <c:pt idx="5">
                    <c:v>NO OFICIAL</c:v>
                  </c:pt>
                  <c:pt idx="6">
                    <c:v>OFICIAL</c:v>
                  </c:pt>
                  <c:pt idx="7">
                    <c:v>NO OFICIAL</c:v>
                  </c:pt>
                  <c:pt idx="8">
                    <c:v>OFICIAL</c:v>
                  </c:pt>
                  <c:pt idx="9">
                    <c:v>NO OFICIAL</c:v>
                  </c:pt>
                  <c:pt idx="10">
                    <c:v>OFICIAL</c:v>
                  </c:pt>
                  <c:pt idx="11">
                    <c:v>NO OFICIAL</c:v>
                  </c:pt>
                  <c:pt idx="12">
                    <c:v>OFICIAL</c:v>
                  </c:pt>
                  <c:pt idx="13">
                    <c:v>NO OFICIAL</c:v>
                  </c:pt>
                  <c:pt idx="14">
                    <c:v>OFICIAL</c:v>
                  </c:pt>
                  <c:pt idx="15">
                    <c:v>NO OFICIAL</c:v>
                  </c:pt>
                </c:lvl>
                <c:lvl>
                  <c:pt idx="0">
                    <c:v>2016</c:v>
                  </c:pt>
                  <c:pt idx="2">
                    <c:v>2017</c:v>
                  </c:pt>
                  <c:pt idx="4">
                    <c:v>2018</c:v>
                  </c:pt>
                  <c:pt idx="6">
                    <c:v>2019</c:v>
                  </c:pt>
                  <c:pt idx="8">
                    <c:v>2020</c:v>
                  </c:pt>
                  <c:pt idx="10">
                    <c:v>2021</c:v>
                  </c:pt>
                  <c:pt idx="12">
                    <c:v>2022</c:v>
                  </c:pt>
                  <c:pt idx="14">
                    <c:v>2023</c:v>
                  </c:pt>
                </c:lvl>
              </c:multiLvlStrCache>
            </c:multiLvlStrRef>
          </c:cat>
          <c:val>
            <c:numRef>
              <c:f>LC!$AL$188:$BA$188</c:f>
              <c:numCache>
                <c:formatCode>0%</c:formatCode>
                <c:ptCount val="16"/>
                <c:pt idx="0">
                  <c:v>0.39</c:v>
                </c:pt>
                <c:pt idx="1">
                  <c:v>0.28999999999999998</c:v>
                </c:pt>
                <c:pt idx="2">
                  <c:v>0.34</c:v>
                </c:pt>
                <c:pt idx="3">
                  <c:v>0.23</c:v>
                </c:pt>
                <c:pt idx="4">
                  <c:v>0.37</c:v>
                </c:pt>
                <c:pt idx="5">
                  <c:v>0.26</c:v>
                </c:pt>
                <c:pt idx="6">
                  <c:v>0.35</c:v>
                </c:pt>
                <c:pt idx="7">
                  <c:v>0.25</c:v>
                </c:pt>
                <c:pt idx="8">
                  <c:v>0.35</c:v>
                </c:pt>
                <c:pt idx="9">
                  <c:v>0.26</c:v>
                </c:pt>
                <c:pt idx="10">
                  <c:v>0.37</c:v>
                </c:pt>
                <c:pt idx="11">
                  <c:v>0.26</c:v>
                </c:pt>
                <c:pt idx="12">
                  <c:v>0.34</c:v>
                </c:pt>
                <c:pt idx="13">
                  <c:v>0.21</c:v>
                </c:pt>
                <c:pt idx="14">
                  <c:v>0.35</c:v>
                </c:pt>
                <c:pt idx="15">
                  <c:v>0.22</c:v>
                </c:pt>
              </c:numCache>
            </c:numRef>
          </c:val>
          <c:extLst>
            <c:ext xmlns:c16="http://schemas.microsoft.com/office/drawing/2014/chart" uri="{C3380CC4-5D6E-409C-BE32-E72D297353CC}">
              <c16:uniqueId val="{00000001-876A-48F9-BBD8-D92BA2422A21}"/>
            </c:ext>
          </c:extLst>
        </c:ser>
        <c:ser>
          <c:idx val="2"/>
          <c:order val="2"/>
          <c:tx>
            <c:strRef>
              <c:f>LC!$AK$189</c:f>
              <c:strCache>
                <c:ptCount val="1"/>
                <c:pt idx="0">
                  <c:v>3</c:v>
                </c:pt>
              </c:strCache>
            </c:strRef>
          </c:tx>
          <c:spPr>
            <a:solidFill>
              <a:srgbClr val="FFC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LC!$AL$185:$BA$186</c:f>
              <c:multiLvlStrCache>
                <c:ptCount val="16"/>
                <c:lvl>
                  <c:pt idx="0">
                    <c:v>OFICIAL</c:v>
                  </c:pt>
                  <c:pt idx="1">
                    <c:v>NO OFICIAL</c:v>
                  </c:pt>
                  <c:pt idx="2">
                    <c:v>OFICIAL</c:v>
                  </c:pt>
                  <c:pt idx="3">
                    <c:v>NO OFICIAL</c:v>
                  </c:pt>
                  <c:pt idx="4">
                    <c:v>OFICIAL</c:v>
                  </c:pt>
                  <c:pt idx="5">
                    <c:v>NO OFICIAL</c:v>
                  </c:pt>
                  <c:pt idx="6">
                    <c:v>OFICIAL</c:v>
                  </c:pt>
                  <c:pt idx="7">
                    <c:v>NO OFICIAL</c:v>
                  </c:pt>
                  <c:pt idx="8">
                    <c:v>OFICIAL</c:v>
                  </c:pt>
                  <c:pt idx="9">
                    <c:v>NO OFICIAL</c:v>
                  </c:pt>
                  <c:pt idx="10">
                    <c:v>OFICIAL</c:v>
                  </c:pt>
                  <c:pt idx="11">
                    <c:v>NO OFICIAL</c:v>
                  </c:pt>
                  <c:pt idx="12">
                    <c:v>OFICIAL</c:v>
                  </c:pt>
                  <c:pt idx="13">
                    <c:v>NO OFICIAL</c:v>
                  </c:pt>
                  <c:pt idx="14">
                    <c:v>OFICIAL</c:v>
                  </c:pt>
                  <c:pt idx="15">
                    <c:v>NO OFICIAL</c:v>
                  </c:pt>
                </c:lvl>
                <c:lvl>
                  <c:pt idx="0">
                    <c:v>2016</c:v>
                  </c:pt>
                  <c:pt idx="2">
                    <c:v>2017</c:v>
                  </c:pt>
                  <c:pt idx="4">
                    <c:v>2018</c:v>
                  </c:pt>
                  <c:pt idx="6">
                    <c:v>2019</c:v>
                  </c:pt>
                  <c:pt idx="8">
                    <c:v>2020</c:v>
                  </c:pt>
                  <c:pt idx="10">
                    <c:v>2021</c:v>
                  </c:pt>
                  <c:pt idx="12">
                    <c:v>2022</c:v>
                  </c:pt>
                  <c:pt idx="14">
                    <c:v>2023</c:v>
                  </c:pt>
                </c:lvl>
              </c:multiLvlStrCache>
            </c:multiLvlStrRef>
          </c:cat>
          <c:val>
            <c:numRef>
              <c:f>LC!$AL$189:$BA$189</c:f>
              <c:numCache>
                <c:formatCode>0%</c:formatCode>
                <c:ptCount val="16"/>
                <c:pt idx="0">
                  <c:v>0.54</c:v>
                </c:pt>
                <c:pt idx="1">
                  <c:v>0.62</c:v>
                </c:pt>
                <c:pt idx="2">
                  <c:v>0.56999999999999995</c:v>
                </c:pt>
                <c:pt idx="3">
                  <c:v>0.64</c:v>
                </c:pt>
                <c:pt idx="4">
                  <c:v>0.53</c:v>
                </c:pt>
                <c:pt idx="5">
                  <c:v>0.59</c:v>
                </c:pt>
                <c:pt idx="6">
                  <c:v>0.55000000000000004</c:v>
                </c:pt>
                <c:pt idx="7">
                  <c:v>0.6</c:v>
                </c:pt>
                <c:pt idx="8">
                  <c:v>0.56000000000000005</c:v>
                </c:pt>
                <c:pt idx="9">
                  <c:v>0.61</c:v>
                </c:pt>
                <c:pt idx="10">
                  <c:v>0.52</c:v>
                </c:pt>
                <c:pt idx="11">
                  <c:v>0.56999999999999995</c:v>
                </c:pt>
                <c:pt idx="12">
                  <c:v>0.56000000000000005</c:v>
                </c:pt>
                <c:pt idx="13">
                  <c:v>0.61</c:v>
                </c:pt>
                <c:pt idx="14">
                  <c:v>0.55000000000000004</c:v>
                </c:pt>
                <c:pt idx="15">
                  <c:v>0.6</c:v>
                </c:pt>
              </c:numCache>
            </c:numRef>
          </c:val>
          <c:extLst>
            <c:ext xmlns:c16="http://schemas.microsoft.com/office/drawing/2014/chart" uri="{C3380CC4-5D6E-409C-BE32-E72D297353CC}">
              <c16:uniqueId val="{00000002-876A-48F9-BBD8-D92BA2422A21}"/>
            </c:ext>
          </c:extLst>
        </c:ser>
        <c:ser>
          <c:idx val="3"/>
          <c:order val="3"/>
          <c:tx>
            <c:strRef>
              <c:f>LC!$AK$190</c:f>
              <c:strCache>
                <c:ptCount val="1"/>
                <c:pt idx="0">
                  <c:v>4</c:v>
                </c:pt>
              </c:strCache>
            </c:strRef>
          </c:tx>
          <c:spPr>
            <a:solidFill>
              <a:srgbClr val="00B05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LC!$AL$185:$BA$186</c:f>
              <c:multiLvlStrCache>
                <c:ptCount val="16"/>
                <c:lvl>
                  <c:pt idx="0">
                    <c:v>OFICIAL</c:v>
                  </c:pt>
                  <c:pt idx="1">
                    <c:v>NO OFICIAL</c:v>
                  </c:pt>
                  <c:pt idx="2">
                    <c:v>OFICIAL</c:v>
                  </c:pt>
                  <c:pt idx="3">
                    <c:v>NO OFICIAL</c:v>
                  </c:pt>
                  <c:pt idx="4">
                    <c:v>OFICIAL</c:v>
                  </c:pt>
                  <c:pt idx="5">
                    <c:v>NO OFICIAL</c:v>
                  </c:pt>
                  <c:pt idx="6">
                    <c:v>OFICIAL</c:v>
                  </c:pt>
                  <c:pt idx="7">
                    <c:v>NO OFICIAL</c:v>
                  </c:pt>
                  <c:pt idx="8">
                    <c:v>OFICIAL</c:v>
                  </c:pt>
                  <c:pt idx="9">
                    <c:v>NO OFICIAL</c:v>
                  </c:pt>
                  <c:pt idx="10">
                    <c:v>OFICIAL</c:v>
                  </c:pt>
                  <c:pt idx="11">
                    <c:v>NO OFICIAL</c:v>
                  </c:pt>
                  <c:pt idx="12">
                    <c:v>OFICIAL</c:v>
                  </c:pt>
                  <c:pt idx="13">
                    <c:v>NO OFICIAL</c:v>
                  </c:pt>
                  <c:pt idx="14">
                    <c:v>OFICIAL</c:v>
                  </c:pt>
                  <c:pt idx="15">
                    <c:v>NO OFICIAL</c:v>
                  </c:pt>
                </c:lvl>
                <c:lvl>
                  <c:pt idx="0">
                    <c:v>2016</c:v>
                  </c:pt>
                  <c:pt idx="2">
                    <c:v>2017</c:v>
                  </c:pt>
                  <c:pt idx="4">
                    <c:v>2018</c:v>
                  </c:pt>
                  <c:pt idx="6">
                    <c:v>2019</c:v>
                  </c:pt>
                  <c:pt idx="8">
                    <c:v>2020</c:v>
                  </c:pt>
                  <c:pt idx="10">
                    <c:v>2021</c:v>
                  </c:pt>
                  <c:pt idx="12">
                    <c:v>2022</c:v>
                  </c:pt>
                  <c:pt idx="14">
                    <c:v>2023</c:v>
                  </c:pt>
                </c:lvl>
              </c:multiLvlStrCache>
            </c:multiLvlStrRef>
          </c:cat>
          <c:val>
            <c:numRef>
              <c:f>LC!$AL$190:$BA$190</c:f>
              <c:numCache>
                <c:formatCode>0%</c:formatCode>
                <c:ptCount val="16"/>
                <c:pt idx="0">
                  <c:v>0.05</c:v>
                </c:pt>
                <c:pt idx="1">
                  <c:v>0.08</c:v>
                </c:pt>
                <c:pt idx="2">
                  <c:v>7.0000000000000007E-2</c:v>
                </c:pt>
                <c:pt idx="3">
                  <c:v>0.12</c:v>
                </c:pt>
                <c:pt idx="4">
                  <c:v>0.08</c:v>
                </c:pt>
                <c:pt idx="5">
                  <c:v>0.14000000000000001</c:v>
                </c:pt>
                <c:pt idx="6">
                  <c:v>0.08</c:v>
                </c:pt>
                <c:pt idx="7">
                  <c:v>0.14000000000000001</c:v>
                </c:pt>
                <c:pt idx="8">
                  <c:v>7.0000000000000007E-2</c:v>
                </c:pt>
                <c:pt idx="9">
                  <c:v>0.11</c:v>
                </c:pt>
                <c:pt idx="10">
                  <c:v>0.09</c:v>
                </c:pt>
                <c:pt idx="11">
                  <c:v>0.16</c:v>
                </c:pt>
                <c:pt idx="12">
                  <c:v>0.09</c:v>
                </c:pt>
                <c:pt idx="13">
                  <c:v>0.16</c:v>
                </c:pt>
                <c:pt idx="14">
                  <c:v>0.08</c:v>
                </c:pt>
                <c:pt idx="15">
                  <c:v>0.17</c:v>
                </c:pt>
              </c:numCache>
            </c:numRef>
          </c:val>
          <c:extLst>
            <c:ext xmlns:c16="http://schemas.microsoft.com/office/drawing/2014/chart" uri="{C3380CC4-5D6E-409C-BE32-E72D297353CC}">
              <c16:uniqueId val="{00000003-876A-48F9-BBD8-D92BA2422A21}"/>
            </c:ext>
          </c:extLst>
        </c:ser>
        <c:dLbls>
          <c:showLegendKey val="0"/>
          <c:showVal val="0"/>
          <c:showCatName val="0"/>
          <c:showSerName val="0"/>
          <c:showPercent val="0"/>
          <c:showBubbleSize val="0"/>
        </c:dLbls>
        <c:gapWidth val="150"/>
        <c:overlap val="100"/>
        <c:axId val="744346207"/>
        <c:axId val="634479663"/>
      </c:barChart>
      <c:catAx>
        <c:axId val="74434620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634479663"/>
        <c:crosses val="autoZero"/>
        <c:auto val="1"/>
        <c:lblAlgn val="ctr"/>
        <c:lblOffset val="100"/>
        <c:noMultiLvlLbl val="0"/>
      </c:catAx>
      <c:valAx>
        <c:axId val="634479663"/>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74434620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Niveles</a:t>
            </a:r>
            <a:r>
              <a:rPr lang="es-CO" baseline="0"/>
              <a:t> de Desempeño Lectura Crítica Saber 11 2016 - 2020 </a:t>
            </a:r>
            <a:endParaRPr lang="es-CO"/>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stacked"/>
        <c:varyColors val="0"/>
        <c:ser>
          <c:idx val="0"/>
          <c:order val="0"/>
          <c:tx>
            <c:strRef>
              <c:f>LC!$AG$176</c:f>
              <c:strCache>
                <c:ptCount val="1"/>
                <c:pt idx="0">
                  <c:v>1</c:v>
                </c:pt>
              </c:strCache>
            </c:strRef>
          </c:tx>
          <c:spPr>
            <a:solidFill>
              <a:srgbClr val="FF0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LC!$AH$174:$AW$175</c:f>
              <c:multiLvlStrCache>
                <c:ptCount val="16"/>
                <c:lvl>
                  <c:pt idx="0">
                    <c:v>SOACHA</c:v>
                  </c:pt>
                  <c:pt idx="1">
                    <c:v>COLOMBIA</c:v>
                  </c:pt>
                  <c:pt idx="2">
                    <c:v>SOACHA</c:v>
                  </c:pt>
                  <c:pt idx="3">
                    <c:v>COLOMBIA</c:v>
                  </c:pt>
                  <c:pt idx="4">
                    <c:v>SOACHA</c:v>
                  </c:pt>
                  <c:pt idx="5">
                    <c:v>COLOMBIA</c:v>
                  </c:pt>
                  <c:pt idx="6">
                    <c:v>SOACHA</c:v>
                  </c:pt>
                  <c:pt idx="7">
                    <c:v>COLOMBIA</c:v>
                  </c:pt>
                  <c:pt idx="8">
                    <c:v>SOACHA</c:v>
                  </c:pt>
                  <c:pt idx="9">
                    <c:v>COLOMBIA</c:v>
                  </c:pt>
                  <c:pt idx="10">
                    <c:v>SOACHA</c:v>
                  </c:pt>
                  <c:pt idx="11">
                    <c:v>COLOMBIA</c:v>
                  </c:pt>
                  <c:pt idx="12">
                    <c:v>SOACHA</c:v>
                  </c:pt>
                  <c:pt idx="13">
                    <c:v>COLOMBIA</c:v>
                  </c:pt>
                  <c:pt idx="14">
                    <c:v>SOACHA</c:v>
                  </c:pt>
                  <c:pt idx="15">
                    <c:v>COLOMBIA</c:v>
                  </c:pt>
                </c:lvl>
                <c:lvl>
                  <c:pt idx="0">
                    <c:v>2016</c:v>
                  </c:pt>
                  <c:pt idx="2">
                    <c:v>2017</c:v>
                  </c:pt>
                  <c:pt idx="4">
                    <c:v>2018</c:v>
                  </c:pt>
                  <c:pt idx="6">
                    <c:v>2019</c:v>
                  </c:pt>
                  <c:pt idx="8">
                    <c:v>2020</c:v>
                  </c:pt>
                  <c:pt idx="10">
                    <c:v>2021</c:v>
                  </c:pt>
                  <c:pt idx="12">
                    <c:v>2022</c:v>
                  </c:pt>
                  <c:pt idx="14">
                    <c:v>2023</c:v>
                  </c:pt>
                </c:lvl>
              </c:multiLvlStrCache>
            </c:multiLvlStrRef>
          </c:cat>
          <c:val>
            <c:numRef>
              <c:f>LC!$AH$176:$AW$176</c:f>
              <c:numCache>
                <c:formatCode>0%</c:formatCode>
                <c:ptCount val="16"/>
                <c:pt idx="0">
                  <c:v>0.01</c:v>
                </c:pt>
                <c:pt idx="1">
                  <c:v>0.02</c:v>
                </c:pt>
                <c:pt idx="2">
                  <c:v>0.01</c:v>
                </c:pt>
                <c:pt idx="3">
                  <c:v>0.02</c:v>
                </c:pt>
                <c:pt idx="4">
                  <c:v>0.01</c:v>
                </c:pt>
                <c:pt idx="5">
                  <c:v>0.03</c:v>
                </c:pt>
                <c:pt idx="6">
                  <c:v>0.02</c:v>
                </c:pt>
                <c:pt idx="7">
                  <c:v>0.04</c:v>
                </c:pt>
                <c:pt idx="8">
                  <c:v>0.02</c:v>
                </c:pt>
                <c:pt idx="9">
                  <c:v>0.04</c:v>
                </c:pt>
                <c:pt idx="10">
                  <c:v>0.02</c:v>
                </c:pt>
                <c:pt idx="11">
                  <c:v>0.04</c:v>
                </c:pt>
                <c:pt idx="12">
                  <c:v>0.05</c:v>
                </c:pt>
                <c:pt idx="13">
                  <c:v>0.02</c:v>
                </c:pt>
                <c:pt idx="14">
                  <c:v>0.04</c:v>
                </c:pt>
                <c:pt idx="15">
                  <c:v>0.02</c:v>
                </c:pt>
              </c:numCache>
            </c:numRef>
          </c:val>
          <c:extLst>
            <c:ext xmlns:c16="http://schemas.microsoft.com/office/drawing/2014/chart" uri="{C3380CC4-5D6E-409C-BE32-E72D297353CC}">
              <c16:uniqueId val="{00000000-F0B0-425D-80D1-B609A541822D}"/>
            </c:ext>
          </c:extLst>
        </c:ser>
        <c:ser>
          <c:idx val="1"/>
          <c:order val="1"/>
          <c:tx>
            <c:strRef>
              <c:f>LC!$AG$177</c:f>
              <c:strCache>
                <c:ptCount val="1"/>
                <c:pt idx="0">
                  <c:v>2</c:v>
                </c:pt>
              </c:strCache>
            </c:strRef>
          </c:tx>
          <c:spPr>
            <a:solidFill>
              <a:srgbClr val="FFFF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LC!$AH$174:$AW$175</c:f>
              <c:multiLvlStrCache>
                <c:ptCount val="16"/>
                <c:lvl>
                  <c:pt idx="0">
                    <c:v>SOACHA</c:v>
                  </c:pt>
                  <c:pt idx="1">
                    <c:v>COLOMBIA</c:v>
                  </c:pt>
                  <c:pt idx="2">
                    <c:v>SOACHA</c:v>
                  </c:pt>
                  <c:pt idx="3">
                    <c:v>COLOMBIA</c:v>
                  </c:pt>
                  <c:pt idx="4">
                    <c:v>SOACHA</c:v>
                  </c:pt>
                  <c:pt idx="5">
                    <c:v>COLOMBIA</c:v>
                  </c:pt>
                  <c:pt idx="6">
                    <c:v>SOACHA</c:v>
                  </c:pt>
                  <c:pt idx="7">
                    <c:v>COLOMBIA</c:v>
                  </c:pt>
                  <c:pt idx="8">
                    <c:v>SOACHA</c:v>
                  </c:pt>
                  <c:pt idx="9">
                    <c:v>COLOMBIA</c:v>
                  </c:pt>
                  <c:pt idx="10">
                    <c:v>SOACHA</c:v>
                  </c:pt>
                  <c:pt idx="11">
                    <c:v>COLOMBIA</c:v>
                  </c:pt>
                  <c:pt idx="12">
                    <c:v>SOACHA</c:v>
                  </c:pt>
                  <c:pt idx="13">
                    <c:v>COLOMBIA</c:v>
                  </c:pt>
                  <c:pt idx="14">
                    <c:v>SOACHA</c:v>
                  </c:pt>
                  <c:pt idx="15">
                    <c:v>COLOMBIA</c:v>
                  </c:pt>
                </c:lvl>
                <c:lvl>
                  <c:pt idx="0">
                    <c:v>2016</c:v>
                  </c:pt>
                  <c:pt idx="2">
                    <c:v>2017</c:v>
                  </c:pt>
                  <c:pt idx="4">
                    <c:v>2018</c:v>
                  </c:pt>
                  <c:pt idx="6">
                    <c:v>2019</c:v>
                  </c:pt>
                  <c:pt idx="8">
                    <c:v>2020</c:v>
                  </c:pt>
                  <c:pt idx="10">
                    <c:v>2021</c:v>
                  </c:pt>
                  <c:pt idx="12">
                    <c:v>2022</c:v>
                  </c:pt>
                  <c:pt idx="14">
                    <c:v>2023</c:v>
                  </c:pt>
                </c:lvl>
              </c:multiLvlStrCache>
            </c:multiLvlStrRef>
          </c:cat>
          <c:val>
            <c:numRef>
              <c:f>LC!$AH$177:$AW$177</c:f>
              <c:numCache>
                <c:formatCode>0%</c:formatCode>
                <c:ptCount val="16"/>
                <c:pt idx="0">
                  <c:v>0.34</c:v>
                </c:pt>
                <c:pt idx="1">
                  <c:v>0.37</c:v>
                </c:pt>
                <c:pt idx="2">
                  <c:v>0.28999999999999998</c:v>
                </c:pt>
                <c:pt idx="3">
                  <c:v>0.33</c:v>
                </c:pt>
                <c:pt idx="4">
                  <c:v>0.32</c:v>
                </c:pt>
                <c:pt idx="5">
                  <c:v>0.35</c:v>
                </c:pt>
                <c:pt idx="6">
                  <c:v>0.3</c:v>
                </c:pt>
                <c:pt idx="7">
                  <c:v>0.34</c:v>
                </c:pt>
                <c:pt idx="8">
                  <c:v>0.31</c:v>
                </c:pt>
                <c:pt idx="9">
                  <c:v>0.36</c:v>
                </c:pt>
                <c:pt idx="10">
                  <c:v>0.32</c:v>
                </c:pt>
                <c:pt idx="11">
                  <c:v>0.37</c:v>
                </c:pt>
                <c:pt idx="12">
                  <c:v>0.34</c:v>
                </c:pt>
                <c:pt idx="13">
                  <c:v>0.27</c:v>
                </c:pt>
                <c:pt idx="14">
                  <c:v>0.35</c:v>
                </c:pt>
                <c:pt idx="15">
                  <c:v>0.28999999999999998</c:v>
                </c:pt>
              </c:numCache>
            </c:numRef>
          </c:val>
          <c:extLst>
            <c:ext xmlns:c16="http://schemas.microsoft.com/office/drawing/2014/chart" uri="{C3380CC4-5D6E-409C-BE32-E72D297353CC}">
              <c16:uniqueId val="{00000001-F0B0-425D-80D1-B609A541822D}"/>
            </c:ext>
          </c:extLst>
        </c:ser>
        <c:ser>
          <c:idx val="2"/>
          <c:order val="2"/>
          <c:tx>
            <c:strRef>
              <c:f>LC!$AG$178</c:f>
              <c:strCache>
                <c:ptCount val="1"/>
                <c:pt idx="0">
                  <c:v>3</c:v>
                </c:pt>
              </c:strCache>
            </c:strRef>
          </c:tx>
          <c:spPr>
            <a:solidFill>
              <a:srgbClr val="FFC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LC!$AH$174:$AW$175</c:f>
              <c:multiLvlStrCache>
                <c:ptCount val="16"/>
                <c:lvl>
                  <c:pt idx="0">
                    <c:v>SOACHA</c:v>
                  </c:pt>
                  <c:pt idx="1">
                    <c:v>COLOMBIA</c:v>
                  </c:pt>
                  <c:pt idx="2">
                    <c:v>SOACHA</c:v>
                  </c:pt>
                  <c:pt idx="3">
                    <c:v>COLOMBIA</c:v>
                  </c:pt>
                  <c:pt idx="4">
                    <c:v>SOACHA</c:v>
                  </c:pt>
                  <c:pt idx="5">
                    <c:v>COLOMBIA</c:v>
                  </c:pt>
                  <c:pt idx="6">
                    <c:v>SOACHA</c:v>
                  </c:pt>
                  <c:pt idx="7">
                    <c:v>COLOMBIA</c:v>
                  </c:pt>
                  <c:pt idx="8">
                    <c:v>SOACHA</c:v>
                  </c:pt>
                  <c:pt idx="9">
                    <c:v>COLOMBIA</c:v>
                  </c:pt>
                  <c:pt idx="10">
                    <c:v>SOACHA</c:v>
                  </c:pt>
                  <c:pt idx="11">
                    <c:v>COLOMBIA</c:v>
                  </c:pt>
                  <c:pt idx="12">
                    <c:v>SOACHA</c:v>
                  </c:pt>
                  <c:pt idx="13">
                    <c:v>COLOMBIA</c:v>
                  </c:pt>
                  <c:pt idx="14">
                    <c:v>SOACHA</c:v>
                  </c:pt>
                  <c:pt idx="15">
                    <c:v>COLOMBIA</c:v>
                  </c:pt>
                </c:lvl>
                <c:lvl>
                  <c:pt idx="0">
                    <c:v>2016</c:v>
                  </c:pt>
                  <c:pt idx="2">
                    <c:v>2017</c:v>
                  </c:pt>
                  <c:pt idx="4">
                    <c:v>2018</c:v>
                  </c:pt>
                  <c:pt idx="6">
                    <c:v>2019</c:v>
                  </c:pt>
                  <c:pt idx="8">
                    <c:v>2020</c:v>
                  </c:pt>
                  <c:pt idx="10">
                    <c:v>2021</c:v>
                  </c:pt>
                  <c:pt idx="12">
                    <c:v>2022</c:v>
                  </c:pt>
                  <c:pt idx="14">
                    <c:v>2023</c:v>
                  </c:pt>
                </c:lvl>
              </c:multiLvlStrCache>
            </c:multiLvlStrRef>
          </c:cat>
          <c:val>
            <c:numRef>
              <c:f>LC!$AH$178:$AW$178</c:f>
              <c:numCache>
                <c:formatCode>0%</c:formatCode>
                <c:ptCount val="16"/>
                <c:pt idx="0">
                  <c:v>0.57999999999999996</c:v>
                </c:pt>
                <c:pt idx="1">
                  <c:v>0.5</c:v>
                </c:pt>
                <c:pt idx="2">
                  <c:v>0.6</c:v>
                </c:pt>
                <c:pt idx="3">
                  <c:v>0.52</c:v>
                </c:pt>
                <c:pt idx="4">
                  <c:v>0.56000000000000005</c:v>
                </c:pt>
                <c:pt idx="5">
                  <c:v>0.49</c:v>
                </c:pt>
                <c:pt idx="6">
                  <c:v>0.56999999999999995</c:v>
                </c:pt>
                <c:pt idx="7">
                  <c:v>0.49</c:v>
                </c:pt>
                <c:pt idx="8">
                  <c:v>0.59</c:v>
                </c:pt>
                <c:pt idx="9">
                  <c:v>0.49</c:v>
                </c:pt>
                <c:pt idx="10">
                  <c:v>0.54</c:v>
                </c:pt>
                <c:pt idx="11">
                  <c:v>0.45</c:v>
                </c:pt>
                <c:pt idx="12">
                  <c:v>0.47</c:v>
                </c:pt>
                <c:pt idx="13">
                  <c:v>0.57999999999999996</c:v>
                </c:pt>
                <c:pt idx="14">
                  <c:v>0.48</c:v>
                </c:pt>
                <c:pt idx="15">
                  <c:v>0.56999999999999995</c:v>
                </c:pt>
              </c:numCache>
            </c:numRef>
          </c:val>
          <c:extLst>
            <c:ext xmlns:c16="http://schemas.microsoft.com/office/drawing/2014/chart" uri="{C3380CC4-5D6E-409C-BE32-E72D297353CC}">
              <c16:uniqueId val="{00000002-F0B0-425D-80D1-B609A541822D}"/>
            </c:ext>
          </c:extLst>
        </c:ser>
        <c:ser>
          <c:idx val="3"/>
          <c:order val="3"/>
          <c:tx>
            <c:strRef>
              <c:f>LC!$AG$179</c:f>
              <c:strCache>
                <c:ptCount val="1"/>
                <c:pt idx="0">
                  <c:v>4</c:v>
                </c:pt>
              </c:strCache>
            </c:strRef>
          </c:tx>
          <c:spPr>
            <a:solidFill>
              <a:srgbClr val="00B05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LC!$AH$174:$AW$175</c:f>
              <c:multiLvlStrCache>
                <c:ptCount val="16"/>
                <c:lvl>
                  <c:pt idx="0">
                    <c:v>SOACHA</c:v>
                  </c:pt>
                  <c:pt idx="1">
                    <c:v>COLOMBIA</c:v>
                  </c:pt>
                  <c:pt idx="2">
                    <c:v>SOACHA</c:v>
                  </c:pt>
                  <c:pt idx="3">
                    <c:v>COLOMBIA</c:v>
                  </c:pt>
                  <c:pt idx="4">
                    <c:v>SOACHA</c:v>
                  </c:pt>
                  <c:pt idx="5">
                    <c:v>COLOMBIA</c:v>
                  </c:pt>
                  <c:pt idx="6">
                    <c:v>SOACHA</c:v>
                  </c:pt>
                  <c:pt idx="7">
                    <c:v>COLOMBIA</c:v>
                  </c:pt>
                  <c:pt idx="8">
                    <c:v>SOACHA</c:v>
                  </c:pt>
                  <c:pt idx="9">
                    <c:v>COLOMBIA</c:v>
                  </c:pt>
                  <c:pt idx="10">
                    <c:v>SOACHA</c:v>
                  </c:pt>
                  <c:pt idx="11">
                    <c:v>COLOMBIA</c:v>
                  </c:pt>
                  <c:pt idx="12">
                    <c:v>SOACHA</c:v>
                  </c:pt>
                  <c:pt idx="13">
                    <c:v>COLOMBIA</c:v>
                  </c:pt>
                  <c:pt idx="14">
                    <c:v>SOACHA</c:v>
                  </c:pt>
                  <c:pt idx="15">
                    <c:v>COLOMBIA</c:v>
                  </c:pt>
                </c:lvl>
                <c:lvl>
                  <c:pt idx="0">
                    <c:v>2016</c:v>
                  </c:pt>
                  <c:pt idx="2">
                    <c:v>2017</c:v>
                  </c:pt>
                  <c:pt idx="4">
                    <c:v>2018</c:v>
                  </c:pt>
                  <c:pt idx="6">
                    <c:v>2019</c:v>
                  </c:pt>
                  <c:pt idx="8">
                    <c:v>2020</c:v>
                  </c:pt>
                  <c:pt idx="10">
                    <c:v>2021</c:v>
                  </c:pt>
                  <c:pt idx="12">
                    <c:v>2022</c:v>
                  </c:pt>
                  <c:pt idx="14">
                    <c:v>2023</c:v>
                  </c:pt>
                </c:lvl>
              </c:multiLvlStrCache>
            </c:multiLvlStrRef>
          </c:cat>
          <c:val>
            <c:numRef>
              <c:f>LC!$AH$179:$AW$179</c:f>
              <c:numCache>
                <c:formatCode>0%</c:formatCode>
                <c:ptCount val="16"/>
                <c:pt idx="0">
                  <c:v>7.0000000000000007E-2</c:v>
                </c:pt>
                <c:pt idx="1">
                  <c:v>0.1</c:v>
                </c:pt>
                <c:pt idx="2">
                  <c:v>0.09</c:v>
                </c:pt>
                <c:pt idx="3">
                  <c:v>0.13</c:v>
                </c:pt>
                <c:pt idx="4">
                  <c:v>0.11</c:v>
                </c:pt>
                <c:pt idx="5">
                  <c:v>0.13</c:v>
                </c:pt>
                <c:pt idx="6">
                  <c:v>0.11</c:v>
                </c:pt>
                <c:pt idx="7">
                  <c:v>0.12</c:v>
                </c:pt>
                <c:pt idx="8">
                  <c:v>0.09</c:v>
                </c:pt>
                <c:pt idx="9">
                  <c:v>0.1</c:v>
                </c:pt>
                <c:pt idx="10">
                  <c:v>0.12</c:v>
                </c:pt>
                <c:pt idx="11">
                  <c:v>0.13</c:v>
                </c:pt>
                <c:pt idx="12">
                  <c:v>0.14000000000000001</c:v>
                </c:pt>
                <c:pt idx="13">
                  <c:v>0.13</c:v>
                </c:pt>
                <c:pt idx="14">
                  <c:v>0.13</c:v>
                </c:pt>
                <c:pt idx="15">
                  <c:v>0.12</c:v>
                </c:pt>
              </c:numCache>
            </c:numRef>
          </c:val>
          <c:extLst>
            <c:ext xmlns:c16="http://schemas.microsoft.com/office/drawing/2014/chart" uri="{C3380CC4-5D6E-409C-BE32-E72D297353CC}">
              <c16:uniqueId val="{00000003-F0B0-425D-80D1-B609A541822D}"/>
            </c:ext>
          </c:extLst>
        </c:ser>
        <c:dLbls>
          <c:showLegendKey val="0"/>
          <c:showVal val="0"/>
          <c:showCatName val="0"/>
          <c:showSerName val="0"/>
          <c:showPercent val="0"/>
          <c:showBubbleSize val="0"/>
        </c:dLbls>
        <c:gapWidth val="150"/>
        <c:overlap val="100"/>
        <c:axId val="744346207"/>
        <c:axId val="634479663"/>
      </c:barChart>
      <c:catAx>
        <c:axId val="74434620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634479663"/>
        <c:crosses val="autoZero"/>
        <c:auto val="1"/>
        <c:lblAlgn val="ctr"/>
        <c:lblOffset val="100"/>
        <c:noMultiLvlLbl val="0"/>
      </c:catAx>
      <c:valAx>
        <c:axId val="634479663"/>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74434620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Niveles</a:t>
            </a:r>
            <a:r>
              <a:rPr lang="es-CO" baseline="0"/>
              <a:t> de Desempeño Lectura Crítica Saber 11 2016 - 2022 </a:t>
            </a:r>
            <a:endParaRPr lang="es-CO"/>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stacked"/>
        <c:varyColors val="0"/>
        <c:ser>
          <c:idx val="0"/>
          <c:order val="0"/>
          <c:tx>
            <c:strRef>
              <c:f>LC!$AN$200</c:f>
              <c:strCache>
                <c:ptCount val="1"/>
                <c:pt idx="0">
                  <c:v>1</c:v>
                </c:pt>
              </c:strCache>
            </c:strRef>
          </c:tx>
          <c:spPr>
            <a:solidFill>
              <a:srgbClr val="FF0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LC!$AO$198:$BT$199</c:f>
              <c:multiLvlStrCache>
                <c:ptCount val="32"/>
                <c:lvl>
                  <c:pt idx="0">
                    <c:v>COLOMBIA</c:v>
                  </c:pt>
                  <c:pt idx="1">
                    <c:v>SOACHA</c:v>
                  </c:pt>
                  <c:pt idx="2">
                    <c:v>SOACHA OFICIAL</c:v>
                  </c:pt>
                  <c:pt idx="3">
                    <c:v>SOACHA NO OFICIAL</c:v>
                  </c:pt>
                  <c:pt idx="4">
                    <c:v>COLOMBIA</c:v>
                  </c:pt>
                  <c:pt idx="5">
                    <c:v>SOACHA</c:v>
                  </c:pt>
                  <c:pt idx="6">
                    <c:v>SOACHA OFICIAL</c:v>
                  </c:pt>
                  <c:pt idx="7">
                    <c:v>SOACHA NO OFICIAL</c:v>
                  </c:pt>
                  <c:pt idx="8">
                    <c:v>COLOMBIA</c:v>
                  </c:pt>
                  <c:pt idx="9">
                    <c:v>SOACHA</c:v>
                  </c:pt>
                  <c:pt idx="10">
                    <c:v>SOACHA OFICIAL</c:v>
                  </c:pt>
                  <c:pt idx="11">
                    <c:v>SOACHA NO OFICIAL</c:v>
                  </c:pt>
                  <c:pt idx="12">
                    <c:v>COLOMBIA</c:v>
                  </c:pt>
                  <c:pt idx="13">
                    <c:v>SOACHA</c:v>
                  </c:pt>
                  <c:pt idx="14">
                    <c:v>SOACHA OFICIAL</c:v>
                  </c:pt>
                  <c:pt idx="15">
                    <c:v>SOACHA NO OFICIAL</c:v>
                  </c:pt>
                  <c:pt idx="16">
                    <c:v>COLOMBIA</c:v>
                  </c:pt>
                  <c:pt idx="17">
                    <c:v>SOACHA</c:v>
                  </c:pt>
                  <c:pt idx="18">
                    <c:v>SOACHA OFICIAL</c:v>
                  </c:pt>
                  <c:pt idx="19">
                    <c:v>SOACHA NO OFICIAL</c:v>
                  </c:pt>
                  <c:pt idx="20">
                    <c:v>COLOMBIA</c:v>
                  </c:pt>
                  <c:pt idx="21">
                    <c:v>SOACHA</c:v>
                  </c:pt>
                  <c:pt idx="22">
                    <c:v>SOACHA OFICIAL</c:v>
                  </c:pt>
                  <c:pt idx="23">
                    <c:v>SOACHA NO OFICIAL</c:v>
                  </c:pt>
                  <c:pt idx="24">
                    <c:v>COLOMBIA</c:v>
                  </c:pt>
                  <c:pt idx="25">
                    <c:v>SOACHA</c:v>
                  </c:pt>
                  <c:pt idx="26">
                    <c:v>SOACHA OFICIAL</c:v>
                  </c:pt>
                  <c:pt idx="27">
                    <c:v>SOACHA NO OFICIAL</c:v>
                  </c:pt>
                  <c:pt idx="28">
                    <c:v>COLOMBIA</c:v>
                  </c:pt>
                  <c:pt idx="29">
                    <c:v>SOACHA</c:v>
                  </c:pt>
                  <c:pt idx="30">
                    <c:v>SOACHA OFICIAL</c:v>
                  </c:pt>
                  <c:pt idx="31">
                    <c:v>SOACHA NO OFICIAL</c:v>
                  </c:pt>
                </c:lvl>
                <c:lvl>
                  <c:pt idx="0">
                    <c:v>2016</c:v>
                  </c:pt>
                  <c:pt idx="4">
                    <c:v>2017</c:v>
                  </c:pt>
                  <c:pt idx="8">
                    <c:v>2018</c:v>
                  </c:pt>
                  <c:pt idx="12">
                    <c:v>2019</c:v>
                  </c:pt>
                  <c:pt idx="16">
                    <c:v>2020</c:v>
                  </c:pt>
                  <c:pt idx="20">
                    <c:v>2021</c:v>
                  </c:pt>
                  <c:pt idx="24">
                    <c:v>2022</c:v>
                  </c:pt>
                  <c:pt idx="28">
                    <c:v>2023</c:v>
                  </c:pt>
                </c:lvl>
              </c:multiLvlStrCache>
            </c:multiLvlStrRef>
          </c:cat>
          <c:val>
            <c:numRef>
              <c:f>LC!$AO$200:$BT$200</c:f>
              <c:numCache>
                <c:formatCode>0%</c:formatCode>
                <c:ptCount val="32"/>
                <c:pt idx="0">
                  <c:v>0.02</c:v>
                </c:pt>
                <c:pt idx="1">
                  <c:v>0.01</c:v>
                </c:pt>
                <c:pt idx="2">
                  <c:v>0.01</c:v>
                </c:pt>
                <c:pt idx="3">
                  <c:v>0.01</c:v>
                </c:pt>
                <c:pt idx="4">
                  <c:v>0.02</c:v>
                </c:pt>
                <c:pt idx="5">
                  <c:v>0.01</c:v>
                </c:pt>
                <c:pt idx="6">
                  <c:v>0.01</c:v>
                </c:pt>
                <c:pt idx="7">
                  <c:v>0.01</c:v>
                </c:pt>
                <c:pt idx="8">
                  <c:v>0.03</c:v>
                </c:pt>
                <c:pt idx="9">
                  <c:v>0.01</c:v>
                </c:pt>
                <c:pt idx="10">
                  <c:v>0.02</c:v>
                </c:pt>
                <c:pt idx="11">
                  <c:v>0.01</c:v>
                </c:pt>
                <c:pt idx="12">
                  <c:v>0.04</c:v>
                </c:pt>
                <c:pt idx="13">
                  <c:v>0.02</c:v>
                </c:pt>
                <c:pt idx="14">
                  <c:v>0.02</c:v>
                </c:pt>
                <c:pt idx="15">
                  <c:v>0.01</c:v>
                </c:pt>
                <c:pt idx="16">
                  <c:v>0.04</c:v>
                </c:pt>
                <c:pt idx="17">
                  <c:v>0.02</c:v>
                </c:pt>
                <c:pt idx="18">
                  <c:v>0.02</c:v>
                </c:pt>
                <c:pt idx="19">
                  <c:v>0.01</c:v>
                </c:pt>
                <c:pt idx="20">
                  <c:v>0.04</c:v>
                </c:pt>
                <c:pt idx="21">
                  <c:v>0.02</c:v>
                </c:pt>
                <c:pt idx="22">
                  <c:v>0.02</c:v>
                </c:pt>
                <c:pt idx="23">
                  <c:v>0.01</c:v>
                </c:pt>
                <c:pt idx="24">
                  <c:v>0.05</c:v>
                </c:pt>
                <c:pt idx="25">
                  <c:v>0.02</c:v>
                </c:pt>
                <c:pt idx="26">
                  <c:v>0.02</c:v>
                </c:pt>
                <c:pt idx="27">
                  <c:v>0.01</c:v>
                </c:pt>
                <c:pt idx="28">
                  <c:v>0.04</c:v>
                </c:pt>
                <c:pt idx="29">
                  <c:v>0.02</c:v>
                </c:pt>
                <c:pt idx="30">
                  <c:v>0.02</c:v>
                </c:pt>
                <c:pt idx="31">
                  <c:v>0.01</c:v>
                </c:pt>
              </c:numCache>
            </c:numRef>
          </c:val>
          <c:extLst>
            <c:ext xmlns:c16="http://schemas.microsoft.com/office/drawing/2014/chart" uri="{C3380CC4-5D6E-409C-BE32-E72D297353CC}">
              <c16:uniqueId val="{00000000-A301-45B6-980B-F581AB7602A7}"/>
            </c:ext>
          </c:extLst>
        </c:ser>
        <c:ser>
          <c:idx val="1"/>
          <c:order val="1"/>
          <c:tx>
            <c:strRef>
              <c:f>LC!$AN$201</c:f>
              <c:strCache>
                <c:ptCount val="1"/>
                <c:pt idx="0">
                  <c:v>2</c:v>
                </c:pt>
              </c:strCache>
            </c:strRef>
          </c:tx>
          <c:spPr>
            <a:solidFill>
              <a:srgbClr val="FFFF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LC!$AO$198:$BT$199</c:f>
              <c:multiLvlStrCache>
                <c:ptCount val="32"/>
                <c:lvl>
                  <c:pt idx="0">
                    <c:v>COLOMBIA</c:v>
                  </c:pt>
                  <c:pt idx="1">
                    <c:v>SOACHA</c:v>
                  </c:pt>
                  <c:pt idx="2">
                    <c:v>SOACHA OFICIAL</c:v>
                  </c:pt>
                  <c:pt idx="3">
                    <c:v>SOACHA NO OFICIAL</c:v>
                  </c:pt>
                  <c:pt idx="4">
                    <c:v>COLOMBIA</c:v>
                  </c:pt>
                  <c:pt idx="5">
                    <c:v>SOACHA</c:v>
                  </c:pt>
                  <c:pt idx="6">
                    <c:v>SOACHA OFICIAL</c:v>
                  </c:pt>
                  <c:pt idx="7">
                    <c:v>SOACHA NO OFICIAL</c:v>
                  </c:pt>
                  <c:pt idx="8">
                    <c:v>COLOMBIA</c:v>
                  </c:pt>
                  <c:pt idx="9">
                    <c:v>SOACHA</c:v>
                  </c:pt>
                  <c:pt idx="10">
                    <c:v>SOACHA OFICIAL</c:v>
                  </c:pt>
                  <c:pt idx="11">
                    <c:v>SOACHA NO OFICIAL</c:v>
                  </c:pt>
                  <c:pt idx="12">
                    <c:v>COLOMBIA</c:v>
                  </c:pt>
                  <c:pt idx="13">
                    <c:v>SOACHA</c:v>
                  </c:pt>
                  <c:pt idx="14">
                    <c:v>SOACHA OFICIAL</c:v>
                  </c:pt>
                  <c:pt idx="15">
                    <c:v>SOACHA NO OFICIAL</c:v>
                  </c:pt>
                  <c:pt idx="16">
                    <c:v>COLOMBIA</c:v>
                  </c:pt>
                  <c:pt idx="17">
                    <c:v>SOACHA</c:v>
                  </c:pt>
                  <c:pt idx="18">
                    <c:v>SOACHA OFICIAL</c:v>
                  </c:pt>
                  <c:pt idx="19">
                    <c:v>SOACHA NO OFICIAL</c:v>
                  </c:pt>
                  <c:pt idx="20">
                    <c:v>COLOMBIA</c:v>
                  </c:pt>
                  <c:pt idx="21">
                    <c:v>SOACHA</c:v>
                  </c:pt>
                  <c:pt idx="22">
                    <c:v>SOACHA OFICIAL</c:v>
                  </c:pt>
                  <c:pt idx="23">
                    <c:v>SOACHA NO OFICIAL</c:v>
                  </c:pt>
                  <c:pt idx="24">
                    <c:v>COLOMBIA</c:v>
                  </c:pt>
                  <c:pt idx="25">
                    <c:v>SOACHA</c:v>
                  </c:pt>
                  <c:pt idx="26">
                    <c:v>SOACHA OFICIAL</c:v>
                  </c:pt>
                  <c:pt idx="27">
                    <c:v>SOACHA NO OFICIAL</c:v>
                  </c:pt>
                  <c:pt idx="28">
                    <c:v>COLOMBIA</c:v>
                  </c:pt>
                  <c:pt idx="29">
                    <c:v>SOACHA</c:v>
                  </c:pt>
                  <c:pt idx="30">
                    <c:v>SOACHA OFICIAL</c:v>
                  </c:pt>
                  <c:pt idx="31">
                    <c:v>SOACHA NO OFICIAL</c:v>
                  </c:pt>
                </c:lvl>
                <c:lvl>
                  <c:pt idx="0">
                    <c:v>2016</c:v>
                  </c:pt>
                  <c:pt idx="4">
                    <c:v>2017</c:v>
                  </c:pt>
                  <c:pt idx="8">
                    <c:v>2018</c:v>
                  </c:pt>
                  <c:pt idx="12">
                    <c:v>2019</c:v>
                  </c:pt>
                  <c:pt idx="16">
                    <c:v>2020</c:v>
                  </c:pt>
                  <c:pt idx="20">
                    <c:v>2021</c:v>
                  </c:pt>
                  <c:pt idx="24">
                    <c:v>2022</c:v>
                  </c:pt>
                  <c:pt idx="28">
                    <c:v>2023</c:v>
                  </c:pt>
                </c:lvl>
              </c:multiLvlStrCache>
            </c:multiLvlStrRef>
          </c:cat>
          <c:val>
            <c:numRef>
              <c:f>LC!$AO$201:$BT$201</c:f>
              <c:numCache>
                <c:formatCode>0%</c:formatCode>
                <c:ptCount val="32"/>
                <c:pt idx="0">
                  <c:v>0.37</c:v>
                </c:pt>
                <c:pt idx="1">
                  <c:v>0.34</c:v>
                </c:pt>
                <c:pt idx="2">
                  <c:v>0.39</c:v>
                </c:pt>
                <c:pt idx="3">
                  <c:v>0.28999999999999998</c:v>
                </c:pt>
                <c:pt idx="4">
                  <c:v>0.33</c:v>
                </c:pt>
                <c:pt idx="5">
                  <c:v>0.28999999999999998</c:v>
                </c:pt>
                <c:pt idx="6">
                  <c:v>0.34</c:v>
                </c:pt>
                <c:pt idx="7">
                  <c:v>0.23</c:v>
                </c:pt>
                <c:pt idx="8">
                  <c:v>0.35</c:v>
                </c:pt>
                <c:pt idx="9">
                  <c:v>0.32</c:v>
                </c:pt>
                <c:pt idx="10">
                  <c:v>0.37</c:v>
                </c:pt>
                <c:pt idx="11">
                  <c:v>0.26</c:v>
                </c:pt>
                <c:pt idx="12">
                  <c:v>0.34</c:v>
                </c:pt>
                <c:pt idx="13">
                  <c:v>0.3</c:v>
                </c:pt>
                <c:pt idx="14">
                  <c:v>0.35</c:v>
                </c:pt>
                <c:pt idx="15">
                  <c:v>0.25</c:v>
                </c:pt>
                <c:pt idx="16">
                  <c:v>0.36</c:v>
                </c:pt>
                <c:pt idx="17">
                  <c:v>0.31</c:v>
                </c:pt>
                <c:pt idx="18">
                  <c:v>0.35</c:v>
                </c:pt>
                <c:pt idx="19">
                  <c:v>0.26</c:v>
                </c:pt>
                <c:pt idx="20">
                  <c:v>0.37</c:v>
                </c:pt>
                <c:pt idx="21">
                  <c:v>0.32</c:v>
                </c:pt>
                <c:pt idx="22">
                  <c:v>0.37</c:v>
                </c:pt>
                <c:pt idx="23">
                  <c:v>0.26</c:v>
                </c:pt>
                <c:pt idx="24">
                  <c:v>0.34</c:v>
                </c:pt>
                <c:pt idx="25">
                  <c:v>0.27</c:v>
                </c:pt>
                <c:pt idx="26">
                  <c:v>0.34</c:v>
                </c:pt>
                <c:pt idx="27">
                  <c:v>0.21</c:v>
                </c:pt>
                <c:pt idx="28">
                  <c:v>0.35</c:v>
                </c:pt>
                <c:pt idx="29">
                  <c:v>0.28999999999999998</c:v>
                </c:pt>
                <c:pt idx="30">
                  <c:v>0.35</c:v>
                </c:pt>
                <c:pt idx="31">
                  <c:v>0.22</c:v>
                </c:pt>
              </c:numCache>
            </c:numRef>
          </c:val>
          <c:extLst>
            <c:ext xmlns:c16="http://schemas.microsoft.com/office/drawing/2014/chart" uri="{C3380CC4-5D6E-409C-BE32-E72D297353CC}">
              <c16:uniqueId val="{00000001-A301-45B6-980B-F581AB7602A7}"/>
            </c:ext>
          </c:extLst>
        </c:ser>
        <c:ser>
          <c:idx val="2"/>
          <c:order val="2"/>
          <c:tx>
            <c:strRef>
              <c:f>LC!$AN$202</c:f>
              <c:strCache>
                <c:ptCount val="1"/>
                <c:pt idx="0">
                  <c:v>3</c:v>
                </c:pt>
              </c:strCache>
            </c:strRef>
          </c:tx>
          <c:spPr>
            <a:solidFill>
              <a:srgbClr val="FFC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LC!$AO$198:$BT$199</c:f>
              <c:multiLvlStrCache>
                <c:ptCount val="32"/>
                <c:lvl>
                  <c:pt idx="0">
                    <c:v>COLOMBIA</c:v>
                  </c:pt>
                  <c:pt idx="1">
                    <c:v>SOACHA</c:v>
                  </c:pt>
                  <c:pt idx="2">
                    <c:v>SOACHA OFICIAL</c:v>
                  </c:pt>
                  <c:pt idx="3">
                    <c:v>SOACHA NO OFICIAL</c:v>
                  </c:pt>
                  <c:pt idx="4">
                    <c:v>COLOMBIA</c:v>
                  </c:pt>
                  <c:pt idx="5">
                    <c:v>SOACHA</c:v>
                  </c:pt>
                  <c:pt idx="6">
                    <c:v>SOACHA OFICIAL</c:v>
                  </c:pt>
                  <c:pt idx="7">
                    <c:v>SOACHA NO OFICIAL</c:v>
                  </c:pt>
                  <c:pt idx="8">
                    <c:v>COLOMBIA</c:v>
                  </c:pt>
                  <c:pt idx="9">
                    <c:v>SOACHA</c:v>
                  </c:pt>
                  <c:pt idx="10">
                    <c:v>SOACHA OFICIAL</c:v>
                  </c:pt>
                  <c:pt idx="11">
                    <c:v>SOACHA NO OFICIAL</c:v>
                  </c:pt>
                  <c:pt idx="12">
                    <c:v>COLOMBIA</c:v>
                  </c:pt>
                  <c:pt idx="13">
                    <c:v>SOACHA</c:v>
                  </c:pt>
                  <c:pt idx="14">
                    <c:v>SOACHA OFICIAL</c:v>
                  </c:pt>
                  <c:pt idx="15">
                    <c:v>SOACHA NO OFICIAL</c:v>
                  </c:pt>
                  <c:pt idx="16">
                    <c:v>COLOMBIA</c:v>
                  </c:pt>
                  <c:pt idx="17">
                    <c:v>SOACHA</c:v>
                  </c:pt>
                  <c:pt idx="18">
                    <c:v>SOACHA OFICIAL</c:v>
                  </c:pt>
                  <c:pt idx="19">
                    <c:v>SOACHA NO OFICIAL</c:v>
                  </c:pt>
                  <c:pt idx="20">
                    <c:v>COLOMBIA</c:v>
                  </c:pt>
                  <c:pt idx="21">
                    <c:v>SOACHA</c:v>
                  </c:pt>
                  <c:pt idx="22">
                    <c:v>SOACHA OFICIAL</c:v>
                  </c:pt>
                  <c:pt idx="23">
                    <c:v>SOACHA NO OFICIAL</c:v>
                  </c:pt>
                  <c:pt idx="24">
                    <c:v>COLOMBIA</c:v>
                  </c:pt>
                  <c:pt idx="25">
                    <c:v>SOACHA</c:v>
                  </c:pt>
                  <c:pt idx="26">
                    <c:v>SOACHA OFICIAL</c:v>
                  </c:pt>
                  <c:pt idx="27">
                    <c:v>SOACHA NO OFICIAL</c:v>
                  </c:pt>
                  <c:pt idx="28">
                    <c:v>COLOMBIA</c:v>
                  </c:pt>
                  <c:pt idx="29">
                    <c:v>SOACHA</c:v>
                  </c:pt>
                  <c:pt idx="30">
                    <c:v>SOACHA OFICIAL</c:v>
                  </c:pt>
                  <c:pt idx="31">
                    <c:v>SOACHA NO OFICIAL</c:v>
                  </c:pt>
                </c:lvl>
                <c:lvl>
                  <c:pt idx="0">
                    <c:v>2016</c:v>
                  </c:pt>
                  <c:pt idx="4">
                    <c:v>2017</c:v>
                  </c:pt>
                  <c:pt idx="8">
                    <c:v>2018</c:v>
                  </c:pt>
                  <c:pt idx="12">
                    <c:v>2019</c:v>
                  </c:pt>
                  <c:pt idx="16">
                    <c:v>2020</c:v>
                  </c:pt>
                  <c:pt idx="20">
                    <c:v>2021</c:v>
                  </c:pt>
                  <c:pt idx="24">
                    <c:v>2022</c:v>
                  </c:pt>
                  <c:pt idx="28">
                    <c:v>2023</c:v>
                  </c:pt>
                </c:lvl>
              </c:multiLvlStrCache>
            </c:multiLvlStrRef>
          </c:cat>
          <c:val>
            <c:numRef>
              <c:f>LC!$AO$202:$BT$202</c:f>
              <c:numCache>
                <c:formatCode>0%</c:formatCode>
                <c:ptCount val="32"/>
                <c:pt idx="0">
                  <c:v>0.5</c:v>
                </c:pt>
                <c:pt idx="1">
                  <c:v>0.57999999999999996</c:v>
                </c:pt>
                <c:pt idx="2">
                  <c:v>0.54</c:v>
                </c:pt>
                <c:pt idx="3">
                  <c:v>0.62</c:v>
                </c:pt>
                <c:pt idx="4">
                  <c:v>0.52</c:v>
                </c:pt>
                <c:pt idx="5">
                  <c:v>0.6</c:v>
                </c:pt>
                <c:pt idx="6">
                  <c:v>0.56999999999999995</c:v>
                </c:pt>
                <c:pt idx="7">
                  <c:v>0.64</c:v>
                </c:pt>
                <c:pt idx="8">
                  <c:v>0.49</c:v>
                </c:pt>
                <c:pt idx="9">
                  <c:v>0.56000000000000005</c:v>
                </c:pt>
                <c:pt idx="10">
                  <c:v>0.53</c:v>
                </c:pt>
                <c:pt idx="11">
                  <c:v>0.59</c:v>
                </c:pt>
                <c:pt idx="12">
                  <c:v>0.49</c:v>
                </c:pt>
                <c:pt idx="13">
                  <c:v>0.56999999999999995</c:v>
                </c:pt>
                <c:pt idx="14">
                  <c:v>0.55000000000000004</c:v>
                </c:pt>
                <c:pt idx="15">
                  <c:v>0.6</c:v>
                </c:pt>
                <c:pt idx="16">
                  <c:v>0.49</c:v>
                </c:pt>
                <c:pt idx="17">
                  <c:v>0.59</c:v>
                </c:pt>
                <c:pt idx="18">
                  <c:v>0.56000000000000005</c:v>
                </c:pt>
                <c:pt idx="19">
                  <c:v>0.61</c:v>
                </c:pt>
                <c:pt idx="20">
                  <c:v>0.45</c:v>
                </c:pt>
                <c:pt idx="21">
                  <c:v>0.54</c:v>
                </c:pt>
                <c:pt idx="22">
                  <c:v>0.52</c:v>
                </c:pt>
                <c:pt idx="23">
                  <c:v>0.56999999999999995</c:v>
                </c:pt>
                <c:pt idx="24">
                  <c:v>0.47</c:v>
                </c:pt>
                <c:pt idx="25">
                  <c:v>0.57999999999999996</c:v>
                </c:pt>
                <c:pt idx="26">
                  <c:v>0.56000000000000005</c:v>
                </c:pt>
                <c:pt idx="27">
                  <c:v>0.61</c:v>
                </c:pt>
                <c:pt idx="28">
                  <c:v>0.48</c:v>
                </c:pt>
                <c:pt idx="29">
                  <c:v>0.56999999999999995</c:v>
                </c:pt>
                <c:pt idx="30">
                  <c:v>0.55000000000000004</c:v>
                </c:pt>
                <c:pt idx="31">
                  <c:v>0.6</c:v>
                </c:pt>
              </c:numCache>
            </c:numRef>
          </c:val>
          <c:extLst>
            <c:ext xmlns:c16="http://schemas.microsoft.com/office/drawing/2014/chart" uri="{C3380CC4-5D6E-409C-BE32-E72D297353CC}">
              <c16:uniqueId val="{00000002-A301-45B6-980B-F581AB7602A7}"/>
            </c:ext>
          </c:extLst>
        </c:ser>
        <c:ser>
          <c:idx val="3"/>
          <c:order val="3"/>
          <c:tx>
            <c:strRef>
              <c:f>LC!$AN$203</c:f>
              <c:strCache>
                <c:ptCount val="1"/>
                <c:pt idx="0">
                  <c:v>4</c:v>
                </c:pt>
              </c:strCache>
            </c:strRef>
          </c:tx>
          <c:spPr>
            <a:solidFill>
              <a:srgbClr val="00B05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LC!$AO$198:$BT$199</c:f>
              <c:multiLvlStrCache>
                <c:ptCount val="32"/>
                <c:lvl>
                  <c:pt idx="0">
                    <c:v>COLOMBIA</c:v>
                  </c:pt>
                  <c:pt idx="1">
                    <c:v>SOACHA</c:v>
                  </c:pt>
                  <c:pt idx="2">
                    <c:v>SOACHA OFICIAL</c:v>
                  </c:pt>
                  <c:pt idx="3">
                    <c:v>SOACHA NO OFICIAL</c:v>
                  </c:pt>
                  <c:pt idx="4">
                    <c:v>COLOMBIA</c:v>
                  </c:pt>
                  <c:pt idx="5">
                    <c:v>SOACHA</c:v>
                  </c:pt>
                  <c:pt idx="6">
                    <c:v>SOACHA OFICIAL</c:v>
                  </c:pt>
                  <c:pt idx="7">
                    <c:v>SOACHA NO OFICIAL</c:v>
                  </c:pt>
                  <c:pt idx="8">
                    <c:v>COLOMBIA</c:v>
                  </c:pt>
                  <c:pt idx="9">
                    <c:v>SOACHA</c:v>
                  </c:pt>
                  <c:pt idx="10">
                    <c:v>SOACHA OFICIAL</c:v>
                  </c:pt>
                  <c:pt idx="11">
                    <c:v>SOACHA NO OFICIAL</c:v>
                  </c:pt>
                  <c:pt idx="12">
                    <c:v>COLOMBIA</c:v>
                  </c:pt>
                  <c:pt idx="13">
                    <c:v>SOACHA</c:v>
                  </c:pt>
                  <c:pt idx="14">
                    <c:v>SOACHA OFICIAL</c:v>
                  </c:pt>
                  <c:pt idx="15">
                    <c:v>SOACHA NO OFICIAL</c:v>
                  </c:pt>
                  <c:pt idx="16">
                    <c:v>COLOMBIA</c:v>
                  </c:pt>
                  <c:pt idx="17">
                    <c:v>SOACHA</c:v>
                  </c:pt>
                  <c:pt idx="18">
                    <c:v>SOACHA OFICIAL</c:v>
                  </c:pt>
                  <c:pt idx="19">
                    <c:v>SOACHA NO OFICIAL</c:v>
                  </c:pt>
                  <c:pt idx="20">
                    <c:v>COLOMBIA</c:v>
                  </c:pt>
                  <c:pt idx="21">
                    <c:v>SOACHA</c:v>
                  </c:pt>
                  <c:pt idx="22">
                    <c:v>SOACHA OFICIAL</c:v>
                  </c:pt>
                  <c:pt idx="23">
                    <c:v>SOACHA NO OFICIAL</c:v>
                  </c:pt>
                  <c:pt idx="24">
                    <c:v>COLOMBIA</c:v>
                  </c:pt>
                  <c:pt idx="25">
                    <c:v>SOACHA</c:v>
                  </c:pt>
                  <c:pt idx="26">
                    <c:v>SOACHA OFICIAL</c:v>
                  </c:pt>
                  <c:pt idx="27">
                    <c:v>SOACHA NO OFICIAL</c:v>
                  </c:pt>
                  <c:pt idx="28">
                    <c:v>COLOMBIA</c:v>
                  </c:pt>
                  <c:pt idx="29">
                    <c:v>SOACHA</c:v>
                  </c:pt>
                  <c:pt idx="30">
                    <c:v>SOACHA OFICIAL</c:v>
                  </c:pt>
                  <c:pt idx="31">
                    <c:v>SOACHA NO OFICIAL</c:v>
                  </c:pt>
                </c:lvl>
                <c:lvl>
                  <c:pt idx="0">
                    <c:v>2016</c:v>
                  </c:pt>
                  <c:pt idx="4">
                    <c:v>2017</c:v>
                  </c:pt>
                  <c:pt idx="8">
                    <c:v>2018</c:v>
                  </c:pt>
                  <c:pt idx="12">
                    <c:v>2019</c:v>
                  </c:pt>
                  <c:pt idx="16">
                    <c:v>2020</c:v>
                  </c:pt>
                  <c:pt idx="20">
                    <c:v>2021</c:v>
                  </c:pt>
                  <c:pt idx="24">
                    <c:v>2022</c:v>
                  </c:pt>
                  <c:pt idx="28">
                    <c:v>2023</c:v>
                  </c:pt>
                </c:lvl>
              </c:multiLvlStrCache>
            </c:multiLvlStrRef>
          </c:cat>
          <c:val>
            <c:numRef>
              <c:f>LC!$AO$203:$BT$203</c:f>
              <c:numCache>
                <c:formatCode>0%</c:formatCode>
                <c:ptCount val="32"/>
                <c:pt idx="0">
                  <c:v>0.1</c:v>
                </c:pt>
                <c:pt idx="1">
                  <c:v>7.0000000000000007E-2</c:v>
                </c:pt>
                <c:pt idx="2">
                  <c:v>0.05</c:v>
                </c:pt>
                <c:pt idx="3">
                  <c:v>0.08</c:v>
                </c:pt>
                <c:pt idx="4">
                  <c:v>0.13</c:v>
                </c:pt>
                <c:pt idx="5">
                  <c:v>0.09</c:v>
                </c:pt>
                <c:pt idx="6">
                  <c:v>7.0000000000000007E-2</c:v>
                </c:pt>
                <c:pt idx="7">
                  <c:v>0.12</c:v>
                </c:pt>
                <c:pt idx="8">
                  <c:v>0.13</c:v>
                </c:pt>
                <c:pt idx="9">
                  <c:v>0.11</c:v>
                </c:pt>
                <c:pt idx="10">
                  <c:v>0.08</c:v>
                </c:pt>
                <c:pt idx="11">
                  <c:v>0.14000000000000001</c:v>
                </c:pt>
                <c:pt idx="12">
                  <c:v>0.12</c:v>
                </c:pt>
                <c:pt idx="13">
                  <c:v>0.11</c:v>
                </c:pt>
                <c:pt idx="14">
                  <c:v>0.08</c:v>
                </c:pt>
                <c:pt idx="15">
                  <c:v>0.14000000000000001</c:v>
                </c:pt>
                <c:pt idx="16">
                  <c:v>0.1</c:v>
                </c:pt>
                <c:pt idx="17">
                  <c:v>0.09</c:v>
                </c:pt>
                <c:pt idx="18">
                  <c:v>7.0000000000000007E-2</c:v>
                </c:pt>
                <c:pt idx="19">
                  <c:v>0.11</c:v>
                </c:pt>
                <c:pt idx="20">
                  <c:v>0.13</c:v>
                </c:pt>
                <c:pt idx="21">
                  <c:v>0.12</c:v>
                </c:pt>
                <c:pt idx="22">
                  <c:v>0.09</c:v>
                </c:pt>
                <c:pt idx="23">
                  <c:v>0.16</c:v>
                </c:pt>
                <c:pt idx="24">
                  <c:v>0.14000000000000001</c:v>
                </c:pt>
                <c:pt idx="25">
                  <c:v>0.13</c:v>
                </c:pt>
                <c:pt idx="26">
                  <c:v>0.09</c:v>
                </c:pt>
                <c:pt idx="27">
                  <c:v>0.16</c:v>
                </c:pt>
                <c:pt idx="28">
                  <c:v>0.13</c:v>
                </c:pt>
                <c:pt idx="29">
                  <c:v>0.12</c:v>
                </c:pt>
                <c:pt idx="30">
                  <c:v>0.08</c:v>
                </c:pt>
                <c:pt idx="31">
                  <c:v>0.17</c:v>
                </c:pt>
              </c:numCache>
            </c:numRef>
          </c:val>
          <c:extLst>
            <c:ext xmlns:c16="http://schemas.microsoft.com/office/drawing/2014/chart" uri="{C3380CC4-5D6E-409C-BE32-E72D297353CC}">
              <c16:uniqueId val="{00000003-A301-45B6-980B-F581AB7602A7}"/>
            </c:ext>
          </c:extLst>
        </c:ser>
        <c:dLbls>
          <c:showLegendKey val="0"/>
          <c:showVal val="0"/>
          <c:showCatName val="0"/>
          <c:showSerName val="0"/>
          <c:showPercent val="0"/>
          <c:showBubbleSize val="0"/>
        </c:dLbls>
        <c:gapWidth val="150"/>
        <c:overlap val="100"/>
        <c:axId val="744346207"/>
        <c:axId val="634479663"/>
      </c:barChart>
      <c:catAx>
        <c:axId val="74434620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634479663"/>
        <c:crosses val="autoZero"/>
        <c:auto val="1"/>
        <c:lblAlgn val="ctr"/>
        <c:lblOffset val="100"/>
        <c:noMultiLvlLbl val="0"/>
      </c:catAx>
      <c:valAx>
        <c:axId val="634479663"/>
        <c:scaling>
          <c:orientation val="minMax"/>
          <c:max val="1"/>
        </c:scaling>
        <c:delete val="1"/>
        <c:axPos val="l"/>
        <c:numFmt formatCode="0%" sourceLinked="1"/>
        <c:majorTickMark val="none"/>
        <c:minorTickMark val="none"/>
        <c:tickLblPos val="nextTo"/>
        <c:crossAx val="74434620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s-CO" sz="1400"/>
              <a:t>Porcentaje de Respuestas Incorrectas </a:t>
            </a:r>
          </a:p>
          <a:p>
            <a:pPr marL="0" marR="0" lvl="0" indent="0" algn="ctr" defTabSz="914400" rtl="0" eaLnBrk="1" fontAlgn="auto" latinLnBrk="0" hangingPunct="1">
              <a:lnSpc>
                <a:spcPct val="100000"/>
              </a:lnSpc>
              <a:spcBef>
                <a:spcPts val="0"/>
              </a:spcBef>
              <a:spcAft>
                <a:spcPts val="0"/>
              </a:spcAft>
              <a:buClrTx/>
              <a:buSzTx/>
              <a:buFontTx/>
              <a:buNone/>
              <a:tabLst/>
              <a:defRPr>
                <a:solidFill>
                  <a:sysClr val="windowText" lastClr="000000">
                    <a:lumMod val="65000"/>
                    <a:lumOff val="35000"/>
                  </a:sysClr>
                </a:solidFill>
              </a:defRPr>
            </a:pPr>
            <a:r>
              <a:rPr lang="es-CO" sz="1400"/>
              <a:t>Instituciones</a:t>
            </a:r>
            <a:r>
              <a:rPr lang="es-CO" sz="1400" baseline="0"/>
              <a:t> Educativas Oficiales</a:t>
            </a:r>
          </a:p>
          <a:p>
            <a:pPr marL="0" marR="0" lvl="0" indent="0" algn="ctr" defTabSz="914400" rtl="0" eaLnBrk="1" fontAlgn="auto" latinLnBrk="0" hangingPunct="1">
              <a:lnSpc>
                <a:spcPct val="100000"/>
              </a:lnSpc>
              <a:spcBef>
                <a:spcPts val="0"/>
              </a:spcBef>
              <a:spcAft>
                <a:spcPts val="0"/>
              </a:spcAft>
              <a:buClrTx/>
              <a:buSzTx/>
              <a:buFontTx/>
              <a:buNone/>
              <a:tabLst/>
              <a:defRPr>
                <a:solidFill>
                  <a:sysClr val="windowText" lastClr="000000">
                    <a:lumMod val="65000"/>
                    <a:lumOff val="35000"/>
                  </a:sysClr>
                </a:solidFill>
              </a:defRPr>
            </a:pPr>
            <a:r>
              <a:rPr lang="es-CO" sz="1400" b="0" i="0" baseline="0">
                <a:effectLst/>
              </a:rPr>
              <a:t>Aprendizaje: Comprende </a:t>
            </a:r>
            <a:endParaRPr lang="es-CO" sz="1400">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es-CO"/>
        </a:p>
      </c:txPr>
    </c:title>
    <c:autoTitleDeleted val="0"/>
    <c:plotArea>
      <c:layout/>
      <c:barChart>
        <c:barDir val="col"/>
        <c:grouping val="clustered"/>
        <c:varyColors val="0"/>
        <c:ser>
          <c:idx val="0"/>
          <c:order val="0"/>
          <c:tx>
            <c:strRef>
              <c:f>LC!$F$309</c:f>
              <c:strCache>
                <c:ptCount val="1"/>
                <c:pt idx="0">
                  <c:v>2016</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LC!$E$311:$E$316</c:f>
              <c:strCache>
                <c:ptCount val="6"/>
                <c:pt idx="0">
                  <c:v>COMUNA 1</c:v>
                </c:pt>
                <c:pt idx="1">
                  <c:v>COMUNA 2</c:v>
                </c:pt>
                <c:pt idx="2">
                  <c:v>COMUNA 3</c:v>
                </c:pt>
                <c:pt idx="3">
                  <c:v>COMUNA 4</c:v>
                </c:pt>
                <c:pt idx="4">
                  <c:v>COMUNA 5</c:v>
                </c:pt>
                <c:pt idx="5">
                  <c:v>COMUNA 6</c:v>
                </c:pt>
              </c:strCache>
            </c:strRef>
          </c:cat>
          <c:val>
            <c:numRef>
              <c:f>LC!$F$311:$F$316</c:f>
              <c:numCache>
                <c:formatCode>0%</c:formatCode>
                <c:ptCount val="6"/>
                <c:pt idx="0">
                  <c:v>0.48749999999999999</c:v>
                </c:pt>
                <c:pt idx="1">
                  <c:v>0.49</c:v>
                </c:pt>
                <c:pt idx="2">
                  <c:v>0.48399999999999999</c:v>
                </c:pt>
                <c:pt idx="3">
                  <c:v>0.52666666666666673</c:v>
                </c:pt>
                <c:pt idx="4">
                  <c:v>0.46499999999999997</c:v>
                </c:pt>
                <c:pt idx="5">
                  <c:v>0.5033333333333333</c:v>
                </c:pt>
              </c:numCache>
            </c:numRef>
          </c:val>
          <c:extLst>
            <c:ext xmlns:c16="http://schemas.microsoft.com/office/drawing/2014/chart" uri="{C3380CC4-5D6E-409C-BE32-E72D297353CC}">
              <c16:uniqueId val="{00000000-860A-432D-8C66-5CD8CD3DE9B4}"/>
            </c:ext>
          </c:extLst>
        </c:ser>
        <c:ser>
          <c:idx val="1"/>
          <c:order val="1"/>
          <c:tx>
            <c:strRef>
              <c:f>LC!$G$309</c:f>
              <c:strCache>
                <c:ptCount val="1"/>
                <c:pt idx="0">
                  <c:v>2017</c:v>
                </c:pt>
              </c:strCache>
            </c:strRef>
          </c:tx>
          <c:spPr>
            <a:solidFill>
              <a:schemeClr val="accent2"/>
            </a:solidFill>
            <a:ln>
              <a:noFill/>
            </a:ln>
            <a:effectLst/>
          </c:spPr>
          <c:invertIfNegative val="0"/>
          <c:cat>
            <c:strRef>
              <c:f>LC!$E$311:$E$316</c:f>
              <c:strCache>
                <c:ptCount val="6"/>
                <c:pt idx="0">
                  <c:v>COMUNA 1</c:v>
                </c:pt>
                <c:pt idx="1">
                  <c:v>COMUNA 2</c:v>
                </c:pt>
                <c:pt idx="2">
                  <c:v>COMUNA 3</c:v>
                </c:pt>
                <c:pt idx="3">
                  <c:v>COMUNA 4</c:v>
                </c:pt>
                <c:pt idx="4">
                  <c:v>COMUNA 5</c:v>
                </c:pt>
                <c:pt idx="5">
                  <c:v>COMUNA 6</c:v>
                </c:pt>
              </c:strCache>
            </c:strRef>
          </c:cat>
          <c:val>
            <c:numRef>
              <c:f>LC!$G$311:$G$316</c:f>
              <c:numCache>
                <c:formatCode>0%</c:formatCode>
                <c:ptCount val="6"/>
                <c:pt idx="0">
                  <c:v>0.45500000000000002</c:v>
                </c:pt>
                <c:pt idx="1">
                  <c:v>0.46499999999999997</c:v>
                </c:pt>
                <c:pt idx="2">
                  <c:v>0.48399999999999999</c:v>
                </c:pt>
                <c:pt idx="3">
                  <c:v>0.51666666666666672</c:v>
                </c:pt>
                <c:pt idx="4">
                  <c:v>0.46499999999999997</c:v>
                </c:pt>
                <c:pt idx="5">
                  <c:v>0.49666666666666665</c:v>
                </c:pt>
              </c:numCache>
            </c:numRef>
          </c:val>
          <c:extLst>
            <c:ext xmlns:c16="http://schemas.microsoft.com/office/drawing/2014/chart" uri="{C3380CC4-5D6E-409C-BE32-E72D297353CC}">
              <c16:uniqueId val="{00000001-860A-432D-8C66-5CD8CD3DE9B4}"/>
            </c:ext>
          </c:extLst>
        </c:ser>
        <c:ser>
          <c:idx val="2"/>
          <c:order val="2"/>
          <c:tx>
            <c:strRef>
              <c:f>LC!$H$309</c:f>
              <c:strCache>
                <c:ptCount val="1"/>
                <c:pt idx="0">
                  <c:v>2018</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LC!$E$311:$E$316</c:f>
              <c:strCache>
                <c:ptCount val="6"/>
                <c:pt idx="0">
                  <c:v>COMUNA 1</c:v>
                </c:pt>
                <c:pt idx="1">
                  <c:v>COMUNA 2</c:v>
                </c:pt>
                <c:pt idx="2">
                  <c:v>COMUNA 3</c:v>
                </c:pt>
                <c:pt idx="3">
                  <c:v>COMUNA 4</c:v>
                </c:pt>
                <c:pt idx="4">
                  <c:v>COMUNA 5</c:v>
                </c:pt>
                <c:pt idx="5">
                  <c:v>COMUNA 6</c:v>
                </c:pt>
              </c:strCache>
            </c:strRef>
          </c:cat>
          <c:val>
            <c:numRef>
              <c:f>LC!$H$311:$H$316</c:f>
              <c:numCache>
                <c:formatCode>0%</c:formatCode>
                <c:ptCount val="6"/>
                <c:pt idx="0">
                  <c:v>0.4325</c:v>
                </c:pt>
                <c:pt idx="1">
                  <c:v>0.42499999999999999</c:v>
                </c:pt>
                <c:pt idx="2">
                  <c:v>0.42400000000000004</c:v>
                </c:pt>
                <c:pt idx="3">
                  <c:v>0.505</c:v>
                </c:pt>
                <c:pt idx="4">
                  <c:v>0.45499999999999996</c:v>
                </c:pt>
                <c:pt idx="5">
                  <c:v>0.45999999999999996</c:v>
                </c:pt>
              </c:numCache>
            </c:numRef>
          </c:val>
          <c:extLst>
            <c:ext xmlns:c16="http://schemas.microsoft.com/office/drawing/2014/chart" uri="{C3380CC4-5D6E-409C-BE32-E72D297353CC}">
              <c16:uniqueId val="{00000002-860A-432D-8C66-5CD8CD3DE9B4}"/>
            </c:ext>
          </c:extLst>
        </c:ser>
        <c:ser>
          <c:idx val="3"/>
          <c:order val="3"/>
          <c:tx>
            <c:strRef>
              <c:f>LC!$I$309</c:f>
              <c:strCache>
                <c:ptCount val="1"/>
                <c:pt idx="0">
                  <c:v>2019</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LC!$E$311:$E$316</c:f>
              <c:strCache>
                <c:ptCount val="6"/>
                <c:pt idx="0">
                  <c:v>COMUNA 1</c:v>
                </c:pt>
                <c:pt idx="1">
                  <c:v>COMUNA 2</c:v>
                </c:pt>
                <c:pt idx="2">
                  <c:v>COMUNA 3</c:v>
                </c:pt>
                <c:pt idx="3">
                  <c:v>COMUNA 4</c:v>
                </c:pt>
                <c:pt idx="4">
                  <c:v>COMUNA 5</c:v>
                </c:pt>
                <c:pt idx="5">
                  <c:v>COMUNA 6</c:v>
                </c:pt>
              </c:strCache>
            </c:strRef>
          </c:cat>
          <c:val>
            <c:numRef>
              <c:f>LC!$I$311:$I$316</c:f>
              <c:numCache>
                <c:formatCode>0%</c:formatCode>
                <c:ptCount val="6"/>
                <c:pt idx="0">
                  <c:v>0.42249999999999999</c:v>
                </c:pt>
                <c:pt idx="1">
                  <c:v>0.41000000000000003</c:v>
                </c:pt>
                <c:pt idx="2">
                  <c:v>0.42000000000000004</c:v>
                </c:pt>
                <c:pt idx="3">
                  <c:v>0.48833333333333345</c:v>
                </c:pt>
                <c:pt idx="4">
                  <c:v>0.42499999999999999</c:v>
                </c:pt>
                <c:pt idx="5">
                  <c:v>0.44</c:v>
                </c:pt>
              </c:numCache>
            </c:numRef>
          </c:val>
          <c:extLst>
            <c:ext xmlns:c16="http://schemas.microsoft.com/office/drawing/2014/chart" uri="{C3380CC4-5D6E-409C-BE32-E72D297353CC}">
              <c16:uniqueId val="{00000003-860A-432D-8C66-5CD8CD3DE9B4}"/>
            </c:ext>
          </c:extLst>
        </c:ser>
        <c:ser>
          <c:idx val="4"/>
          <c:order val="4"/>
          <c:tx>
            <c:strRef>
              <c:f>LC!$J$309</c:f>
              <c:strCache>
                <c:ptCount val="1"/>
                <c:pt idx="0">
                  <c:v>2020</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LC!$E$311:$E$316</c:f>
              <c:strCache>
                <c:ptCount val="6"/>
                <c:pt idx="0">
                  <c:v>COMUNA 1</c:v>
                </c:pt>
                <c:pt idx="1">
                  <c:v>COMUNA 2</c:v>
                </c:pt>
                <c:pt idx="2">
                  <c:v>COMUNA 3</c:v>
                </c:pt>
                <c:pt idx="3">
                  <c:v>COMUNA 4</c:v>
                </c:pt>
                <c:pt idx="4">
                  <c:v>COMUNA 5</c:v>
                </c:pt>
                <c:pt idx="5">
                  <c:v>COMUNA 6</c:v>
                </c:pt>
              </c:strCache>
            </c:strRef>
          </c:cat>
          <c:val>
            <c:numRef>
              <c:f>LC!$J$311:$J$316</c:f>
              <c:numCache>
                <c:formatCode>0%</c:formatCode>
                <c:ptCount val="6"/>
                <c:pt idx="0">
                  <c:v>0.46249999999999997</c:v>
                </c:pt>
                <c:pt idx="1">
                  <c:v>0.47499999999999998</c:v>
                </c:pt>
                <c:pt idx="2">
                  <c:v>0.47599999999999998</c:v>
                </c:pt>
                <c:pt idx="3">
                  <c:v>0.52833333333333343</c:v>
                </c:pt>
                <c:pt idx="4">
                  <c:v>0.47</c:v>
                </c:pt>
                <c:pt idx="5">
                  <c:v>0.46666666666666662</c:v>
                </c:pt>
              </c:numCache>
            </c:numRef>
          </c:val>
          <c:extLst>
            <c:ext xmlns:c16="http://schemas.microsoft.com/office/drawing/2014/chart" uri="{C3380CC4-5D6E-409C-BE32-E72D297353CC}">
              <c16:uniqueId val="{00000004-860A-432D-8C66-5CD8CD3DE9B4}"/>
            </c:ext>
          </c:extLst>
        </c:ser>
        <c:ser>
          <c:idx val="5"/>
          <c:order val="5"/>
          <c:tx>
            <c:strRef>
              <c:f>LC!$K$309</c:f>
              <c:strCache>
                <c:ptCount val="1"/>
                <c:pt idx="0">
                  <c:v>2021</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LC!$E$311:$E$316</c:f>
              <c:strCache>
                <c:ptCount val="6"/>
                <c:pt idx="0">
                  <c:v>COMUNA 1</c:v>
                </c:pt>
                <c:pt idx="1">
                  <c:v>COMUNA 2</c:v>
                </c:pt>
                <c:pt idx="2">
                  <c:v>COMUNA 3</c:v>
                </c:pt>
                <c:pt idx="3">
                  <c:v>COMUNA 4</c:v>
                </c:pt>
                <c:pt idx="4">
                  <c:v>COMUNA 5</c:v>
                </c:pt>
                <c:pt idx="5">
                  <c:v>COMUNA 6</c:v>
                </c:pt>
              </c:strCache>
            </c:strRef>
          </c:cat>
          <c:val>
            <c:numRef>
              <c:f>LC!$K$311:$K$316</c:f>
              <c:numCache>
                <c:formatCode>0%</c:formatCode>
                <c:ptCount val="6"/>
                <c:pt idx="0">
                  <c:v>0.44749999999999995</c:v>
                </c:pt>
                <c:pt idx="1">
                  <c:v>0.45500000000000002</c:v>
                </c:pt>
                <c:pt idx="2">
                  <c:v>0.44800000000000006</c:v>
                </c:pt>
                <c:pt idx="3">
                  <c:v>0.4916666666666667</c:v>
                </c:pt>
                <c:pt idx="4">
                  <c:v>0.44</c:v>
                </c:pt>
                <c:pt idx="5">
                  <c:v>0.47666666666666663</c:v>
                </c:pt>
              </c:numCache>
            </c:numRef>
          </c:val>
          <c:extLst>
            <c:ext xmlns:c16="http://schemas.microsoft.com/office/drawing/2014/chart" uri="{C3380CC4-5D6E-409C-BE32-E72D297353CC}">
              <c16:uniqueId val="{00000005-860A-432D-8C66-5CD8CD3DE9B4}"/>
            </c:ext>
          </c:extLst>
        </c:ser>
        <c:dLbls>
          <c:showLegendKey val="0"/>
          <c:showVal val="0"/>
          <c:showCatName val="0"/>
          <c:showSerName val="0"/>
          <c:showPercent val="0"/>
          <c:showBubbleSize val="0"/>
        </c:dLbls>
        <c:gapWidth val="150"/>
        <c:axId val="922625440"/>
        <c:axId val="922145264"/>
      </c:barChart>
      <c:catAx>
        <c:axId val="9226254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922145264"/>
        <c:crossesAt val="0"/>
        <c:auto val="1"/>
        <c:lblAlgn val="ctr"/>
        <c:lblOffset val="100"/>
        <c:noMultiLvlLbl val="0"/>
      </c:catAx>
      <c:valAx>
        <c:axId val="9221452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92262544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s-CO" sz="1400"/>
              <a:t>Porcentaje de Respuestas Incorrectas </a:t>
            </a:r>
          </a:p>
          <a:p>
            <a:pPr marL="0" marR="0" lvl="0" indent="0" algn="ctr" defTabSz="914400" rtl="0" eaLnBrk="1" fontAlgn="auto" latinLnBrk="0" hangingPunct="1">
              <a:lnSpc>
                <a:spcPct val="100000"/>
              </a:lnSpc>
              <a:spcBef>
                <a:spcPts val="0"/>
              </a:spcBef>
              <a:spcAft>
                <a:spcPts val="0"/>
              </a:spcAft>
              <a:buClrTx/>
              <a:buSzTx/>
              <a:buFontTx/>
              <a:buNone/>
              <a:tabLst/>
              <a:defRPr>
                <a:solidFill>
                  <a:sysClr val="windowText" lastClr="000000">
                    <a:lumMod val="65000"/>
                    <a:lumOff val="35000"/>
                  </a:sysClr>
                </a:solidFill>
              </a:defRPr>
            </a:pPr>
            <a:r>
              <a:rPr lang="es-CO" sz="1400"/>
              <a:t>Instituciones</a:t>
            </a:r>
            <a:r>
              <a:rPr lang="es-CO" sz="1400" baseline="0"/>
              <a:t> Educativas Oficiales</a:t>
            </a:r>
          </a:p>
          <a:p>
            <a:pPr marL="0" marR="0" lvl="0" indent="0" algn="ctr" defTabSz="914400" rtl="0" eaLnBrk="1" fontAlgn="auto" latinLnBrk="0" hangingPunct="1">
              <a:lnSpc>
                <a:spcPct val="100000"/>
              </a:lnSpc>
              <a:spcBef>
                <a:spcPts val="0"/>
              </a:spcBef>
              <a:spcAft>
                <a:spcPts val="0"/>
              </a:spcAft>
              <a:buClrTx/>
              <a:buSzTx/>
              <a:buFontTx/>
              <a:buNone/>
              <a:tabLst/>
              <a:defRPr>
                <a:solidFill>
                  <a:sysClr val="windowText" lastClr="000000">
                    <a:lumMod val="65000"/>
                    <a:lumOff val="35000"/>
                  </a:sysClr>
                </a:solidFill>
              </a:defRPr>
            </a:pPr>
            <a:r>
              <a:rPr lang="es-CO" sz="1400" b="0" i="0" baseline="0">
                <a:effectLst/>
              </a:rPr>
              <a:t>Aprendizaje: Identifica </a:t>
            </a:r>
            <a:endParaRPr lang="es-CO" sz="1400">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es-CO"/>
        </a:p>
      </c:txPr>
    </c:title>
    <c:autoTitleDeleted val="0"/>
    <c:plotArea>
      <c:layout/>
      <c:barChart>
        <c:barDir val="col"/>
        <c:grouping val="clustered"/>
        <c:varyColors val="0"/>
        <c:ser>
          <c:idx val="0"/>
          <c:order val="0"/>
          <c:tx>
            <c:strRef>
              <c:f>LC!$F$319</c:f>
              <c:strCache>
                <c:ptCount val="1"/>
                <c:pt idx="0">
                  <c:v>2016</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LC!$E$321:$E$326</c:f>
              <c:strCache>
                <c:ptCount val="6"/>
                <c:pt idx="0">
                  <c:v>COMUNA 1</c:v>
                </c:pt>
                <c:pt idx="1">
                  <c:v>COMUNA 2</c:v>
                </c:pt>
                <c:pt idx="2">
                  <c:v>COMUNA 3</c:v>
                </c:pt>
                <c:pt idx="3">
                  <c:v>COMUNA 4</c:v>
                </c:pt>
                <c:pt idx="4">
                  <c:v>COMUNA 5</c:v>
                </c:pt>
                <c:pt idx="5">
                  <c:v>COMUNA 6</c:v>
                </c:pt>
              </c:strCache>
            </c:strRef>
          </c:cat>
          <c:val>
            <c:numRef>
              <c:f>LC!$F$321:$F$326</c:f>
              <c:numCache>
                <c:formatCode>0%</c:formatCode>
                <c:ptCount val="6"/>
                <c:pt idx="0">
                  <c:v>0.43499999999999994</c:v>
                </c:pt>
                <c:pt idx="1">
                  <c:v>0.43</c:v>
                </c:pt>
                <c:pt idx="2">
                  <c:v>0.47400000000000003</c:v>
                </c:pt>
                <c:pt idx="3">
                  <c:v>0.48833333333333345</c:v>
                </c:pt>
                <c:pt idx="4">
                  <c:v>0.43</c:v>
                </c:pt>
                <c:pt idx="5">
                  <c:v>0.46666666666666662</c:v>
                </c:pt>
              </c:numCache>
            </c:numRef>
          </c:val>
          <c:extLst>
            <c:ext xmlns:c16="http://schemas.microsoft.com/office/drawing/2014/chart" uri="{C3380CC4-5D6E-409C-BE32-E72D297353CC}">
              <c16:uniqueId val="{00000000-3C7C-493C-B18D-50707562D583}"/>
            </c:ext>
          </c:extLst>
        </c:ser>
        <c:ser>
          <c:idx val="1"/>
          <c:order val="1"/>
          <c:tx>
            <c:strRef>
              <c:f>LC!$G$319</c:f>
              <c:strCache>
                <c:ptCount val="1"/>
                <c:pt idx="0">
                  <c:v>2017</c:v>
                </c:pt>
              </c:strCache>
            </c:strRef>
          </c:tx>
          <c:spPr>
            <a:solidFill>
              <a:schemeClr val="accent2"/>
            </a:solidFill>
            <a:ln>
              <a:noFill/>
            </a:ln>
            <a:effectLst/>
          </c:spPr>
          <c:invertIfNegative val="0"/>
          <c:cat>
            <c:strRef>
              <c:f>LC!$E$321:$E$326</c:f>
              <c:strCache>
                <c:ptCount val="6"/>
                <c:pt idx="0">
                  <c:v>COMUNA 1</c:v>
                </c:pt>
                <c:pt idx="1">
                  <c:v>COMUNA 2</c:v>
                </c:pt>
                <c:pt idx="2">
                  <c:v>COMUNA 3</c:v>
                </c:pt>
                <c:pt idx="3">
                  <c:v>COMUNA 4</c:v>
                </c:pt>
                <c:pt idx="4">
                  <c:v>COMUNA 5</c:v>
                </c:pt>
                <c:pt idx="5">
                  <c:v>COMUNA 6</c:v>
                </c:pt>
              </c:strCache>
            </c:strRef>
          </c:cat>
          <c:val>
            <c:numRef>
              <c:f>LC!$G$321:$G$326</c:f>
              <c:numCache>
                <c:formatCode>0%</c:formatCode>
                <c:ptCount val="6"/>
                <c:pt idx="0">
                  <c:v>0.42000000000000004</c:v>
                </c:pt>
                <c:pt idx="1">
                  <c:v>0.43</c:v>
                </c:pt>
                <c:pt idx="2">
                  <c:v>0.42599999999999999</c:v>
                </c:pt>
                <c:pt idx="3">
                  <c:v>0.47833333333333333</c:v>
                </c:pt>
                <c:pt idx="4">
                  <c:v>0.435</c:v>
                </c:pt>
                <c:pt idx="5">
                  <c:v>0.4466666666666666</c:v>
                </c:pt>
              </c:numCache>
            </c:numRef>
          </c:val>
          <c:extLst>
            <c:ext xmlns:c16="http://schemas.microsoft.com/office/drawing/2014/chart" uri="{C3380CC4-5D6E-409C-BE32-E72D297353CC}">
              <c16:uniqueId val="{00000001-3C7C-493C-B18D-50707562D583}"/>
            </c:ext>
          </c:extLst>
        </c:ser>
        <c:ser>
          <c:idx val="2"/>
          <c:order val="2"/>
          <c:tx>
            <c:strRef>
              <c:f>LC!$H$319</c:f>
              <c:strCache>
                <c:ptCount val="1"/>
                <c:pt idx="0">
                  <c:v>2018</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LC!$E$321:$E$326</c:f>
              <c:strCache>
                <c:ptCount val="6"/>
                <c:pt idx="0">
                  <c:v>COMUNA 1</c:v>
                </c:pt>
                <c:pt idx="1">
                  <c:v>COMUNA 2</c:v>
                </c:pt>
                <c:pt idx="2">
                  <c:v>COMUNA 3</c:v>
                </c:pt>
                <c:pt idx="3">
                  <c:v>COMUNA 4</c:v>
                </c:pt>
                <c:pt idx="4">
                  <c:v>COMUNA 5</c:v>
                </c:pt>
                <c:pt idx="5">
                  <c:v>COMUNA 6</c:v>
                </c:pt>
              </c:strCache>
            </c:strRef>
          </c:cat>
          <c:val>
            <c:numRef>
              <c:f>LC!$H$321:$H$326</c:f>
              <c:numCache>
                <c:formatCode>0%</c:formatCode>
                <c:ptCount val="6"/>
                <c:pt idx="0">
                  <c:v>0.48499999999999999</c:v>
                </c:pt>
                <c:pt idx="1">
                  <c:v>0.495</c:v>
                </c:pt>
                <c:pt idx="2">
                  <c:v>0.47599999999999998</c:v>
                </c:pt>
                <c:pt idx="3">
                  <c:v>0.53833333333333333</c:v>
                </c:pt>
                <c:pt idx="4">
                  <c:v>0.495</c:v>
                </c:pt>
                <c:pt idx="5">
                  <c:v>0.49666666666666665</c:v>
                </c:pt>
              </c:numCache>
            </c:numRef>
          </c:val>
          <c:extLst>
            <c:ext xmlns:c16="http://schemas.microsoft.com/office/drawing/2014/chart" uri="{C3380CC4-5D6E-409C-BE32-E72D297353CC}">
              <c16:uniqueId val="{00000002-3C7C-493C-B18D-50707562D583}"/>
            </c:ext>
          </c:extLst>
        </c:ser>
        <c:ser>
          <c:idx val="3"/>
          <c:order val="3"/>
          <c:tx>
            <c:strRef>
              <c:f>LC!$I$319</c:f>
              <c:strCache>
                <c:ptCount val="1"/>
                <c:pt idx="0">
                  <c:v>2019</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LC!$E$321:$E$326</c:f>
              <c:strCache>
                <c:ptCount val="6"/>
                <c:pt idx="0">
                  <c:v>COMUNA 1</c:v>
                </c:pt>
                <c:pt idx="1">
                  <c:v>COMUNA 2</c:v>
                </c:pt>
                <c:pt idx="2">
                  <c:v>COMUNA 3</c:v>
                </c:pt>
                <c:pt idx="3">
                  <c:v>COMUNA 4</c:v>
                </c:pt>
                <c:pt idx="4">
                  <c:v>COMUNA 5</c:v>
                </c:pt>
                <c:pt idx="5">
                  <c:v>COMUNA 6</c:v>
                </c:pt>
              </c:strCache>
            </c:strRef>
          </c:cat>
          <c:val>
            <c:numRef>
              <c:f>LC!$I$321:$I$326</c:f>
              <c:numCache>
                <c:formatCode>0%</c:formatCode>
                <c:ptCount val="6"/>
                <c:pt idx="0">
                  <c:v>0.36250000000000004</c:v>
                </c:pt>
                <c:pt idx="1">
                  <c:v>0.36</c:v>
                </c:pt>
                <c:pt idx="2">
                  <c:v>0.38600000000000001</c:v>
                </c:pt>
                <c:pt idx="3">
                  <c:v>0.435</c:v>
                </c:pt>
                <c:pt idx="4">
                  <c:v>0.36499999999999999</c:v>
                </c:pt>
                <c:pt idx="5">
                  <c:v>0.3833333333333333</c:v>
                </c:pt>
              </c:numCache>
            </c:numRef>
          </c:val>
          <c:extLst>
            <c:ext xmlns:c16="http://schemas.microsoft.com/office/drawing/2014/chart" uri="{C3380CC4-5D6E-409C-BE32-E72D297353CC}">
              <c16:uniqueId val="{00000003-3C7C-493C-B18D-50707562D583}"/>
            </c:ext>
          </c:extLst>
        </c:ser>
        <c:ser>
          <c:idx val="4"/>
          <c:order val="4"/>
          <c:tx>
            <c:strRef>
              <c:f>LC!$J$319</c:f>
              <c:strCache>
                <c:ptCount val="1"/>
                <c:pt idx="0">
                  <c:v>2020</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LC!$E$321:$E$326</c:f>
              <c:strCache>
                <c:ptCount val="6"/>
                <c:pt idx="0">
                  <c:v>COMUNA 1</c:v>
                </c:pt>
                <c:pt idx="1">
                  <c:v>COMUNA 2</c:v>
                </c:pt>
                <c:pt idx="2">
                  <c:v>COMUNA 3</c:v>
                </c:pt>
                <c:pt idx="3">
                  <c:v>COMUNA 4</c:v>
                </c:pt>
                <c:pt idx="4">
                  <c:v>COMUNA 5</c:v>
                </c:pt>
                <c:pt idx="5">
                  <c:v>COMUNA 6</c:v>
                </c:pt>
              </c:strCache>
            </c:strRef>
          </c:cat>
          <c:val>
            <c:numRef>
              <c:f>LC!$J$321:$J$326</c:f>
              <c:numCache>
                <c:formatCode>0%</c:formatCode>
                <c:ptCount val="6"/>
                <c:pt idx="0">
                  <c:v>0.41749999999999998</c:v>
                </c:pt>
                <c:pt idx="1">
                  <c:v>0.42499999999999999</c:v>
                </c:pt>
                <c:pt idx="2">
                  <c:v>0.43600000000000005</c:v>
                </c:pt>
                <c:pt idx="3">
                  <c:v>0.48833333333333334</c:v>
                </c:pt>
                <c:pt idx="4">
                  <c:v>0.44500000000000001</c:v>
                </c:pt>
                <c:pt idx="5">
                  <c:v>0.45</c:v>
                </c:pt>
              </c:numCache>
            </c:numRef>
          </c:val>
          <c:extLst>
            <c:ext xmlns:c16="http://schemas.microsoft.com/office/drawing/2014/chart" uri="{C3380CC4-5D6E-409C-BE32-E72D297353CC}">
              <c16:uniqueId val="{00000004-3C7C-493C-B18D-50707562D583}"/>
            </c:ext>
          </c:extLst>
        </c:ser>
        <c:ser>
          <c:idx val="5"/>
          <c:order val="5"/>
          <c:tx>
            <c:strRef>
              <c:f>LC!$K$319</c:f>
              <c:strCache>
                <c:ptCount val="1"/>
                <c:pt idx="0">
                  <c:v>2021</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LC!$E$321:$E$326</c:f>
              <c:strCache>
                <c:ptCount val="6"/>
                <c:pt idx="0">
                  <c:v>COMUNA 1</c:v>
                </c:pt>
                <c:pt idx="1">
                  <c:v>COMUNA 2</c:v>
                </c:pt>
                <c:pt idx="2">
                  <c:v>COMUNA 3</c:v>
                </c:pt>
                <c:pt idx="3">
                  <c:v>COMUNA 4</c:v>
                </c:pt>
                <c:pt idx="4">
                  <c:v>COMUNA 5</c:v>
                </c:pt>
                <c:pt idx="5">
                  <c:v>COMUNA 6</c:v>
                </c:pt>
              </c:strCache>
            </c:strRef>
          </c:cat>
          <c:val>
            <c:numRef>
              <c:f>LC!$K$321:$K$326</c:f>
              <c:numCache>
                <c:formatCode>0%</c:formatCode>
                <c:ptCount val="6"/>
                <c:pt idx="0">
                  <c:v>0.34</c:v>
                </c:pt>
                <c:pt idx="1">
                  <c:v>0.36</c:v>
                </c:pt>
                <c:pt idx="2">
                  <c:v>0.34799999999999998</c:v>
                </c:pt>
                <c:pt idx="3">
                  <c:v>0.42</c:v>
                </c:pt>
                <c:pt idx="4">
                  <c:v>0.33999999999999997</c:v>
                </c:pt>
                <c:pt idx="5">
                  <c:v>0.36999999999999994</c:v>
                </c:pt>
              </c:numCache>
            </c:numRef>
          </c:val>
          <c:extLst>
            <c:ext xmlns:c16="http://schemas.microsoft.com/office/drawing/2014/chart" uri="{C3380CC4-5D6E-409C-BE32-E72D297353CC}">
              <c16:uniqueId val="{00000005-3C7C-493C-B18D-50707562D583}"/>
            </c:ext>
          </c:extLst>
        </c:ser>
        <c:dLbls>
          <c:showLegendKey val="0"/>
          <c:showVal val="0"/>
          <c:showCatName val="0"/>
          <c:showSerName val="0"/>
          <c:showPercent val="0"/>
          <c:showBubbleSize val="0"/>
        </c:dLbls>
        <c:gapWidth val="150"/>
        <c:axId val="922625440"/>
        <c:axId val="922145264"/>
      </c:barChart>
      <c:catAx>
        <c:axId val="9226254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922145264"/>
        <c:crossesAt val="0"/>
        <c:auto val="1"/>
        <c:lblAlgn val="ctr"/>
        <c:lblOffset val="100"/>
        <c:noMultiLvlLbl val="0"/>
      </c:catAx>
      <c:valAx>
        <c:axId val="9221452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92262544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s-CO" sz="1400"/>
              <a:t>Porcentaje de Respuestas Incorrectas </a:t>
            </a:r>
          </a:p>
          <a:p>
            <a:pPr marL="0" marR="0" lvl="0" indent="0" algn="ctr" defTabSz="914400" rtl="0" eaLnBrk="1" fontAlgn="auto" latinLnBrk="0" hangingPunct="1">
              <a:lnSpc>
                <a:spcPct val="100000"/>
              </a:lnSpc>
              <a:spcBef>
                <a:spcPts val="0"/>
              </a:spcBef>
              <a:spcAft>
                <a:spcPts val="0"/>
              </a:spcAft>
              <a:buClrTx/>
              <a:buSzTx/>
              <a:buFontTx/>
              <a:buNone/>
              <a:tabLst/>
              <a:defRPr>
                <a:solidFill>
                  <a:sysClr val="windowText" lastClr="000000">
                    <a:lumMod val="65000"/>
                    <a:lumOff val="35000"/>
                  </a:sysClr>
                </a:solidFill>
              </a:defRPr>
            </a:pPr>
            <a:r>
              <a:rPr lang="es-CO" sz="1400"/>
              <a:t>Instituciones</a:t>
            </a:r>
            <a:r>
              <a:rPr lang="es-CO" sz="1400" baseline="0"/>
              <a:t> Educativas Oficiales</a:t>
            </a:r>
          </a:p>
          <a:p>
            <a:pPr marL="0" marR="0" lvl="0" indent="0" algn="ctr" defTabSz="914400" rtl="0" eaLnBrk="1" fontAlgn="auto" latinLnBrk="0" hangingPunct="1">
              <a:lnSpc>
                <a:spcPct val="100000"/>
              </a:lnSpc>
              <a:spcBef>
                <a:spcPts val="0"/>
              </a:spcBef>
              <a:spcAft>
                <a:spcPts val="0"/>
              </a:spcAft>
              <a:buClrTx/>
              <a:buSzTx/>
              <a:buFontTx/>
              <a:buNone/>
              <a:tabLst/>
              <a:defRPr>
                <a:solidFill>
                  <a:sysClr val="windowText" lastClr="000000">
                    <a:lumMod val="65000"/>
                    <a:lumOff val="35000"/>
                  </a:sysClr>
                </a:solidFill>
              </a:defRPr>
            </a:pPr>
            <a:r>
              <a:rPr lang="es-CO" sz="1400" b="0" i="0" baseline="0">
                <a:effectLst/>
              </a:rPr>
              <a:t>Aprendizaje: Reflexiona</a:t>
            </a:r>
            <a:endParaRPr lang="es-CO" sz="1400">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es-CO"/>
        </a:p>
      </c:txPr>
    </c:title>
    <c:autoTitleDeleted val="0"/>
    <c:plotArea>
      <c:layout/>
      <c:barChart>
        <c:barDir val="col"/>
        <c:grouping val="clustered"/>
        <c:varyColors val="0"/>
        <c:ser>
          <c:idx val="0"/>
          <c:order val="0"/>
          <c:tx>
            <c:strRef>
              <c:f>LC!$F$329</c:f>
              <c:strCache>
                <c:ptCount val="1"/>
                <c:pt idx="0">
                  <c:v>2016</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LC!$E$331:$E$336</c:f>
              <c:strCache>
                <c:ptCount val="6"/>
                <c:pt idx="0">
                  <c:v>COMUNA 1</c:v>
                </c:pt>
                <c:pt idx="1">
                  <c:v>COMUNA 2</c:v>
                </c:pt>
                <c:pt idx="2">
                  <c:v>COMUNA 3</c:v>
                </c:pt>
                <c:pt idx="3">
                  <c:v>COMUNA 4</c:v>
                </c:pt>
                <c:pt idx="4">
                  <c:v>COMUNA 5</c:v>
                </c:pt>
                <c:pt idx="5">
                  <c:v>COMUNA 6</c:v>
                </c:pt>
              </c:strCache>
            </c:strRef>
          </c:cat>
          <c:val>
            <c:numRef>
              <c:f>LC!$F$331:$F$336</c:f>
              <c:numCache>
                <c:formatCode>0%</c:formatCode>
                <c:ptCount val="6"/>
                <c:pt idx="0">
                  <c:v>0.55000000000000004</c:v>
                </c:pt>
                <c:pt idx="1">
                  <c:v>0.54499999999999993</c:v>
                </c:pt>
                <c:pt idx="2">
                  <c:v>0.53800000000000003</c:v>
                </c:pt>
                <c:pt idx="3">
                  <c:v>0.61833333333333329</c:v>
                </c:pt>
                <c:pt idx="4">
                  <c:v>0.53500000000000003</c:v>
                </c:pt>
                <c:pt idx="5">
                  <c:v>0.54666666666666652</c:v>
                </c:pt>
              </c:numCache>
            </c:numRef>
          </c:val>
          <c:extLst>
            <c:ext xmlns:c16="http://schemas.microsoft.com/office/drawing/2014/chart" uri="{C3380CC4-5D6E-409C-BE32-E72D297353CC}">
              <c16:uniqueId val="{00000000-832F-40FF-9F7E-4F3C513D7585}"/>
            </c:ext>
          </c:extLst>
        </c:ser>
        <c:ser>
          <c:idx val="1"/>
          <c:order val="1"/>
          <c:tx>
            <c:strRef>
              <c:f>LC!$G$329</c:f>
              <c:strCache>
                <c:ptCount val="1"/>
                <c:pt idx="0">
                  <c:v>2017</c:v>
                </c:pt>
              </c:strCache>
            </c:strRef>
          </c:tx>
          <c:spPr>
            <a:solidFill>
              <a:schemeClr val="accent2"/>
            </a:solidFill>
            <a:ln>
              <a:noFill/>
            </a:ln>
            <a:effectLst/>
          </c:spPr>
          <c:invertIfNegative val="0"/>
          <c:cat>
            <c:strRef>
              <c:f>LC!$E$331:$E$336</c:f>
              <c:strCache>
                <c:ptCount val="6"/>
                <c:pt idx="0">
                  <c:v>COMUNA 1</c:v>
                </c:pt>
                <c:pt idx="1">
                  <c:v>COMUNA 2</c:v>
                </c:pt>
                <c:pt idx="2">
                  <c:v>COMUNA 3</c:v>
                </c:pt>
                <c:pt idx="3">
                  <c:v>COMUNA 4</c:v>
                </c:pt>
                <c:pt idx="4">
                  <c:v>COMUNA 5</c:v>
                </c:pt>
                <c:pt idx="5">
                  <c:v>COMUNA 6</c:v>
                </c:pt>
              </c:strCache>
            </c:strRef>
          </c:cat>
          <c:val>
            <c:numRef>
              <c:f>LC!$G$331:$G$336</c:f>
              <c:numCache>
                <c:formatCode>0%</c:formatCode>
                <c:ptCount val="6"/>
                <c:pt idx="0">
                  <c:v>0.45249999999999996</c:v>
                </c:pt>
                <c:pt idx="1">
                  <c:v>0.47499999999999998</c:v>
                </c:pt>
                <c:pt idx="2">
                  <c:v>0.46600000000000003</c:v>
                </c:pt>
                <c:pt idx="3">
                  <c:v>0.52166666666666661</c:v>
                </c:pt>
                <c:pt idx="4">
                  <c:v>0.48499999999999999</c:v>
                </c:pt>
                <c:pt idx="5">
                  <c:v>0.49666666666666665</c:v>
                </c:pt>
              </c:numCache>
            </c:numRef>
          </c:val>
          <c:extLst>
            <c:ext xmlns:c16="http://schemas.microsoft.com/office/drawing/2014/chart" uri="{C3380CC4-5D6E-409C-BE32-E72D297353CC}">
              <c16:uniqueId val="{00000001-832F-40FF-9F7E-4F3C513D7585}"/>
            </c:ext>
          </c:extLst>
        </c:ser>
        <c:ser>
          <c:idx val="2"/>
          <c:order val="2"/>
          <c:tx>
            <c:strRef>
              <c:f>LC!$H$329</c:f>
              <c:strCache>
                <c:ptCount val="1"/>
                <c:pt idx="0">
                  <c:v>2018</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LC!$E$331:$E$336</c:f>
              <c:strCache>
                <c:ptCount val="6"/>
                <c:pt idx="0">
                  <c:v>COMUNA 1</c:v>
                </c:pt>
                <c:pt idx="1">
                  <c:v>COMUNA 2</c:v>
                </c:pt>
                <c:pt idx="2">
                  <c:v>COMUNA 3</c:v>
                </c:pt>
                <c:pt idx="3">
                  <c:v>COMUNA 4</c:v>
                </c:pt>
                <c:pt idx="4">
                  <c:v>COMUNA 5</c:v>
                </c:pt>
                <c:pt idx="5">
                  <c:v>COMUNA 6</c:v>
                </c:pt>
              </c:strCache>
            </c:strRef>
          </c:cat>
          <c:val>
            <c:numRef>
              <c:f>LC!$H$331:$H$336</c:f>
              <c:numCache>
                <c:formatCode>0%</c:formatCode>
                <c:ptCount val="6"/>
                <c:pt idx="0">
                  <c:v>0.505</c:v>
                </c:pt>
                <c:pt idx="1">
                  <c:v>0.505</c:v>
                </c:pt>
                <c:pt idx="2">
                  <c:v>0.504</c:v>
                </c:pt>
                <c:pt idx="3">
                  <c:v>0.55333333333333334</c:v>
                </c:pt>
                <c:pt idx="4">
                  <c:v>0.52500000000000002</c:v>
                </c:pt>
                <c:pt idx="5">
                  <c:v>0.51333333333333331</c:v>
                </c:pt>
              </c:numCache>
            </c:numRef>
          </c:val>
          <c:extLst>
            <c:ext xmlns:c16="http://schemas.microsoft.com/office/drawing/2014/chart" uri="{C3380CC4-5D6E-409C-BE32-E72D297353CC}">
              <c16:uniqueId val="{00000002-832F-40FF-9F7E-4F3C513D7585}"/>
            </c:ext>
          </c:extLst>
        </c:ser>
        <c:ser>
          <c:idx val="3"/>
          <c:order val="3"/>
          <c:tx>
            <c:strRef>
              <c:f>LC!$I$329</c:f>
              <c:strCache>
                <c:ptCount val="1"/>
                <c:pt idx="0">
                  <c:v>2019</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LC!$E$331:$E$336</c:f>
              <c:strCache>
                <c:ptCount val="6"/>
                <c:pt idx="0">
                  <c:v>COMUNA 1</c:v>
                </c:pt>
                <c:pt idx="1">
                  <c:v>COMUNA 2</c:v>
                </c:pt>
                <c:pt idx="2">
                  <c:v>COMUNA 3</c:v>
                </c:pt>
                <c:pt idx="3">
                  <c:v>COMUNA 4</c:v>
                </c:pt>
                <c:pt idx="4">
                  <c:v>COMUNA 5</c:v>
                </c:pt>
                <c:pt idx="5">
                  <c:v>COMUNA 6</c:v>
                </c:pt>
              </c:strCache>
            </c:strRef>
          </c:cat>
          <c:val>
            <c:numRef>
              <c:f>LC!$I$331:$I$336</c:f>
              <c:numCache>
                <c:formatCode>0%</c:formatCode>
                <c:ptCount val="6"/>
                <c:pt idx="0">
                  <c:v>0.41500000000000004</c:v>
                </c:pt>
                <c:pt idx="1">
                  <c:v>0.42</c:v>
                </c:pt>
                <c:pt idx="2">
                  <c:v>0.42599999999999999</c:v>
                </c:pt>
                <c:pt idx="3">
                  <c:v>0.47499999999999992</c:v>
                </c:pt>
                <c:pt idx="4">
                  <c:v>0.43</c:v>
                </c:pt>
                <c:pt idx="5">
                  <c:v>0.43</c:v>
                </c:pt>
              </c:numCache>
            </c:numRef>
          </c:val>
          <c:extLst>
            <c:ext xmlns:c16="http://schemas.microsoft.com/office/drawing/2014/chart" uri="{C3380CC4-5D6E-409C-BE32-E72D297353CC}">
              <c16:uniqueId val="{00000003-832F-40FF-9F7E-4F3C513D7585}"/>
            </c:ext>
          </c:extLst>
        </c:ser>
        <c:ser>
          <c:idx val="4"/>
          <c:order val="4"/>
          <c:tx>
            <c:strRef>
              <c:f>LC!$J$329</c:f>
              <c:strCache>
                <c:ptCount val="1"/>
                <c:pt idx="0">
                  <c:v>2020</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LC!$E$331:$E$336</c:f>
              <c:strCache>
                <c:ptCount val="6"/>
                <c:pt idx="0">
                  <c:v>COMUNA 1</c:v>
                </c:pt>
                <c:pt idx="1">
                  <c:v>COMUNA 2</c:v>
                </c:pt>
                <c:pt idx="2">
                  <c:v>COMUNA 3</c:v>
                </c:pt>
                <c:pt idx="3">
                  <c:v>COMUNA 4</c:v>
                </c:pt>
                <c:pt idx="4">
                  <c:v>COMUNA 5</c:v>
                </c:pt>
                <c:pt idx="5">
                  <c:v>COMUNA 6</c:v>
                </c:pt>
              </c:strCache>
            </c:strRef>
          </c:cat>
          <c:val>
            <c:numRef>
              <c:f>LC!$J$331:$J$336</c:f>
              <c:numCache>
                <c:formatCode>0%</c:formatCode>
                <c:ptCount val="6"/>
                <c:pt idx="0">
                  <c:v>0.35499999999999998</c:v>
                </c:pt>
                <c:pt idx="1">
                  <c:v>0.36</c:v>
                </c:pt>
                <c:pt idx="2">
                  <c:v>0.37799999999999995</c:v>
                </c:pt>
                <c:pt idx="3">
                  <c:v>0.4316666666666667</c:v>
                </c:pt>
                <c:pt idx="4">
                  <c:v>0.36499999999999999</c:v>
                </c:pt>
                <c:pt idx="5">
                  <c:v>0.38000000000000006</c:v>
                </c:pt>
              </c:numCache>
            </c:numRef>
          </c:val>
          <c:extLst>
            <c:ext xmlns:c16="http://schemas.microsoft.com/office/drawing/2014/chart" uri="{C3380CC4-5D6E-409C-BE32-E72D297353CC}">
              <c16:uniqueId val="{00000004-832F-40FF-9F7E-4F3C513D7585}"/>
            </c:ext>
          </c:extLst>
        </c:ser>
        <c:ser>
          <c:idx val="5"/>
          <c:order val="5"/>
          <c:tx>
            <c:strRef>
              <c:f>LC!$K$329</c:f>
              <c:strCache>
                <c:ptCount val="1"/>
                <c:pt idx="0">
                  <c:v>2021</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LC!$E$331:$E$336</c:f>
              <c:strCache>
                <c:ptCount val="6"/>
                <c:pt idx="0">
                  <c:v>COMUNA 1</c:v>
                </c:pt>
                <c:pt idx="1">
                  <c:v>COMUNA 2</c:v>
                </c:pt>
                <c:pt idx="2">
                  <c:v>COMUNA 3</c:v>
                </c:pt>
                <c:pt idx="3">
                  <c:v>COMUNA 4</c:v>
                </c:pt>
                <c:pt idx="4">
                  <c:v>COMUNA 5</c:v>
                </c:pt>
                <c:pt idx="5">
                  <c:v>COMUNA 6</c:v>
                </c:pt>
              </c:strCache>
            </c:strRef>
          </c:cat>
          <c:val>
            <c:numRef>
              <c:f>LC!$K$331:$K$336</c:f>
              <c:numCache>
                <c:formatCode>0%</c:formatCode>
                <c:ptCount val="6"/>
                <c:pt idx="0">
                  <c:v>0.54749999999999999</c:v>
                </c:pt>
                <c:pt idx="1">
                  <c:v>0.55000000000000004</c:v>
                </c:pt>
                <c:pt idx="2">
                  <c:v>0.54600000000000004</c:v>
                </c:pt>
                <c:pt idx="3">
                  <c:v>0.59499999999999997</c:v>
                </c:pt>
                <c:pt idx="4">
                  <c:v>0.54500000000000004</c:v>
                </c:pt>
                <c:pt idx="5">
                  <c:v>0.56666666666666676</c:v>
                </c:pt>
              </c:numCache>
            </c:numRef>
          </c:val>
          <c:extLst>
            <c:ext xmlns:c16="http://schemas.microsoft.com/office/drawing/2014/chart" uri="{C3380CC4-5D6E-409C-BE32-E72D297353CC}">
              <c16:uniqueId val="{00000005-832F-40FF-9F7E-4F3C513D7585}"/>
            </c:ext>
          </c:extLst>
        </c:ser>
        <c:dLbls>
          <c:showLegendKey val="0"/>
          <c:showVal val="0"/>
          <c:showCatName val="0"/>
          <c:showSerName val="0"/>
          <c:showPercent val="0"/>
          <c:showBubbleSize val="0"/>
        </c:dLbls>
        <c:gapWidth val="150"/>
        <c:axId val="922625440"/>
        <c:axId val="922145264"/>
      </c:barChart>
      <c:catAx>
        <c:axId val="9226254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922145264"/>
        <c:crossesAt val="0"/>
        <c:auto val="1"/>
        <c:lblAlgn val="ctr"/>
        <c:lblOffset val="100"/>
        <c:noMultiLvlLbl val="0"/>
      </c:catAx>
      <c:valAx>
        <c:axId val="9221452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92262544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a:defRPr sz="1400"/>
            </a:pPr>
            <a:r>
              <a:rPr lang="es-CO" sz="1400"/>
              <a:t>Promedio Puntaje Global Instituciones No Oficiales por Comunas 2016-2023</a:t>
            </a:r>
          </a:p>
        </c:rich>
      </c:tx>
      <c:overlay val="0"/>
    </c:title>
    <c:autoTitleDeleted val="0"/>
    <c:plotArea>
      <c:layout/>
      <c:radarChart>
        <c:radarStyle val="marker"/>
        <c:varyColors val="0"/>
        <c:ser>
          <c:idx val="0"/>
          <c:order val="0"/>
          <c:tx>
            <c:strRef>
              <c:f>PGLOBAL!$W$196</c:f>
              <c:strCache>
                <c:ptCount val="1"/>
                <c:pt idx="0">
                  <c:v>2016</c:v>
                </c:pt>
              </c:strCache>
            </c:strRef>
          </c:tx>
          <c:spPr>
            <a:ln>
              <a:prstDash val="dashDot"/>
            </a:ln>
          </c:spPr>
          <c:cat>
            <c:strRef>
              <c:f>PGLOBAL!$V$198:$V$203</c:f>
              <c:strCache>
                <c:ptCount val="6"/>
                <c:pt idx="0">
                  <c:v>COMUNA 1</c:v>
                </c:pt>
                <c:pt idx="1">
                  <c:v>COMUNA 2</c:v>
                </c:pt>
                <c:pt idx="2">
                  <c:v>COMUNA 3</c:v>
                </c:pt>
                <c:pt idx="3">
                  <c:v>COMUNA 4</c:v>
                </c:pt>
                <c:pt idx="4">
                  <c:v>COMUNA 5</c:v>
                </c:pt>
                <c:pt idx="5">
                  <c:v>COMUNA 6</c:v>
                </c:pt>
              </c:strCache>
            </c:strRef>
          </c:cat>
          <c:val>
            <c:numRef>
              <c:f>PGLOBAL!$W$198:$W$203</c:f>
              <c:numCache>
                <c:formatCode>0</c:formatCode>
                <c:ptCount val="6"/>
                <c:pt idx="0">
                  <c:v>260.46153846153845</c:v>
                </c:pt>
                <c:pt idx="1">
                  <c:v>268.88888888888891</c:v>
                </c:pt>
                <c:pt idx="2">
                  <c:v>271.61538461538464</c:v>
                </c:pt>
                <c:pt idx="3">
                  <c:v>251.625</c:v>
                </c:pt>
                <c:pt idx="4">
                  <c:v>277.73333333333335</c:v>
                </c:pt>
                <c:pt idx="5">
                  <c:v>269.08333333333331</c:v>
                </c:pt>
              </c:numCache>
            </c:numRef>
          </c:val>
          <c:extLst>
            <c:ext xmlns:c16="http://schemas.microsoft.com/office/drawing/2014/chart" uri="{C3380CC4-5D6E-409C-BE32-E72D297353CC}">
              <c16:uniqueId val="{00000000-7315-4922-B741-14218619375B}"/>
            </c:ext>
          </c:extLst>
        </c:ser>
        <c:ser>
          <c:idx val="1"/>
          <c:order val="1"/>
          <c:tx>
            <c:strRef>
              <c:f>PGLOBAL!$X$196</c:f>
              <c:strCache>
                <c:ptCount val="1"/>
                <c:pt idx="0">
                  <c:v>2017</c:v>
                </c:pt>
              </c:strCache>
            </c:strRef>
          </c:tx>
          <c:cat>
            <c:strRef>
              <c:f>PGLOBAL!$V$198:$V$203</c:f>
              <c:strCache>
                <c:ptCount val="6"/>
                <c:pt idx="0">
                  <c:v>COMUNA 1</c:v>
                </c:pt>
                <c:pt idx="1">
                  <c:v>COMUNA 2</c:v>
                </c:pt>
                <c:pt idx="2">
                  <c:v>COMUNA 3</c:v>
                </c:pt>
                <c:pt idx="3">
                  <c:v>COMUNA 4</c:v>
                </c:pt>
                <c:pt idx="4">
                  <c:v>COMUNA 5</c:v>
                </c:pt>
                <c:pt idx="5">
                  <c:v>COMUNA 6</c:v>
                </c:pt>
              </c:strCache>
            </c:strRef>
          </c:cat>
          <c:val>
            <c:numRef>
              <c:f>PGLOBAL!$X$198:$X$203</c:f>
              <c:numCache>
                <c:formatCode>0</c:formatCode>
                <c:ptCount val="6"/>
                <c:pt idx="0">
                  <c:v>259.5</c:v>
                </c:pt>
                <c:pt idx="1">
                  <c:v>266.11764705882354</c:v>
                </c:pt>
                <c:pt idx="2">
                  <c:v>267.57142857142856</c:v>
                </c:pt>
                <c:pt idx="3">
                  <c:v>262.33333333333331</c:v>
                </c:pt>
                <c:pt idx="4">
                  <c:v>277.86666666666667</c:v>
                </c:pt>
                <c:pt idx="5">
                  <c:v>259.33333333333331</c:v>
                </c:pt>
              </c:numCache>
            </c:numRef>
          </c:val>
          <c:extLst>
            <c:ext xmlns:c16="http://schemas.microsoft.com/office/drawing/2014/chart" uri="{C3380CC4-5D6E-409C-BE32-E72D297353CC}">
              <c16:uniqueId val="{00000001-7315-4922-B741-14218619375B}"/>
            </c:ext>
          </c:extLst>
        </c:ser>
        <c:ser>
          <c:idx val="2"/>
          <c:order val="2"/>
          <c:tx>
            <c:strRef>
              <c:f>PGLOBAL!$Y$196</c:f>
              <c:strCache>
                <c:ptCount val="1"/>
                <c:pt idx="0">
                  <c:v>2018</c:v>
                </c:pt>
              </c:strCache>
            </c:strRef>
          </c:tx>
          <c:spPr>
            <a:ln>
              <a:prstDash val="sysDot"/>
            </a:ln>
          </c:spPr>
          <c:cat>
            <c:strRef>
              <c:f>PGLOBAL!$V$198:$V$203</c:f>
              <c:strCache>
                <c:ptCount val="6"/>
                <c:pt idx="0">
                  <c:v>COMUNA 1</c:v>
                </c:pt>
                <c:pt idx="1">
                  <c:v>COMUNA 2</c:v>
                </c:pt>
                <c:pt idx="2">
                  <c:v>COMUNA 3</c:v>
                </c:pt>
                <c:pt idx="3">
                  <c:v>COMUNA 4</c:v>
                </c:pt>
                <c:pt idx="4">
                  <c:v>COMUNA 5</c:v>
                </c:pt>
                <c:pt idx="5">
                  <c:v>COMUNA 6</c:v>
                </c:pt>
              </c:strCache>
            </c:strRef>
          </c:cat>
          <c:val>
            <c:numRef>
              <c:f>PGLOBAL!$Y$198:$Y$203</c:f>
              <c:numCache>
                <c:formatCode>0</c:formatCode>
                <c:ptCount val="6"/>
                <c:pt idx="0">
                  <c:v>257.61538461538464</c:v>
                </c:pt>
                <c:pt idx="1">
                  <c:v>263.52941176470586</c:v>
                </c:pt>
                <c:pt idx="2">
                  <c:v>267.07142857142856</c:v>
                </c:pt>
                <c:pt idx="3">
                  <c:v>261.11111111111109</c:v>
                </c:pt>
                <c:pt idx="4">
                  <c:v>274.0625</c:v>
                </c:pt>
                <c:pt idx="5">
                  <c:v>262.18181818181819</c:v>
                </c:pt>
              </c:numCache>
            </c:numRef>
          </c:val>
          <c:extLst>
            <c:ext xmlns:c16="http://schemas.microsoft.com/office/drawing/2014/chart" uri="{C3380CC4-5D6E-409C-BE32-E72D297353CC}">
              <c16:uniqueId val="{00000002-7315-4922-B741-14218619375B}"/>
            </c:ext>
          </c:extLst>
        </c:ser>
        <c:ser>
          <c:idx val="3"/>
          <c:order val="3"/>
          <c:tx>
            <c:strRef>
              <c:f>PGLOBAL!$Z$196</c:f>
              <c:strCache>
                <c:ptCount val="1"/>
                <c:pt idx="0">
                  <c:v>2019</c:v>
                </c:pt>
              </c:strCache>
            </c:strRef>
          </c:tx>
          <c:cat>
            <c:strRef>
              <c:f>PGLOBAL!$V$198:$V$203</c:f>
              <c:strCache>
                <c:ptCount val="6"/>
                <c:pt idx="0">
                  <c:v>COMUNA 1</c:v>
                </c:pt>
                <c:pt idx="1">
                  <c:v>COMUNA 2</c:v>
                </c:pt>
                <c:pt idx="2">
                  <c:v>COMUNA 3</c:v>
                </c:pt>
                <c:pt idx="3">
                  <c:v>COMUNA 4</c:v>
                </c:pt>
                <c:pt idx="4">
                  <c:v>COMUNA 5</c:v>
                </c:pt>
                <c:pt idx="5">
                  <c:v>COMUNA 6</c:v>
                </c:pt>
              </c:strCache>
            </c:strRef>
          </c:cat>
          <c:val>
            <c:numRef>
              <c:f>PGLOBAL!$Z$198:$Z$203</c:f>
              <c:numCache>
                <c:formatCode>0</c:formatCode>
                <c:ptCount val="6"/>
                <c:pt idx="0">
                  <c:v>252.53846153846155</c:v>
                </c:pt>
                <c:pt idx="1">
                  <c:v>263.66666666666669</c:v>
                </c:pt>
                <c:pt idx="2">
                  <c:v>261.71428571428572</c:v>
                </c:pt>
                <c:pt idx="3">
                  <c:v>254</c:v>
                </c:pt>
                <c:pt idx="4">
                  <c:v>270.1764705882353</c:v>
                </c:pt>
                <c:pt idx="5">
                  <c:v>261.25</c:v>
                </c:pt>
              </c:numCache>
            </c:numRef>
          </c:val>
          <c:extLst>
            <c:ext xmlns:c16="http://schemas.microsoft.com/office/drawing/2014/chart" uri="{C3380CC4-5D6E-409C-BE32-E72D297353CC}">
              <c16:uniqueId val="{00000003-7315-4922-B741-14218619375B}"/>
            </c:ext>
          </c:extLst>
        </c:ser>
        <c:ser>
          <c:idx val="4"/>
          <c:order val="4"/>
          <c:tx>
            <c:strRef>
              <c:f>PGLOBAL!$AA$196</c:f>
              <c:strCache>
                <c:ptCount val="1"/>
                <c:pt idx="0">
                  <c:v>2020</c:v>
                </c:pt>
              </c:strCache>
            </c:strRef>
          </c:tx>
          <c:cat>
            <c:strRef>
              <c:f>PGLOBAL!$V$198:$V$203</c:f>
              <c:strCache>
                <c:ptCount val="6"/>
                <c:pt idx="0">
                  <c:v>COMUNA 1</c:v>
                </c:pt>
                <c:pt idx="1">
                  <c:v>COMUNA 2</c:v>
                </c:pt>
                <c:pt idx="2">
                  <c:v>COMUNA 3</c:v>
                </c:pt>
                <c:pt idx="3">
                  <c:v>COMUNA 4</c:v>
                </c:pt>
                <c:pt idx="4">
                  <c:v>COMUNA 5</c:v>
                </c:pt>
                <c:pt idx="5">
                  <c:v>COMUNA 6</c:v>
                </c:pt>
              </c:strCache>
            </c:strRef>
          </c:cat>
          <c:val>
            <c:numRef>
              <c:f>PGLOBAL!$AA$198:$AA$203</c:f>
              <c:numCache>
                <c:formatCode>0</c:formatCode>
                <c:ptCount val="6"/>
                <c:pt idx="0">
                  <c:v>257.84615384615387</c:v>
                </c:pt>
                <c:pt idx="1">
                  <c:v>259.45454545454544</c:v>
                </c:pt>
                <c:pt idx="2">
                  <c:v>265.46666666666664</c:v>
                </c:pt>
                <c:pt idx="3">
                  <c:v>248.14285714285714</c:v>
                </c:pt>
                <c:pt idx="4">
                  <c:v>274.4375</c:v>
                </c:pt>
                <c:pt idx="5">
                  <c:v>253.28571428571428</c:v>
                </c:pt>
              </c:numCache>
            </c:numRef>
          </c:val>
          <c:extLst>
            <c:ext xmlns:c16="http://schemas.microsoft.com/office/drawing/2014/chart" uri="{C3380CC4-5D6E-409C-BE32-E72D297353CC}">
              <c16:uniqueId val="{00000001-CDE1-4D8A-AC40-BB45AF577C9D}"/>
            </c:ext>
          </c:extLst>
        </c:ser>
        <c:ser>
          <c:idx val="5"/>
          <c:order val="5"/>
          <c:tx>
            <c:strRef>
              <c:f>PGLOBAL!$AB$196</c:f>
              <c:strCache>
                <c:ptCount val="1"/>
                <c:pt idx="0">
                  <c:v>2021</c:v>
                </c:pt>
              </c:strCache>
            </c:strRef>
          </c:tx>
          <c:cat>
            <c:strRef>
              <c:f>PGLOBAL!$V$198:$V$203</c:f>
              <c:strCache>
                <c:ptCount val="6"/>
                <c:pt idx="0">
                  <c:v>COMUNA 1</c:v>
                </c:pt>
                <c:pt idx="1">
                  <c:v>COMUNA 2</c:v>
                </c:pt>
                <c:pt idx="2">
                  <c:v>COMUNA 3</c:v>
                </c:pt>
                <c:pt idx="3">
                  <c:v>COMUNA 4</c:v>
                </c:pt>
                <c:pt idx="4">
                  <c:v>COMUNA 5</c:v>
                </c:pt>
                <c:pt idx="5">
                  <c:v>COMUNA 6</c:v>
                </c:pt>
              </c:strCache>
            </c:strRef>
          </c:cat>
          <c:val>
            <c:numRef>
              <c:f>PGLOBAL!$AB$198:$AB$203</c:f>
              <c:numCache>
                <c:formatCode>0</c:formatCode>
                <c:ptCount val="6"/>
                <c:pt idx="0">
                  <c:v>259.07692307692309</c:v>
                </c:pt>
                <c:pt idx="1">
                  <c:v>258.14999999999998</c:v>
                </c:pt>
                <c:pt idx="2">
                  <c:v>265.33333333333331</c:v>
                </c:pt>
                <c:pt idx="3">
                  <c:v>251.5</c:v>
                </c:pt>
                <c:pt idx="4">
                  <c:v>272.875</c:v>
                </c:pt>
                <c:pt idx="5">
                  <c:v>257.57142857142856</c:v>
                </c:pt>
              </c:numCache>
            </c:numRef>
          </c:val>
          <c:extLst>
            <c:ext xmlns:c16="http://schemas.microsoft.com/office/drawing/2014/chart" uri="{C3380CC4-5D6E-409C-BE32-E72D297353CC}">
              <c16:uniqueId val="{00000001-AD2A-4798-87E0-3AF512D1B880}"/>
            </c:ext>
          </c:extLst>
        </c:ser>
        <c:ser>
          <c:idx val="6"/>
          <c:order val="6"/>
          <c:tx>
            <c:strRef>
              <c:f>PGLOBAL!$AC$196</c:f>
              <c:strCache>
                <c:ptCount val="1"/>
                <c:pt idx="0">
                  <c:v>2022</c:v>
                </c:pt>
              </c:strCache>
            </c:strRef>
          </c:tx>
          <c:cat>
            <c:strRef>
              <c:f>PGLOBAL!$V$198:$V$203</c:f>
              <c:strCache>
                <c:ptCount val="6"/>
                <c:pt idx="0">
                  <c:v>COMUNA 1</c:v>
                </c:pt>
                <c:pt idx="1">
                  <c:v>COMUNA 2</c:v>
                </c:pt>
                <c:pt idx="2">
                  <c:v>COMUNA 3</c:v>
                </c:pt>
                <c:pt idx="3">
                  <c:v>COMUNA 4</c:v>
                </c:pt>
                <c:pt idx="4">
                  <c:v>COMUNA 5</c:v>
                </c:pt>
                <c:pt idx="5">
                  <c:v>COMUNA 6</c:v>
                </c:pt>
              </c:strCache>
            </c:strRef>
          </c:cat>
          <c:val>
            <c:numRef>
              <c:f>PGLOBAL!$AC$198:$AC$203</c:f>
              <c:numCache>
                <c:formatCode>0</c:formatCode>
                <c:ptCount val="6"/>
                <c:pt idx="0">
                  <c:v>261.15384615384613</c:v>
                </c:pt>
                <c:pt idx="1">
                  <c:v>269.28571428571428</c:v>
                </c:pt>
                <c:pt idx="2">
                  <c:v>270.9375</c:v>
                </c:pt>
                <c:pt idx="3">
                  <c:v>258.125</c:v>
                </c:pt>
                <c:pt idx="4">
                  <c:v>278.93333333333334</c:v>
                </c:pt>
                <c:pt idx="5">
                  <c:v>259.6875</c:v>
                </c:pt>
              </c:numCache>
            </c:numRef>
          </c:val>
          <c:extLst>
            <c:ext xmlns:c16="http://schemas.microsoft.com/office/drawing/2014/chart" uri="{C3380CC4-5D6E-409C-BE32-E72D297353CC}">
              <c16:uniqueId val="{00000000-208F-4E90-ACB7-0786FAC81CE8}"/>
            </c:ext>
          </c:extLst>
        </c:ser>
        <c:ser>
          <c:idx val="7"/>
          <c:order val="7"/>
          <c:tx>
            <c:strRef>
              <c:f>PGLOBAL!$AD$196</c:f>
              <c:strCache>
                <c:ptCount val="1"/>
                <c:pt idx="0">
                  <c:v>2023</c:v>
                </c:pt>
              </c:strCache>
            </c:strRef>
          </c:tx>
          <c:cat>
            <c:strRef>
              <c:f>PGLOBAL!$V$198:$V$203</c:f>
              <c:strCache>
                <c:ptCount val="6"/>
                <c:pt idx="0">
                  <c:v>COMUNA 1</c:v>
                </c:pt>
                <c:pt idx="1">
                  <c:v>COMUNA 2</c:v>
                </c:pt>
                <c:pt idx="2">
                  <c:v>COMUNA 3</c:v>
                </c:pt>
                <c:pt idx="3">
                  <c:v>COMUNA 4</c:v>
                </c:pt>
                <c:pt idx="4">
                  <c:v>COMUNA 5</c:v>
                </c:pt>
                <c:pt idx="5">
                  <c:v>COMUNA 6</c:v>
                </c:pt>
              </c:strCache>
            </c:strRef>
          </c:cat>
          <c:val>
            <c:numRef>
              <c:f>PGLOBAL!$AD$198:$AD$203</c:f>
              <c:numCache>
                <c:formatCode>0</c:formatCode>
                <c:ptCount val="6"/>
                <c:pt idx="0">
                  <c:v>265.91666666666669</c:v>
                </c:pt>
                <c:pt idx="1">
                  <c:v>266.77272727272725</c:v>
                </c:pt>
                <c:pt idx="2">
                  <c:v>270.875</c:v>
                </c:pt>
                <c:pt idx="3">
                  <c:v>250.22222222222223</c:v>
                </c:pt>
                <c:pt idx="4">
                  <c:v>281</c:v>
                </c:pt>
                <c:pt idx="5">
                  <c:v>266.94117647058823</c:v>
                </c:pt>
              </c:numCache>
            </c:numRef>
          </c:val>
          <c:extLst>
            <c:ext xmlns:c16="http://schemas.microsoft.com/office/drawing/2014/chart" uri="{C3380CC4-5D6E-409C-BE32-E72D297353CC}">
              <c16:uniqueId val="{00000001-208F-4E90-ACB7-0786FAC81CE8}"/>
            </c:ext>
          </c:extLst>
        </c:ser>
        <c:dLbls>
          <c:showLegendKey val="0"/>
          <c:showVal val="0"/>
          <c:showCatName val="0"/>
          <c:showSerName val="0"/>
          <c:showPercent val="0"/>
          <c:showBubbleSize val="0"/>
        </c:dLbls>
        <c:axId val="100987648"/>
        <c:axId val="100989184"/>
      </c:radarChart>
      <c:catAx>
        <c:axId val="100987648"/>
        <c:scaling>
          <c:orientation val="minMax"/>
        </c:scaling>
        <c:delete val="0"/>
        <c:axPos val="b"/>
        <c:majorGridlines/>
        <c:numFmt formatCode="General" sourceLinked="0"/>
        <c:majorTickMark val="none"/>
        <c:minorTickMark val="none"/>
        <c:tickLblPos val="nextTo"/>
        <c:spPr>
          <a:ln w="9525">
            <a:noFill/>
          </a:ln>
        </c:spPr>
        <c:crossAx val="100989184"/>
        <c:crosses val="autoZero"/>
        <c:auto val="1"/>
        <c:lblAlgn val="ctr"/>
        <c:lblOffset val="100"/>
        <c:noMultiLvlLbl val="0"/>
      </c:catAx>
      <c:valAx>
        <c:axId val="100989184"/>
        <c:scaling>
          <c:orientation val="minMax"/>
          <c:max val="280"/>
          <c:min val="240"/>
        </c:scaling>
        <c:delete val="0"/>
        <c:axPos val="l"/>
        <c:majorGridlines/>
        <c:numFmt formatCode="0" sourceLinked="1"/>
        <c:majorTickMark val="none"/>
        <c:minorTickMark val="none"/>
        <c:tickLblPos val="nextTo"/>
        <c:crossAx val="100987648"/>
        <c:crosses val="autoZero"/>
        <c:crossBetween val="between"/>
      </c:valAx>
    </c:plotArea>
    <c:legend>
      <c:legendPos val="r"/>
      <c:overlay val="0"/>
    </c:legend>
    <c:plotVisOnly val="1"/>
    <c:dispBlanksAs val="gap"/>
    <c:showDLblsOverMax val="0"/>
  </c:chart>
  <c:txPr>
    <a:bodyPr/>
    <a:lstStyle/>
    <a:p>
      <a:pPr>
        <a:defRPr>
          <a:latin typeface="+mn-lt"/>
          <a:cs typeface="Arial" panose="020B0604020202020204" pitchFamily="34" charset="0"/>
        </a:defRPr>
      </a:pPr>
      <a:endParaRPr lang="es-CO"/>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s-CO" sz="1400"/>
              <a:t>Porcentaje de Respuestas Incorrectas </a:t>
            </a:r>
          </a:p>
          <a:p>
            <a:pPr marL="0" marR="0" lvl="0" indent="0" algn="ctr" defTabSz="914400" rtl="0" eaLnBrk="1" fontAlgn="auto" latinLnBrk="0" hangingPunct="1">
              <a:lnSpc>
                <a:spcPct val="100000"/>
              </a:lnSpc>
              <a:spcBef>
                <a:spcPts val="0"/>
              </a:spcBef>
              <a:spcAft>
                <a:spcPts val="0"/>
              </a:spcAft>
              <a:buClrTx/>
              <a:buSzTx/>
              <a:buFontTx/>
              <a:buNone/>
              <a:tabLst/>
              <a:defRPr>
                <a:solidFill>
                  <a:sysClr val="windowText" lastClr="000000">
                    <a:lumMod val="65000"/>
                    <a:lumOff val="35000"/>
                  </a:sysClr>
                </a:solidFill>
              </a:defRPr>
            </a:pPr>
            <a:r>
              <a:rPr lang="es-CO" sz="1400"/>
              <a:t>Instituciones</a:t>
            </a:r>
            <a:r>
              <a:rPr lang="es-CO" sz="1400" baseline="0"/>
              <a:t> Educativas Privadas</a:t>
            </a:r>
          </a:p>
          <a:p>
            <a:pPr marL="0" marR="0" lvl="0" indent="0" algn="ctr" defTabSz="914400" rtl="0" eaLnBrk="1" fontAlgn="auto" latinLnBrk="0" hangingPunct="1">
              <a:lnSpc>
                <a:spcPct val="100000"/>
              </a:lnSpc>
              <a:spcBef>
                <a:spcPts val="0"/>
              </a:spcBef>
              <a:spcAft>
                <a:spcPts val="0"/>
              </a:spcAft>
              <a:buClrTx/>
              <a:buSzTx/>
              <a:buFontTx/>
              <a:buNone/>
              <a:tabLst/>
              <a:defRPr>
                <a:solidFill>
                  <a:sysClr val="windowText" lastClr="000000">
                    <a:lumMod val="65000"/>
                    <a:lumOff val="35000"/>
                  </a:sysClr>
                </a:solidFill>
              </a:defRPr>
            </a:pPr>
            <a:r>
              <a:rPr lang="es-CO" sz="1400" b="0" i="0" baseline="0">
                <a:effectLst/>
              </a:rPr>
              <a:t>Aprendizaje: Comprende </a:t>
            </a:r>
            <a:endParaRPr lang="es-CO" sz="1400">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es-CO"/>
        </a:p>
      </c:txPr>
    </c:title>
    <c:autoTitleDeleted val="0"/>
    <c:plotArea>
      <c:layout/>
      <c:barChart>
        <c:barDir val="col"/>
        <c:grouping val="clustered"/>
        <c:varyColors val="0"/>
        <c:ser>
          <c:idx val="0"/>
          <c:order val="0"/>
          <c:tx>
            <c:strRef>
              <c:f>LC!$F$339</c:f>
              <c:strCache>
                <c:ptCount val="1"/>
                <c:pt idx="0">
                  <c:v>2016</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LC!$E$341:$E$346</c:f>
              <c:strCache>
                <c:ptCount val="6"/>
                <c:pt idx="0">
                  <c:v>COMUNA 1</c:v>
                </c:pt>
                <c:pt idx="1">
                  <c:v>COMUNA 2</c:v>
                </c:pt>
                <c:pt idx="2">
                  <c:v>COMUNA 3</c:v>
                </c:pt>
                <c:pt idx="3">
                  <c:v>COMUNA 4</c:v>
                </c:pt>
                <c:pt idx="4">
                  <c:v>COMUNA 5</c:v>
                </c:pt>
                <c:pt idx="5">
                  <c:v>COMUNA 6</c:v>
                </c:pt>
              </c:strCache>
            </c:strRef>
          </c:cat>
          <c:val>
            <c:numRef>
              <c:f>LC!$F$341:$F$346</c:f>
              <c:numCache>
                <c:formatCode>0%</c:formatCode>
                <c:ptCount val="6"/>
                <c:pt idx="0">
                  <c:v>0.47999999999999987</c:v>
                </c:pt>
                <c:pt idx="1">
                  <c:v>0.45222222222222225</c:v>
                </c:pt>
                <c:pt idx="2">
                  <c:v>0.46384615384615385</c:v>
                </c:pt>
                <c:pt idx="3">
                  <c:v>0.52124999999999999</c:v>
                </c:pt>
                <c:pt idx="4">
                  <c:v>0.43200000000000005</c:v>
                </c:pt>
                <c:pt idx="5">
                  <c:v>0.47250000000000009</c:v>
                </c:pt>
              </c:numCache>
            </c:numRef>
          </c:val>
          <c:extLst>
            <c:ext xmlns:c16="http://schemas.microsoft.com/office/drawing/2014/chart" uri="{C3380CC4-5D6E-409C-BE32-E72D297353CC}">
              <c16:uniqueId val="{00000000-91D3-498B-8D6C-D88AC112D61E}"/>
            </c:ext>
          </c:extLst>
        </c:ser>
        <c:ser>
          <c:idx val="1"/>
          <c:order val="1"/>
          <c:tx>
            <c:strRef>
              <c:f>LC!$G$339</c:f>
              <c:strCache>
                <c:ptCount val="1"/>
                <c:pt idx="0">
                  <c:v>2017</c:v>
                </c:pt>
              </c:strCache>
            </c:strRef>
          </c:tx>
          <c:spPr>
            <a:solidFill>
              <a:schemeClr val="accent2"/>
            </a:solidFill>
            <a:ln>
              <a:noFill/>
            </a:ln>
            <a:effectLst/>
          </c:spPr>
          <c:invertIfNegative val="0"/>
          <c:cat>
            <c:strRef>
              <c:f>LC!$E$341:$E$346</c:f>
              <c:strCache>
                <c:ptCount val="6"/>
                <c:pt idx="0">
                  <c:v>COMUNA 1</c:v>
                </c:pt>
                <c:pt idx="1">
                  <c:v>COMUNA 2</c:v>
                </c:pt>
                <c:pt idx="2">
                  <c:v>COMUNA 3</c:v>
                </c:pt>
                <c:pt idx="3">
                  <c:v>COMUNA 4</c:v>
                </c:pt>
                <c:pt idx="4">
                  <c:v>COMUNA 5</c:v>
                </c:pt>
                <c:pt idx="5">
                  <c:v>COMUNA 6</c:v>
                </c:pt>
              </c:strCache>
            </c:strRef>
          </c:cat>
          <c:val>
            <c:numRef>
              <c:f>LC!$G$341:$G$346</c:f>
              <c:numCache>
                <c:formatCode>0%</c:formatCode>
                <c:ptCount val="6"/>
                <c:pt idx="0">
                  <c:v>0.48833333333333334</c:v>
                </c:pt>
                <c:pt idx="1">
                  <c:v>0.44588235294117651</c:v>
                </c:pt>
                <c:pt idx="2">
                  <c:v>0.44857142857142851</c:v>
                </c:pt>
                <c:pt idx="3">
                  <c:v>0.44375000000000003</c:v>
                </c:pt>
                <c:pt idx="4">
                  <c:v>0.426875</c:v>
                </c:pt>
                <c:pt idx="5">
                  <c:v>0.47333333333333338</c:v>
                </c:pt>
              </c:numCache>
            </c:numRef>
          </c:val>
          <c:extLst>
            <c:ext xmlns:c16="http://schemas.microsoft.com/office/drawing/2014/chart" uri="{C3380CC4-5D6E-409C-BE32-E72D297353CC}">
              <c16:uniqueId val="{00000001-91D3-498B-8D6C-D88AC112D61E}"/>
            </c:ext>
          </c:extLst>
        </c:ser>
        <c:ser>
          <c:idx val="2"/>
          <c:order val="2"/>
          <c:tx>
            <c:strRef>
              <c:f>LC!$H$339</c:f>
              <c:strCache>
                <c:ptCount val="1"/>
                <c:pt idx="0">
                  <c:v>2018</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LC!$E$341:$E$346</c:f>
              <c:strCache>
                <c:ptCount val="6"/>
                <c:pt idx="0">
                  <c:v>COMUNA 1</c:v>
                </c:pt>
                <c:pt idx="1">
                  <c:v>COMUNA 2</c:v>
                </c:pt>
                <c:pt idx="2">
                  <c:v>COMUNA 3</c:v>
                </c:pt>
                <c:pt idx="3">
                  <c:v>COMUNA 4</c:v>
                </c:pt>
                <c:pt idx="4">
                  <c:v>COMUNA 5</c:v>
                </c:pt>
                <c:pt idx="5">
                  <c:v>COMUNA 6</c:v>
                </c:pt>
              </c:strCache>
            </c:strRef>
          </c:cat>
          <c:val>
            <c:numRef>
              <c:f>LC!$H$341:$H$346</c:f>
              <c:numCache>
                <c:formatCode>0%</c:formatCode>
                <c:ptCount val="6"/>
                <c:pt idx="0">
                  <c:v>0.44307692307692303</c:v>
                </c:pt>
                <c:pt idx="1">
                  <c:v>0.41411764705882348</c:v>
                </c:pt>
                <c:pt idx="2">
                  <c:v>0.39785714285714296</c:v>
                </c:pt>
                <c:pt idx="3">
                  <c:v>0.4022222222222222</c:v>
                </c:pt>
                <c:pt idx="4">
                  <c:v>0.38750000000000001</c:v>
                </c:pt>
                <c:pt idx="5">
                  <c:v>0.41727272727272724</c:v>
                </c:pt>
              </c:numCache>
            </c:numRef>
          </c:val>
          <c:extLst>
            <c:ext xmlns:c16="http://schemas.microsoft.com/office/drawing/2014/chart" uri="{C3380CC4-5D6E-409C-BE32-E72D297353CC}">
              <c16:uniqueId val="{00000002-91D3-498B-8D6C-D88AC112D61E}"/>
            </c:ext>
          </c:extLst>
        </c:ser>
        <c:ser>
          <c:idx val="3"/>
          <c:order val="3"/>
          <c:tx>
            <c:strRef>
              <c:f>LC!$I$339</c:f>
              <c:strCache>
                <c:ptCount val="1"/>
                <c:pt idx="0">
                  <c:v>2019</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LC!$E$341:$E$346</c:f>
              <c:strCache>
                <c:ptCount val="6"/>
                <c:pt idx="0">
                  <c:v>COMUNA 1</c:v>
                </c:pt>
                <c:pt idx="1">
                  <c:v>COMUNA 2</c:v>
                </c:pt>
                <c:pt idx="2">
                  <c:v>COMUNA 3</c:v>
                </c:pt>
                <c:pt idx="3">
                  <c:v>COMUNA 4</c:v>
                </c:pt>
                <c:pt idx="4">
                  <c:v>COMUNA 5</c:v>
                </c:pt>
                <c:pt idx="5">
                  <c:v>COMUNA 6</c:v>
                </c:pt>
              </c:strCache>
            </c:strRef>
          </c:cat>
          <c:val>
            <c:numRef>
              <c:f>LC!$I$341:$I$346</c:f>
              <c:numCache>
                <c:formatCode>0%</c:formatCode>
                <c:ptCount val="6"/>
                <c:pt idx="0">
                  <c:v>0.42</c:v>
                </c:pt>
                <c:pt idx="1">
                  <c:v>0.38777777777777783</c:v>
                </c:pt>
                <c:pt idx="2">
                  <c:v>0.39357142857142863</c:v>
                </c:pt>
                <c:pt idx="3">
                  <c:v>0.39999999999999997</c:v>
                </c:pt>
                <c:pt idx="4">
                  <c:v>0.36941176470588233</c:v>
                </c:pt>
                <c:pt idx="5">
                  <c:v>0.40749999999999997</c:v>
                </c:pt>
              </c:numCache>
            </c:numRef>
          </c:val>
          <c:extLst>
            <c:ext xmlns:c16="http://schemas.microsoft.com/office/drawing/2014/chart" uri="{C3380CC4-5D6E-409C-BE32-E72D297353CC}">
              <c16:uniqueId val="{00000003-91D3-498B-8D6C-D88AC112D61E}"/>
            </c:ext>
          </c:extLst>
        </c:ser>
        <c:ser>
          <c:idx val="4"/>
          <c:order val="4"/>
          <c:tx>
            <c:strRef>
              <c:f>LC!$J$339</c:f>
              <c:strCache>
                <c:ptCount val="1"/>
                <c:pt idx="0">
                  <c:v>2020</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LC!$E$341:$E$346</c:f>
              <c:strCache>
                <c:ptCount val="6"/>
                <c:pt idx="0">
                  <c:v>COMUNA 1</c:v>
                </c:pt>
                <c:pt idx="1">
                  <c:v>COMUNA 2</c:v>
                </c:pt>
                <c:pt idx="2">
                  <c:v>COMUNA 3</c:v>
                </c:pt>
                <c:pt idx="3">
                  <c:v>COMUNA 4</c:v>
                </c:pt>
                <c:pt idx="4">
                  <c:v>COMUNA 5</c:v>
                </c:pt>
                <c:pt idx="5">
                  <c:v>COMUNA 6</c:v>
                </c:pt>
              </c:strCache>
            </c:strRef>
          </c:cat>
          <c:val>
            <c:numRef>
              <c:f>LC!$J$341:$J$346</c:f>
              <c:numCache>
                <c:formatCode>0%</c:formatCode>
                <c:ptCount val="6"/>
                <c:pt idx="0">
                  <c:v>0.4646153846153846</c:v>
                </c:pt>
                <c:pt idx="1">
                  <c:v>0.43090909090909091</c:v>
                </c:pt>
                <c:pt idx="2">
                  <c:v>0.4386666666666667</c:v>
                </c:pt>
                <c:pt idx="3">
                  <c:v>0.48857142857142855</c:v>
                </c:pt>
                <c:pt idx="4">
                  <c:v>0.42250000000000004</c:v>
                </c:pt>
                <c:pt idx="5">
                  <c:v>0.48928571428571427</c:v>
                </c:pt>
              </c:numCache>
            </c:numRef>
          </c:val>
          <c:extLst>
            <c:ext xmlns:c16="http://schemas.microsoft.com/office/drawing/2014/chart" uri="{C3380CC4-5D6E-409C-BE32-E72D297353CC}">
              <c16:uniqueId val="{00000004-91D3-498B-8D6C-D88AC112D61E}"/>
            </c:ext>
          </c:extLst>
        </c:ser>
        <c:ser>
          <c:idx val="5"/>
          <c:order val="5"/>
          <c:tx>
            <c:strRef>
              <c:f>LC!$K$339</c:f>
              <c:strCache>
                <c:ptCount val="1"/>
                <c:pt idx="0">
                  <c:v>2021</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LC!$E$341:$E$346</c:f>
              <c:strCache>
                <c:ptCount val="6"/>
                <c:pt idx="0">
                  <c:v>COMUNA 1</c:v>
                </c:pt>
                <c:pt idx="1">
                  <c:v>COMUNA 2</c:v>
                </c:pt>
                <c:pt idx="2">
                  <c:v>COMUNA 3</c:v>
                </c:pt>
                <c:pt idx="3">
                  <c:v>COMUNA 4</c:v>
                </c:pt>
                <c:pt idx="4">
                  <c:v>COMUNA 5</c:v>
                </c:pt>
                <c:pt idx="5">
                  <c:v>COMUNA 6</c:v>
                </c:pt>
              </c:strCache>
            </c:strRef>
          </c:cat>
          <c:val>
            <c:numRef>
              <c:f>LC!$K$341:$K$346</c:f>
              <c:numCache>
                <c:formatCode>0%</c:formatCode>
                <c:ptCount val="6"/>
                <c:pt idx="0">
                  <c:v>0.42692307692307696</c:v>
                </c:pt>
                <c:pt idx="1">
                  <c:v>0.4335</c:v>
                </c:pt>
                <c:pt idx="2">
                  <c:v>0.4</c:v>
                </c:pt>
                <c:pt idx="3">
                  <c:v>0.43875000000000003</c:v>
                </c:pt>
                <c:pt idx="4">
                  <c:v>0.38500000000000001</c:v>
                </c:pt>
                <c:pt idx="5">
                  <c:v>0.44923076923076916</c:v>
                </c:pt>
              </c:numCache>
            </c:numRef>
          </c:val>
          <c:extLst>
            <c:ext xmlns:c16="http://schemas.microsoft.com/office/drawing/2014/chart" uri="{C3380CC4-5D6E-409C-BE32-E72D297353CC}">
              <c16:uniqueId val="{00000005-91D3-498B-8D6C-D88AC112D61E}"/>
            </c:ext>
          </c:extLst>
        </c:ser>
        <c:dLbls>
          <c:showLegendKey val="0"/>
          <c:showVal val="0"/>
          <c:showCatName val="0"/>
          <c:showSerName val="0"/>
          <c:showPercent val="0"/>
          <c:showBubbleSize val="0"/>
        </c:dLbls>
        <c:gapWidth val="150"/>
        <c:axId val="922625440"/>
        <c:axId val="922145264"/>
      </c:barChart>
      <c:catAx>
        <c:axId val="9226254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922145264"/>
        <c:crossesAt val="0"/>
        <c:auto val="1"/>
        <c:lblAlgn val="ctr"/>
        <c:lblOffset val="100"/>
        <c:noMultiLvlLbl val="0"/>
      </c:catAx>
      <c:valAx>
        <c:axId val="9221452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92262544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s-CO" sz="1400"/>
              <a:t>Porcentaje de Respuestas Incorrectas </a:t>
            </a:r>
          </a:p>
          <a:p>
            <a:pPr marL="0" marR="0" lvl="0" indent="0" algn="ctr" defTabSz="914400" rtl="0" eaLnBrk="1" fontAlgn="auto" latinLnBrk="0" hangingPunct="1">
              <a:lnSpc>
                <a:spcPct val="100000"/>
              </a:lnSpc>
              <a:spcBef>
                <a:spcPts val="0"/>
              </a:spcBef>
              <a:spcAft>
                <a:spcPts val="0"/>
              </a:spcAft>
              <a:buClrTx/>
              <a:buSzTx/>
              <a:buFontTx/>
              <a:buNone/>
              <a:tabLst/>
              <a:defRPr>
                <a:solidFill>
                  <a:sysClr val="windowText" lastClr="000000">
                    <a:lumMod val="65000"/>
                    <a:lumOff val="35000"/>
                  </a:sysClr>
                </a:solidFill>
              </a:defRPr>
            </a:pPr>
            <a:r>
              <a:rPr lang="es-CO" sz="1400"/>
              <a:t>Instituciones</a:t>
            </a:r>
            <a:r>
              <a:rPr lang="es-CO" sz="1400" baseline="0"/>
              <a:t> Educativas Privadas</a:t>
            </a:r>
          </a:p>
          <a:p>
            <a:pPr marL="0" marR="0" lvl="0" indent="0" algn="ctr" defTabSz="914400" rtl="0" eaLnBrk="1" fontAlgn="auto" latinLnBrk="0" hangingPunct="1">
              <a:lnSpc>
                <a:spcPct val="100000"/>
              </a:lnSpc>
              <a:spcBef>
                <a:spcPts val="0"/>
              </a:spcBef>
              <a:spcAft>
                <a:spcPts val="0"/>
              </a:spcAft>
              <a:buClrTx/>
              <a:buSzTx/>
              <a:buFontTx/>
              <a:buNone/>
              <a:tabLst/>
              <a:defRPr>
                <a:solidFill>
                  <a:sysClr val="windowText" lastClr="000000">
                    <a:lumMod val="65000"/>
                    <a:lumOff val="35000"/>
                  </a:sysClr>
                </a:solidFill>
              </a:defRPr>
            </a:pPr>
            <a:r>
              <a:rPr lang="es-CO" sz="1400" b="0" i="0" baseline="0">
                <a:effectLst/>
              </a:rPr>
              <a:t>Aprendizaje: Identifica</a:t>
            </a:r>
            <a:endParaRPr lang="es-CO" sz="1400">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es-CO"/>
        </a:p>
      </c:txPr>
    </c:title>
    <c:autoTitleDeleted val="0"/>
    <c:plotArea>
      <c:layout/>
      <c:barChart>
        <c:barDir val="col"/>
        <c:grouping val="clustered"/>
        <c:varyColors val="0"/>
        <c:ser>
          <c:idx val="0"/>
          <c:order val="0"/>
          <c:tx>
            <c:strRef>
              <c:f>LC!$F$349</c:f>
              <c:strCache>
                <c:ptCount val="1"/>
                <c:pt idx="0">
                  <c:v>2016</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LC!$E$351:$E$356</c:f>
              <c:strCache>
                <c:ptCount val="6"/>
                <c:pt idx="0">
                  <c:v>COMUNA 1</c:v>
                </c:pt>
                <c:pt idx="1">
                  <c:v>COMUNA 2</c:v>
                </c:pt>
                <c:pt idx="2">
                  <c:v>COMUNA 3</c:v>
                </c:pt>
                <c:pt idx="3">
                  <c:v>COMUNA 4</c:v>
                </c:pt>
                <c:pt idx="4">
                  <c:v>COMUNA 5</c:v>
                </c:pt>
                <c:pt idx="5">
                  <c:v>COMUNA 6</c:v>
                </c:pt>
              </c:strCache>
            </c:strRef>
          </c:cat>
          <c:val>
            <c:numRef>
              <c:f>LC!$F$351:$F$356</c:f>
              <c:numCache>
                <c:formatCode>0%</c:formatCode>
                <c:ptCount val="6"/>
                <c:pt idx="0">
                  <c:v>0.43461538461538463</c:v>
                </c:pt>
                <c:pt idx="1">
                  <c:v>0.41055555555555551</c:v>
                </c:pt>
                <c:pt idx="2">
                  <c:v>0.37769230769230772</c:v>
                </c:pt>
                <c:pt idx="3">
                  <c:v>0.47125</c:v>
                </c:pt>
                <c:pt idx="4">
                  <c:v>0.40666666666666668</c:v>
                </c:pt>
                <c:pt idx="5">
                  <c:v>0.41749999999999998</c:v>
                </c:pt>
              </c:numCache>
            </c:numRef>
          </c:val>
          <c:extLst>
            <c:ext xmlns:c16="http://schemas.microsoft.com/office/drawing/2014/chart" uri="{C3380CC4-5D6E-409C-BE32-E72D297353CC}">
              <c16:uniqueId val="{00000000-D3CA-43BA-A806-5A32B765971A}"/>
            </c:ext>
          </c:extLst>
        </c:ser>
        <c:ser>
          <c:idx val="1"/>
          <c:order val="1"/>
          <c:tx>
            <c:strRef>
              <c:f>LC!$G$349</c:f>
              <c:strCache>
                <c:ptCount val="1"/>
                <c:pt idx="0">
                  <c:v>2017</c:v>
                </c:pt>
              </c:strCache>
            </c:strRef>
          </c:tx>
          <c:spPr>
            <a:solidFill>
              <a:schemeClr val="accent2"/>
            </a:solidFill>
            <a:ln>
              <a:noFill/>
            </a:ln>
            <a:effectLst/>
          </c:spPr>
          <c:invertIfNegative val="0"/>
          <c:cat>
            <c:strRef>
              <c:f>LC!$E$351:$E$356</c:f>
              <c:strCache>
                <c:ptCount val="6"/>
                <c:pt idx="0">
                  <c:v>COMUNA 1</c:v>
                </c:pt>
                <c:pt idx="1">
                  <c:v>COMUNA 2</c:v>
                </c:pt>
                <c:pt idx="2">
                  <c:v>COMUNA 3</c:v>
                </c:pt>
                <c:pt idx="3">
                  <c:v>COMUNA 4</c:v>
                </c:pt>
                <c:pt idx="4">
                  <c:v>COMUNA 5</c:v>
                </c:pt>
                <c:pt idx="5">
                  <c:v>COMUNA 6</c:v>
                </c:pt>
              </c:strCache>
            </c:strRef>
          </c:cat>
          <c:val>
            <c:numRef>
              <c:f>LC!$G$351:$G$356</c:f>
              <c:numCache>
                <c:formatCode>0%</c:formatCode>
                <c:ptCount val="6"/>
                <c:pt idx="0">
                  <c:v>0.45500000000000007</c:v>
                </c:pt>
                <c:pt idx="1">
                  <c:v>0.40588235294117647</c:v>
                </c:pt>
                <c:pt idx="2">
                  <c:v>0.41785714285714282</c:v>
                </c:pt>
                <c:pt idx="3">
                  <c:v>0.40374999999999994</c:v>
                </c:pt>
                <c:pt idx="4">
                  <c:v>0.36624999999999996</c:v>
                </c:pt>
                <c:pt idx="5">
                  <c:v>0.44083333333333335</c:v>
                </c:pt>
              </c:numCache>
            </c:numRef>
          </c:val>
          <c:extLst>
            <c:ext xmlns:c16="http://schemas.microsoft.com/office/drawing/2014/chart" uri="{C3380CC4-5D6E-409C-BE32-E72D297353CC}">
              <c16:uniqueId val="{00000001-D3CA-43BA-A806-5A32B765971A}"/>
            </c:ext>
          </c:extLst>
        </c:ser>
        <c:ser>
          <c:idx val="2"/>
          <c:order val="2"/>
          <c:tx>
            <c:strRef>
              <c:f>LC!$H$349</c:f>
              <c:strCache>
                <c:ptCount val="1"/>
                <c:pt idx="0">
                  <c:v>2018</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LC!$E$351:$E$356</c:f>
              <c:strCache>
                <c:ptCount val="6"/>
                <c:pt idx="0">
                  <c:v>COMUNA 1</c:v>
                </c:pt>
                <c:pt idx="1">
                  <c:v>COMUNA 2</c:v>
                </c:pt>
                <c:pt idx="2">
                  <c:v>COMUNA 3</c:v>
                </c:pt>
                <c:pt idx="3">
                  <c:v>COMUNA 4</c:v>
                </c:pt>
                <c:pt idx="4">
                  <c:v>COMUNA 5</c:v>
                </c:pt>
                <c:pt idx="5">
                  <c:v>COMUNA 6</c:v>
                </c:pt>
              </c:strCache>
            </c:strRef>
          </c:cat>
          <c:val>
            <c:numRef>
              <c:f>LC!$H$351:$H$356</c:f>
              <c:numCache>
                <c:formatCode>0%</c:formatCode>
                <c:ptCount val="6"/>
                <c:pt idx="0">
                  <c:v>0.47000000000000003</c:v>
                </c:pt>
                <c:pt idx="1">
                  <c:v>0.4629411764705883</c:v>
                </c:pt>
                <c:pt idx="2">
                  <c:v>0.44928571428571429</c:v>
                </c:pt>
                <c:pt idx="3">
                  <c:v>0.46888888888888886</c:v>
                </c:pt>
                <c:pt idx="4">
                  <c:v>0.44874999999999998</c:v>
                </c:pt>
                <c:pt idx="5">
                  <c:v>0.45818181818181808</c:v>
                </c:pt>
              </c:numCache>
            </c:numRef>
          </c:val>
          <c:extLst>
            <c:ext xmlns:c16="http://schemas.microsoft.com/office/drawing/2014/chart" uri="{C3380CC4-5D6E-409C-BE32-E72D297353CC}">
              <c16:uniqueId val="{00000002-D3CA-43BA-A806-5A32B765971A}"/>
            </c:ext>
          </c:extLst>
        </c:ser>
        <c:ser>
          <c:idx val="3"/>
          <c:order val="3"/>
          <c:tx>
            <c:strRef>
              <c:f>LC!$I$349</c:f>
              <c:strCache>
                <c:ptCount val="1"/>
                <c:pt idx="0">
                  <c:v>2019</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LC!$E$351:$E$356</c:f>
              <c:strCache>
                <c:ptCount val="6"/>
                <c:pt idx="0">
                  <c:v>COMUNA 1</c:v>
                </c:pt>
                <c:pt idx="1">
                  <c:v>COMUNA 2</c:v>
                </c:pt>
                <c:pt idx="2">
                  <c:v>COMUNA 3</c:v>
                </c:pt>
                <c:pt idx="3">
                  <c:v>COMUNA 4</c:v>
                </c:pt>
                <c:pt idx="4">
                  <c:v>COMUNA 5</c:v>
                </c:pt>
                <c:pt idx="5">
                  <c:v>COMUNA 6</c:v>
                </c:pt>
              </c:strCache>
            </c:strRef>
          </c:cat>
          <c:val>
            <c:numRef>
              <c:f>LC!$I$351:$I$356</c:f>
              <c:numCache>
                <c:formatCode>0%</c:formatCode>
                <c:ptCount val="6"/>
                <c:pt idx="0">
                  <c:v>0.36692307692307691</c:v>
                </c:pt>
                <c:pt idx="1">
                  <c:v>0.33777777777777779</c:v>
                </c:pt>
                <c:pt idx="2">
                  <c:v>0.33571428571428574</c:v>
                </c:pt>
                <c:pt idx="3">
                  <c:v>0.37124999999999997</c:v>
                </c:pt>
                <c:pt idx="4">
                  <c:v>0.32058823529411767</c:v>
                </c:pt>
                <c:pt idx="5">
                  <c:v>0.35833333333333334</c:v>
                </c:pt>
              </c:numCache>
            </c:numRef>
          </c:val>
          <c:extLst>
            <c:ext xmlns:c16="http://schemas.microsoft.com/office/drawing/2014/chart" uri="{C3380CC4-5D6E-409C-BE32-E72D297353CC}">
              <c16:uniqueId val="{00000003-D3CA-43BA-A806-5A32B765971A}"/>
            </c:ext>
          </c:extLst>
        </c:ser>
        <c:ser>
          <c:idx val="4"/>
          <c:order val="4"/>
          <c:tx>
            <c:strRef>
              <c:f>LC!$J$349</c:f>
              <c:strCache>
                <c:ptCount val="1"/>
                <c:pt idx="0">
                  <c:v>2020</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LC!$E$351:$E$356</c:f>
              <c:strCache>
                <c:ptCount val="6"/>
                <c:pt idx="0">
                  <c:v>COMUNA 1</c:v>
                </c:pt>
                <c:pt idx="1">
                  <c:v>COMUNA 2</c:v>
                </c:pt>
                <c:pt idx="2">
                  <c:v>COMUNA 3</c:v>
                </c:pt>
                <c:pt idx="3">
                  <c:v>COMUNA 4</c:v>
                </c:pt>
                <c:pt idx="4">
                  <c:v>COMUNA 5</c:v>
                </c:pt>
                <c:pt idx="5">
                  <c:v>COMUNA 6</c:v>
                </c:pt>
              </c:strCache>
            </c:strRef>
          </c:cat>
          <c:val>
            <c:numRef>
              <c:f>LC!$J$351:$J$356</c:f>
              <c:numCache>
                <c:formatCode>0%</c:formatCode>
                <c:ptCount val="6"/>
                <c:pt idx="0">
                  <c:v>0.44153846153846155</c:v>
                </c:pt>
                <c:pt idx="1">
                  <c:v>0.41636363636363638</c:v>
                </c:pt>
                <c:pt idx="2">
                  <c:v>0.39466666666666667</c:v>
                </c:pt>
                <c:pt idx="3">
                  <c:v>0.43857142857142856</c:v>
                </c:pt>
                <c:pt idx="4">
                  <c:v>0.38500000000000001</c:v>
                </c:pt>
                <c:pt idx="5">
                  <c:v>0.45357142857142863</c:v>
                </c:pt>
              </c:numCache>
            </c:numRef>
          </c:val>
          <c:extLst>
            <c:ext xmlns:c16="http://schemas.microsoft.com/office/drawing/2014/chart" uri="{C3380CC4-5D6E-409C-BE32-E72D297353CC}">
              <c16:uniqueId val="{00000004-D3CA-43BA-A806-5A32B765971A}"/>
            </c:ext>
          </c:extLst>
        </c:ser>
        <c:ser>
          <c:idx val="5"/>
          <c:order val="5"/>
          <c:tx>
            <c:strRef>
              <c:f>LC!$K$349</c:f>
              <c:strCache>
                <c:ptCount val="1"/>
                <c:pt idx="0">
                  <c:v>2021</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LC!$E$351:$E$356</c:f>
              <c:strCache>
                <c:ptCount val="6"/>
                <c:pt idx="0">
                  <c:v>COMUNA 1</c:v>
                </c:pt>
                <c:pt idx="1">
                  <c:v>COMUNA 2</c:v>
                </c:pt>
                <c:pt idx="2">
                  <c:v>COMUNA 3</c:v>
                </c:pt>
                <c:pt idx="3">
                  <c:v>COMUNA 4</c:v>
                </c:pt>
                <c:pt idx="4">
                  <c:v>COMUNA 5</c:v>
                </c:pt>
                <c:pt idx="5">
                  <c:v>COMUNA 6</c:v>
                </c:pt>
              </c:strCache>
            </c:strRef>
          </c:cat>
          <c:val>
            <c:numRef>
              <c:f>LC!$K$351:$K$356</c:f>
              <c:numCache>
                <c:formatCode>0%</c:formatCode>
                <c:ptCount val="6"/>
                <c:pt idx="0">
                  <c:v>0.31538461538461537</c:v>
                </c:pt>
                <c:pt idx="1">
                  <c:v>0.33399999999999996</c:v>
                </c:pt>
                <c:pt idx="2">
                  <c:v>0.31133333333333335</c:v>
                </c:pt>
                <c:pt idx="3">
                  <c:v>0.35375000000000001</c:v>
                </c:pt>
                <c:pt idx="4">
                  <c:v>0.29624999999999996</c:v>
                </c:pt>
                <c:pt idx="5">
                  <c:v>0.32615384615384618</c:v>
                </c:pt>
              </c:numCache>
            </c:numRef>
          </c:val>
          <c:extLst>
            <c:ext xmlns:c16="http://schemas.microsoft.com/office/drawing/2014/chart" uri="{C3380CC4-5D6E-409C-BE32-E72D297353CC}">
              <c16:uniqueId val="{00000005-D3CA-43BA-A806-5A32B765971A}"/>
            </c:ext>
          </c:extLst>
        </c:ser>
        <c:dLbls>
          <c:showLegendKey val="0"/>
          <c:showVal val="0"/>
          <c:showCatName val="0"/>
          <c:showSerName val="0"/>
          <c:showPercent val="0"/>
          <c:showBubbleSize val="0"/>
        </c:dLbls>
        <c:gapWidth val="150"/>
        <c:axId val="922625440"/>
        <c:axId val="922145264"/>
      </c:barChart>
      <c:catAx>
        <c:axId val="9226254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922145264"/>
        <c:crossesAt val="0"/>
        <c:auto val="1"/>
        <c:lblAlgn val="ctr"/>
        <c:lblOffset val="100"/>
        <c:noMultiLvlLbl val="0"/>
      </c:catAx>
      <c:valAx>
        <c:axId val="9221452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92262544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s-CO" sz="1400"/>
              <a:t>Porcentaje de Respuestas Incorrectas </a:t>
            </a:r>
          </a:p>
          <a:p>
            <a:pPr marL="0" marR="0" lvl="0" indent="0" algn="ctr" defTabSz="914400" rtl="0" eaLnBrk="1" fontAlgn="auto" latinLnBrk="0" hangingPunct="1">
              <a:lnSpc>
                <a:spcPct val="100000"/>
              </a:lnSpc>
              <a:spcBef>
                <a:spcPts val="0"/>
              </a:spcBef>
              <a:spcAft>
                <a:spcPts val="0"/>
              </a:spcAft>
              <a:buClrTx/>
              <a:buSzTx/>
              <a:buFontTx/>
              <a:buNone/>
              <a:tabLst/>
              <a:defRPr>
                <a:solidFill>
                  <a:sysClr val="windowText" lastClr="000000">
                    <a:lumMod val="65000"/>
                    <a:lumOff val="35000"/>
                  </a:sysClr>
                </a:solidFill>
              </a:defRPr>
            </a:pPr>
            <a:r>
              <a:rPr lang="es-CO" sz="1400"/>
              <a:t>Instituciones</a:t>
            </a:r>
            <a:r>
              <a:rPr lang="es-CO" sz="1400" baseline="0"/>
              <a:t> Educativas Privadas</a:t>
            </a:r>
          </a:p>
          <a:p>
            <a:pPr marL="0" marR="0" lvl="0" indent="0" algn="ctr" defTabSz="914400" rtl="0" eaLnBrk="1" fontAlgn="auto" latinLnBrk="0" hangingPunct="1">
              <a:lnSpc>
                <a:spcPct val="100000"/>
              </a:lnSpc>
              <a:spcBef>
                <a:spcPts val="0"/>
              </a:spcBef>
              <a:spcAft>
                <a:spcPts val="0"/>
              </a:spcAft>
              <a:buClrTx/>
              <a:buSzTx/>
              <a:buFontTx/>
              <a:buNone/>
              <a:tabLst/>
              <a:defRPr>
                <a:solidFill>
                  <a:sysClr val="windowText" lastClr="000000">
                    <a:lumMod val="65000"/>
                    <a:lumOff val="35000"/>
                  </a:sysClr>
                </a:solidFill>
              </a:defRPr>
            </a:pPr>
            <a:r>
              <a:rPr lang="es-CO" sz="1400" b="0" i="0" baseline="0">
                <a:effectLst/>
              </a:rPr>
              <a:t>Aprendizaje: Reflexiona</a:t>
            </a:r>
            <a:endParaRPr lang="es-CO" sz="1400">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es-CO"/>
        </a:p>
      </c:txPr>
    </c:title>
    <c:autoTitleDeleted val="0"/>
    <c:plotArea>
      <c:layout/>
      <c:barChart>
        <c:barDir val="col"/>
        <c:grouping val="clustered"/>
        <c:varyColors val="0"/>
        <c:ser>
          <c:idx val="0"/>
          <c:order val="0"/>
          <c:tx>
            <c:strRef>
              <c:f>LC!$F$359</c:f>
              <c:strCache>
                <c:ptCount val="1"/>
                <c:pt idx="0">
                  <c:v>2016</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LC!$E$361:$E$366</c:f>
              <c:strCache>
                <c:ptCount val="6"/>
                <c:pt idx="0">
                  <c:v>COMUNA 1</c:v>
                </c:pt>
                <c:pt idx="1">
                  <c:v>COMUNA 2</c:v>
                </c:pt>
                <c:pt idx="2">
                  <c:v>COMUNA 3</c:v>
                </c:pt>
                <c:pt idx="3">
                  <c:v>COMUNA 4</c:v>
                </c:pt>
                <c:pt idx="4">
                  <c:v>COMUNA 5</c:v>
                </c:pt>
                <c:pt idx="5">
                  <c:v>COMUNA 6</c:v>
                </c:pt>
              </c:strCache>
            </c:strRef>
          </c:cat>
          <c:val>
            <c:numRef>
              <c:f>LC!$F$361:$F$366</c:f>
              <c:numCache>
                <c:formatCode>0%</c:formatCode>
                <c:ptCount val="6"/>
                <c:pt idx="0">
                  <c:v>0.56230769230769218</c:v>
                </c:pt>
                <c:pt idx="1">
                  <c:v>0.50944444444444448</c:v>
                </c:pt>
                <c:pt idx="2">
                  <c:v>0.51153846153846161</c:v>
                </c:pt>
                <c:pt idx="3">
                  <c:v>0.57250000000000001</c:v>
                </c:pt>
                <c:pt idx="4">
                  <c:v>0.53066666666666673</c:v>
                </c:pt>
                <c:pt idx="5">
                  <c:v>0.53333333333333333</c:v>
                </c:pt>
              </c:numCache>
            </c:numRef>
          </c:val>
          <c:extLst>
            <c:ext xmlns:c16="http://schemas.microsoft.com/office/drawing/2014/chart" uri="{C3380CC4-5D6E-409C-BE32-E72D297353CC}">
              <c16:uniqueId val="{00000000-EBBE-4BFB-B2BE-22C68CDF1BFF}"/>
            </c:ext>
          </c:extLst>
        </c:ser>
        <c:ser>
          <c:idx val="1"/>
          <c:order val="1"/>
          <c:tx>
            <c:strRef>
              <c:f>LC!$G$359</c:f>
              <c:strCache>
                <c:ptCount val="1"/>
                <c:pt idx="0">
                  <c:v>2017</c:v>
                </c:pt>
              </c:strCache>
            </c:strRef>
          </c:tx>
          <c:spPr>
            <a:solidFill>
              <a:schemeClr val="accent2"/>
            </a:solidFill>
            <a:ln>
              <a:noFill/>
            </a:ln>
            <a:effectLst/>
          </c:spPr>
          <c:invertIfNegative val="0"/>
          <c:cat>
            <c:strRef>
              <c:f>LC!$E$361:$E$366</c:f>
              <c:strCache>
                <c:ptCount val="6"/>
                <c:pt idx="0">
                  <c:v>COMUNA 1</c:v>
                </c:pt>
                <c:pt idx="1">
                  <c:v>COMUNA 2</c:v>
                </c:pt>
                <c:pt idx="2">
                  <c:v>COMUNA 3</c:v>
                </c:pt>
                <c:pt idx="3">
                  <c:v>COMUNA 4</c:v>
                </c:pt>
                <c:pt idx="4">
                  <c:v>COMUNA 5</c:v>
                </c:pt>
                <c:pt idx="5">
                  <c:v>COMUNA 6</c:v>
                </c:pt>
              </c:strCache>
            </c:strRef>
          </c:cat>
          <c:val>
            <c:numRef>
              <c:f>LC!$G$361:$G$366</c:f>
              <c:numCache>
                <c:formatCode>0%</c:formatCode>
                <c:ptCount val="6"/>
                <c:pt idx="0">
                  <c:v>0.46999999999999992</c:v>
                </c:pt>
                <c:pt idx="1">
                  <c:v>0.43882352941176472</c:v>
                </c:pt>
                <c:pt idx="2">
                  <c:v>0.43928571428571433</c:v>
                </c:pt>
                <c:pt idx="3">
                  <c:v>0.46750000000000003</c:v>
                </c:pt>
                <c:pt idx="4">
                  <c:v>0.42875000000000002</c:v>
                </c:pt>
                <c:pt idx="5">
                  <c:v>0.47166666666666668</c:v>
                </c:pt>
              </c:numCache>
            </c:numRef>
          </c:val>
          <c:extLst>
            <c:ext xmlns:c16="http://schemas.microsoft.com/office/drawing/2014/chart" uri="{C3380CC4-5D6E-409C-BE32-E72D297353CC}">
              <c16:uniqueId val="{00000001-EBBE-4BFB-B2BE-22C68CDF1BFF}"/>
            </c:ext>
          </c:extLst>
        </c:ser>
        <c:ser>
          <c:idx val="2"/>
          <c:order val="2"/>
          <c:tx>
            <c:strRef>
              <c:f>LC!$H$359</c:f>
              <c:strCache>
                <c:ptCount val="1"/>
                <c:pt idx="0">
                  <c:v>2018</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LC!$E$361:$E$366</c:f>
              <c:strCache>
                <c:ptCount val="6"/>
                <c:pt idx="0">
                  <c:v>COMUNA 1</c:v>
                </c:pt>
                <c:pt idx="1">
                  <c:v>COMUNA 2</c:v>
                </c:pt>
                <c:pt idx="2">
                  <c:v>COMUNA 3</c:v>
                </c:pt>
                <c:pt idx="3">
                  <c:v>COMUNA 4</c:v>
                </c:pt>
                <c:pt idx="4">
                  <c:v>COMUNA 5</c:v>
                </c:pt>
                <c:pt idx="5">
                  <c:v>COMUNA 6</c:v>
                </c:pt>
              </c:strCache>
            </c:strRef>
          </c:cat>
          <c:val>
            <c:numRef>
              <c:f>LC!$H$361:$H$366</c:f>
              <c:numCache>
                <c:formatCode>0%</c:formatCode>
                <c:ptCount val="6"/>
                <c:pt idx="0">
                  <c:v>0.49769230769230766</c:v>
                </c:pt>
                <c:pt idx="1">
                  <c:v>0.47764705882352948</c:v>
                </c:pt>
                <c:pt idx="2">
                  <c:v>0.46928571428571431</c:v>
                </c:pt>
                <c:pt idx="3">
                  <c:v>0.4933333333333334</c:v>
                </c:pt>
                <c:pt idx="4">
                  <c:v>0.45687500000000003</c:v>
                </c:pt>
                <c:pt idx="5">
                  <c:v>0.50090909090909086</c:v>
                </c:pt>
              </c:numCache>
            </c:numRef>
          </c:val>
          <c:extLst>
            <c:ext xmlns:c16="http://schemas.microsoft.com/office/drawing/2014/chart" uri="{C3380CC4-5D6E-409C-BE32-E72D297353CC}">
              <c16:uniqueId val="{00000002-EBBE-4BFB-B2BE-22C68CDF1BFF}"/>
            </c:ext>
          </c:extLst>
        </c:ser>
        <c:ser>
          <c:idx val="3"/>
          <c:order val="3"/>
          <c:tx>
            <c:strRef>
              <c:f>LC!$I$359</c:f>
              <c:strCache>
                <c:ptCount val="1"/>
                <c:pt idx="0">
                  <c:v>2019</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LC!$E$361:$E$366</c:f>
              <c:strCache>
                <c:ptCount val="6"/>
                <c:pt idx="0">
                  <c:v>COMUNA 1</c:v>
                </c:pt>
                <c:pt idx="1">
                  <c:v>COMUNA 2</c:v>
                </c:pt>
                <c:pt idx="2">
                  <c:v>COMUNA 3</c:v>
                </c:pt>
                <c:pt idx="3">
                  <c:v>COMUNA 4</c:v>
                </c:pt>
                <c:pt idx="4">
                  <c:v>COMUNA 5</c:v>
                </c:pt>
                <c:pt idx="5">
                  <c:v>COMUNA 6</c:v>
                </c:pt>
              </c:strCache>
            </c:strRef>
          </c:cat>
          <c:val>
            <c:numRef>
              <c:f>LC!$I$361:$I$366</c:f>
              <c:numCache>
                <c:formatCode>0%</c:formatCode>
                <c:ptCount val="6"/>
                <c:pt idx="0">
                  <c:v>0.4284615384615385</c:v>
                </c:pt>
                <c:pt idx="1">
                  <c:v>0.4284615384615385</c:v>
                </c:pt>
                <c:pt idx="2">
                  <c:v>0.4284615384615385</c:v>
                </c:pt>
                <c:pt idx="3">
                  <c:v>0.4284615384615385</c:v>
                </c:pt>
                <c:pt idx="4">
                  <c:v>0.4284615384615385</c:v>
                </c:pt>
                <c:pt idx="5">
                  <c:v>0.4284615384615385</c:v>
                </c:pt>
              </c:numCache>
            </c:numRef>
          </c:val>
          <c:extLst>
            <c:ext xmlns:c16="http://schemas.microsoft.com/office/drawing/2014/chart" uri="{C3380CC4-5D6E-409C-BE32-E72D297353CC}">
              <c16:uniqueId val="{00000003-EBBE-4BFB-B2BE-22C68CDF1BFF}"/>
            </c:ext>
          </c:extLst>
        </c:ser>
        <c:ser>
          <c:idx val="4"/>
          <c:order val="4"/>
          <c:tx>
            <c:strRef>
              <c:f>LC!$J$359</c:f>
              <c:strCache>
                <c:ptCount val="1"/>
                <c:pt idx="0">
                  <c:v>2020</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LC!$E$361:$E$366</c:f>
              <c:strCache>
                <c:ptCount val="6"/>
                <c:pt idx="0">
                  <c:v>COMUNA 1</c:v>
                </c:pt>
                <c:pt idx="1">
                  <c:v>COMUNA 2</c:v>
                </c:pt>
                <c:pt idx="2">
                  <c:v>COMUNA 3</c:v>
                </c:pt>
                <c:pt idx="3">
                  <c:v>COMUNA 4</c:v>
                </c:pt>
                <c:pt idx="4">
                  <c:v>COMUNA 5</c:v>
                </c:pt>
                <c:pt idx="5">
                  <c:v>COMUNA 6</c:v>
                </c:pt>
              </c:strCache>
            </c:strRef>
          </c:cat>
          <c:val>
            <c:numRef>
              <c:f>LC!$J$361:$J$366</c:f>
              <c:numCache>
                <c:formatCode>0%</c:formatCode>
                <c:ptCount val="6"/>
                <c:pt idx="0">
                  <c:v>0.36230769230769233</c:v>
                </c:pt>
                <c:pt idx="1">
                  <c:v>0.36181818181818176</c:v>
                </c:pt>
                <c:pt idx="2">
                  <c:v>0.33466666666666672</c:v>
                </c:pt>
                <c:pt idx="3">
                  <c:v>0.40857142857142853</c:v>
                </c:pt>
                <c:pt idx="4">
                  <c:v>0.29687499999999994</c:v>
                </c:pt>
                <c:pt idx="5">
                  <c:v>0.37857142857142861</c:v>
                </c:pt>
              </c:numCache>
            </c:numRef>
          </c:val>
          <c:extLst>
            <c:ext xmlns:c16="http://schemas.microsoft.com/office/drawing/2014/chart" uri="{C3380CC4-5D6E-409C-BE32-E72D297353CC}">
              <c16:uniqueId val="{00000004-EBBE-4BFB-B2BE-22C68CDF1BFF}"/>
            </c:ext>
          </c:extLst>
        </c:ser>
        <c:ser>
          <c:idx val="5"/>
          <c:order val="5"/>
          <c:tx>
            <c:strRef>
              <c:f>LC!$K$359</c:f>
              <c:strCache>
                <c:ptCount val="1"/>
                <c:pt idx="0">
                  <c:v>2021</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LC!$E$361:$E$366</c:f>
              <c:strCache>
                <c:ptCount val="6"/>
                <c:pt idx="0">
                  <c:v>COMUNA 1</c:v>
                </c:pt>
                <c:pt idx="1">
                  <c:v>COMUNA 2</c:v>
                </c:pt>
                <c:pt idx="2">
                  <c:v>COMUNA 3</c:v>
                </c:pt>
                <c:pt idx="3">
                  <c:v>COMUNA 4</c:v>
                </c:pt>
                <c:pt idx="4">
                  <c:v>COMUNA 5</c:v>
                </c:pt>
                <c:pt idx="5">
                  <c:v>COMUNA 6</c:v>
                </c:pt>
              </c:strCache>
            </c:strRef>
          </c:cat>
          <c:val>
            <c:numRef>
              <c:f>LC!$K$361:$K$366</c:f>
              <c:numCache>
                <c:formatCode>0%</c:formatCode>
                <c:ptCount val="6"/>
                <c:pt idx="0">
                  <c:v>0.53307692307692311</c:v>
                </c:pt>
                <c:pt idx="1">
                  <c:v>0.52500000000000013</c:v>
                </c:pt>
                <c:pt idx="2">
                  <c:v>0.49933333333333341</c:v>
                </c:pt>
                <c:pt idx="3">
                  <c:v>0.54874999999999996</c:v>
                </c:pt>
                <c:pt idx="4">
                  <c:v>0.47687499999999999</c:v>
                </c:pt>
                <c:pt idx="5">
                  <c:v>0.52692307692307683</c:v>
                </c:pt>
              </c:numCache>
            </c:numRef>
          </c:val>
          <c:extLst>
            <c:ext xmlns:c16="http://schemas.microsoft.com/office/drawing/2014/chart" uri="{C3380CC4-5D6E-409C-BE32-E72D297353CC}">
              <c16:uniqueId val="{00000005-EBBE-4BFB-B2BE-22C68CDF1BFF}"/>
            </c:ext>
          </c:extLst>
        </c:ser>
        <c:dLbls>
          <c:showLegendKey val="0"/>
          <c:showVal val="0"/>
          <c:showCatName val="0"/>
          <c:showSerName val="0"/>
          <c:showPercent val="0"/>
          <c:showBubbleSize val="0"/>
        </c:dLbls>
        <c:gapWidth val="150"/>
        <c:axId val="922625440"/>
        <c:axId val="922145264"/>
      </c:barChart>
      <c:catAx>
        <c:axId val="9226254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922145264"/>
        <c:crossesAt val="0"/>
        <c:auto val="1"/>
        <c:lblAlgn val="ctr"/>
        <c:lblOffset val="100"/>
        <c:noMultiLvlLbl val="0"/>
      </c:catAx>
      <c:valAx>
        <c:axId val="9221452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92262544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sz="1400"/>
              <a:t>Resultados</a:t>
            </a:r>
            <a:r>
              <a:rPr lang="es-CO" sz="1400" baseline="0"/>
              <a:t> Matemáticas por comuna 2016-2023</a:t>
            </a:r>
            <a:endParaRPr lang="es-CO" sz="1400" b="1" i="0" u="none" strike="noStrike" baseline="0">
              <a:effectLst/>
            </a:endParaRPr>
          </a:p>
        </c:rich>
      </c:tx>
      <c:layout>
        <c:manualLayout>
          <c:xMode val="edge"/>
          <c:yMode val="edge"/>
          <c:x val="0.2093444064392484"/>
          <c:y val="1.8518396933468566E-2"/>
        </c:manualLayout>
      </c:layout>
      <c:overlay val="0"/>
    </c:title>
    <c:autoTitleDeleted val="0"/>
    <c:plotArea>
      <c:layout/>
      <c:radarChart>
        <c:radarStyle val="marker"/>
        <c:varyColors val="0"/>
        <c:ser>
          <c:idx val="0"/>
          <c:order val="0"/>
          <c:tx>
            <c:strRef>
              <c:f>MATE!$W$173</c:f>
              <c:strCache>
                <c:ptCount val="1"/>
                <c:pt idx="0">
                  <c:v>2016</c:v>
                </c:pt>
              </c:strCache>
            </c:strRef>
          </c:tx>
          <c:spPr>
            <a:ln>
              <a:prstDash val="lgDashDot"/>
            </a:ln>
          </c:spPr>
          <c:cat>
            <c:strRef>
              <c:f>MATE!$V$174:$V$179</c:f>
              <c:strCache>
                <c:ptCount val="6"/>
                <c:pt idx="0">
                  <c:v>COMUNA 1</c:v>
                </c:pt>
                <c:pt idx="1">
                  <c:v>COMUNA 2</c:v>
                </c:pt>
                <c:pt idx="2">
                  <c:v>COMUNA 3</c:v>
                </c:pt>
                <c:pt idx="3">
                  <c:v>COMUNA 4</c:v>
                </c:pt>
                <c:pt idx="4">
                  <c:v>COMUNA 5</c:v>
                </c:pt>
                <c:pt idx="5">
                  <c:v>COMUNA 6</c:v>
                </c:pt>
              </c:strCache>
            </c:strRef>
          </c:cat>
          <c:val>
            <c:numRef>
              <c:f>MATE!$W$174:$W$179</c:f>
              <c:numCache>
                <c:formatCode>0</c:formatCode>
                <c:ptCount val="6"/>
                <c:pt idx="0">
                  <c:v>51.823529411764703</c:v>
                </c:pt>
                <c:pt idx="1">
                  <c:v>52.6</c:v>
                </c:pt>
                <c:pt idx="2">
                  <c:v>53.25</c:v>
                </c:pt>
                <c:pt idx="3">
                  <c:v>48.357142857142854</c:v>
                </c:pt>
                <c:pt idx="4">
                  <c:v>54.470588235294116</c:v>
                </c:pt>
                <c:pt idx="5">
                  <c:v>52.266666666666666</c:v>
                </c:pt>
              </c:numCache>
            </c:numRef>
          </c:val>
          <c:extLst>
            <c:ext xmlns:c16="http://schemas.microsoft.com/office/drawing/2014/chart" uri="{C3380CC4-5D6E-409C-BE32-E72D297353CC}">
              <c16:uniqueId val="{00000000-5DF6-45BB-A5DA-FBDF1A1291BA}"/>
            </c:ext>
          </c:extLst>
        </c:ser>
        <c:ser>
          <c:idx val="1"/>
          <c:order val="1"/>
          <c:tx>
            <c:strRef>
              <c:f>MATE!$X$173</c:f>
              <c:strCache>
                <c:ptCount val="1"/>
                <c:pt idx="0">
                  <c:v>2017</c:v>
                </c:pt>
              </c:strCache>
            </c:strRef>
          </c:tx>
          <c:cat>
            <c:strRef>
              <c:f>MATE!$V$174:$V$179</c:f>
              <c:strCache>
                <c:ptCount val="6"/>
                <c:pt idx="0">
                  <c:v>COMUNA 1</c:v>
                </c:pt>
                <c:pt idx="1">
                  <c:v>COMUNA 2</c:v>
                </c:pt>
                <c:pt idx="2">
                  <c:v>COMUNA 3</c:v>
                </c:pt>
                <c:pt idx="3">
                  <c:v>COMUNA 4</c:v>
                </c:pt>
                <c:pt idx="4">
                  <c:v>COMUNA 5</c:v>
                </c:pt>
                <c:pt idx="5">
                  <c:v>COMUNA 6</c:v>
                </c:pt>
              </c:strCache>
            </c:strRef>
          </c:cat>
          <c:val>
            <c:numRef>
              <c:f>MATE!$X$174:$X$179</c:f>
              <c:numCache>
                <c:formatCode>0</c:formatCode>
                <c:ptCount val="6"/>
                <c:pt idx="0">
                  <c:v>51.625</c:v>
                </c:pt>
                <c:pt idx="1">
                  <c:v>52.157894736842103</c:v>
                </c:pt>
                <c:pt idx="2">
                  <c:v>52.058823529411768</c:v>
                </c:pt>
                <c:pt idx="3">
                  <c:v>49.666666666666664</c:v>
                </c:pt>
                <c:pt idx="4">
                  <c:v>54.705882352941174</c:v>
                </c:pt>
                <c:pt idx="5">
                  <c:v>51</c:v>
                </c:pt>
              </c:numCache>
            </c:numRef>
          </c:val>
          <c:extLst>
            <c:ext xmlns:c16="http://schemas.microsoft.com/office/drawing/2014/chart" uri="{C3380CC4-5D6E-409C-BE32-E72D297353CC}">
              <c16:uniqueId val="{00000001-5DF6-45BB-A5DA-FBDF1A1291BA}"/>
            </c:ext>
          </c:extLst>
        </c:ser>
        <c:ser>
          <c:idx val="2"/>
          <c:order val="2"/>
          <c:tx>
            <c:strRef>
              <c:f>MATE!$Y$173</c:f>
              <c:strCache>
                <c:ptCount val="1"/>
                <c:pt idx="0">
                  <c:v>2018</c:v>
                </c:pt>
              </c:strCache>
            </c:strRef>
          </c:tx>
          <c:spPr>
            <a:ln>
              <a:prstDash val="sysDash"/>
            </a:ln>
          </c:spPr>
          <c:cat>
            <c:strRef>
              <c:f>MATE!$V$174:$V$179</c:f>
              <c:strCache>
                <c:ptCount val="6"/>
                <c:pt idx="0">
                  <c:v>COMUNA 1</c:v>
                </c:pt>
                <c:pt idx="1">
                  <c:v>COMUNA 2</c:v>
                </c:pt>
                <c:pt idx="2">
                  <c:v>COMUNA 3</c:v>
                </c:pt>
                <c:pt idx="3">
                  <c:v>COMUNA 4</c:v>
                </c:pt>
                <c:pt idx="4">
                  <c:v>COMUNA 5</c:v>
                </c:pt>
                <c:pt idx="5">
                  <c:v>COMUNA 6</c:v>
                </c:pt>
              </c:strCache>
            </c:strRef>
          </c:cat>
          <c:val>
            <c:numRef>
              <c:f>MATE!$Y$174:$Y$179</c:f>
              <c:numCache>
                <c:formatCode>0</c:formatCode>
                <c:ptCount val="6"/>
                <c:pt idx="0">
                  <c:v>51.823529411764703</c:v>
                </c:pt>
                <c:pt idx="1">
                  <c:v>52.842105263157897</c:v>
                </c:pt>
                <c:pt idx="2">
                  <c:v>52.823529411764703</c:v>
                </c:pt>
                <c:pt idx="3">
                  <c:v>50.466666666666669</c:v>
                </c:pt>
                <c:pt idx="4">
                  <c:v>54.777777777777779</c:v>
                </c:pt>
                <c:pt idx="5">
                  <c:v>52.142857142857146</c:v>
                </c:pt>
              </c:numCache>
            </c:numRef>
          </c:val>
          <c:extLst>
            <c:ext xmlns:c16="http://schemas.microsoft.com/office/drawing/2014/chart" uri="{C3380CC4-5D6E-409C-BE32-E72D297353CC}">
              <c16:uniqueId val="{00000002-5DF6-45BB-A5DA-FBDF1A1291BA}"/>
            </c:ext>
          </c:extLst>
        </c:ser>
        <c:ser>
          <c:idx val="3"/>
          <c:order val="3"/>
          <c:tx>
            <c:strRef>
              <c:f>MATE!$Z$173</c:f>
              <c:strCache>
                <c:ptCount val="1"/>
                <c:pt idx="0">
                  <c:v>2019</c:v>
                </c:pt>
              </c:strCache>
            </c:strRef>
          </c:tx>
          <c:cat>
            <c:strRef>
              <c:f>MATE!$V$174:$V$179</c:f>
              <c:strCache>
                <c:ptCount val="6"/>
                <c:pt idx="0">
                  <c:v>COMUNA 1</c:v>
                </c:pt>
                <c:pt idx="1">
                  <c:v>COMUNA 2</c:v>
                </c:pt>
                <c:pt idx="2">
                  <c:v>COMUNA 3</c:v>
                </c:pt>
                <c:pt idx="3">
                  <c:v>COMUNA 4</c:v>
                </c:pt>
                <c:pt idx="4">
                  <c:v>COMUNA 5</c:v>
                </c:pt>
                <c:pt idx="5">
                  <c:v>COMUNA 6</c:v>
                </c:pt>
              </c:strCache>
            </c:strRef>
          </c:cat>
          <c:val>
            <c:numRef>
              <c:f>MATE!$Z$174:$Z$179</c:f>
              <c:numCache>
                <c:formatCode>0</c:formatCode>
                <c:ptCount val="6"/>
                <c:pt idx="0">
                  <c:v>52.647058823529413</c:v>
                </c:pt>
                <c:pt idx="1">
                  <c:v>53.75</c:v>
                </c:pt>
                <c:pt idx="2">
                  <c:v>53</c:v>
                </c:pt>
                <c:pt idx="3">
                  <c:v>49.714285714285715</c:v>
                </c:pt>
                <c:pt idx="4">
                  <c:v>55.368421052631582</c:v>
                </c:pt>
                <c:pt idx="5">
                  <c:v>53.6</c:v>
                </c:pt>
              </c:numCache>
            </c:numRef>
          </c:val>
          <c:extLst>
            <c:ext xmlns:c16="http://schemas.microsoft.com/office/drawing/2014/chart" uri="{C3380CC4-5D6E-409C-BE32-E72D297353CC}">
              <c16:uniqueId val="{00000003-5DF6-45BB-A5DA-FBDF1A1291BA}"/>
            </c:ext>
          </c:extLst>
        </c:ser>
        <c:ser>
          <c:idx val="4"/>
          <c:order val="4"/>
          <c:tx>
            <c:strRef>
              <c:f>MATE!$AA$173</c:f>
              <c:strCache>
                <c:ptCount val="1"/>
                <c:pt idx="0">
                  <c:v>2020</c:v>
                </c:pt>
              </c:strCache>
            </c:strRef>
          </c:tx>
          <c:cat>
            <c:strRef>
              <c:f>MATE!$V$174:$V$179</c:f>
              <c:strCache>
                <c:ptCount val="6"/>
                <c:pt idx="0">
                  <c:v>COMUNA 1</c:v>
                </c:pt>
                <c:pt idx="1">
                  <c:v>COMUNA 2</c:v>
                </c:pt>
                <c:pt idx="2">
                  <c:v>COMUNA 3</c:v>
                </c:pt>
                <c:pt idx="3">
                  <c:v>COMUNA 4</c:v>
                </c:pt>
                <c:pt idx="4">
                  <c:v>COMUNA 5</c:v>
                </c:pt>
                <c:pt idx="5">
                  <c:v>COMUNA 6</c:v>
                </c:pt>
              </c:strCache>
            </c:strRef>
          </c:cat>
          <c:val>
            <c:numRef>
              <c:f>MATE!$AA$174:$AA$179</c:f>
              <c:numCache>
                <c:formatCode>0</c:formatCode>
                <c:ptCount val="6"/>
                <c:pt idx="0">
                  <c:v>53.294117647058826</c:v>
                </c:pt>
                <c:pt idx="1">
                  <c:v>52.791666666666664</c:v>
                </c:pt>
                <c:pt idx="2">
                  <c:v>53.94736842105263</c:v>
                </c:pt>
                <c:pt idx="3">
                  <c:v>49.153846153846153</c:v>
                </c:pt>
                <c:pt idx="4">
                  <c:v>55.944444444444443</c:v>
                </c:pt>
                <c:pt idx="5">
                  <c:v>52.117647058823529</c:v>
                </c:pt>
              </c:numCache>
            </c:numRef>
          </c:val>
          <c:extLst>
            <c:ext xmlns:c16="http://schemas.microsoft.com/office/drawing/2014/chart" uri="{C3380CC4-5D6E-409C-BE32-E72D297353CC}">
              <c16:uniqueId val="{00000001-3120-478D-84CE-4137C6336ACB}"/>
            </c:ext>
          </c:extLst>
        </c:ser>
        <c:ser>
          <c:idx val="5"/>
          <c:order val="5"/>
          <c:tx>
            <c:strRef>
              <c:f>MATE!$AB$173</c:f>
              <c:strCache>
                <c:ptCount val="1"/>
                <c:pt idx="0">
                  <c:v>2021</c:v>
                </c:pt>
              </c:strCache>
            </c:strRef>
          </c:tx>
          <c:cat>
            <c:strRef>
              <c:f>MATE!$V$174:$V$179</c:f>
              <c:strCache>
                <c:ptCount val="6"/>
                <c:pt idx="0">
                  <c:v>COMUNA 1</c:v>
                </c:pt>
                <c:pt idx="1">
                  <c:v>COMUNA 2</c:v>
                </c:pt>
                <c:pt idx="2">
                  <c:v>COMUNA 3</c:v>
                </c:pt>
                <c:pt idx="3">
                  <c:v>COMUNA 4</c:v>
                </c:pt>
                <c:pt idx="4">
                  <c:v>COMUNA 5</c:v>
                </c:pt>
                <c:pt idx="5">
                  <c:v>COMUNA 6</c:v>
                </c:pt>
              </c:strCache>
            </c:strRef>
          </c:cat>
          <c:val>
            <c:numRef>
              <c:f>MATE!$AB$174:$AB$179</c:f>
              <c:numCache>
                <c:formatCode>0</c:formatCode>
                <c:ptCount val="6"/>
                <c:pt idx="0">
                  <c:v>52.470588235294116</c:v>
                </c:pt>
                <c:pt idx="1">
                  <c:v>52.18181818181818</c:v>
                </c:pt>
                <c:pt idx="2">
                  <c:v>52.6</c:v>
                </c:pt>
                <c:pt idx="3">
                  <c:v>48.5</c:v>
                </c:pt>
                <c:pt idx="4">
                  <c:v>54.277777777777779</c:v>
                </c:pt>
                <c:pt idx="5">
                  <c:v>51.6875</c:v>
                </c:pt>
              </c:numCache>
            </c:numRef>
          </c:val>
          <c:extLst>
            <c:ext xmlns:c16="http://schemas.microsoft.com/office/drawing/2014/chart" uri="{C3380CC4-5D6E-409C-BE32-E72D297353CC}">
              <c16:uniqueId val="{00000000-ECE0-478A-81C6-64B587B3AED6}"/>
            </c:ext>
          </c:extLst>
        </c:ser>
        <c:ser>
          <c:idx val="6"/>
          <c:order val="6"/>
          <c:tx>
            <c:strRef>
              <c:f>MATE!$AC$173</c:f>
              <c:strCache>
                <c:ptCount val="1"/>
                <c:pt idx="0">
                  <c:v>2022</c:v>
                </c:pt>
              </c:strCache>
            </c:strRef>
          </c:tx>
          <c:cat>
            <c:strRef>
              <c:f>MATE!$V$174:$V$179</c:f>
              <c:strCache>
                <c:ptCount val="6"/>
                <c:pt idx="0">
                  <c:v>COMUNA 1</c:v>
                </c:pt>
                <c:pt idx="1">
                  <c:v>COMUNA 2</c:v>
                </c:pt>
                <c:pt idx="2">
                  <c:v>COMUNA 3</c:v>
                </c:pt>
                <c:pt idx="3">
                  <c:v>COMUNA 4</c:v>
                </c:pt>
                <c:pt idx="4">
                  <c:v>COMUNA 5</c:v>
                </c:pt>
                <c:pt idx="5">
                  <c:v>COMUNA 6</c:v>
                </c:pt>
              </c:strCache>
            </c:strRef>
          </c:cat>
          <c:val>
            <c:numRef>
              <c:f>MATE!$AC$174:$AC$179</c:f>
              <c:numCache>
                <c:formatCode>0</c:formatCode>
                <c:ptCount val="6"/>
                <c:pt idx="0">
                  <c:v>52.444444444444443</c:v>
                </c:pt>
                <c:pt idx="1">
                  <c:v>53.96</c:v>
                </c:pt>
                <c:pt idx="2">
                  <c:v>53.81818181818182</c:v>
                </c:pt>
                <c:pt idx="3">
                  <c:v>50.714285714285715</c:v>
                </c:pt>
                <c:pt idx="4">
                  <c:v>55.882352941176471</c:v>
                </c:pt>
                <c:pt idx="5">
                  <c:v>52.05263157894737</c:v>
                </c:pt>
              </c:numCache>
            </c:numRef>
          </c:val>
          <c:extLst>
            <c:ext xmlns:c16="http://schemas.microsoft.com/office/drawing/2014/chart" uri="{C3380CC4-5D6E-409C-BE32-E72D297353CC}">
              <c16:uniqueId val="{00000000-61B5-40E5-A89E-49F69FFF718B}"/>
            </c:ext>
          </c:extLst>
        </c:ser>
        <c:ser>
          <c:idx val="7"/>
          <c:order val="7"/>
          <c:tx>
            <c:strRef>
              <c:f>MATE!$AD$173</c:f>
              <c:strCache>
                <c:ptCount val="1"/>
                <c:pt idx="0">
                  <c:v>2023</c:v>
                </c:pt>
              </c:strCache>
            </c:strRef>
          </c:tx>
          <c:cat>
            <c:strRef>
              <c:f>MATE!$V$174:$V$179</c:f>
              <c:strCache>
                <c:ptCount val="6"/>
                <c:pt idx="0">
                  <c:v>COMUNA 1</c:v>
                </c:pt>
                <c:pt idx="1">
                  <c:v>COMUNA 2</c:v>
                </c:pt>
                <c:pt idx="2">
                  <c:v>COMUNA 3</c:v>
                </c:pt>
                <c:pt idx="3">
                  <c:v>COMUNA 4</c:v>
                </c:pt>
                <c:pt idx="4">
                  <c:v>COMUNA 5</c:v>
                </c:pt>
                <c:pt idx="5">
                  <c:v>COMUNA 6</c:v>
                </c:pt>
              </c:strCache>
            </c:strRef>
          </c:cat>
          <c:val>
            <c:numRef>
              <c:f>MATE!$AD$174:$AD$179</c:f>
              <c:numCache>
                <c:formatCode>0</c:formatCode>
                <c:ptCount val="6"/>
                <c:pt idx="0">
                  <c:v>53.647058823529413</c:v>
                </c:pt>
                <c:pt idx="1">
                  <c:v>52.807692307692307</c:v>
                </c:pt>
                <c:pt idx="2">
                  <c:v>53.772727272727273</c:v>
                </c:pt>
                <c:pt idx="3">
                  <c:v>49.93333333333333</c:v>
                </c:pt>
                <c:pt idx="4">
                  <c:v>55.823529411764703</c:v>
                </c:pt>
                <c:pt idx="5">
                  <c:v>53.5</c:v>
                </c:pt>
              </c:numCache>
            </c:numRef>
          </c:val>
          <c:extLst>
            <c:ext xmlns:c16="http://schemas.microsoft.com/office/drawing/2014/chart" uri="{C3380CC4-5D6E-409C-BE32-E72D297353CC}">
              <c16:uniqueId val="{00000001-61B5-40E5-A89E-49F69FFF718B}"/>
            </c:ext>
          </c:extLst>
        </c:ser>
        <c:dLbls>
          <c:showLegendKey val="0"/>
          <c:showVal val="0"/>
          <c:showCatName val="0"/>
          <c:showSerName val="0"/>
          <c:showPercent val="0"/>
          <c:showBubbleSize val="0"/>
        </c:dLbls>
        <c:axId val="38794368"/>
        <c:axId val="38795904"/>
      </c:radarChart>
      <c:catAx>
        <c:axId val="38794368"/>
        <c:scaling>
          <c:orientation val="minMax"/>
        </c:scaling>
        <c:delete val="0"/>
        <c:axPos val="b"/>
        <c:majorGridlines/>
        <c:numFmt formatCode="General" sourceLinked="0"/>
        <c:majorTickMark val="none"/>
        <c:minorTickMark val="none"/>
        <c:tickLblPos val="nextTo"/>
        <c:spPr>
          <a:ln w="9525">
            <a:noFill/>
          </a:ln>
        </c:spPr>
        <c:crossAx val="38795904"/>
        <c:crosses val="autoZero"/>
        <c:auto val="1"/>
        <c:lblAlgn val="ctr"/>
        <c:lblOffset val="100"/>
        <c:noMultiLvlLbl val="0"/>
      </c:catAx>
      <c:valAx>
        <c:axId val="38795904"/>
        <c:scaling>
          <c:orientation val="minMax"/>
          <c:max val="58"/>
          <c:min val="46"/>
        </c:scaling>
        <c:delete val="0"/>
        <c:axPos val="l"/>
        <c:majorGridlines/>
        <c:numFmt formatCode="0" sourceLinked="1"/>
        <c:majorTickMark val="none"/>
        <c:minorTickMark val="none"/>
        <c:tickLblPos val="nextTo"/>
        <c:crossAx val="38794368"/>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a:defRPr/>
            </a:pPr>
            <a:r>
              <a:rPr lang="es-CO" sz="1400" b="1" i="0" baseline="0">
                <a:effectLst/>
              </a:rPr>
              <a:t>Resultados Matemáticas Instituciones No Oficiales por comuna 2016-2023</a:t>
            </a:r>
            <a:endParaRPr lang="es-CO" sz="1400">
              <a:effectLst/>
            </a:endParaRPr>
          </a:p>
        </c:rich>
      </c:tx>
      <c:overlay val="0"/>
    </c:title>
    <c:autoTitleDeleted val="0"/>
    <c:plotArea>
      <c:layout>
        <c:manualLayout>
          <c:layoutTarget val="inner"/>
          <c:xMode val="edge"/>
          <c:yMode val="edge"/>
          <c:x val="0.27243612867681161"/>
          <c:y val="0.24300254452926209"/>
          <c:w val="0.35540911659075597"/>
          <c:h val="0.67715957697498552"/>
        </c:manualLayout>
      </c:layout>
      <c:radarChart>
        <c:radarStyle val="marker"/>
        <c:varyColors val="0"/>
        <c:ser>
          <c:idx val="0"/>
          <c:order val="0"/>
          <c:tx>
            <c:strRef>
              <c:f>MATE!$S$196</c:f>
              <c:strCache>
                <c:ptCount val="1"/>
                <c:pt idx="0">
                  <c:v>2016</c:v>
                </c:pt>
              </c:strCache>
            </c:strRef>
          </c:tx>
          <c:spPr>
            <a:ln>
              <a:prstDash val="lgDashDot"/>
            </a:ln>
          </c:spPr>
          <c:cat>
            <c:strRef>
              <c:f>MATE!$R$197:$R$202</c:f>
              <c:strCache>
                <c:ptCount val="6"/>
                <c:pt idx="0">
                  <c:v>COMUNA 1</c:v>
                </c:pt>
                <c:pt idx="1">
                  <c:v>COMUNA 2</c:v>
                </c:pt>
                <c:pt idx="2">
                  <c:v>COMUNA 3</c:v>
                </c:pt>
                <c:pt idx="3">
                  <c:v>COMUNA 4</c:v>
                </c:pt>
                <c:pt idx="4">
                  <c:v>COMUNA 5</c:v>
                </c:pt>
                <c:pt idx="5">
                  <c:v>COMUNA 6</c:v>
                </c:pt>
              </c:strCache>
            </c:strRef>
          </c:cat>
          <c:val>
            <c:numRef>
              <c:f>MATE!$S$197:$S$202</c:f>
              <c:numCache>
                <c:formatCode>0</c:formatCode>
                <c:ptCount val="6"/>
                <c:pt idx="0">
                  <c:v>51.615384615384613</c:v>
                </c:pt>
                <c:pt idx="1">
                  <c:v>52.666666666666664</c:v>
                </c:pt>
                <c:pt idx="2">
                  <c:v>53.769230769230766</c:v>
                </c:pt>
                <c:pt idx="3">
                  <c:v>49.25</c:v>
                </c:pt>
                <c:pt idx="4">
                  <c:v>54.8</c:v>
                </c:pt>
                <c:pt idx="5">
                  <c:v>52.583333333333336</c:v>
                </c:pt>
              </c:numCache>
            </c:numRef>
          </c:val>
          <c:extLst>
            <c:ext xmlns:c16="http://schemas.microsoft.com/office/drawing/2014/chart" uri="{C3380CC4-5D6E-409C-BE32-E72D297353CC}">
              <c16:uniqueId val="{00000000-CA33-4974-9D1D-07D089BBF486}"/>
            </c:ext>
          </c:extLst>
        </c:ser>
        <c:ser>
          <c:idx val="1"/>
          <c:order val="1"/>
          <c:tx>
            <c:strRef>
              <c:f>MATE!$T$196</c:f>
              <c:strCache>
                <c:ptCount val="1"/>
                <c:pt idx="0">
                  <c:v>2017</c:v>
                </c:pt>
              </c:strCache>
            </c:strRef>
          </c:tx>
          <c:cat>
            <c:strRef>
              <c:f>MATE!$R$197:$R$202</c:f>
              <c:strCache>
                <c:ptCount val="6"/>
                <c:pt idx="0">
                  <c:v>COMUNA 1</c:v>
                </c:pt>
                <c:pt idx="1">
                  <c:v>COMUNA 2</c:v>
                </c:pt>
                <c:pt idx="2">
                  <c:v>COMUNA 3</c:v>
                </c:pt>
                <c:pt idx="3">
                  <c:v>COMUNA 4</c:v>
                </c:pt>
                <c:pt idx="4">
                  <c:v>COMUNA 5</c:v>
                </c:pt>
                <c:pt idx="5">
                  <c:v>COMUNA 6</c:v>
                </c:pt>
              </c:strCache>
            </c:strRef>
          </c:cat>
          <c:val>
            <c:numRef>
              <c:f>MATE!$T$197:$T$202</c:f>
              <c:numCache>
                <c:formatCode>0</c:formatCode>
                <c:ptCount val="6"/>
                <c:pt idx="0">
                  <c:v>51.583333333333336</c:v>
                </c:pt>
                <c:pt idx="1">
                  <c:v>52.294117647058826</c:v>
                </c:pt>
                <c:pt idx="2">
                  <c:v>52.5</c:v>
                </c:pt>
                <c:pt idx="3">
                  <c:v>51.111111111111114</c:v>
                </c:pt>
                <c:pt idx="4">
                  <c:v>55.133333333333333</c:v>
                </c:pt>
                <c:pt idx="5">
                  <c:v>50.916666666666664</c:v>
                </c:pt>
              </c:numCache>
            </c:numRef>
          </c:val>
          <c:extLst>
            <c:ext xmlns:c16="http://schemas.microsoft.com/office/drawing/2014/chart" uri="{C3380CC4-5D6E-409C-BE32-E72D297353CC}">
              <c16:uniqueId val="{00000001-CA33-4974-9D1D-07D089BBF486}"/>
            </c:ext>
          </c:extLst>
        </c:ser>
        <c:ser>
          <c:idx val="2"/>
          <c:order val="2"/>
          <c:tx>
            <c:strRef>
              <c:f>MATE!$U$196</c:f>
              <c:strCache>
                <c:ptCount val="1"/>
                <c:pt idx="0">
                  <c:v>2018</c:v>
                </c:pt>
              </c:strCache>
            </c:strRef>
          </c:tx>
          <c:spPr>
            <a:ln>
              <a:prstDash val="sysDash"/>
            </a:ln>
          </c:spPr>
          <c:cat>
            <c:strRef>
              <c:f>MATE!$R$197:$R$202</c:f>
              <c:strCache>
                <c:ptCount val="6"/>
                <c:pt idx="0">
                  <c:v>COMUNA 1</c:v>
                </c:pt>
                <c:pt idx="1">
                  <c:v>COMUNA 2</c:v>
                </c:pt>
                <c:pt idx="2">
                  <c:v>COMUNA 3</c:v>
                </c:pt>
                <c:pt idx="3">
                  <c:v>COMUNA 4</c:v>
                </c:pt>
                <c:pt idx="4">
                  <c:v>COMUNA 5</c:v>
                </c:pt>
                <c:pt idx="5">
                  <c:v>COMUNA 6</c:v>
                </c:pt>
              </c:strCache>
            </c:strRef>
          </c:cat>
          <c:val>
            <c:numRef>
              <c:f>MATE!$U$197:$U$202</c:f>
              <c:numCache>
                <c:formatCode>0</c:formatCode>
                <c:ptCount val="6"/>
                <c:pt idx="0">
                  <c:v>51.846153846153847</c:v>
                </c:pt>
                <c:pt idx="1">
                  <c:v>52.882352941176471</c:v>
                </c:pt>
                <c:pt idx="2">
                  <c:v>53.285714285714285</c:v>
                </c:pt>
                <c:pt idx="3">
                  <c:v>52.666666666666664</c:v>
                </c:pt>
                <c:pt idx="4">
                  <c:v>55.3125</c:v>
                </c:pt>
                <c:pt idx="5">
                  <c:v>52.454545454545453</c:v>
                </c:pt>
              </c:numCache>
            </c:numRef>
          </c:val>
          <c:extLst>
            <c:ext xmlns:c16="http://schemas.microsoft.com/office/drawing/2014/chart" uri="{C3380CC4-5D6E-409C-BE32-E72D297353CC}">
              <c16:uniqueId val="{00000002-CA33-4974-9D1D-07D089BBF486}"/>
            </c:ext>
          </c:extLst>
        </c:ser>
        <c:ser>
          <c:idx val="3"/>
          <c:order val="3"/>
          <c:tx>
            <c:strRef>
              <c:f>MATE!$V$196</c:f>
              <c:strCache>
                <c:ptCount val="1"/>
                <c:pt idx="0">
                  <c:v>2019</c:v>
                </c:pt>
              </c:strCache>
            </c:strRef>
          </c:tx>
          <c:cat>
            <c:strRef>
              <c:f>MATE!$R$197:$R$202</c:f>
              <c:strCache>
                <c:ptCount val="6"/>
                <c:pt idx="0">
                  <c:v>COMUNA 1</c:v>
                </c:pt>
                <c:pt idx="1">
                  <c:v>COMUNA 2</c:v>
                </c:pt>
                <c:pt idx="2">
                  <c:v>COMUNA 3</c:v>
                </c:pt>
                <c:pt idx="3">
                  <c:v>COMUNA 4</c:v>
                </c:pt>
                <c:pt idx="4">
                  <c:v>COMUNA 5</c:v>
                </c:pt>
                <c:pt idx="5">
                  <c:v>COMUNA 6</c:v>
                </c:pt>
              </c:strCache>
            </c:strRef>
          </c:cat>
          <c:val>
            <c:numRef>
              <c:f>MATE!$V$197:$V$202</c:f>
              <c:numCache>
                <c:formatCode>0</c:formatCode>
                <c:ptCount val="6"/>
                <c:pt idx="0">
                  <c:v>52.692307692307693</c:v>
                </c:pt>
                <c:pt idx="1">
                  <c:v>53.944444444444443</c:v>
                </c:pt>
                <c:pt idx="2">
                  <c:v>53.428571428571431</c:v>
                </c:pt>
                <c:pt idx="3">
                  <c:v>51.75</c:v>
                </c:pt>
                <c:pt idx="4">
                  <c:v>55.764705882352942</c:v>
                </c:pt>
                <c:pt idx="5">
                  <c:v>54</c:v>
                </c:pt>
              </c:numCache>
            </c:numRef>
          </c:val>
          <c:extLst>
            <c:ext xmlns:c16="http://schemas.microsoft.com/office/drawing/2014/chart" uri="{C3380CC4-5D6E-409C-BE32-E72D297353CC}">
              <c16:uniqueId val="{00000003-CA33-4974-9D1D-07D089BBF486}"/>
            </c:ext>
          </c:extLst>
        </c:ser>
        <c:ser>
          <c:idx val="4"/>
          <c:order val="4"/>
          <c:tx>
            <c:strRef>
              <c:f>MATE!$W$196</c:f>
              <c:strCache>
                <c:ptCount val="1"/>
                <c:pt idx="0">
                  <c:v>2020</c:v>
                </c:pt>
              </c:strCache>
            </c:strRef>
          </c:tx>
          <c:cat>
            <c:strRef>
              <c:f>MATE!$R$197:$R$202</c:f>
              <c:strCache>
                <c:ptCount val="6"/>
                <c:pt idx="0">
                  <c:v>COMUNA 1</c:v>
                </c:pt>
                <c:pt idx="1">
                  <c:v>COMUNA 2</c:v>
                </c:pt>
                <c:pt idx="2">
                  <c:v>COMUNA 3</c:v>
                </c:pt>
                <c:pt idx="3">
                  <c:v>COMUNA 4</c:v>
                </c:pt>
                <c:pt idx="4">
                  <c:v>COMUNA 5</c:v>
                </c:pt>
                <c:pt idx="5">
                  <c:v>COMUNA 6</c:v>
                </c:pt>
              </c:strCache>
            </c:strRef>
          </c:cat>
          <c:val>
            <c:numRef>
              <c:f>MATE!$W$197:$W$202</c:f>
              <c:numCache>
                <c:formatCode>0</c:formatCode>
                <c:ptCount val="6"/>
                <c:pt idx="0">
                  <c:v>53.53846153846154</c:v>
                </c:pt>
                <c:pt idx="1">
                  <c:v>52.81818181818182</c:v>
                </c:pt>
                <c:pt idx="2">
                  <c:v>54.666666666666664</c:v>
                </c:pt>
                <c:pt idx="3">
                  <c:v>50.714285714285715</c:v>
                </c:pt>
                <c:pt idx="4">
                  <c:v>56.4375</c:v>
                </c:pt>
                <c:pt idx="5">
                  <c:v>52</c:v>
                </c:pt>
              </c:numCache>
            </c:numRef>
          </c:val>
          <c:extLst>
            <c:ext xmlns:c16="http://schemas.microsoft.com/office/drawing/2014/chart" uri="{C3380CC4-5D6E-409C-BE32-E72D297353CC}">
              <c16:uniqueId val="{00000001-D609-4D21-B560-A78242CE52F2}"/>
            </c:ext>
          </c:extLst>
        </c:ser>
        <c:ser>
          <c:idx val="5"/>
          <c:order val="5"/>
          <c:tx>
            <c:strRef>
              <c:f>MATE!$X$196</c:f>
              <c:strCache>
                <c:ptCount val="1"/>
                <c:pt idx="0">
                  <c:v>2021</c:v>
                </c:pt>
              </c:strCache>
            </c:strRef>
          </c:tx>
          <c:cat>
            <c:strRef>
              <c:f>MATE!$R$197:$R$202</c:f>
              <c:strCache>
                <c:ptCount val="6"/>
                <c:pt idx="0">
                  <c:v>COMUNA 1</c:v>
                </c:pt>
                <c:pt idx="1">
                  <c:v>COMUNA 2</c:v>
                </c:pt>
                <c:pt idx="2">
                  <c:v>COMUNA 3</c:v>
                </c:pt>
                <c:pt idx="3">
                  <c:v>COMUNA 4</c:v>
                </c:pt>
                <c:pt idx="4">
                  <c:v>COMUNA 5</c:v>
                </c:pt>
                <c:pt idx="5">
                  <c:v>COMUNA 6</c:v>
                </c:pt>
              </c:strCache>
            </c:strRef>
          </c:cat>
          <c:val>
            <c:numRef>
              <c:f>MATE!$X$197:$X$202</c:f>
              <c:numCache>
                <c:formatCode>0</c:formatCode>
                <c:ptCount val="6"/>
                <c:pt idx="0">
                  <c:v>52.846153846153847</c:v>
                </c:pt>
                <c:pt idx="1">
                  <c:v>52.4</c:v>
                </c:pt>
                <c:pt idx="2">
                  <c:v>53.4</c:v>
                </c:pt>
                <c:pt idx="3">
                  <c:v>49.5</c:v>
                </c:pt>
                <c:pt idx="4">
                  <c:v>54.75</c:v>
                </c:pt>
                <c:pt idx="5">
                  <c:v>51.928571428571431</c:v>
                </c:pt>
              </c:numCache>
            </c:numRef>
          </c:val>
          <c:extLst>
            <c:ext xmlns:c16="http://schemas.microsoft.com/office/drawing/2014/chart" uri="{C3380CC4-5D6E-409C-BE32-E72D297353CC}">
              <c16:uniqueId val="{00000000-8088-4D86-80E0-8504533CAA0D}"/>
            </c:ext>
          </c:extLst>
        </c:ser>
        <c:ser>
          <c:idx val="6"/>
          <c:order val="6"/>
          <c:tx>
            <c:strRef>
              <c:f>MATE!$Y$196</c:f>
              <c:strCache>
                <c:ptCount val="1"/>
                <c:pt idx="0">
                  <c:v>2022</c:v>
                </c:pt>
              </c:strCache>
            </c:strRef>
          </c:tx>
          <c:cat>
            <c:strRef>
              <c:f>MATE!$R$197:$R$202</c:f>
              <c:strCache>
                <c:ptCount val="6"/>
                <c:pt idx="0">
                  <c:v>COMUNA 1</c:v>
                </c:pt>
                <c:pt idx="1">
                  <c:v>COMUNA 2</c:v>
                </c:pt>
                <c:pt idx="2">
                  <c:v>COMUNA 3</c:v>
                </c:pt>
                <c:pt idx="3">
                  <c:v>COMUNA 4</c:v>
                </c:pt>
                <c:pt idx="4">
                  <c:v>COMUNA 5</c:v>
                </c:pt>
                <c:pt idx="5">
                  <c:v>COMUNA 6</c:v>
                </c:pt>
              </c:strCache>
            </c:strRef>
          </c:cat>
          <c:val>
            <c:numRef>
              <c:f>MATE!$Y$197:$Y$202</c:f>
              <c:numCache>
                <c:formatCode>0</c:formatCode>
                <c:ptCount val="6"/>
                <c:pt idx="0">
                  <c:v>53</c:v>
                </c:pt>
                <c:pt idx="1">
                  <c:v>54.571428571428569</c:v>
                </c:pt>
                <c:pt idx="2">
                  <c:v>54.375</c:v>
                </c:pt>
                <c:pt idx="3">
                  <c:v>52.5</c:v>
                </c:pt>
                <c:pt idx="4">
                  <c:v>56.333333333333336</c:v>
                </c:pt>
                <c:pt idx="5">
                  <c:v>52.1875</c:v>
                </c:pt>
              </c:numCache>
            </c:numRef>
          </c:val>
          <c:extLst>
            <c:ext xmlns:c16="http://schemas.microsoft.com/office/drawing/2014/chart" uri="{C3380CC4-5D6E-409C-BE32-E72D297353CC}">
              <c16:uniqueId val="{00000000-7298-4DAE-9557-2A2D41D1F52C}"/>
            </c:ext>
          </c:extLst>
        </c:ser>
        <c:ser>
          <c:idx val="7"/>
          <c:order val="7"/>
          <c:tx>
            <c:strRef>
              <c:f>MATE!$Z$196</c:f>
              <c:strCache>
                <c:ptCount val="1"/>
                <c:pt idx="0">
                  <c:v>2023</c:v>
                </c:pt>
              </c:strCache>
            </c:strRef>
          </c:tx>
          <c:cat>
            <c:strRef>
              <c:f>MATE!$R$197:$R$202</c:f>
              <c:strCache>
                <c:ptCount val="6"/>
                <c:pt idx="0">
                  <c:v>COMUNA 1</c:v>
                </c:pt>
                <c:pt idx="1">
                  <c:v>COMUNA 2</c:v>
                </c:pt>
                <c:pt idx="2">
                  <c:v>COMUNA 3</c:v>
                </c:pt>
                <c:pt idx="3">
                  <c:v>COMUNA 4</c:v>
                </c:pt>
                <c:pt idx="4">
                  <c:v>COMUNA 5</c:v>
                </c:pt>
                <c:pt idx="5">
                  <c:v>COMUNA 6</c:v>
                </c:pt>
              </c:strCache>
            </c:strRef>
          </c:cat>
          <c:val>
            <c:numRef>
              <c:f>MATE!$Z$197:$Z$202</c:f>
              <c:numCache>
                <c:formatCode>0</c:formatCode>
                <c:ptCount val="6"/>
                <c:pt idx="0">
                  <c:v>54.25</c:v>
                </c:pt>
                <c:pt idx="1">
                  <c:v>53.045454545454547</c:v>
                </c:pt>
                <c:pt idx="2">
                  <c:v>54.6875</c:v>
                </c:pt>
                <c:pt idx="3">
                  <c:v>51</c:v>
                </c:pt>
                <c:pt idx="4">
                  <c:v>56.4</c:v>
                </c:pt>
                <c:pt idx="5">
                  <c:v>53.941176470588232</c:v>
                </c:pt>
              </c:numCache>
            </c:numRef>
          </c:val>
          <c:extLst>
            <c:ext xmlns:c16="http://schemas.microsoft.com/office/drawing/2014/chart" uri="{C3380CC4-5D6E-409C-BE32-E72D297353CC}">
              <c16:uniqueId val="{00000001-7298-4DAE-9557-2A2D41D1F52C}"/>
            </c:ext>
          </c:extLst>
        </c:ser>
        <c:dLbls>
          <c:showLegendKey val="0"/>
          <c:showVal val="0"/>
          <c:showCatName val="0"/>
          <c:showSerName val="0"/>
          <c:showPercent val="0"/>
          <c:showBubbleSize val="0"/>
        </c:dLbls>
        <c:axId val="39072896"/>
        <c:axId val="39074432"/>
      </c:radarChart>
      <c:catAx>
        <c:axId val="39072896"/>
        <c:scaling>
          <c:orientation val="minMax"/>
        </c:scaling>
        <c:delete val="0"/>
        <c:axPos val="b"/>
        <c:majorGridlines/>
        <c:numFmt formatCode="General" sourceLinked="0"/>
        <c:majorTickMark val="none"/>
        <c:minorTickMark val="none"/>
        <c:tickLblPos val="nextTo"/>
        <c:spPr>
          <a:ln w="9525">
            <a:noFill/>
          </a:ln>
        </c:spPr>
        <c:crossAx val="39074432"/>
        <c:crosses val="autoZero"/>
        <c:auto val="1"/>
        <c:lblAlgn val="ctr"/>
        <c:lblOffset val="100"/>
        <c:noMultiLvlLbl val="0"/>
      </c:catAx>
      <c:valAx>
        <c:axId val="39074432"/>
        <c:scaling>
          <c:orientation val="minMax"/>
          <c:max val="56"/>
          <c:min val="48"/>
        </c:scaling>
        <c:delete val="0"/>
        <c:axPos val="l"/>
        <c:majorGridlines/>
        <c:numFmt formatCode="0" sourceLinked="1"/>
        <c:majorTickMark val="none"/>
        <c:minorTickMark val="none"/>
        <c:tickLblPos val="nextTo"/>
        <c:crossAx val="39072896"/>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a:defRPr/>
            </a:pPr>
            <a:r>
              <a:rPr lang="es-CO" sz="1400" b="1" i="0" baseline="0">
                <a:effectLst/>
              </a:rPr>
              <a:t>Resultados Matemáticas Instituciones Oficiales por comuna 2016-2023</a:t>
            </a:r>
            <a:endParaRPr lang="es-CO" sz="1400">
              <a:effectLst/>
            </a:endParaRPr>
          </a:p>
        </c:rich>
      </c:tx>
      <c:overlay val="0"/>
    </c:title>
    <c:autoTitleDeleted val="0"/>
    <c:plotArea>
      <c:layout/>
      <c:radarChart>
        <c:radarStyle val="marker"/>
        <c:varyColors val="0"/>
        <c:ser>
          <c:idx val="0"/>
          <c:order val="0"/>
          <c:tx>
            <c:strRef>
              <c:f>MATE!$F$196</c:f>
              <c:strCache>
                <c:ptCount val="1"/>
                <c:pt idx="0">
                  <c:v>2016</c:v>
                </c:pt>
              </c:strCache>
            </c:strRef>
          </c:tx>
          <c:cat>
            <c:strRef>
              <c:f>MATE!$E$197:$E$202</c:f>
              <c:strCache>
                <c:ptCount val="6"/>
                <c:pt idx="0">
                  <c:v>COMUNA 1</c:v>
                </c:pt>
                <c:pt idx="1">
                  <c:v>COMUNA 2</c:v>
                </c:pt>
                <c:pt idx="2">
                  <c:v>COMUNA 3</c:v>
                </c:pt>
                <c:pt idx="3">
                  <c:v>COMUNA 4</c:v>
                </c:pt>
                <c:pt idx="4">
                  <c:v>COMUNA 5</c:v>
                </c:pt>
                <c:pt idx="5">
                  <c:v>COMUNA 6</c:v>
                </c:pt>
              </c:strCache>
            </c:strRef>
          </c:cat>
          <c:val>
            <c:numRef>
              <c:f>MATE!$F$197:$F$202</c:f>
              <c:numCache>
                <c:formatCode>0</c:formatCode>
                <c:ptCount val="6"/>
                <c:pt idx="0">
                  <c:v>52.5</c:v>
                </c:pt>
                <c:pt idx="1">
                  <c:v>52</c:v>
                </c:pt>
                <c:pt idx="2">
                  <c:v>51</c:v>
                </c:pt>
                <c:pt idx="3">
                  <c:v>47.166666666666664</c:v>
                </c:pt>
                <c:pt idx="4">
                  <c:v>52</c:v>
                </c:pt>
                <c:pt idx="5">
                  <c:v>51</c:v>
                </c:pt>
              </c:numCache>
            </c:numRef>
          </c:val>
          <c:extLst>
            <c:ext xmlns:c16="http://schemas.microsoft.com/office/drawing/2014/chart" uri="{C3380CC4-5D6E-409C-BE32-E72D297353CC}">
              <c16:uniqueId val="{00000000-30C3-4D08-9602-23EC1A0CE5E1}"/>
            </c:ext>
          </c:extLst>
        </c:ser>
        <c:ser>
          <c:idx val="1"/>
          <c:order val="1"/>
          <c:tx>
            <c:strRef>
              <c:f>MATE!$G$196</c:f>
              <c:strCache>
                <c:ptCount val="1"/>
                <c:pt idx="0">
                  <c:v>2017</c:v>
                </c:pt>
              </c:strCache>
            </c:strRef>
          </c:tx>
          <c:cat>
            <c:strRef>
              <c:f>MATE!$E$197:$E$202</c:f>
              <c:strCache>
                <c:ptCount val="6"/>
                <c:pt idx="0">
                  <c:v>COMUNA 1</c:v>
                </c:pt>
                <c:pt idx="1">
                  <c:v>COMUNA 2</c:v>
                </c:pt>
                <c:pt idx="2">
                  <c:v>COMUNA 3</c:v>
                </c:pt>
                <c:pt idx="3">
                  <c:v>COMUNA 4</c:v>
                </c:pt>
                <c:pt idx="4">
                  <c:v>COMUNA 5</c:v>
                </c:pt>
                <c:pt idx="5">
                  <c:v>COMUNA 6</c:v>
                </c:pt>
              </c:strCache>
            </c:strRef>
          </c:cat>
          <c:val>
            <c:numRef>
              <c:f>MATE!$G$197:$G$202</c:f>
              <c:numCache>
                <c:formatCode>0</c:formatCode>
                <c:ptCount val="6"/>
                <c:pt idx="0">
                  <c:v>51.75</c:v>
                </c:pt>
                <c:pt idx="1">
                  <c:v>51</c:v>
                </c:pt>
                <c:pt idx="2">
                  <c:v>50</c:v>
                </c:pt>
                <c:pt idx="3">
                  <c:v>47.5</c:v>
                </c:pt>
                <c:pt idx="4">
                  <c:v>51.5</c:v>
                </c:pt>
                <c:pt idx="5">
                  <c:v>51.333333333333336</c:v>
                </c:pt>
              </c:numCache>
            </c:numRef>
          </c:val>
          <c:extLst>
            <c:ext xmlns:c16="http://schemas.microsoft.com/office/drawing/2014/chart" uri="{C3380CC4-5D6E-409C-BE32-E72D297353CC}">
              <c16:uniqueId val="{00000001-30C3-4D08-9602-23EC1A0CE5E1}"/>
            </c:ext>
          </c:extLst>
        </c:ser>
        <c:ser>
          <c:idx val="2"/>
          <c:order val="2"/>
          <c:tx>
            <c:strRef>
              <c:f>MATE!$H$196</c:f>
              <c:strCache>
                <c:ptCount val="1"/>
                <c:pt idx="0">
                  <c:v>2018</c:v>
                </c:pt>
              </c:strCache>
            </c:strRef>
          </c:tx>
          <c:spPr>
            <a:ln>
              <a:prstDash val="sysDash"/>
            </a:ln>
          </c:spPr>
          <c:cat>
            <c:strRef>
              <c:f>MATE!$E$197:$E$202</c:f>
              <c:strCache>
                <c:ptCount val="6"/>
                <c:pt idx="0">
                  <c:v>COMUNA 1</c:v>
                </c:pt>
                <c:pt idx="1">
                  <c:v>COMUNA 2</c:v>
                </c:pt>
                <c:pt idx="2">
                  <c:v>COMUNA 3</c:v>
                </c:pt>
                <c:pt idx="3">
                  <c:v>COMUNA 4</c:v>
                </c:pt>
                <c:pt idx="4">
                  <c:v>COMUNA 5</c:v>
                </c:pt>
                <c:pt idx="5">
                  <c:v>COMUNA 6</c:v>
                </c:pt>
              </c:strCache>
            </c:strRef>
          </c:cat>
          <c:val>
            <c:numRef>
              <c:f>MATE!$H$197:$H$202</c:f>
              <c:numCache>
                <c:formatCode>0</c:formatCode>
                <c:ptCount val="6"/>
                <c:pt idx="0">
                  <c:v>51.75</c:v>
                </c:pt>
                <c:pt idx="1">
                  <c:v>52.5</c:v>
                </c:pt>
                <c:pt idx="2">
                  <c:v>50.666666666666664</c:v>
                </c:pt>
                <c:pt idx="3">
                  <c:v>47.166666666666664</c:v>
                </c:pt>
                <c:pt idx="4">
                  <c:v>50.5</c:v>
                </c:pt>
                <c:pt idx="5">
                  <c:v>51</c:v>
                </c:pt>
              </c:numCache>
            </c:numRef>
          </c:val>
          <c:extLst>
            <c:ext xmlns:c16="http://schemas.microsoft.com/office/drawing/2014/chart" uri="{C3380CC4-5D6E-409C-BE32-E72D297353CC}">
              <c16:uniqueId val="{00000002-30C3-4D08-9602-23EC1A0CE5E1}"/>
            </c:ext>
          </c:extLst>
        </c:ser>
        <c:ser>
          <c:idx val="3"/>
          <c:order val="3"/>
          <c:tx>
            <c:strRef>
              <c:f>MATE!$I$196</c:f>
              <c:strCache>
                <c:ptCount val="1"/>
                <c:pt idx="0">
                  <c:v>2019</c:v>
                </c:pt>
              </c:strCache>
            </c:strRef>
          </c:tx>
          <c:cat>
            <c:strRef>
              <c:f>MATE!$E$197:$E$202</c:f>
              <c:strCache>
                <c:ptCount val="6"/>
                <c:pt idx="0">
                  <c:v>COMUNA 1</c:v>
                </c:pt>
                <c:pt idx="1">
                  <c:v>COMUNA 2</c:v>
                </c:pt>
                <c:pt idx="2">
                  <c:v>COMUNA 3</c:v>
                </c:pt>
                <c:pt idx="3">
                  <c:v>COMUNA 4</c:v>
                </c:pt>
                <c:pt idx="4">
                  <c:v>COMUNA 5</c:v>
                </c:pt>
                <c:pt idx="5">
                  <c:v>COMUNA 6</c:v>
                </c:pt>
              </c:strCache>
            </c:strRef>
          </c:cat>
          <c:val>
            <c:numRef>
              <c:f>MATE!$I$197:$I$202</c:f>
              <c:numCache>
                <c:formatCode>0</c:formatCode>
                <c:ptCount val="6"/>
                <c:pt idx="0">
                  <c:v>52.5</c:v>
                </c:pt>
                <c:pt idx="1">
                  <c:v>52</c:v>
                </c:pt>
                <c:pt idx="2">
                  <c:v>51</c:v>
                </c:pt>
                <c:pt idx="3">
                  <c:v>47</c:v>
                </c:pt>
                <c:pt idx="4">
                  <c:v>52</c:v>
                </c:pt>
                <c:pt idx="5">
                  <c:v>52</c:v>
                </c:pt>
              </c:numCache>
            </c:numRef>
          </c:val>
          <c:extLst>
            <c:ext xmlns:c16="http://schemas.microsoft.com/office/drawing/2014/chart" uri="{C3380CC4-5D6E-409C-BE32-E72D297353CC}">
              <c16:uniqueId val="{00000003-30C3-4D08-9602-23EC1A0CE5E1}"/>
            </c:ext>
          </c:extLst>
        </c:ser>
        <c:ser>
          <c:idx val="4"/>
          <c:order val="4"/>
          <c:tx>
            <c:strRef>
              <c:f>MATE!$J$196</c:f>
              <c:strCache>
                <c:ptCount val="1"/>
                <c:pt idx="0">
                  <c:v>2020</c:v>
                </c:pt>
              </c:strCache>
            </c:strRef>
          </c:tx>
          <c:cat>
            <c:strRef>
              <c:f>MATE!$E$197:$E$202</c:f>
              <c:strCache>
                <c:ptCount val="6"/>
                <c:pt idx="0">
                  <c:v>COMUNA 1</c:v>
                </c:pt>
                <c:pt idx="1">
                  <c:v>COMUNA 2</c:v>
                </c:pt>
                <c:pt idx="2">
                  <c:v>COMUNA 3</c:v>
                </c:pt>
                <c:pt idx="3">
                  <c:v>COMUNA 4</c:v>
                </c:pt>
                <c:pt idx="4">
                  <c:v>COMUNA 5</c:v>
                </c:pt>
                <c:pt idx="5">
                  <c:v>COMUNA 6</c:v>
                </c:pt>
              </c:strCache>
            </c:strRef>
          </c:cat>
          <c:val>
            <c:numRef>
              <c:f>MATE!$J$197:$J$202</c:f>
              <c:numCache>
                <c:formatCode>0</c:formatCode>
                <c:ptCount val="6"/>
                <c:pt idx="0">
                  <c:v>52.5</c:v>
                </c:pt>
                <c:pt idx="1">
                  <c:v>52.5</c:v>
                </c:pt>
                <c:pt idx="2">
                  <c:v>51.25</c:v>
                </c:pt>
                <c:pt idx="3">
                  <c:v>47.333333333333336</c:v>
                </c:pt>
                <c:pt idx="4">
                  <c:v>52</c:v>
                </c:pt>
                <c:pt idx="5">
                  <c:v>52.666666666666664</c:v>
                </c:pt>
              </c:numCache>
            </c:numRef>
          </c:val>
          <c:extLst>
            <c:ext xmlns:c16="http://schemas.microsoft.com/office/drawing/2014/chart" uri="{C3380CC4-5D6E-409C-BE32-E72D297353CC}">
              <c16:uniqueId val="{00000001-997B-4FF9-A921-C1054E3A435A}"/>
            </c:ext>
          </c:extLst>
        </c:ser>
        <c:ser>
          <c:idx val="5"/>
          <c:order val="5"/>
          <c:tx>
            <c:strRef>
              <c:f>MATE!$K$196</c:f>
              <c:strCache>
                <c:ptCount val="1"/>
                <c:pt idx="0">
                  <c:v>2021</c:v>
                </c:pt>
              </c:strCache>
            </c:strRef>
          </c:tx>
          <c:cat>
            <c:strRef>
              <c:f>MATE!$E$197:$E$202</c:f>
              <c:strCache>
                <c:ptCount val="6"/>
                <c:pt idx="0">
                  <c:v>COMUNA 1</c:v>
                </c:pt>
                <c:pt idx="1">
                  <c:v>COMUNA 2</c:v>
                </c:pt>
                <c:pt idx="2">
                  <c:v>COMUNA 3</c:v>
                </c:pt>
                <c:pt idx="3">
                  <c:v>COMUNA 4</c:v>
                </c:pt>
                <c:pt idx="4">
                  <c:v>COMUNA 5</c:v>
                </c:pt>
                <c:pt idx="5">
                  <c:v>COMUNA 6</c:v>
                </c:pt>
              </c:strCache>
            </c:strRef>
          </c:cat>
          <c:val>
            <c:numRef>
              <c:f>MATE!$K$197:$K$202</c:f>
              <c:numCache>
                <c:formatCode>0</c:formatCode>
                <c:ptCount val="6"/>
                <c:pt idx="0">
                  <c:v>51.25</c:v>
                </c:pt>
                <c:pt idx="1">
                  <c:v>50</c:v>
                </c:pt>
                <c:pt idx="2">
                  <c:v>50.2</c:v>
                </c:pt>
                <c:pt idx="3">
                  <c:v>47.166666666666664</c:v>
                </c:pt>
                <c:pt idx="4">
                  <c:v>50.5</c:v>
                </c:pt>
                <c:pt idx="5">
                  <c:v>50.333333333333336</c:v>
                </c:pt>
              </c:numCache>
            </c:numRef>
          </c:val>
          <c:extLst>
            <c:ext xmlns:c16="http://schemas.microsoft.com/office/drawing/2014/chart" uri="{C3380CC4-5D6E-409C-BE32-E72D297353CC}">
              <c16:uniqueId val="{00000000-A839-49B0-B64E-FEE5B3C14247}"/>
            </c:ext>
          </c:extLst>
        </c:ser>
        <c:ser>
          <c:idx val="6"/>
          <c:order val="6"/>
          <c:tx>
            <c:strRef>
              <c:f>MATE!$L$196</c:f>
              <c:strCache>
                <c:ptCount val="1"/>
                <c:pt idx="0">
                  <c:v>2022</c:v>
                </c:pt>
              </c:strCache>
            </c:strRef>
          </c:tx>
          <c:cat>
            <c:strRef>
              <c:f>MATE!$E$197:$E$202</c:f>
              <c:strCache>
                <c:ptCount val="6"/>
                <c:pt idx="0">
                  <c:v>COMUNA 1</c:v>
                </c:pt>
                <c:pt idx="1">
                  <c:v>COMUNA 2</c:v>
                </c:pt>
                <c:pt idx="2">
                  <c:v>COMUNA 3</c:v>
                </c:pt>
                <c:pt idx="3">
                  <c:v>COMUNA 4</c:v>
                </c:pt>
                <c:pt idx="4">
                  <c:v>COMUNA 5</c:v>
                </c:pt>
                <c:pt idx="5">
                  <c:v>COMUNA 6</c:v>
                </c:pt>
              </c:strCache>
            </c:strRef>
          </c:cat>
          <c:val>
            <c:numRef>
              <c:f>MATE!$L$197:$L$202</c:f>
              <c:numCache>
                <c:formatCode>0</c:formatCode>
                <c:ptCount val="6"/>
                <c:pt idx="0">
                  <c:v>51</c:v>
                </c:pt>
                <c:pt idx="1">
                  <c:v>50.75</c:v>
                </c:pt>
                <c:pt idx="2">
                  <c:v>52.333333333333336</c:v>
                </c:pt>
                <c:pt idx="3">
                  <c:v>48.333333333333336</c:v>
                </c:pt>
                <c:pt idx="4">
                  <c:v>52.5</c:v>
                </c:pt>
                <c:pt idx="5">
                  <c:v>51.333333333333336</c:v>
                </c:pt>
              </c:numCache>
            </c:numRef>
          </c:val>
          <c:extLst>
            <c:ext xmlns:c16="http://schemas.microsoft.com/office/drawing/2014/chart" uri="{C3380CC4-5D6E-409C-BE32-E72D297353CC}">
              <c16:uniqueId val="{00000000-AF35-4133-8673-28E57CA6ECEA}"/>
            </c:ext>
          </c:extLst>
        </c:ser>
        <c:ser>
          <c:idx val="7"/>
          <c:order val="7"/>
          <c:tx>
            <c:strRef>
              <c:f>MATE!$M$196</c:f>
              <c:strCache>
                <c:ptCount val="1"/>
                <c:pt idx="0">
                  <c:v>2023</c:v>
                </c:pt>
              </c:strCache>
            </c:strRef>
          </c:tx>
          <c:cat>
            <c:strRef>
              <c:f>MATE!$E$197:$E$202</c:f>
              <c:strCache>
                <c:ptCount val="6"/>
                <c:pt idx="0">
                  <c:v>COMUNA 1</c:v>
                </c:pt>
                <c:pt idx="1">
                  <c:v>COMUNA 2</c:v>
                </c:pt>
                <c:pt idx="2">
                  <c:v>COMUNA 3</c:v>
                </c:pt>
                <c:pt idx="3">
                  <c:v>COMUNA 4</c:v>
                </c:pt>
                <c:pt idx="4">
                  <c:v>COMUNA 5</c:v>
                </c:pt>
                <c:pt idx="5">
                  <c:v>COMUNA 6</c:v>
                </c:pt>
              </c:strCache>
            </c:strRef>
          </c:cat>
          <c:val>
            <c:numRef>
              <c:f>MATE!$M$197:$M$202</c:f>
              <c:numCache>
                <c:formatCode>0</c:formatCode>
                <c:ptCount val="6"/>
                <c:pt idx="0">
                  <c:v>52.2</c:v>
                </c:pt>
                <c:pt idx="1">
                  <c:v>51.5</c:v>
                </c:pt>
                <c:pt idx="2">
                  <c:v>51.333333333333336</c:v>
                </c:pt>
                <c:pt idx="3">
                  <c:v>48.333333333333336</c:v>
                </c:pt>
                <c:pt idx="4">
                  <c:v>51.5</c:v>
                </c:pt>
                <c:pt idx="5">
                  <c:v>51</c:v>
                </c:pt>
              </c:numCache>
            </c:numRef>
          </c:val>
          <c:extLst>
            <c:ext xmlns:c16="http://schemas.microsoft.com/office/drawing/2014/chart" uri="{C3380CC4-5D6E-409C-BE32-E72D297353CC}">
              <c16:uniqueId val="{00000001-AF35-4133-8673-28E57CA6ECEA}"/>
            </c:ext>
          </c:extLst>
        </c:ser>
        <c:dLbls>
          <c:showLegendKey val="0"/>
          <c:showVal val="0"/>
          <c:showCatName val="0"/>
          <c:showSerName val="0"/>
          <c:showPercent val="0"/>
          <c:showBubbleSize val="0"/>
        </c:dLbls>
        <c:axId val="39289984"/>
        <c:axId val="39291520"/>
      </c:radarChart>
      <c:catAx>
        <c:axId val="39289984"/>
        <c:scaling>
          <c:orientation val="minMax"/>
        </c:scaling>
        <c:delete val="0"/>
        <c:axPos val="b"/>
        <c:majorGridlines/>
        <c:numFmt formatCode="General" sourceLinked="0"/>
        <c:majorTickMark val="none"/>
        <c:minorTickMark val="none"/>
        <c:tickLblPos val="nextTo"/>
        <c:spPr>
          <a:ln w="9525">
            <a:noFill/>
          </a:ln>
        </c:spPr>
        <c:crossAx val="39291520"/>
        <c:crosses val="autoZero"/>
        <c:auto val="1"/>
        <c:lblAlgn val="ctr"/>
        <c:lblOffset val="100"/>
        <c:noMultiLvlLbl val="0"/>
      </c:catAx>
      <c:valAx>
        <c:axId val="39291520"/>
        <c:scaling>
          <c:orientation val="minMax"/>
          <c:max val="54"/>
          <c:min val="46"/>
        </c:scaling>
        <c:delete val="0"/>
        <c:axPos val="l"/>
        <c:majorGridlines/>
        <c:numFmt formatCode="0" sourceLinked="1"/>
        <c:majorTickMark val="none"/>
        <c:minorTickMark val="none"/>
        <c:tickLblPos val="nextTo"/>
        <c:crossAx val="39289984"/>
        <c:crosses val="autoZero"/>
        <c:crossBetween val="between"/>
        <c:majorUnit val="2"/>
      </c:valAx>
    </c:plotArea>
    <c:legend>
      <c:legendPos val="r"/>
      <c:overlay val="0"/>
    </c:legend>
    <c:plotVisOnly val="1"/>
    <c:dispBlanksAs val="gap"/>
    <c:showDLblsOverMax val="0"/>
  </c:chart>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Niveles</a:t>
            </a:r>
            <a:r>
              <a:rPr lang="es-CO" baseline="0"/>
              <a:t> de Desempeño Matemáticas Saber 11 2016 - 2023 </a:t>
            </a:r>
            <a:endParaRPr lang="es-CO"/>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stacked"/>
        <c:varyColors val="0"/>
        <c:ser>
          <c:idx val="0"/>
          <c:order val="0"/>
          <c:tx>
            <c:strRef>
              <c:f>MATE!$S$214</c:f>
              <c:strCache>
                <c:ptCount val="1"/>
                <c:pt idx="0">
                  <c:v>1</c:v>
                </c:pt>
              </c:strCache>
            </c:strRef>
          </c:tx>
          <c:spPr>
            <a:solidFill>
              <a:srgbClr val="FF0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MATE!$T$212:$AY$213</c:f>
              <c:multiLvlStrCache>
                <c:ptCount val="32"/>
                <c:lvl>
                  <c:pt idx="0">
                    <c:v>COLOMBIA</c:v>
                  </c:pt>
                  <c:pt idx="1">
                    <c:v>SOACHA</c:v>
                  </c:pt>
                  <c:pt idx="2">
                    <c:v>SOACHA OFICIAL</c:v>
                  </c:pt>
                  <c:pt idx="3">
                    <c:v>SOACHA NO OFICIAL</c:v>
                  </c:pt>
                  <c:pt idx="4">
                    <c:v>COLOMBIA</c:v>
                  </c:pt>
                  <c:pt idx="5">
                    <c:v>SOACHA</c:v>
                  </c:pt>
                  <c:pt idx="6">
                    <c:v>SOACHA OFICIAL</c:v>
                  </c:pt>
                  <c:pt idx="7">
                    <c:v>SOACHA NO OFICIAL</c:v>
                  </c:pt>
                  <c:pt idx="8">
                    <c:v>COLOMBIA</c:v>
                  </c:pt>
                  <c:pt idx="9">
                    <c:v>SOACHA</c:v>
                  </c:pt>
                  <c:pt idx="10">
                    <c:v>SOACHA OFICIAL</c:v>
                  </c:pt>
                  <c:pt idx="11">
                    <c:v>SOACHA NO OFICIAL</c:v>
                  </c:pt>
                  <c:pt idx="12">
                    <c:v>COLOMBIA</c:v>
                  </c:pt>
                  <c:pt idx="13">
                    <c:v>SOACHA</c:v>
                  </c:pt>
                  <c:pt idx="14">
                    <c:v>SOACHA OFICIAL</c:v>
                  </c:pt>
                  <c:pt idx="15">
                    <c:v>SOACHA NO OFICIAL</c:v>
                  </c:pt>
                  <c:pt idx="16">
                    <c:v>COLOMBIA</c:v>
                  </c:pt>
                  <c:pt idx="17">
                    <c:v>SOACHA</c:v>
                  </c:pt>
                  <c:pt idx="18">
                    <c:v>SOACHA OFICIAL</c:v>
                  </c:pt>
                  <c:pt idx="19">
                    <c:v>SOACHA NO OFICIAL</c:v>
                  </c:pt>
                  <c:pt idx="20">
                    <c:v>COLOMBIA</c:v>
                  </c:pt>
                  <c:pt idx="21">
                    <c:v>SOACHA</c:v>
                  </c:pt>
                  <c:pt idx="22">
                    <c:v>SOACHA OFICIAL</c:v>
                  </c:pt>
                  <c:pt idx="23">
                    <c:v>SOACHA NO OFICIAL</c:v>
                  </c:pt>
                  <c:pt idx="24">
                    <c:v>COLOMBIA</c:v>
                  </c:pt>
                  <c:pt idx="25">
                    <c:v>SOACHA</c:v>
                  </c:pt>
                  <c:pt idx="26">
                    <c:v>SOACHA OFICIAL</c:v>
                  </c:pt>
                  <c:pt idx="27">
                    <c:v>SOACHA NO OFICIAL</c:v>
                  </c:pt>
                  <c:pt idx="28">
                    <c:v>COLOMBIA</c:v>
                  </c:pt>
                  <c:pt idx="29">
                    <c:v>SOACHA</c:v>
                  </c:pt>
                  <c:pt idx="30">
                    <c:v>SOACHA OFICIAL</c:v>
                  </c:pt>
                  <c:pt idx="31">
                    <c:v>SOACHA NO OFICIAL</c:v>
                  </c:pt>
                </c:lvl>
                <c:lvl>
                  <c:pt idx="0">
                    <c:v>2016</c:v>
                  </c:pt>
                  <c:pt idx="4">
                    <c:v>2017</c:v>
                  </c:pt>
                  <c:pt idx="8">
                    <c:v>2018</c:v>
                  </c:pt>
                  <c:pt idx="12">
                    <c:v>2019</c:v>
                  </c:pt>
                  <c:pt idx="16">
                    <c:v>2020</c:v>
                  </c:pt>
                  <c:pt idx="20">
                    <c:v>2021</c:v>
                  </c:pt>
                  <c:pt idx="24">
                    <c:v>2022</c:v>
                  </c:pt>
                  <c:pt idx="28">
                    <c:v>2023</c:v>
                  </c:pt>
                </c:lvl>
              </c:multiLvlStrCache>
            </c:multiLvlStrRef>
          </c:cat>
          <c:val>
            <c:numRef>
              <c:f>MATE!$T$214:$AY$214</c:f>
              <c:numCache>
                <c:formatCode>0%</c:formatCode>
                <c:ptCount val="32"/>
                <c:pt idx="0">
                  <c:v>0.08</c:v>
                </c:pt>
                <c:pt idx="1">
                  <c:v>0.04</c:v>
                </c:pt>
                <c:pt idx="2">
                  <c:v>0.05</c:v>
                </c:pt>
                <c:pt idx="3">
                  <c:v>0.04</c:v>
                </c:pt>
                <c:pt idx="4">
                  <c:v>0.09</c:v>
                </c:pt>
                <c:pt idx="5">
                  <c:v>0.05</c:v>
                </c:pt>
                <c:pt idx="6">
                  <c:v>0.06</c:v>
                </c:pt>
                <c:pt idx="7">
                  <c:v>0.04</c:v>
                </c:pt>
                <c:pt idx="8">
                  <c:v>0.08</c:v>
                </c:pt>
                <c:pt idx="9">
                  <c:v>0.04</c:v>
                </c:pt>
                <c:pt idx="10">
                  <c:v>0.06</c:v>
                </c:pt>
                <c:pt idx="11">
                  <c:v>0.02</c:v>
                </c:pt>
                <c:pt idx="12">
                  <c:v>0.08</c:v>
                </c:pt>
                <c:pt idx="13">
                  <c:v>0.04</c:v>
                </c:pt>
                <c:pt idx="14">
                  <c:v>0.05</c:v>
                </c:pt>
                <c:pt idx="15">
                  <c:v>0.03</c:v>
                </c:pt>
                <c:pt idx="16">
                  <c:v>7.0000000000000007E-2</c:v>
                </c:pt>
                <c:pt idx="17">
                  <c:v>0.04</c:v>
                </c:pt>
                <c:pt idx="18">
                  <c:v>0.04</c:v>
                </c:pt>
                <c:pt idx="19">
                  <c:v>0.03</c:v>
                </c:pt>
                <c:pt idx="20">
                  <c:v>0.1</c:v>
                </c:pt>
                <c:pt idx="21">
                  <c:v>0.05</c:v>
                </c:pt>
                <c:pt idx="22">
                  <c:v>0.06</c:v>
                </c:pt>
                <c:pt idx="23">
                  <c:v>0.04</c:v>
                </c:pt>
                <c:pt idx="24">
                  <c:v>0.1</c:v>
                </c:pt>
                <c:pt idx="25">
                  <c:v>0.05</c:v>
                </c:pt>
                <c:pt idx="26">
                  <c:v>7.0000000000000007E-2</c:v>
                </c:pt>
                <c:pt idx="27">
                  <c:v>0.04</c:v>
                </c:pt>
                <c:pt idx="28">
                  <c:v>0.09</c:v>
                </c:pt>
                <c:pt idx="29">
                  <c:v>0.05</c:v>
                </c:pt>
                <c:pt idx="30">
                  <c:v>7.0000000000000007E-2</c:v>
                </c:pt>
                <c:pt idx="31">
                  <c:v>0.04</c:v>
                </c:pt>
              </c:numCache>
            </c:numRef>
          </c:val>
          <c:extLst>
            <c:ext xmlns:c16="http://schemas.microsoft.com/office/drawing/2014/chart" uri="{C3380CC4-5D6E-409C-BE32-E72D297353CC}">
              <c16:uniqueId val="{00000000-0E0C-4839-90F6-1E7AE3B53959}"/>
            </c:ext>
          </c:extLst>
        </c:ser>
        <c:ser>
          <c:idx val="1"/>
          <c:order val="1"/>
          <c:tx>
            <c:strRef>
              <c:f>MATE!$S$215</c:f>
              <c:strCache>
                <c:ptCount val="1"/>
                <c:pt idx="0">
                  <c:v>2</c:v>
                </c:pt>
              </c:strCache>
            </c:strRef>
          </c:tx>
          <c:spPr>
            <a:solidFill>
              <a:srgbClr val="FFFF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MATE!$T$212:$AY$213</c:f>
              <c:multiLvlStrCache>
                <c:ptCount val="32"/>
                <c:lvl>
                  <c:pt idx="0">
                    <c:v>COLOMBIA</c:v>
                  </c:pt>
                  <c:pt idx="1">
                    <c:v>SOACHA</c:v>
                  </c:pt>
                  <c:pt idx="2">
                    <c:v>SOACHA OFICIAL</c:v>
                  </c:pt>
                  <c:pt idx="3">
                    <c:v>SOACHA NO OFICIAL</c:v>
                  </c:pt>
                  <c:pt idx="4">
                    <c:v>COLOMBIA</c:v>
                  </c:pt>
                  <c:pt idx="5">
                    <c:v>SOACHA</c:v>
                  </c:pt>
                  <c:pt idx="6">
                    <c:v>SOACHA OFICIAL</c:v>
                  </c:pt>
                  <c:pt idx="7">
                    <c:v>SOACHA NO OFICIAL</c:v>
                  </c:pt>
                  <c:pt idx="8">
                    <c:v>COLOMBIA</c:v>
                  </c:pt>
                  <c:pt idx="9">
                    <c:v>SOACHA</c:v>
                  </c:pt>
                  <c:pt idx="10">
                    <c:v>SOACHA OFICIAL</c:v>
                  </c:pt>
                  <c:pt idx="11">
                    <c:v>SOACHA NO OFICIAL</c:v>
                  </c:pt>
                  <c:pt idx="12">
                    <c:v>COLOMBIA</c:v>
                  </c:pt>
                  <c:pt idx="13">
                    <c:v>SOACHA</c:v>
                  </c:pt>
                  <c:pt idx="14">
                    <c:v>SOACHA OFICIAL</c:v>
                  </c:pt>
                  <c:pt idx="15">
                    <c:v>SOACHA NO OFICIAL</c:v>
                  </c:pt>
                  <c:pt idx="16">
                    <c:v>COLOMBIA</c:v>
                  </c:pt>
                  <c:pt idx="17">
                    <c:v>SOACHA</c:v>
                  </c:pt>
                  <c:pt idx="18">
                    <c:v>SOACHA OFICIAL</c:v>
                  </c:pt>
                  <c:pt idx="19">
                    <c:v>SOACHA NO OFICIAL</c:v>
                  </c:pt>
                  <c:pt idx="20">
                    <c:v>COLOMBIA</c:v>
                  </c:pt>
                  <c:pt idx="21">
                    <c:v>SOACHA</c:v>
                  </c:pt>
                  <c:pt idx="22">
                    <c:v>SOACHA OFICIAL</c:v>
                  </c:pt>
                  <c:pt idx="23">
                    <c:v>SOACHA NO OFICIAL</c:v>
                  </c:pt>
                  <c:pt idx="24">
                    <c:v>COLOMBIA</c:v>
                  </c:pt>
                  <c:pt idx="25">
                    <c:v>SOACHA</c:v>
                  </c:pt>
                  <c:pt idx="26">
                    <c:v>SOACHA OFICIAL</c:v>
                  </c:pt>
                  <c:pt idx="27">
                    <c:v>SOACHA NO OFICIAL</c:v>
                  </c:pt>
                  <c:pt idx="28">
                    <c:v>COLOMBIA</c:v>
                  </c:pt>
                  <c:pt idx="29">
                    <c:v>SOACHA</c:v>
                  </c:pt>
                  <c:pt idx="30">
                    <c:v>SOACHA OFICIAL</c:v>
                  </c:pt>
                  <c:pt idx="31">
                    <c:v>SOACHA NO OFICIAL</c:v>
                  </c:pt>
                </c:lvl>
                <c:lvl>
                  <c:pt idx="0">
                    <c:v>2016</c:v>
                  </c:pt>
                  <c:pt idx="4">
                    <c:v>2017</c:v>
                  </c:pt>
                  <c:pt idx="8">
                    <c:v>2018</c:v>
                  </c:pt>
                  <c:pt idx="12">
                    <c:v>2019</c:v>
                  </c:pt>
                  <c:pt idx="16">
                    <c:v>2020</c:v>
                  </c:pt>
                  <c:pt idx="20">
                    <c:v>2021</c:v>
                  </c:pt>
                  <c:pt idx="24">
                    <c:v>2022</c:v>
                  </c:pt>
                  <c:pt idx="28">
                    <c:v>2023</c:v>
                  </c:pt>
                </c:lvl>
              </c:multiLvlStrCache>
            </c:multiLvlStrRef>
          </c:cat>
          <c:val>
            <c:numRef>
              <c:f>MATE!$T$215:$AY$215</c:f>
              <c:numCache>
                <c:formatCode>0%</c:formatCode>
                <c:ptCount val="32"/>
                <c:pt idx="0">
                  <c:v>0.37</c:v>
                </c:pt>
                <c:pt idx="1">
                  <c:v>0.39</c:v>
                </c:pt>
                <c:pt idx="2">
                  <c:v>0.44</c:v>
                </c:pt>
                <c:pt idx="3">
                  <c:v>0.34</c:v>
                </c:pt>
                <c:pt idx="4">
                  <c:v>0.38</c:v>
                </c:pt>
                <c:pt idx="5">
                  <c:v>0.38</c:v>
                </c:pt>
                <c:pt idx="6">
                  <c:v>0.42</c:v>
                </c:pt>
                <c:pt idx="7">
                  <c:v>0.33</c:v>
                </c:pt>
                <c:pt idx="8">
                  <c:v>0.38</c:v>
                </c:pt>
                <c:pt idx="9">
                  <c:v>0.38</c:v>
                </c:pt>
                <c:pt idx="10">
                  <c:v>0.43</c:v>
                </c:pt>
                <c:pt idx="11">
                  <c:v>0.32</c:v>
                </c:pt>
                <c:pt idx="12">
                  <c:v>0.36</c:v>
                </c:pt>
                <c:pt idx="13">
                  <c:v>0.36</c:v>
                </c:pt>
                <c:pt idx="14">
                  <c:v>0.41</c:v>
                </c:pt>
                <c:pt idx="15">
                  <c:v>0.28999999999999998</c:v>
                </c:pt>
                <c:pt idx="16">
                  <c:v>0.37</c:v>
                </c:pt>
                <c:pt idx="17">
                  <c:v>0.34</c:v>
                </c:pt>
                <c:pt idx="18">
                  <c:v>0.39</c:v>
                </c:pt>
                <c:pt idx="19">
                  <c:v>0.3</c:v>
                </c:pt>
                <c:pt idx="20">
                  <c:v>0.4</c:v>
                </c:pt>
                <c:pt idx="21">
                  <c:v>0.39</c:v>
                </c:pt>
                <c:pt idx="22">
                  <c:v>0.45</c:v>
                </c:pt>
                <c:pt idx="23">
                  <c:v>0.32</c:v>
                </c:pt>
                <c:pt idx="24">
                  <c:v>0.35</c:v>
                </c:pt>
                <c:pt idx="25">
                  <c:v>0.33</c:v>
                </c:pt>
                <c:pt idx="26">
                  <c:v>0.39</c:v>
                </c:pt>
                <c:pt idx="27">
                  <c:v>0.27</c:v>
                </c:pt>
                <c:pt idx="28">
                  <c:v>0.35</c:v>
                </c:pt>
                <c:pt idx="29">
                  <c:v>0.34</c:v>
                </c:pt>
                <c:pt idx="30">
                  <c:v>0.4</c:v>
                </c:pt>
                <c:pt idx="31">
                  <c:v>0.27</c:v>
                </c:pt>
              </c:numCache>
            </c:numRef>
          </c:val>
          <c:extLst>
            <c:ext xmlns:c16="http://schemas.microsoft.com/office/drawing/2014/chart" uri="{C3380CC4-5D6E-409C-BE32-E72D297353CC}">
              <c16:uniqueId val="{00000001-0E0C-4839-90F6-1E7AE3B53959}"/>
            </c:ext>
          </c:extLst>
        </c:ser>
        <c:ser>
          <c:idx val="2"/>
          <c:order val="2"/>
          <c:tx>
            <c:strRef>
              <c:f>MATE!$S$216</c:f>
              <c:strCache>
                <c:ptCount val="1"/>
                <c:pt idx="0">
                  <c:v>3</c:v>
                </c:pt>
              </c:strCache>
            </c:strRef>
          </c:tx>
          <c:spPr>
            <a:solidFill>
              <a:srgbClr val="FFC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MATE!$T$212:$AY$213</c:f>
              <c:multiLvlStrCache>
                <c:ptCount val="32"/>
                <c:lvl>
                  <c:pt idx="0">
                    <c:v>COLOMBIA</c:v>
                  </c:pt>
                  <c:pt idx="1">
                    <c:v>SOACHA</c:v>
                  </c:pt>
                  <c:pt idx="2">
                    <c:v>SOACHA OFICIAL</c:v>
                  </c:pt>
                  <c:pt idx="3">
                    <c:v>SOACHA NO OFICIAL</c:v>
                  </c:pt>
                  <c:pt idx="4">
                    <c:v>COLOMBIA</c:v>
                  </c:pt>
                  <c:pt idx="5">
                    <c:v>SOACHA</c:v>
                  </c:pt>
                  <c:pt idx="6">
                    <c:v>SOACHA OFICIAL</c:v>
                  </c:pt>
                  <c:pt idx="7">
                    <c:v>SOACHA NO OFICIAL</c:v>
                  </c:pt>
                  <c:pt idx="8">
                    <c:v>COLOMBIA</c:v>
                  </c:pt>
                  <c:pt idx="9">
                    <c:v>SOACHA</c:v>
                  </c:pt>
                  <c:pt idx="10">
                    <c:v>SOACHA OFICIAL</c:v>
                  </c:pt>
                  <c:pt idx="11">
                    <c:v>SOACHA NO OFICIAL</c:v>
                  </c:pt>
                  <c:pt idx="12">
                    <c:v>COLOMBIA</c:v>
                  </c:pt>
                  <c:pt idx="13">
                    <c:v>SOACHA</c:v>
                  </c:pt>
                  <c:pt idx="14">
                    <c:v>SOACHA OFICIAL</c:v>
                  </c:pt>
                  <c:pt idx="15">
                    <c:v>SOACHA NO OFICIAL</c:v>
                  </c:pt>
                  <c:pt idx="16">
                    <c:v>COLOMBIA</c:v>
                  </c:pt>
                  <c:pt idx="17">
                    <c:v>SOACHA</c:v>
                  </c:pt>
                  <c:pt idx="18">
                    <c:v>SOACHA OFICIAL</c:v>
                  </c:pt>
                  <c:pt idx="19">
                    <c:v>SOACHA NO OFICIAL</c:v>
                  </c:pt>
                  <c:pt idx="20">
                    <c:v>COLOMBIA</c:v>
                  </c:pt>
                  <c:pt idx="21">
                    <c:v>SOACHA</c:v>
                  </c:pt>
                  <c:pt idx="22">
                    <c:v>SOACHA OFICIAL</c:v>
                  </c:pt>
                  <c:pt idx="23">
                    <c:v>SOACHA NO OFICIAL</c:v>
                  </c:pt>
                  <c:pt idx="24">
                    <c:v>COLOMBIA</c:v>
                  </c:pt>
                  <c:pt idx="25">
                    <c:v>SOACHA</c:v>
                  </c:pt>
                  <c:pt idx="26">
                    <c:v>SOACHA OFICIAL</c:v>
                  </c:pt>
                  <c:pt idx="27">
                    <c:v>SOACHA NO OFICIAL</c:v>
                  </c:pt>
                  <c:pt idx="28">
                    <c:v>COLOMBIA</c:v>
                  </c:pt>
                  <c:pt idx="29">
                    <c:v>SOACHA</c:v>
                  </c:pt>
                  <c:pt idx="30">
                    <c:v>SOACHA OFICIAL</c:v>
                  </c:pt>
                  <c:pt idx="31">
                    <c:v>SOACHA NO OFICIAL</c:v>
                  </c:pt>
                </c:lvl>
                <c:lvl>
                  <c:pt idx="0">
                    <c:v>2016</c:v>
                  </c:pt>
                  <c:pt idx="4">
                    <c:v>2017</c:v>
                  </c:pt>
                  <c:pt idx="8">
                    <c:v>2018</c:v>
                  </c:pt>
                  <c:pt idx="12">
                    <c:v>2019</c:v>
                  </c:pt>
                  <c:pt idx="16">
                    <c:v>2020</c:v>
                  </c:pt>
                  <c:pt idx="20">
                    <c:v>2021</c:v>
                  </c:pt>
                  <c:pt idx="24">
                    <c:v>2022</c:v>
                  </c:pt>
                  <c:pt idx="28">
                    <c:v>2023</c:v>
                  </c:pt>
                </c:lvl>
              </c:multiLvlStrCache>
            </c:multiLvlStrRef>
          </c:cat>
          <c:val>
            <c:numRef>
              <c:f>MATE!$T$216:$AY$216</c:f>
              <c:numCache>
                <c:formatCode>0%</c:formatCode>
                <c:ptCount val="32"/>
                <c:pt idx="0">
                  <c:v>0.5</c:v>
                </c:pt>
                <c:pt idx="1">
                  <c:v>0.55000000000000004</c:v>
                </c:pt>
                <c:pt idx="2">
                  <c:v>0.5</c:v>
                </c:pt>
                <c:pt idx="3">
                  <c:v>0.6</c:v>
                </c:pt>
                <c:pt idx="4">
                  <c:v>0.48</c:v>
                </c:pt>
                <c:pt idx="5">
                  <c:v>0.54</c:v>
                </c:pt>
                <c:pt idx="6">
                  <c:v>0.5</c:v>
                </c:pt>
                <c:pt idx="7">
                  <c:v>0.59</c:v>
                </c:pt>
                <c:pt idx="8">
                  <c:v>0.49</c:v>
                </c:pt>
                <c:pt idx="9">
                  <c:v>0.55000000000000004</c:v>
                </c:pt>
                <c:pt idx="10">
                  <c:v>0.5</c:v>
                </c:pt>
                <c:pt idx="11">
                  <c:v>0.62</c:v>
                </c:pt>
                <c:pt idx="12">
                  <c:v>0.51</c:v>
                </c:pt>
                <c:pt idx="13">
                  <c:v>0.56999999999999995</c:v>
                </c:pt>
                <c:pt idx="14">
                  <c:v>0.52</c:v>
                </c:pt>
                <c:pt idx="15">
                  <c:v>0.64</c:v>
                </c:pt>
                <c:pt idx="16">
                  <c:v>0.5</c:v>
                </c:pt>
                <c:pt idx="17">
                  <c:v>0.59</c:v>
                </c:pt>
                <c:pt idx="18">
                  <c:v>0.54</c:v>
                </c:pt>
                <c:pt idx="19">
                  <c:v>0.64</c:v>
                </c:pt>
                <c:pt idx="20">
                  <c:v>0.46</c:v>
                </c:pt>
                <c:pt idx="21">
                  <c:v>0.54</c:v>
                </c:pt>
                <c:pt idx="22">
                  <c:v>0.48</c:v>
                </c:pt>
                <c:pt idx="23">
                  <c:v>0.6</c:v>
                </c:pt>
                <c:pt idx="24">
                  <c:v>0.49</c:v>
                </c:pt>
                <c:pt idx="25">
                  <c:v>0.57999999999999996</c:v>
                </c:pt>
                <c:pt idx="26">
                  <c:v>0.52</c:v>
                </c:pt>
                <c:pt idx="27">
                  <c:v>0.64</c:v>
                </c:pt>
                <c:pt idx="28">
                  <c:v>0.49</c:v>
                </c:pt>
                <c:pt idx="29">
                  <c:v>0.56000000000000005</c:v>
                </c:pt>
                <c:pt idx="30">
                  <c:v>0.51</c:v>
                </c:pt>
                <c:pt idx="31">
                  <c:v>0.63</c:v>
                </c:pt>
              </c:numCache>
            </c:numRef>
          </c:val>
          <c:extLst>
            <c:ext xmlns:c16="http://schemas.microsoft.com/office/drawing/2014/chart" uri="{C3380CC4-5D6E-409C-BE32-E72D297353CC}">
              <c16:uniqueId val="{00000002-0E0C-4839-90F6-1E7AE3B53959}"/>
            </c:ext>
          </c:extLst>
        </c:ser>
        <c:ser>
          <c:idx val="3"/>
          <c:order val="3"/>
          <c:tx>
            <c:strRef>
              <c:f>MATE!$S$217</c:f>
              <c:strCache>
                <c:ptCount val="1"/>
                <c:pt idx="0">
                  <c:v>4</c:v>
                </c:pt>
              </c:strCache>
            </c:strRef>
          </c:tx>
          <c:spPr>
            <a:solidFill>
              <a:srgbClr val="00B05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MATE!$T$212:$AY$213</c:f>
              <c:multiLvlStrCache>
                <c:ptCount val="32"/>
                <c:lvl>
                  <c:pt idx="0">
                    <c:v>COLOMBIA</c:v>
                  </c:pt>
                  <c:pt idx="1">
                    <c:v>SOACHA</c:v>
                  </c:pt>
                  <c:pt idx="2">
                    <c:v>SOACHA OFICIAL</c:v>
                  </c:pt>
                  <c:pt idx="3">
                    <c:v>SOACHA NO OFICIAL</c:v>
                  </c:pt>
                  <c:pt idx="4">
                    <c:v>COLOMBIA</c:v>
                  </c:pt>
                  <c:pt idx="5">
                    <c:v>SOACHA</c:v>
                  </c:pt>
                  <c:pt idx="6">
                    <c:v>SOACHA OFICIAL</c:v>
                  </c:pt>
                  <c:pt idx="7">
                    <c:v>SOACHA NO OFICIAL</c:v>
                  </c:pt>
                  <c:pt idx="8">
                    <c:v>COLOMBIA</c:v>
                  </c:pt>
                  <c:pt idx="9">
                    <c:v>SOACHA</c:v>
                  </c:pt>
                  <c:pt idx="10">
                    <c:v>SOACHA OFICIAL</c:v>
                  </c:pt>
                  <c:pt idx="11">
                    <c:v>SOACHA NO OFICIAL</c:v>
                  </c:pt>
                  <c:pt idx="12">
                    <c:v>COLOMBIA</c:v>
                  </c:pt>
                  <c:pt idx="13">
                    <c:v>SOACHA</c:v>
                  </c:pt>
                  <c:pt idx="14">
                    <c:v>SOACHA OFICIAL</c:v>
                  </c:pt>
                  <c:pt idx="15">
                    <c:v>SOACHA NO OFICIAL</c:v>
                  </c:pt>
                  <c:pt idx="16">
                    <c:v>COLOMBIA</c:v>
                  </c:pt>
                  <c:pt idx="17">
                    <c:v>SOACHA</c:v>
                  </c:pt>
                  <c:pt idx="18">
                    <c:v>SOACHA OFICIAL</c:v>
                  </c:pt>
                  <c:pt idx="19">
                    <c:v>SOACHA NO OFICIAL</c:v>
                  </c:pt>
                  <c:pt idx="20">
                    <c:v>COLOMBIA</c:v>
                  </c:pt>
                  <c:pt idx="21">
                    <c:v>SOACHA</c:v>
                  </c:pt>
                  <c:pt idx="22">
                    <c:v>SOACHA OFICIAL</c:v>
                  </c:pt>
                  <c:pt idx="23">
                    <c:v>SOACHA NO OFICIAL</c:v>
                  </c:pt>
                  <c:pt idx="24">
                    <c:v>COLOMBIA</c:v>
                  </c:pt>
                  <c:pt idx="25">
                    <c:v>SOACHA</c:v>
                  </c:pt>
                  <c:pt idx="26">
                    <c:v>SOACHA OFICIAL</c:v>
                  </c:pt>
                  <c:pt idx="27">
                    <c:v>SOACHA NO OFICIAL</c:v>
                  </c:pt>
                  <c:pt idx="28">
                    <c:v>COLOMBIA</c:v>
                  </c:pt>
                  <c:pt idx="29">
                    <c:v>SOACHA</c:v>
                  </c:pt>
                  <c:pt idx="30">
                    <c:v>SOACHA OFICIAL</c:v>
                  </c:pt>
                  <c:pt idx="31">
                    <c:v>SOACHA NO OFICIAL</c:v>
                  </c:pt>
                </c:lvl>
                <c:lvl>
                  <c:pt idx="0">
                    <c:v>2016</c:v>
                  </c:pt>
                  <c:pt idx="4">
                    <c:v>2017</c:v>
                  </c:pt>
                  <c:pt idx="8">
                    <c:v>2018</c:v>
                  </c:pt>
                  <c:pt idx="12">
                    <c:v>2019</c:v>
                  </c:pt>
                  <c:pt idx="16">
                    <c:v>2020</c:v>
                  </c:pt>
                  <c:pt idx="20">
                    <c:v>2021</c:v>
                  </c:pt>
                  <c:pt idx="24">
                    <c:v>2022</c:v>
                  </c:pt>
                  <c:pt idx="28">
                    <c:v>2023</c:v>
                  </c:pt>
                </c:lvl>
              </c:multiLvlStrCache>
            </c:multiLvlStrRef>
          </c:cat>
          <c:val>
            <c:numRef>
              <c:f>MATE!$T$217:$AY$217</c:f>
              <c:numCache>
                <c:formatCode>0%</c:formatCode>
                <c:ptCount val="32"/>
                <c:pt idx="0">
                  <c:v>0.05</c:v>
                </c:pt>
                <c:pt idx="1">
                  <c:v>0.02</c:v>
                </c:pt>
                <c:pt idx="2">
                  <c:v>0.02</c:v>
                </c:pt>
                <c:pt idx="3">
                  <c:v>0.02</c:v>
                </c:pt>
                <c:pt idx="4">
                  <c:v>0.05</c:v>
                </c:pt>
                <c:pt idx="5">
                  <c:v>0.03</c:v>
                </c:pt>
                <c:pt idx="6">
                  <c:v>0.02</c:v>
                </c:pt>
                <c:pt idx="7">
                  <c:v>0.03</c:v>
                </c:pt>
                <c:pt idx="8">
                  <c:v>0.05</c:v>
                </c:pt>
                <c:pt idx="9">
                  <c:v>0.02</c:v>
                </c:pt>
                <c:pt idx="10">
                  <c:v>0.01</c:v>
                </c:pt>
                <c:pt idx="11">
                  <c:v>0.03</c:v>
                </c:pt>
                <c:pt idx="12">
                  <c:v>0.06</c:v>
                </c:pt>
                <c:pt idx="13">
                  <c:v>0.03</c:v>
                </c:pt>
                <c:pt idx="14">
                  <c:v>0.02</c:v>
                </c:pt>
                <c:pt idx="15">
                  <c:v>0.04</c:v>
                </c:pt>
                <c:pt idx="16">
                  <c:v>0.05</c:v>
                </c:pt>
                <c:pt idx="17">
                  <c:v>0.03</c:v>
                </c:pt>
                <c:pt idx="18">
                  <c:v>0.02</c:v>
                </c:pt>
                <c:pt idx="19">
                  <c:v>0.04</c:v>
                </c:pt>
                <c:pt idx="20">
                  <c:v>0.04</c:v>
                </c:pt>
                <c:pt idx="21">
                  <c:v>0.03</c:v>
                </c:pt>
                <c:pt idx="22">
                  <c:v>0.01</c:v>
                </c:pt>
                <c:pt idx="23">
                  <c:v>0.04</c:v>
                </c:pt>
                <c:pt idx="24">
                  <c:v>0.05</c:v>
                </c:pt>
                <c:pt idx="25">
                  <c:v>0.03</c:v>
                </c:pt>
                <c:pt idx="26">
                  <c:v>0.02</c:v>
                </c:pt>
                <c:pt idx="27">
                  <c:v>0.05</c:v>
                </c:pt>
                <c:pt idx="28">
                  <c:v>7.0000000000000007E-2</c:v>
                </c:pt>
                <c:pt idx="29">
                  <c:v>0.04</c:v>
                </c:pt>
                <c:pt idx="30">
                  <c:v>0.03</c:v>
                </c:pt>
                <c:pt idx="31">
                  <c:v>0.06</c:v>
                </c:pt>
              </c:numCache>
            </c:numRef>
          </c:val>
          <c:extLst>
            <c:ext xmlns:c16="http://schemas.microsoft.com/office/drawing/2014/chart" uri="{C3380CC4-5D6E-409C-BE32-E72D297353CC}">
              <c16:uniqueId val="{00000003-0E0C-4839-90F6-1E7AE3B53959}"/>
            </c:ext>
          </c:extLst>
        </c:ser>
        <c:dLbls>
          <c:showLegendKey val="0"/>
          <c:showVal val="0"/>
          <c:showCatName val="0"/>
          <c:showSerName val="0"/>
          <c:showPercent val="0"/>
          <c:showBubbleSize val="0"/>
        </c:dLbls>
        <c:gapWidth val="150"/>
        <c:overlap val="100"/>
        <c:axId val="744346207"/>
        <c:axId val="634479663"/>
      </c:barChart>
      <c:catAx>
        <c:axId val="74434620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634479663"/>
        <c:crosses val="autoZero"/>
        <c:auto val="1"/>
        <c:lblAlgn val="ctr"/>
        <c:lblOffset val="100"/>
        <c:noMultiLvlLbl val="0"/>
      </c:catAx>
      <c:valAx>
        <c:axId val="634479663"/>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74434620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Niveles</a:t>
            </a:r>
            <a:r>
              <a:rPr lang="es-CO" baseline="0"/>
              <a:t> de Desempeño Matemáticas Saber 11 2016 - 2020</a:t>
            </a:r>
          </a:p>
          <a:p>
            <a:pPr>
              <a:defRPr/>
            </a:pPr>
            <a:r>
              <a:rPr lang="es-CO" baseline="0"/>
              <a:t>Instituciones Oficiales por Comuna </a:t>
            </a:r>
            <a:endParaRPr lang="es-CO"/>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stacked"/>
        <c:varyColors val="0"/>
        <c:ser>
          <c:idx val="0"/>
          <c:order val="0"/>
          <c:tx>
            <c:strRef>
              <c:f>MATE!$BE$256</c:f>
              <c:strCache>
                <c:ptCount val="1"/>
                <c:pt idx="0">
                  <c:v>1</c:v>
                </c:pt>
              </c:strCache>
            </c:strRef>
          </c:tx>
          <c:spPr>
            <a:solidFill>
              <a:srgbClr val="FF0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MATE!$BF$254:$CJ$255</c:f>
              <c:multiLvlStrCache>
                <c:ptCount val="31"/>
                <c:lvl>
                  <c:pt idx="0">
                    <c:v>2016</c:v>
                  </c:pt>
                  <c:pt idx="1">
                    <c:v>2017</c:v>
                  </c:pt>
                  <c:pt idx="2">
                    <c:v>2018</c:v>
                  </c:pt>
                  <c:pt idx="3">
                    <c:v>2019</c:v>
                  </c:pt>
                  <c:pt idx="4">
                    <c:v>2020</c:v>
                  </c:pt>
                  <c:pt idx="5">
                    <c:v>2021</c:v>
                  </c:pt>
                  <c:pt idx="6">
                    <c:v>2016</c:v>
                  </c:pt>
                  <c:pt idx="7">
                    <c:v>2017</c:v>
                  </c:pt>
                  <c:pt idx="8">
                    <c:v>2018</c:v>
                  </c:pt>
                  <c:pt idx="9">
                    <c:v>2019</c:v>
                  </c:pt>
                  <c:pt idx="10">
                    <c:v>2020</c:v>
                  </c:pt>
                  <c:pt idx="11">
                    <c:v>2021</c:v>
                  </c:pt>
                  <c:pt idx="12">
                    <c:v>2016</c:v>
                  </c:pt>
                  <c:pt idx="13">
                    <c:v>2017</c:v>
                  </c:pt>
                  <c:pt idx="14">
                    <c:v>2018</c:v>
                  </c:pt>
                  <c:pt idx="15">
                    <c:v>2019</c:v>
                  </c:pt>
                  <c:pt idx="16">
                    <c:v>2020</c:v>
                  </c:pt>
                  <c:pt idx="17">
                    <c:v>2021</c:v>
                  </c:pt>
                  <c:pt idx="18">
                    <c:v>2016</c:v>
                  </c:pt>
                  <c:pt idx="19">
                    <c:v>2017</c:v>
                  </c:pt>
                  <c:pt idx="20">
                    <c:v>2018</c:v>
                  </c:pt>
                  <c:pt idx="21">
                    <c:v>2019</c:v>
                  </c:pt>
                  <c:pt idx="22">
                    <c:v>2020</c:v>
                  </c:pt>
                  <c:pt idx="23">
                    <c:v>2021</c:v>
                  </c:pt>
                  <c:pt idx="24">
                    <c:v>2016</c:v>
                  </c:pt>
                  <c:pt idx="25">
                    <c:v>2017</c:v>
                  </c:pt>
                  <c:pt idx="26">
                    <c:v>2018</c:v>
                  </c:pt>
                  <c:pt idx="27">
                    <c:v>2019</c:v>
                  </c:pt>
                  <c:pt idx="28">
                    <c:v>2020</c:v>
                  </c:pt>
                  <c:pt idx="29">
                    <c:v>2021</c:v>
                  </c:pt>
                  <c:pt idx="30">
                    <c:v>2016</c:v>
                  </c:pt>
                </c:lvl>
                <c:lvl>
                  <c:pt idx="0">
                    <c:v>COMUNA 1</c:v>
                  </c:pt>
                  <c:pt idx="6">
                    <c:v>COMUNA 2</c:v>
                  </c:pt>
                  <c:pt idx="12">
                    <c:v>COMUNA 3</c:v>
                  </c:pt>
                  <c:pt idx="18">
                    <c:v>COMUNA 4</c:v>
                  </c:pt>
                  <c:pt idx="24">
                    <c:v>COMUNA 5</c:v>
                  </c:pt>
                  <c:pt idx="30">
                    <c:v>COMUNA 6</c:v>
                  </c:pt>
                </c:lvl>
              </c:multiLvlStrCache>
            </c:multiLvlStrRef>
          </c:cat>
          <c:val>
            <c:numRef>
              <c:f>MATE!$BF$256:$CJ$256</c:f>
              <c:numCache>
                <c:formatCode>0%</c:formatCode>
                <c:ptCount val="31"/>
                <c:pt idx="0">
                  <c:v>4.5000000000000005E-2</c:v>
                </c:pt>
                <c:pt idx="1">
                  <c:v>4.2500000000000003E-2</c:v>
                </c:pt>
                <c:pt idx="2">
                  <c:v>3.2500000000000001E-2</c:v>
                </c:pt>
                <c:pt idx="3">
                  <c:v>3.7499999999999999E-2</c:v>
                </c:pt>
                <c:pt idx="4">
                  <c:v>4.7499999999999994E-2</c:v>
                </c:pt>
                <c:pt idx="5">
                  <c:v>4.5000000000000005E-2</c:v>
                </c:pt>
                <c:pt idx="6">
                  <c:v>2.5000000000000001E-2</c:v>
                </c:pt>
                <c:pt idx="7">
                  <c:v>5.5E-2</c:v>
                </c:pt>
                <c:pt idx="8">
                  <c:v>0.05</c:v>
                </c:pt>
                <c:pt idx="9">
                  <c:v>0.05</c:v>
                </c:pt>
                <c:pt idx="10">
                  <c:v>2.5000000000000001E-2</c:v>
                </c:pt>
                <c:pt idx="11">
                  <c:v>0.06</c:v>
                </c:pt>
                <c:pt idx="12">
                  <c:v>3.7999999999999999E-2</c:v>
                </c:pt>
                <c:pt idx="13">
                  <c:v>5.5999999999999994E-2</c:v>
                </c:pt>
                <c:pt idx="14">
                  <c:v>4.4000000000000004E-2</c:v>
                </c:pt>
                <c:pt idx="15">
                  <c:v>5.5999999999999994E-2</c:v>
                </c:pt>
                <c:pt idx="16">
                  <c:v>4.4000000000000004E-2</c:v>
                </c:pt>
                <c:pt idx="17">
                  <c:v>0.05</c:v>
                </c:pt>
                <c:pt idx="18">
                  <c:v>9.9999999999999992E-2</c:v>
                </c:pt>
                <c:pt idx="19">
                  <c:v>0.115</c:v>
                </c:pt>
                <c:pt idx="20">
                  <c:v>0.13500000000000001</c:v>
                </c:pt>
                <c:pt idx="21">
                  <c:v>9.9999999999999992E-2</c:v>
                </c:pt>
                <c:pt idx="22">
                  <c:v>0.10833333333333334</c:v>
                </c:pt>
                <c:pt idx="23">
                  <c:v>0.10666666666666667</c:v>
                </c:pt>
                <c:pt idx="24">
                  <c:v>4.4999999999999998E-2</c:v>
                </c:pt>
                <c:pt idx="25">
                  <c:v>7.0000000000000007E-2</c:v>
                </c:pt>
                <c:pt idx="26">
                  <c:v>4.4999999999999998E-2</c:v>
                </c:pt>
                <c:pt idx="27">
                  <c:v>0.04</c:v>
                </c:pt>
                <c:pt idx="28">
                  <c:v>3.5000000000000003E-2</c:v>
                </c:pt>
                <c:pt idx="29">
                  <c:v>5.5E-2</c:v>
                </c:pt>
                <c:pt idx="30">
                  <c:v>3.3333333333333333E-2</c:v>
                </c:pt>
              </c:numCache>
            </c:numRef>
          </c:val>
          <c:extLst>
            <c:ext xmlns:c16="http://schemas.microsoft.com/office/drawing/2014/chart" uri="{C3380CC4-5D6E-409C-BE32-E72D297353CC}">
              <c16:uniqueId val="{00000000-8914-45D8-86BD-F7F65057E985}"/>
            </c:ext>
          </c:extLst>
        </c:ser>
        <c:ser>
          <c:idx val="1"/>
          <c:order val="1"/>
          <c:tx>
            <c:strRef>
              <c:f>MATE!$BE$257</c:f>
              <c:strCache>
                <c:ptCount val="1"/>
                <c:pt idx="0">
                  <c:v>2</c:v>
                </c:pt>
              </c:strCache>
            </c:strRef>
          </c:tx>
          <c:spPr>
            <a:solidFill>
              <a:srgbClr val="FFFF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MATE!$BF$254:$CJ$255</c:f>
              <c:multiLvlStrCache>
                <c:ptCount val="31"/>
                <c:lvl>
                  <c:pt idx="0">
                    <c:v>2016</c:v>
                  </c:pt>
                  <c:pt idx="1">
                    <c:v>2017</c:v>
                  </c:pt>
                  <c:pt idx="2">
                    <c:v>2018</c:v>
                  </c:pt>
                  <c:pt idx="3">
                    <c:v>2019</c:v>
                  </c:pt>
                  <c:pt idx="4">
                    <c:v>2020</c:v>
                  </c:pt>
                  <c:pt idx="5">
                    <c:v>2021</c:v>
                  </c:pt>
                  <c:pt idx="6">
                    <c:v>2016</c:v>
                  </c:pt>
                  <c:pt idx="7">
                    <c:v>2017</c:v>
                  </c:pt>
                  <c:pt idx="8">
                    <c:v>2018</c:v>
                  </c:pt>
                  <c:pt idx="9">
                    <c:v>2019</c:v>
                  </c:pt>
                  <c:pt idx="10">
                    <c:v>2020</c:v>
                  </c:pt>
                  <c:pt idx="11">
                    <c:v>2021</c:v>
                  </c:pt>
                  <c:pt idx="12">
                    <c:v>2016</c:v>
                  </c:pt>
                  <c:pt idx="13">
                    <c:v>2017</c:v>
                  </c:pt>
                  <c:pt idx="14">
                    <c:v>2018</c:v>
                  </c:pt>
                  <c:pt idx="15">
                    <c:v>2019</c:v>
                  </c:pt>
                  <c:pt idx="16">
                    <c:v>2020</c:v>
                  </c:pt>
                  <c:pt idx="17">
                    <c:v>2021</c:v>
                  </c:pt>
                  <c:pt idx="18">
                    <c:v>2016</c:v>
                  </c:pt>
                  <c:pt idx="19">
                    <c:v>2017</c:v>
                  </c:pt>
                  <c:pt idx="20">
                    <c:v>2018</c:v>
                  </c:pt>
                  <c:pt idx="21">
                    <c:v>2019</c:v>
                  </c:pt>
                  <c:pt idx="22">
                    <c:v>2020</c:v>
                  </c:pt>
                  <c:pt idx="23">
                    <c:v>2021</c:v>
                  </c:pt>
                  <c:pt idx="24">
                    <c:v>2016</c:v>
                  </c:pt>
                  <c:pt idx="25">
                    <c:v>2017</c:v>
                  </c:pt>
                  <c:pt idx="26">
                    <c:v>2018</c:v>
                  </c:pt>
                  <c:pt idx="27">
                    <c:v>2019</c:v>
                  </c:pt>
                  <c:pt idx="28">
                    <c:v>2020</c:v>
                  </c:pt>
                  <c:pt idx="29">
                    <c:v>2021</c:v>
                  </c:pt>
                  <c:pt idx="30">
                    <c:v>2016</c:v>
                  </c:pt>
                </c:lvl>
                <c:lvl>
                  <c:pt idx="0">
                    <c:v>COMUNA 1</c:v>
                  </c:pt>
                  <c:pt idx="6">
                    <c:v>COMUNA 2</c:v>
                  </c:pt>
                  <c:pt idx="12">
                    <c:v>COMUNA 3</c:v>
                  </c:pt>
                  <c:pt idx="18">
                    <c:v>COMUNA 4</c:v>
                  </c:pt>
                  <c:pt idx="24">
                    <c:v>COMUNA 5</c:v>
                  </c:pt>
                  <c:pt idx="30">
                    <c:v>COMUNA 6</c:v>
                  </c:pt>
                </c:lvl>
              </c:multiLvlStrCache>
            </c:multiLvlStrRef>
          </c:cat>
          <c:val>
            <c:numRef>
              <c:f>MATE!$BF$257:$CJ$257</c:f>
              <c:numCache>
                <c:formatCode>0%</c:formatCode>
                <c:ptCount val="31"/>
                <c:pt idx="0">
                  <c:v>0.36749999999999999</c:v>
                </c:pt>
                <c:pt idx="1">
                  <c:v>0.39249999999999996</c:v>
                </c:pt>
                <c:pt idx="2">
                  <c:v>0.41249999999999998</c:v>
                </c:pt>
                <c:pt idx="3">
                  <c:v>0.34249999999999997</c:v>
                </c:pt>
                <c:pt idx="4">
                  <c:v>0.36249999999999999</c:v>
                </c:pt>
                <c:pt idx="5">
                  <c:v>0.40500000000000003</c:v>
                </c:pt>
                <c:pt idx="6">
                  <c:v>0.44</c:v>
                </c:pt>
                <c:pt idx="7">
                  <c:v>0.4</c:v>
                </c:pt>
                <c:pt idx="8">
                  <c:v>0.38</c:v>
                </c:pt>
                <c:pt idx="9">
                  <c:v>0.38500000000000001</c:v>
                </c:pt>
                <c:pt idx="10">
                  <c:v>0.36499999999999999</c:v>
                </c:pt>
                <c:pt idx="11">
                  <c:v>0.435</c:v>
                </c:pt>
                <c:pt idx="12">
                  <c:v>0.46600000000000003</c:v>
                </c:pt>
                <c:pt idx="13">
                  <c:v>0.43599999999999994</c:v>
                </c:pt>
                <c:pt idx="14">
                  <c:v>0.41799999999999998</c:v>
                </c:pt>
                <c:pt idx="15">
                  <c:v>0.41600000000000004</c:v>
                </c:pt>
                <c:pt idx="16">
                  <c:v>0.372</c:v>
                </c:pt>
                <c:pt idx="17">
                  <c:v>0.44800000000000006</c:v>
                </c:pt>
                <c:pt idx="18">
                  <c:v>0.54333333333333333</c:v>
                </c:pt>
                <c:pt idx="19">
                  <c:v>0.51666666666666672</c:v>
                </c:pt>
                <c:pt idx="20">
                  <c:v>0.48</c:v>
                </c:pt>
                <c:pt idx="21">
                  <c:v>0.56166666666666665</c:v>
                </c:pt>
                <c:pt idx="22">
                  <c:v>0.48166666666666663</c:v>
                </c:pt>
                <c:pt idx="23">
                  <c:v>0.49499999999999994</c:v>
                </c:pt>
                <c:pt idx="24">
                  <c:v>0.39500000000000002</c:v>
                </c:pt>
                <c:pt idx="25">
                  <c:v>0.38500000000000001</c:v>
                </c:pt>
                <c:pt idx="26">
                  <c:v>0.46499999999999997</c:v>
                </c:pt>
                <c:pt idx="27">
                  <c:v>0.40500000000000003</c:v>
                </c:pt>
                <c:pt idx="28">
                  <c:v>0.39</c:v>
                </c:pt>
                <c:pt idx="29">
                  <c:v>0.43000000000000005</c:v>
                </c:pt>
                <c:pt idx="30">
                  <c:v>0.48666666666666664</c:v>
                </c:pt>
              </c:numCache>
            </c:numRef>
          </c:val>
          <c:extLst>
            <c:ext xmlns:c16="http://schemas.microsoft.com/office/drawing/2014/chart" uri="{C3380CC4-5D6E-409C-BE32-E72D297353CC}">
              <c16:uniqueId val="{00000001-8914-45D8-86BD-F7F65057E985}"/>
            </c:ext>
          </c:extLst>
        </c:ser>
        <c:ser>
          <c:idx val="2"/>
          <c:order val="2"/>
          <c:tx>
            <c:strRef>
              <c:f>MATE!$BE$258</c:f>
              <c:strCache>
                <c:ptCount val="1"/>
                <c:pt idx="0">
                  <c:v>3</c:v>
                </c:pt>
              </c:strCache>
            </c:strRef>
          </c:tx>
          <c:spPr>
            <a:solidFill>
              <a:srgbClr val="FFC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MATE!$BF$254:$CJ$255</c:f>
              <c:multiLvlStrCache>
                <c:ptCount val="31"/>
                <c:lvl>
                  <c:pt idx="0">
                    <c:v>2016</c:v>
                  </c:pt>
                  <c:pt idx="1">
                    <c:v>2017</c:v>
                  </c:pt>
                  <c:pt idx="2">
                    <c:v>2018</c:v>
                  </c:pt>
                  <c:pt idx="3">
                    <c:v>2019</c:v>
                  </c:pt>
                  <c:pt idx="4">
                    <c:v>2020</c:v>
                  </c:pt>
                  <c:pt idx="5">
                    <c:v>2021</c:v>
                  </c:pt>
                  <c:pt idx="6">
                    <c:v>2016</c:v>
                  </c:pt>
                  <c:pt idx="7">
                    <c:v>2017</c:v>
                  </c:pt>
                  <c:pt idx="8">
                    <c:v>2018</c:v>
                  </c:pt>
                  <c:pt idx="9">
                    <c:v>2019</c:v>
                  </c:pt>
                  <c:pt idx="10">
                    <c:v>2020</c:v>
                  </c:pt>
                  <c:pt idx="11">
                    <c:v>2021</c:v>
                  </c:pt>
                  <c:pt idx="12">
                    <c:v>2016</c:v>
                  </c:pt>
                  <c:pt idx="13">
                    <c:v>2017</c:v>
                  </c:pt>
                  <c:pt idx="14">
                    <c:v>2018</c:v>
                  </c:pt>
                  <c:pt idx="15">
                    <c:v>2019</c:v>
                  </c:pt>
                  <c:pt idx="16">
                    <c:v>2020</c:v>
                  </c:pt>
                  <c:pt idx="17">
                    <c:v>2021</c:v>
                  </c:pt>
                  <c:pt idx="18">
                    <c:v>2016</c:v>
                  </c:pt>
                  <c:pt idx="19">
                    <c:v>2017</c:v>
                  </c:pt>
                  <c:pt idx="20">
                    <c:v>2018</c:v>
                  </c:pt>
                  <c:pt idx="21">
                    <c:v>2019</c:v>
                  </c:pt>
                  <c:pt idx="22">
                    <c:v>2020</c:v>
                  </c:pt>
                  <c:pt idx="23">
                    <c:v>2021</c:v>
                  </c:pt>
                  <c:pt idx="24">
                    <c:v>2016</c:v>
                  </c:pt>
                  <c:pt idx="25">
                    <c:v>2017</c:v>
                  </c:pt>
                  <c:pt idx="26">
                    <c:v>2018</c:v>
                  </c:pt>
                  <c:pt idx="27">
                    <c:v>2019</c:v>
                  </c:pt>
                  <c:pt idx="28">
                    <c:v>2020</c:v>
                  </c:pt>
                  <c:pt idx="29">
                    <c:v>2021</c:v>
                  </c:pt>
                  <c:pt idx="30">
                    <c:v>2016</c:v>
                  </c:pt>
                </c:lvl>
                <c:lvl>
                  <c:pt idx="0">
                    <c:v>COMUNA 1</c:v>
                  </c:pt>
                  <c:pt idx="6">
                    <c:v>COMUNA 2</c:v>
                  </c:pt>
                  <c:pt idx="12">
                    <c:v>COMUNA 3</c:v>
                  </c:pt>
                  <c:pt idx="18">
                    <c:v>COMUNA 4</c:v>
                  </c:pt>
                  <c:pt idx="24">
                    <c:v>COMUNA 5</c:v>
                  </c:pt>
                  <c:pt idx="30">
                    <c:v>COMUNA 6</c:v>
                  </c:pt>
                </c:lvl>
              </c:multiLvlStrCache>
            </c:multiLvlStrRef>
          </c:cat>
          <c:val>
            <c:numRef>
              <c:f>MATE!$BF$258:$CJ$258</c:f>
              <c:numCache>
                <c:formatCode>0%</c:formatCode>
                <c:ptCount val="31"/>
                <c:pt idx="0">
                  <c:v>0.57250000000000001</c:v>
                </c:pt>
                <c:pt idx="1">
                  <c:v>0.53749999999999998</c:v>
                </c:pt>
                <c:pt idx="2">
                  <c:v>0.54249999999999998</c:v>
                </c:pt>
                <c:pt idx="3">
                  <c:v>0.59749999999999992</c:v>
                </c:pt>
                <c:pt idx="4">
                  <c:v>0.5625</c:v>
                </c:pt>
                <c:pt idx="5">
                  <c:v>0.53249999999999997</c:v>
                </c:pt>
                <c:pt idx="6">
                  <c:v>0.52</c:v>
                </c:pt>
                <c:pt idx="7">
                  <c:v>0.52499999999999991</c:v>
                </c:pt>
                <c:pt idx="8">
                  <c:v>0.54500000000000004</c:v>
                </c:pt>
                <c:pt idx="9">
                  <c:v>0.54500000000000004</c:v>
                </c:pt>
                <c:pt idx="10">
                  <c:v>0.58499999999999996</c:v>
                </c:pt>
                <c:pt idx="11">
                  <c:v>0.5</c:v>
                </c:pt>
                <c:pt idx="12">
                  <c:v>0.48200000000000004</c:v>
                </c:pt>
                <c:pt idx="13">
                  <c:v>0.502</c:v>
                </c:pt>
                <c:pt idx="14">
                  <c:v>0.53199999999999992</c:v>
                </c:pt>
                <c:pt idx="15">
                  <c:v>0.52000000000000013</c:v>
                </c:pt>
                <c:pt idx="16">
                  <c:v>0.56400000000000006</c:v>
                </c:pt>
                <c:pt idx="17">
                  <c:v>0.48599999999999993</c:v>
                </c:pt>
                <c:pt idx="18">
                  <c:v>0.34666666666666662</c:v>
                </c:pt>
                <c:pt idx="19">
                  <c:v>0.35833333333333334</c:v>
                </c:pt>
                <c:pt idx="20">
                  <c:v>0.375</c:v>
                </c:pt>
                <c:pt idx="21">
                  <c:v>0.33166666666666667</c:v>
                </c:pt>
                <c:pt idx="22">
                  <c:v>0.41000000000000009</c:v>
                </c:pt>
                <c:pt idx="23">
                  <c:v>0.38999999999999996</c:v>
                </c:pt>
                <c:pt idx="24">
                  <c:v>0.54</c:v>
                </c:pt>
                <c:pt idx="25">
                  <c:v>0.52</c:v>
                </c:pt>
                <c:pt idx="26">
                  <c:v>0.48</c:v>
                </c:pt>
                <c:pt idx="27">
                  <c:v>0.53</c:v>
                </c:pt>
                <c:pt idx="28">
                  <c:v>0.56000000000000005</c:v>
                </c:pt>
                <c:pt idx="29">
                  <c:v>0.48499999999999999</c:v>
                </c:pt>
                <c:pt idx="30">
                  <c:v>0.47</c:v>
                </c:pt>
              </c:numCache>
            </c:numRef>
          </c:val>
          <c:extLst>
            <c:ext xmlns:c16="http://schemas.microsoft.com/office/drawing/2014/chart" uri="{C3380CC4-5D6E-409C-BE32-E72D297353CC}">
              <c16:uniqueId val="{00000002-8914-45D8-86BD-F7F65057E985}"/>
            </c:ext>
          </c:extLst>
        </c:ser>
        <c:ser>
          <c:idx val="3"/>
          <c:order val="3"/>
          <c:tx>
            <c:strRef>
              <c:f>MATE!$BE$259</c:f>
              <c:strCache>
                <c:ptCount val="1"/>
                <c:pt idx="0">
                  <c:v>4</c:v>
                </c:pt>
              </c:strCache>
            </c:strRef>
          </c:tx>
          <c:spPr>
            <a:solidFill>
              <a:srgbClr val="00B05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MATE!$BF$254:$CJ$255</c:f>
              <c:multiLvlStrCache>
                <c:ptCount val="31"/>
                <c:lvl>
                  <c:pt idx="0">
                    <c:v>2016</c:v>
                  </c:pt>
                  <c:pt idx="1">
                    <c:v>2017</c:v>
                  </c:pt>
                  <c:pt idx="2">
                    <c:v>2018</c:v>
                  </c:pt>
                  <c:pt idx="3">
                    <c:v>2019</c:v>
                  </c:pt>
                  <c:pt idx="4">
                    <c:v>2020</c:v>
                  </c:pt>
                  <c:pt idx="5">
                    <c:v>2021</c:v>
                  </c:pt>
                  <c:pt idx="6">
                    <c:v>2016</c:v>
                  </c:pt>
                  <c:pt idx="7">
                    <c:v>2017</c:v>
                  </c:pt>
                  <c:pt idx="8">
                    <c:v>2018</c:v>
                  </c:pt>
                  <c:pt idx="9">
                    <c:v>2019</c:v>
                  </c:pt>
                  <c:pt idx="10">
                    <c:v>2020</c:v>
                  </c:pt>
                  <c:pt idx="11">
                    <c:v>2021</c:v>
                  </c:pt>
                  <c:pt idx="12">
                    <c:v>2016</c:v>
                  </c:pt>
                  <c:pt idx="13">
                    <c:v>2017</c:v>
                  </c:pt>
                  <c:pt idx="14">
                    <c:v>2018</c:v>
                  </c:pt>
                  <c:pt idx="15">
                    <c:v>2019</c:v>
                  </c:pt>
                  <c:pt idx="16">
                    <c:v>2020</c:v>
                  </c:pt>
                  <c:pt idx="17">
                    <c:v>2021</c:v>
                  </c:pt>
                  <c:pt idx="18">
                    <c:v>2016</c:v>
                  </c:pt>
                  <c:pt idx="19">
                    <c:v>2017</c:v>
                  </c:pt>
                  <c:pt idx="20">
                    <c:v>2018</c:v>
                  </c:pt>
                  <c:pt idx="21">
                    <c:v>2019</c:v>
                  </c:pt>
                  <c:pt idx="22">
                    <c:v>2020</c:v>
                  </c:pt>
                  <c:pt idx="23">
                    <c:v>2021</c:v>
                  </c:pt>
                  <c:pt idx="24">
                    <c:v>2016</c:v>
                  </c:pt>
                  <c:pt idx="25">
                    <c:v>2017</c:v>
                  </c:pt>
                  <c:pt idx="26">
                    <c:v>2018</c:v>
                  </c:pt>
                  <c:pt idx="27">
                    <c:v>2019</c:v>
                  </c:pt>
                  <c:pt idx="28">
                    <c:v>2020</c:v>
                  </c:pt>
                  <c:pt idx="29">
                    <c:v>2021</c:v>
                  </c:pt>
                  <c:pt idx="30">
                    <c:v>2016</c:v>
                  </c:pt>
                </c:lvl>
                <c:lvl>
                  <c:pt idx="0">
                    <c:v>COMUNA 1</c:v>
                  </c:pt>
                  <c:pt idx="6">
                    <c:v>COMUNA 2</c:v>
                  </c:pt>
                  <c:pt idx="12">
                    <c:v>COMUNA 3</c:v>
                  </c:pt>
                  <c:pt idx="18">
                    <c:v>COMUNA 4</c:v>
                  </c:pt>
                  <c:pt idx="24">
                    <c:v>COMUNA 5</c:v>
                  </c:pt>
                  <c:pt idx="30">
                    <c:v>COMUNA 6</c:v>
                  </c:pt>
                </c:lvl>
              </c:multiLvlStrCache>
            </c:multiLvlStrRef>
          </c:cat>
          <c:val>
            <c:numRef>
              <c:f>MATE!$BF$259:$CJ$259</c:f>
              <c:numCache>
                <c:formatCode>0%</c:formatCode>
                <c:ptCount val="31"/>
                <c:pt idx="0">
                  <c:v>1.7500000000000002E-2</c:v>
                </c:pt>
                <c:pt idx="1">
                  <c:v>2.5000000000000001E-2</c:v>
                </c:pt>
                <c:pt idx="2">
                  <c:v>1.2500000000000001E-2</c:v>
                </c:pt>
                <c:pt idx="3">
                  <c:v>2.2499999999999999E-2</c:v>
                </c:pt>
                <c:pt idx="4">
                  <c:v>0.03</c:v>
                </c:pt>
                <c:pt idx="5">
                  <c:v>1.4999999999999999E-2</c:v>
                </c:pt>
                <c:pt idx="6">
                  <c:v>2.5000000000000001E-2</c:v>
                </c:pt>
                <c:pt idx="7">
                  <c:v>0.02</c:v>
                </c:pt>
                <c:pt idx="8">
                  <c:v>2.5000000000000001E-2</c:v>
                </c:pt>
                <c:pt idx="9">
                  <c:v>0.03</c:v>
                </c:pt>
                <c:pt idx="10">
                  <c:v>2.5000000000000001E-2</c:v>
                </c:pt>
                <c:pt idx="11">
                  <c:v>5.0000000000000001E-3</c:v>
                </c:pt>
                <c:pt idx="12">
                  <c:v>1.6E-2</c:v>
                </c:pt>
                <c:pt idx="13">
                  <c:v>6.0000000000000001E-3</c:v>
                </c:pt>
                <c:pt idx="14">
                  <c:v>8.0000000000000002E-3</c:v>
                </c:pt>
                <c:pt idx="15">
                  <c:v>0.01</c:v>
                </c:pt>
                <c:pt idx="16">
                  <c:v>1.9999999999999997E-2</c:v>
                </c:pt>
                <c:pt idx="17">
                  <c:v>1.2E-2</c:v>
                </c:pt>
                <c:pt idx="18">
                  <c:v>6.6666666666666671E-3</c:v>
                </c:pt>
                <c:pt idx="19">
                  <c:v>1.1666666666666667E-2</c:v>
                </c:pt>
                <c:pt idx="20">
                  <c:v>8.3333333333333332E-3</c:v>
                </c:pt>
                <c:pt idx="21">
                  <c:v>6.6666666666666671E-3</c:v>
                </c:pt>
                <c:pt idx="22">
                  <c:v>3.3333333333333335E-3</c:v>
                </c:pt>
                <c:pt idx="23">
                  <c:v>3.3333333333333335E-3</c:v>
                </c:pt>
                <c:pt idx="24">
                  <c:v>1.4999999999999999E-2</c:v>
                </c:pt>
                <c:pt idx="25">
                  <c:v>0.02</c:v>
                </c:pt>
                <c:pt idx="26">
                  <c:v>1.4999999999999999E-2</c:v>
                </c:pt>
                <c:pt idx="27">
                  <c:v>2.5000000000000001E-2</c:v>
                </c:pt>
                <c:pt idx="28">
                  <c:v>1.4999999999999999E-2</c:v>
                </c:pt>
                <c:pt idx="29">
                  <c:v>2.5000000000000001E-2</c:v>
                </c:pt>
                <c:pt idx="30">
                  <c:v>0.01</c:v>
                </c:pt>
              </c:numCache>
            </c:numRef>
          </c:val>
          <c:extLst>
            <c:ext xmlns:c16="http://schemas.microsoft.com/office/drawing/2014/chart" uri="{C3380CC4-5D6E-409C-BE32-E72D297353CC}">
              <c16:uniqueId val="{00000003-8914-45D8-86BD-F7F65057E985}"/>
            </c:ext>
          </c:extLst>
        </c:ser>
        <c:dLbls>
          <c:showLegendKey val="0"/>
          <c:showVal val="0"/>
          <c:showCatName val="0"/>
          <c:showSerName val="0"/>
          <c:showPercent val="0"/>
          <c:showBubbleSize val="0"/>
        </c:dLbls>
        <c:gapWidth val="150"/>
        <c:overlap val="100"/>
        <c:axId val="744346207"/>
        <c:axId val="634479663"/>
      </c:barChart>
      <c:catAx>
        <c:axId val="74434620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634479663"/>
        <c:crosses val="autoZero"/>
        <c:auto val="1"/>
        <c:lblAlgn val="ctr"/>
        <c:lblOffset val="100"/>
        <c:noMultiLvlLbl val="0"/>
      </c:catAx>
      <c:valAx>
        <c:axId val="634479663"/>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74434620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Niveles</a:t>
            </a:r>
            <a:r>
              <a:rPr lang="es-CO" baseline="0"/>
              <a:t> de Desempeño Matemáticas Saber 11 2016 - 2020</a:t>
            </a:r>
          </a:p>
          <a:p>
            <a:pPr>
              <a:defRPr/>
            </a:pPr>
            <a:r>
              <a:rPr lang="es-CO" baseline="0"/>
              <a:t>Instituciones Privadas por Comuna </a:t>
            </a:r>
            <a:endParaRPr lang="es-CO"/>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stacked"/>
        <c:varyColors val="0"/>
        <c:ser>
          <c:idx val="0"/>
          <c:order val="0"/>
          <c:tx>
            <c:strRef>
              <c:f>MATE!$BE$265</c:f>
              <c:strCache>
                <c:ptCount val="1"/>
                <c:pt idx="0">
                  <c:v>1</c:v>
                </c:pt>
              </c:strCache>
            </c:strRef>
          </c:tx>
          <c:spPr>
            <a:solidFill>
              <a:srgbClr val="FF0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MATE!$BF$263:$CO$264</c:f>
              <c:multiLvlStrCache>
                <c:ptCount val="36"/>
                <c:lvl>
                  <c:pt idx="0">
                    <c:v>2016</c:v>
                  </c:pt>
                  <c:pt idx="1">
                    <c:v>2017</c:v>
                  </c:pt>
                  <c:pt idx="2">
                    <c:v>2018</c:v>
                  </c:pt>
                  <c:pt idx="3">
                    <c:v>2019</c:v>
                  </c:pt>
                  <c:pt idx="4">
                    <c:v>2020</c:v>
                  </c:pt>
                  <c:pt idx="5">
                    <c:v>2021</c:v>
                  </c:pt>
                  <c:pt idx="6">
                    <c:v>2016</c:v>
                  </c:pt>
                  <c:pt idx="7">
                    <c:v>2017</c:v>
                  </c:pt>
                  <c:pt idx="8">
                    <c:v>2018</c:v>
                  </c:pt>
                  <c:pt idx="9">
                    <c:v>2019</c:v>
                  </c:pt>
                  <c:pt idx="10">
                    <c:v>2020</c:v>
                  </c:pt>
                  <c:pt idx="11">
                    <c:v>2021</c:v>
                  </c:pt>
                  <c:pt idx="12">
                    <c:v>2016</c:v>
                  </c:pt>
                  <c:pt idx="13">
                    <c:v>2017</c:v>
                  </c:pt>
                  <c:pt idx="14">
                    <c:v>2018</c:v>
                  </c:pt>
                  <c:pt idx="15">
                    <c:v>2019</c:v>
                  </c:pt>
                  <c:pt idx="16">
                    <c:v>2020</c:v>
                  </c:pt>
                  <c:pt idx="17">
                    <c:v>2021</c:v>
                  </c:pt>
                  <c:pt idx="18">
                    <c:v>2016</c:v>
                  </c:pt>
                  <c:pt idx="19">
                    <c:v>2017</c:v>
                  </c:pt>
                  <c:pt idx="20">
                    <c:v>2018</c:v>
                  </c:pt>
                  <c:pt idx="21">
                    <c:v>2019</c:v>
                  </c:pt>
                  <c:pt idx="22">
                    <c:v>2020</c:v>
                  </c:pt>
                  <c:pt idx="23">
                    <c:v>2021</c:v>
                  </c:pt>
                  <c:pt idx="24">
                    <c:v>2016</c:v>
                  </c:pt>
                  <c:pt idx="25">
                    <c:v>2017</c:v>
                  </c:pt>
                  <c:pt idx="26">
                    <c:v>2018</c:v>
                  </c:pt>
                  <c:pt idx="27">
                    <c:v>2019</c:v>
                  </c:pt>
                  <c:pt idx="28">
                    <c:v>2020</c:v>
                  </c:pt>
                  <c:pt idx="29">
                    <c:v>2021</c:v>
                  </c:pt>
                  <c:pt idx="30">
                    <c:v>2016</c:v>
                  </c:pt>
                  <c:pt idx="31">
                    <c:v>2017</c:v>
                  </c:pt>
                  <c:pt idx="32">
                    <c:v>2018</c:v>
                  </c:pt>
                  <c:pt idx="33">
                    <c:v>2019</c:v>
                  </c:pt>
                  <c:pt idx="34">
                    <c:v>2020</c:v>
                  </c:pt>
                  <c:pt idx="35">
                    <c:v>2021</c:v>
                  </c:pt>
                </c:lvl>
                <c:lvl>
                  <c:pt idx="0">
                    <c:v>COMUNA 1</c:v>
                  </c:pt>
                  <c:pt idx="6">
                    <c:v>COMUNA 2</c:v>
                  </c:pt>
                  <c:pt idx="12">
                    <c:v>COMUNA 3</c:v>
                  </c:pt>
                  <c:pt idx="18">
                    <c:v>COMUNA 4</c:v>
                  </c:pt>
                  <c:pt idx="24">
                    <c:v>COMUNA 5</c:v>
                  </c:pt>
                  <c:pt idx="30">
                    <c:v>COMUNA 6</c:v>
                  </c:pt>
                </c:lvl>
              </c:multiLvlStrCache>
            </c:multiLvlStrRef>
          </c:cat>
          <c:val>
            <c:numRef>
              <c:f>MATE!$BF$265:$CO$265</c:f>
              <c:numCache>
                <c:formatCode>0%</c:formatCode>
                <c:ptCount val="36"/>
                <c:pt idx="0">
                  <c:v>5.5833333333333339E-2</c:v>
                </c:pt>
                <c:pt idx="1">
                  <c:v>5.0769230769230761E-2</c:v>
                </c:pt>
                <c:pt idx="2">
                  <c:v>4.9230769230769231E-2</c:v>
                </c:pt>
                <c:pt idx="3">
                  <c:v>3.3846153846153845E-2</c:v>
                </c:pt>
                <c:pt idx="4">
                  <c:v>3.1538461538461543E-2</c:v>
                </c:pt>
                <c:pt idx="5">
                  <c:v>4.3076923076923082E-2</c:v>
                </c:pt>
                <c:pt idx="6">
                  <c:v>5.4000000000000006E-2</c:v>
                </c:pt>
                <c:pt idx="7">
                  <c:v>5.9374999999999997E-2</c:v>
                </c:pt>
                <c:pt idx="8">
                  <c:v>3.5625000000000004E-2</c:v>
                </c:pt>
                <c:pt idx="9">
                  <c:v>3.5294117647058823E-2</c:v>
                </c:pt>
                <c:pt idx="10">
                  <c:v>3.2222222222222215E-2</c:v>
                </c:pt>
                <c:pt idx="11">
                  <c:v>6.1176470588235297E-2</c:v>
                </c:pt>
                <c:pt idx="12">
                  <c:v>3.3333333333333333E-2</c:v>
                </c:pt>
                <c:pt idx="13">
                  <c:v>2.6666666666666668E-2</c:v>
                </c:pt>
                <c:pt idx="14">
                  <c:v>3.3333333333333333E-2</c:v>
                </c:pt>
                <c:pt idx="15">
                  <c:v>3.3333333333333333E-2</c:v>
                </c:pt>
                <c:pt idx="16">
                  <c:v>1.2307692307692308E-2</c:v>
                </c:pt>
                <c:pt idx="17">
                  <c:v>2.8461538461538462E-2</c:v>
                </c:pt>
                <c:pt idx="18">
                  <c:v>0.155</c:v>
                </c:pt>
                <c:pt idx="19">
                  <c:v>7.1428571428571425E-2</c:v>
                </c:pt>
                <c:pt idx="20">
                  <c:v>2.5714285714285714E-2</c:v>
                </c:pt>
                <c:pt idx="21">
                  <c:v>3.1666666666666669E-2</c:v>
                </c:pt>
                <c:pt idx="22">
                  <c:v>5.2000000000000005E-2</c:v>
                </c:pt>
                <c:pt idx="23">
                  <c:v>5.000000000000001E-2</c:v>
                </c:pt>
                <c:pt idx="24">
                  <c:v>2.1333333333333336E-2</c:v>
                </c:pt>
                <c:pt idx="25">
                  <c:v>3.7142857142857144E-2</c:v>
                </c:pt>
                <c:pt idx="26">
                  <c:v>1.7857142857142856E-2</c:v>
                </c:pt>
                <c:pt idx="27">
                  <c:v>1.4666666666666665E-2</c:v>
                </c:pt>
                <c:pt idx="28">
                  <c:v>1.8000000000000002E-2</c:v>
                </c:pt>
                <c:pt idx="29">
                  <c:v>2.2000000000000002E-2</c:v>
                </c:pt>
                <c:pt idx="30">
                  <c:v>0.10083333333333333</c:v>
                </c:pt>
                <c:pt idx="31">
                  <c:v>8.9166666666666672E-2</c:v>
                </c:pt>
                <c:pt idx="32">
                  <c:v>2.4545454545454547E-2</c:v>
                </c:pt>
                <c:pt idx="33">
                  <c:v>3.0833333333333338E-2</c:v>
                </c:pt>
                <c:pt idx="34">
                  <c:v>3.0833333333333334E-2</c:v>
                </c:pt>
                <c:pt idx="35">
                  <c:v>2.5833333333333337E-2</c:v>
                </c:pt>
              </c:numCache>
            </c:numRef>
          </c:val>
          <c:extLst>
            <c:ext xmlns:c16="http://schemas.microsoft.com/office/drawing/2014/chart" uri="{C3380CC4-5D6E-409C-BE32-E72D297353CC}">
              <c16:uniqueId val="{00000000-BFA7-47E9-9C97-CAEFA3153E3F}"/>
            </c:ext>
          </c:extLst>
        </c:ser>
        <c:ser>
          <c:idx val="1"/>
          <c:order val="1"/>
          <c:tx>
            <c:strRef>
              <c:f>MATE!$BE$266</c:f>
              <c:strCache>
                <c:ptCount val="1"/>
                <c:pt idx="0">
                  <c:v>2</c:v>
                </c:pt>
              </c:strCache>
            </c:strRef>
          </c:tx>
          <c:spPr>
            <a:solidFill>
              <a:srgbClr val="FFFF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MATE!$BF$263:$CO$264</c:f>
              <c:multiLvlStrCache>
                <c:ptCount val="36"/>
                <c:lvl>
                  <c:pt idx="0">
                    <c:v>2016</c:v>
                  </c:pt>
                  <c:pt idx="1">
                    <c:v>2017</c:v>
                  </c:pt>
                  <c:pt idx="2">
                    <c:v>2018</c:v>
                  </c:pt>
                  <c:pt idx="3">
                    <c:v>2019</c:v>
                  </c:pt>
                  <c:pt idx="4">
                    <c:v>2020</c:v>
                  </c:pt>
                  <c:pt idx="5">
                    <c:v>2021</c:v>
                  </c:pt>
                  <c:pt idx="6">
                    <c:v>2016</c:v>
                  </c:pt>
                  <c:pt idx="7">
                    <c:v>2017</c:v>
                  </c:pt>
                  <c:pt idx="8">
                    <c:v>2018</c:v>
                  </c:pt>
                  <c:pt idx="9">
                    <c:v>2019</c:v>
                  </c:pt>
                  <c:pt idx="10">
                    <c:v>2020</c:v>
                  </c:pt>
                  <c:pt idx="11">
                    <c:v>2021</c:v>
                  </c:pt>
                  <c:pt idx="12">
                    <c:v>2016</c:v>
                  </c:pt>
                  <c:pt idx="13">
                    <c:v>2017</c:v>
                  </c:pt>
                  <c:pt idx="14">
                    <c:v>2018</c:v>
                  </c:pt>
                  <c:pt idx="15">
                    <c:v>2019</c:v>
                  </c:pt>
                  <c:pt idx="16">
                    <c:v>2020</c:v>
                  </c:pt>
                  <c:pt idx="17">
                    <c:v>2021</c:v>
                  </c:pt>
                  <c:pt idx="18">
                    <c:v>2016</c:v>
                  </c:pt>
                  <c:pt idx="19">
                    <c:v>2017</c:v>
                  </c:pt>
                  <c:pt idx="20">
                    <c:v>2018</c:v>
                  </c:pt>
                  <c:pt idx="21">
                    <c:v>2019</c:v>
                  </c:pt>
                  <c:pt idx="22">
                    <c:v>2020</c:v>
                  </c:pt>
                  <c:pt idx="23">
                    <c:v>2021</c:v>
                  </c:pt>
                  <c:pt idx="24">
                    <c:v>2016</c:v>
                  </c:pt>
                  <c:pt idx="25">
                    <c:v>2017</c:v>
                  </c:pt>
                  <c:pt idx="26">
                    <c:v>2018</c:v>
                  </c:pt>
                  <c:pt idx="27">
                    <c:v>2019</c:v>
                  </c:pt>
                  <c:pt idx="28">
                    <c:v>2020</c:v>
                  </c:pt>
                  <c:pt idx="29">
                    <c:v>2021</c:v>
                  </c:pt>
                  <c:pt idx="30">
                    <c:v>2016</c:v>
                  </c:pt>
                  <c:pt idx="31">
                    <c:v>2017</c:v>
                  </c:pt>
                  <c:pt idx="32">
                    <c:v>2018</c:v>
                  </c:pt>
                  <c:pt idx="33">
                    <c:v>2019</c:v>
                  </c:pt>
                  <c:pt idx="34">
                    <c:v>2020</c:v>
                  </c:pt>
                  <c:pt idx="35">
                    <c:v>2021</c:v>
                  </c:pt>
                </c:lvl>
                <c:lvl>
                  <c:pt idx="0">
                    <c:v>COMUNA 1</c:v>
                  </c:pt>
                  <c:pt idx="6">
                    <c:v>COMUNA 2</c:v>
                  </c:pt>
                  <c:pt idx="12">
                    <c:v>COMUNA 3</c:v>
                  </c:pt>
                  <c:pt idx="18">
                    <c:v>COMUNA 4</c:v>
                  </c:pt>
                  <c:pt idx="24">
                    <c:v>COMUNA 5</c:v>
                  </c:pt>
                  <c:pt idx="30">
                    <c:v>COMUNA 6</c:v>
                  </c:pt>
                </c:lvl>
              </c:multiLvlStrCache>
            </c:multiLvlStrRef>
          </c:cat>
          <c:val>
            <c:numRef>
              <c:f>MATE!$BF$266:$CO$266</c:f>
              <c:numCache>
                <c:formatCode>0%</c:formatCode>
                <c:ptCount val="36"/>
                <c:pt idx="0">
                  <c:v>0.39666666666666667</c:v>
                </c:pt>
                <c:pt idx="1">
                  <c:v>0.38923076923076927</c:v>
                </c:pt>
                <c:pt idx="2">
                  <c:v>0.38923076923076916</c:v>
                </c:pt>
                <c:pt idx="3">
                  <c:v>0.35461538461538467</c:v>
                </c:pt>
                <c:pt idx="4">
                  <c:v>0.35923076923076924</c:v>
                </c:pt>
                <c:pt idx="5">
                  <c:v>0.35615384615384621</c:v>
                </c:pt>
                <c:pt idx="6">
                  <c:v>0.35533333333333333</c:v>
                </c:pt>
                <c:pt idx="7">
                  <c:v>0.33500000000000008</c:v>
                </c:pt>
                <c:pt idx="8">
                  <c:v>0.33750000000000002</c:v>
                </c:pt>
                <c:pt idx="9">
                  <c:v>0.30941176470588239</c:v>
                </c:pt>
                <c:pt idx="10">
                  <c:v>0.28611111111111115</c:v>
                </c:pt>
                <c:pt idx="11">
                  <c:v>0.35352941176470598</c:v>
                </c:pt>
                <c:pt idx="12">
                  <c:v>0.33</c:v>
                </c:pt>
                <c:pt idx="13">
                  <c:v>0.36083333333333334</c:v>
                </c:pt>
                <c:pt idx="14">
                  <c:v>0.3241666666666666</c:v>
                </c:pt>
                <c:pt idx="15">
                  <c:v>0.32250000000000001</c:v>
                </c:pt>
                <c:pt idx="16">
                  <c:v>0.27615384615384614</c:v>
                </c:pt>
                <c:pt idx="17">
                  <c:v>0.29461538461538461</c:v>
                </c:pt>
                <c:pt idx="18">
                  <c:v>0.33833333333333332</c:v>
                </c:pt>
                <c:pt idx="19">
                  <c:v>0.35142857142857142</c:v>
                </c:pt>
                <c:pt idx="20">
                  <c:v>0.30285714285714288</c:v>
                </c:pt>
                <c:pt idx="21">
                  <c:v>0.41166666666666663</c:v>
                </c:pt>
                <c:pt idx="22">
                  <c:v>0.39800000000000002</c:v>
                </c:pt>
                <c:pt idx="23">
                  <c:v>0.4366666666666667</c:v>
                </c:pt>
                <c:pt idx="24">
                  <c:v>0.29466666666666669</c:v>
                </c:pt>
                <c:pt idx="25">
                  <c:v>0.24642857142857147</c:v>
                </c:pt>
                <c:pt idx="26">
                  <c:v>0.29571428571428571</c:v>
                </c:pt>
                <c:pt idx="27">
                  <c:v>0.25266666666666665</c:v>
                </c:pt>
                <c:pt idx="28">
                  <c:v>0.22000000000000003</c:v>
                </c:pt>
                <c:pt idx="29">
                  <c:v>0.3126666666666667</c:v>
                </c:pt>
                <c:pt idx="30">
                  <c:v>0.30499999999999999</c:v>
                </c:pt>
                <c:pt idx="31">
                  <c:v>0.3833333333333333</c:v>
                </c:pt>
                <c:pt idx="32">
                  <c:v>0.39909090909090905</c:v>
                </c:pt>
                <c:pt idx="33">
                  <c:v>0.34083333333333332</c:v>
                </c:pt>
                <c:pt idx="34">
                  <c:v>0.40833333333333338</c:v>
                </c:pt>
                <c:pt idx="35">
                  <c:v>0.41000000000000009</c:v>
                </c:pt>
              </c:numCache>
            </c:numRef>
          </c:val>
          <c:extLst>
            <c:ext xmlns:c16="http://schemas.microsoft.com/office/drawing/2014/chart" uri="{C3380CC4-5D6E-409C-BE32-E72D297353CC}">
              <c16:uniqueId val="{00000001-BFA7-47E9-9C97-CAEFA3153E3F}"/>
            </c:ext>
          </c:extLst>
        </c:ser>
        <c:ser>
          <c:idx val="2"/>
          <c:order val="2"/>
          <c:tx>
            <c:strRef>
              <c:f>MATE!$BE$267</c:f>
              <c:strCache>
                <c:ptCount val="1"/>
                <c:pt idx="0">
                  <c:v>3</c:v>
                </c:pt>
              </c:strCache>
            </c:strRef>
          </c:tx>
          <c:spPr>
            <a:solidFill>
              <a:srgbClr val="FFC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MATE!$BF$263:$CO$264</c:f>
              <c:multiLvlStrCache>
                <c:ptCount val="36"/>
                <c:lvl>
                  <c:pt idx="0">
                    <c:v>2016</c:v>
                  </c:pt>
                  <c:pt idx="1">
                    <c:v>2017</c:v>
                  </c:pt>
                  <c:pt idx="2">
                    <c:v>2018</c:v>
                  </c:pt>
                  <c:pt idx="3">
                    <c:v>2019</c:v>
                  </c:pt>
                  <c:pt idx="4">
                    <c:v>2020</c:v>
                  </c:pt>
                  <c:pt idx="5">
                    <c:v>2021</c:v>
                  </c:pt>
                  <c:pt idx="6">
                    <c:v>2016</c:v>
                  </c:pt>
                  <c:pt idx="7">
                    <c:v>2017</c:v>
                  </c:pt>
                  <c:pt idx="8">
                    <c:v>2018</c:v>
                  </c:pt>
                  <c:pt idx="9">
                    <c:v>2019</c:v>
                  </c:pt>
                  <c:pt idx="10">
                    <c:v>2020</c:v>
                  </c:pt>
                  <c:pt idx="11">
                    <c:v>2021</c:v>
                  </c:pt>
                  <c:pt idx="12">
                    <c:v>2016</c:v>
                  </c:pt>
                  <c:pt idx="13">
                    <c:v>2017</c:v>
                  </c:pt>
                  <c:pt idx="14">
                    <c:v>2018</c:v>
                  </c:pt>
                  <c:pt idx="15">
                    <c:v>2019</c:v>
                  </c:pt>
                  <c:pt idx="16">
                    <c:v>2020</c:v>
                  </c:pt>
                  <c:pt idx="17">
                    <c:v>2021</c:v>
                  </c:pt>
                  <c:pt idx="18">
                    <c:v>2016</c:v>
                  </c:pt>
                  <c:pt idx="19">
                    <c:v>2017</c:v>
                  </c:pt>
                  <c:pt idx="20">
                    <c:v>2018</c:v>
                  </c:pt>
                  <c:pt idx="21">
                    <c:v>2019</c:v>
                  </c:pt>
                  <c:pt idx="22">
                    <c:v>2020</c:v>
                  </c:pt>
                  <c:pt idx="23">
                    <c:v>2021</c:v>
                  </c:pt>
                  <c:pt idx="24">
                    <c:v>2016</c:v>
                  </c:pt>
                  <c:pt idx="25">
                    <c:v>2017</c:v>
                  </c:pt>
                  <c:pt idx="26">
                    <c:v>2018</c:v>
                  </c:pt>
                  <c:pt idx="27">
                    <c:v>2019</c:v>
                  </c:pt>
                  <c:pt idx="28">
                    <c:v>2020</c:v>
                  </c:pt>
                  <c:pt idx="29">
                    <c:v>2021</c:v>
                  </c:pt>
                  <c:pt idx="30">
                    <c:v>2016</c:v>
                  </c:pt>
                  <c:pt idx="31">
                    <c:v>2017</c:v>
                  </c:pt>
                  <c:pt idx="32">
                    <c:v>2018</c:v>
                  </c:pt>
                  <c:pt idx="33">
                    <c:v>2019</c:v>
                  </c:pt>
                  <c:pt idx="34">
                    <c:v>2020</c:v>
                  </c:pt>
                  <c:pt idx="35">
                    <c:v>2021</c:v>
                  </c:pt>
                </c:lvl>
                <c:lvl>
                  <c:pt idx="0">
                    <c:v>COMUNA 1</c:v>
                  </c:pt>
                  <c:pt idx="6">
                    <c:v>COMUNA 2</c:v>
                  </c:pt>
                  <c:pt idx="12">
                    <c:v>COMUNA 3</c:v>
                  </c:pt>
                  <c:pt idx="18">
                    <c:v>COMUNA 4</c:v>
                  </c:pt>
                  <c:pt idx="24">
                    <c:v>COMUNA 5</c:v>
                  </c:pt>
                  <c:pt idx="30">
                    <c:v>COMUNA 6</c:v>
                  </c:pt>
                </c:lvl>
              </c:multiLvlStrCache>
            </c:multiLvlStrRef>
          </c:cat>
          <c:val>
            <c:numRef>
              <c:f>MATE!$BF$267:$CO$267</c:f>
              <c:numCache>
                <c:formatCode>0%</c:formatCode>
                <c:ptCount val="36"/>
                <c:pt idx="0">
                  <c:v>0.53916666666666668</c:v>
                </c:pt>
                <c:pt idx="1">
                  <c:v>0.53307692307692311</c:v>
                </c:pt>
                <c:pt idx="2">
                  <c:v>0.52615384615384619</c:v>
                </c:pt>
                <c:pt idx="3">
                  <c:v>0.58615384615384625</c:v>
                </c:pt>
                <c:pt idx="4">
                  <c:v>0.57692307692307687</c:v>
                </c:pt>
                <c:pt idx="5">
                  <c:v>0.57076923076923081</c:v>
                </c:pt>
                <c:pt idx="6">
                  <c:v>0.57133333333333336</c:v>
                </c:pt>
                <c:pt idx="7">
                  <c:v>0.55937499999999996</c:v>
                </c:pt>
                <c:pt idx="8">
                  <c:v>0.61312499999999992</c:v>
                </c:pt>
                <c:pt idx="9">
                  <c:v>0.6164705882352941</c:v>
                </c:pt>
                <c:pt idx="10">
                  <c:v>0.6399999999999999</c:v>
                </c:pt>
                <c:pt idx="11">
                  <c:v>0.55588235294117638</c:v>
                </c:pt>
                <c:pt idx="12">
                  <c:v>0.60166666666666668</c:v>
                </c:pt>
                <c:pt idx="13">
                  <c:v>0.57416666666666671</c:v>
                </c:pt>
                <c:pt idx="14">
                  <c:v>0.59333333333333327</c:v>
                </c:pt>
                <c:pt idx="15">
                  <c:v>0.61249999999999993</c:v>
                </c:pt>
                <c:pt idx="16">
                  <c:v>0.67153846153846153</c:v>
                </c:pt>
                <c:pt idx="17">
                  <c:v>0.64076923076923076</c:v>
                </c:pt>
                <c:pt idx="18">
                  <c:v>0.505</c:v>
                </c:pt>
                <c:pt idx="19">
                  <c:v>0.56714285714285717</c:v>
                </c:pt>
                <c:pt idx="20">
                  <c:v>0.66</c:v>
                </c:pt>
                <c:pt idx="21">
                  <c:v>0.52666666666666673</c:v>
                </c:pt>
                <c:pt idx="22">
                  <c:v>0.48799999999999999</c:v>
                </c:pt>
                <c:pt idx="23">
                  <c:v>0.49499999999999994</c:v>
                </c:pt>
                <c:pt idx="24">
                  <c:v>0.65800000000000003</c:v>
                </c:pt>
                <c:pt idx="25">
                  <c:v>0.66642857142857148</c:v>
                </c:pt>
                <c:pt idx="26">
                  <c:v>0.63357142857142856</c:v>
                </c:pt>
                <c:pt idx="27">
                  <c:v>0.68266666666666653</c:v>
                </c:pt>
                <c:pt idx="28">
                  <c:v>0.71533333333333338</c:v>
                </c:pt>
                <c:pt idx="29">
                  <c:v>0.6166666666666667</c:v>
                </c:pt>
                <c:pt idx="30">
                  <c:v>0.58250000000000002</c:v>
                </c:pt>
                <c:pt idx="31">
                  <c:v>0.5083333333333333</c:v>
                </c:pt>
                <c:pt idx="32">
                  <c:v>0.56181818181818177</c:v>
                </c:pt>
                <c:pt idx="33">
                  <c:v>0.58416666666666661</c:v>
                </c:pt>
                <c:pt idx="34">
                  <c:v>0.52833333333333332</c:v>
                </c:pt>
                <c:pt idx="35">
                  <c:v>0.52500000000000002</c:v>
                </c:pt>
              </c:numCache>
            </c:numRef>
          </c:val>
          <c:extLst>
            <c:ext xmlns:c16="http://schemas.microsoft.com/office/drawing/2014/chart" uri="{C3380CC4-5D6E-409C-BE32-E72D297353CC}">
              <c16:uniqueId val="{00000002-BFA7-47E9-9C97-CAEFA3153E3F}"/>
            </c:ext>
          </c:extLst>
        </c:ser>
        <c:ser>
          <c:idx val="3"/>
          <c:order val="3"/>
          <c:tx>
            <c:strRef>
              <c:f>MATE!$BE$268</c:f>
              <c:strCache>
                <c:ptCount val="1"/>
                <c:pt idx="0">
                  <c:v>4</c:v>
                </c:pt>
              </c:strCache>
            </c:strRef>
          </c:tx>
          <c:spPr>
            <a:solidFill>
              <a:srgbClr val="00B05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MATE!$BF$263:$CO$264</c:f>
              <c:multiLvlStrCache>
                <c:ptCount val="36"/>
                <c:lvl>
                  <c:pt idx="0">
                    <c:v>2016</c:v>
                  </c:pt>
                  <c:pt idx="1">
                    <c:v>2017</c:v>
                  </c:pt>
                  <c:pt idx="2">
                    <c:v>2018</c:v>
                  </c:pt>
                  <c:pt idx="3">
                    <c:v>2019</c:v>
                  </c:pt>
                  <c:pt idx="4">
                    <c:v>2020</c:v>
                  </c:pt>
                  <c:pt idx="5">
                    <c:v>2021</c:v>
                  </c:pt>
                  <c:pt idx="6">
                    <c:v>2016</c:v>
                  </c:pt>
                  <c:pt idx="7">
                    <c:v>2017</c:v>
                  </c:pt>
                  <c:pt idx="8">
                    <c:v>2018</c:v>
                  </c:pt>
                  <c:pt idx="9">
                    <c:v>2019</c:v>
                  </c:pt>
                  <c:pt idx="10">
                    <c:v>2020</c:v>
                  </c:pt>
                  <c:pt idx="11">
                    <c:v>2021</c:v>
                  </c:pt>
                  <c:pt idx="12">
                    <c:v>2016</c:v>
                  </c:pt>
                  <c:pt idx="13">
                    <c:v>2017</c:v>
                  </c:pt>
                  <c:pt idx="14">
                    <c:v>2018</c:v>
                  </c:pt>
                  <c:pt idx="15">
                    <c:v>2019</c:v>
                  </c:pt>
                  <c:pt idx="16">
                    <c:v>2020</c:v>
                  </c:pt>
                  <c:pt idx="17">
                    <c:v>2021</c:v>
                  </c:pt>
                  <c:pt idx="18">
                    <c:v>2016</c:v>
                  </c:pt>
                  <c:pt idx="19">
                    <c:v>2017</c:v>
                  </c:pt>
                  <c:pt idx="20">
                    <c:v>2018</c:v>
                  </c:pt>
                  <c:pt idx="21">
                    <c:v>2019</c:v>
                  </c:pt>
                  <c:pt idx="22">
                    <c:v>2020</c:v>
                  </c:pt>
                  <c:pt idx="23">
                    <c:v>2021</c:v>
                  </c:pt>
                  <c:pt idx="24">
                    <c:v>2016</c:v>
                  </c:pt>
                  <c:pt idx="25">
                    <c:v>2017</c:v>
                  </c:pt>
                  <c:pt idx="26">
                    <c:v>2018</c:v>
                  </c:pt>
                  <c:pt idx="27">
                    <c:v>2019</c:v>
                  </c:pt>
                  <c:pt idx="28">
                    <c:v>2020</c:v>
                  </c:pt>
                  <c:pt idx="29">
                    <c:v>2021</c:v>
                  </c:pt>
                  <c:pt idx="30">
                    <c:v>2016</c:v>
                  </c:pt>
                  <c:pt idx="31">
                    <c:v>2017</c:v>
                  </c:pt>
                  <c:pt idx="32">
                    <c:v>2018</c:v>
                  </c:pt>
                  <c:pt idx="33">
                    <c:v>2019</c:v>
                  </c:pt>
                  <c:pt idx="34">
                    <c:v>2020</c:v>
                  </c:pt>
                  <c:pt idx="35">
                    <c:v>2021</c:v>
                  </c:pt>
                </c:lvl>
                <c:lvl>
                  <c:pt idx="0">
                    <c:v>COMUNA 1</c:v>
                  </c:pt>
                  <c:pt idx="6">
                    <c:v>COMUNA 2</c:v>
                  </c:pt>
                  <c:pt idx="12">
                    <c:v>COMUNA 3</c:v>
                  </c:pt>
                  <c:pt idx="18">
                    <c:v>COMUNA 4</c:v>
                  </c:pt>
                  <c:pt idx="24">
                    <c:v>COMUNA 5</c:v>
                  </c:pt>
                  <c:pt idx="30">
                    <c:v>COMUNA 6</c:v>
                  </c:pt>
                </c:lvl>
              </c:multiLvlStrCache>
            </c:multiLvlStrRef>
          </c:cat>
          <c:val>
            <c:numRef>
              <c:f>MATE!$BF$268:$CO$268</c:f>
              <c:numCache>
                <c:formatCode>0%</c:formatCode>
                <c:ptCount val="36"/>
                <c:pt idx="0">
                  <c:v>7.4999999999999997E-3</c:v>
                </c:pt>
                <c:pt idx="1">
                  <c:v>2.8461538461538465E-2</c:v>
                </c:pt>
                <c:pt idx="2">
                  <c:v>3.692307692307692E-2</c:v>
                </c:pt>
                <c:pt idx="3">
                  <c:v>2.6923076923076925E-2</c:v>
                </c:pt>
                <c:pt idx="4">
                  <c:v>3.3846153846153845E-2</c:v>
                </c:pt>
                <c:pt idx="5">
                  <c:v>3.0769230769230774E-2</c:v>
                </c:pt>
                <c:pt idx="6">
                  <c:v>1.9333333333333334E-2</c:v>
                </c:pt>
                <c:pt idx="7">
                  <c:v>4.4375000000000005E-2</c:v>
                </c:pt>
                <c:pt idx="8">
                  <c:v>1.6250000000000001E-2</c:v>
                </c:pt>
                <c:pt idx="9">
                  <c:v>4.0000000000000008E-2</c:v>
                </c:pt>
                <c:pt idx="10">
                  <c:v>4.055555555555556E-2</c:v>
                </c:pt>
                <c:pt idx="11">
                  <c:v>3.1176470588235295E-2</c:v>
                </c:pt>
                <c:pt idx="12">
                  <c:v>3.666666666666666E-2</c:v>
                </c:pt>
                <c:pt idx="13">
                  <c:v>3.7499999999999999E-2</c:v>
                </c:pt>
                <c:pt idx="14">
                  <c:v>4.9166666666666671E-2</c:v>
                </c:pt>
                <c:pt idx="15">
                  <c:v>3.5000000000000003E-2</c:v>
                </c:pt>
                <c:pt idx="16">
                  <c:v>3.9230769230769243E-2</c:v>
                </c:pt>
                <c:pt idx="17">
                  <c:v>3.692307692307692E-2</c:v>
                </c:pt>
                <c:pt idx="18">
                  <c:v>0</c:v>
                </c:pt>
                <c:pt idx="19">
                  <c:v>1.1428571428571429E-2</c:v>
                </c:pt>
                <c:pt idx="20">
                  <c:v>1.1428571428571429E-2</c:v>
                </c:pt>
                <c:pt idx="21">
                  <c:v>0.03</c:v>
                </c:pt>
                <c:pt idx="22">
                  <c:v>6.2E-2</c:v>
                </c:pt>
                <c:pt idx="23">
                  <c:v>2.1666666666666667E-2</c:v>
                </c:pt>
                <c:pt idx="24">
                  <c:v>2.6000000000000002E-2</c:v>
                </c:pt>
                <c:pt idx="25">
                  <c:v>4.9285714285714301E-2</c:v>
                </c:pt>
                <c:pt idx="26">
                  <c:v>5.2857142857142859E-2</c:v>
                </c:pt>
                <c:pt idx="27">
                  <c:v>0.05</c:v>
                </c:pt>
                <c:pt idx="28">
                  <c:v>4.8000000000000008E-2</c:v>
                </c:pt>
                <c:pt idx="29">
                  <c:v>4.7333333333333345E-2</c:v>
                </c:pt>
                <c:pt idx="30">
                  <c:v>1.0833333333333332E-2</c:v>
                </c:pt>
                <c:pt idx="31">
                  <c:v>0.02</c:v>
                </c:pt>
                <c:pt idx="32">
                  <c:v>1.5454545454545455E-2</c:v>
                </c:pt>
                <c:pt idx="33">
                  <c:v>4.3333333333333335E-2</c:v>
                </c:pt>
                <c:pt idx="34">
                  <c:v>3.2500000000000001E-2</c:v>
                </c:pt>
                <c:pt idx="35">
                  <c:v>3.8333333333333337E-2</c:v>
                </c:pt>
              </c:numCache>
            </c:numRef>
          </c:val>
          <c:extLst>
            <c:ext xmlns:c16="http://schemas.microsoft.com/office/drawing/2014/chart" uri="{C3380CC4-5D6E-409C-BE32-E72D297353CC}">
              <c16:uniqueId val="{00000003-BFA7-47E9-9C97-CAEFA3153E3F}"/>
            </c:ext>
          </c:extLst>
        </c:ser>
        <c:dLbls>
          <c:showLegendKey val="0"/>
          <c:showVal val="0"/>
          <c:showCatName val="0"/>
          <c:showSerName val="0"/>
          <c:showPercent val="0"/>
          <c:showBubbleSize val="0"/>
        </c:dLbls>
        <c:gapWidth val="150"/>
        <c:overlap val="100"/>
        <c:axId val="744346207"/>
        <c:axId val="634479663"/>
      </c:barChart>
      <c:catAx>
        <c:axId val="74434620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634479663"/>
        <c:crosses val="autoZero"/>
        <c:auto val="1"/>
        <c:lblAlgn val="ctr"/>
        <c:lblOffset val="100"/>
        <c:noMultiLvlLbl val="0"/>
      </c:catAx>
      <c:valAx>
        <c:axId val="634479663"/>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74434620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sz="1400"/>
              <a:t>Resultados Sociales</a:t>
            </a:r>
            <a:r>
              <a:rPr lang="es-CO" sz="1400" baseline="0"/>
              <a:t> y Ciudadanas por Comunas 2016-2023</a:t>
            </a:r>
          </a:p>
        </c:rich>
      </c:tx>
      <c:overlay val="0"/>
    </c:title>
    <c:autoTitleDeleted val="0"/>
    <c:plotArea>
      <c:layout>
        <c:manualLayout>
          <c:layoutTarget val="inner"/>
          <c:xMode val="edge"/>
          <c:yMode val="edge"/>
          <c:x val="0.187328318016004"/>
          <c:y val="0.22896914253369183"/>
          <c:w val="0.52448317438146963"/>
          <c:h val="0.71774876595107084"/>
        </c:manualLayout>
      </c:layout>
      <c:radarChart>
        <c:radarStyle val="marker"/>
        <c:varyColors val="0"/>
        <c:ser>
          <c:idx val="0"/>
          <c:order val="0"/>
          <c:tx>
            <c:strRef>
              <c:f>SyC!$Z$173</c:f>
              <c:strCache>
                <c:ptCount val="1"/>
                <c:pt idx="0">
                  <c:v>2016</c:v>
                </c:pt>
              </c:strCache>
            </c:strRef>
          </c:tx>
          <c:spPr>
            <a:ln>
              <a:prstDash val="lgDashDot"/>
            </a:ln>
          </c:spPr>
          <c:cat>
            <c:strRef>
              <c:f>SyC!$Y$174:$Y$179</c:f>
              <c:strCache>
                <c:ptCount val="6"/>
                <c:pt idx="0">
                  <c:v>COMUNA 1</c:v>
                </c:pt>
                <c:pt idx="1">
                  <c:v>COMUNA 2</c:v>
                </c:pt>
                <c:pt idx="2">
                  <c:v>COMUNA 3</c:v>
                </c:pt>
                <c:pt idx="3">
                  <c:v>COMUNA 4</c:v>
                </c:pt>
                <c:pt idx="4">
                  <c:v>COMUNA 5</c:v>
                </c:pt>
                <c:pt idx="5">
                  <c:v>COMUNA 6</c:v>
                </c:pt>
              </c:strCache>
            </c:strRef>
          </c:cat>
          <c:val>
            <c:numRef>
              <c:f>SyC!$Z$174:$Z$179</c:f>
              <c:numCache>
                <c:formatCode>0</c:formatCode>
                <c:ptCount val="6"/>
                <c:pt idx="0">
                  <c:v>50.588235294117645</c:v>
                </c:pt>
                <c:pt idx="1">
                  <c:v>52.9</c:v>
                </c:pt>
                <c:pt idx="2">
                  <c:v>52.4375</c:v>
                </c:pt>
                <c:pt idx="3">
                  <c:v>48.142857142857146</c:v>
                </c:pt>
                <c:pt idx="4">
                  <c:v>54.235294117647058</c:v>
                </c:pt>
                <c:pt idx="5">
                  <c:v>52.06666666666667</c:v>
                </c:pt>
              </c:numCache>
            </c:numRef>
          </c:val>
          <c:extLst>
            <c:ext xmlns:c16="http://schemas.microsoft.com/office/drawing/2014/chart" uri="{C3380CC4-5D6E-409C-BE32-E72D297353CC}">
              <c16:uniqueId val="{00000000-6FF0-4DC3-B973-4582DD3ABCD4}"/>
            </c:ext>
          </c:extLst>
        </c:ser>
        <c:ser>
          <c:idx val="1"/>
          <c:order val="1"/>
          <c:tx>
            <c:strRef>
              <c:f>SyC!$AA$173</c:f>
              <c:strCache>
                <c:ptCount val="1"/>
                <c:pt idx="0">
                  <c:v>2017</c:v>
                </c:pt>
              </c:strCache>
            </c:strRef>
          </c:tx>
          <c:cat>
            <c:strRef>
              <c:f>SyC!$Y$174:$Y$179</c:f>
              <c:strCache>
                <c:ptCount val="6"/>
                <c:pt idx="0">
                  <c:v>COMUNA 1</c:v>
                </c:pt>
                <c:pt idx="1">
                  <c:v>COMUNA 2</c:v>
                </c:pt>
                <c:pt idx="2">
                  <c:v>COMUNA 3</c:v>
                </c:pt>
                <c:pt idx="3">
                  <c:v>COMUNA 4</c:v>
                </c:pt>
                <c:pt idx="4">
                  <c:v>COMUNA 5</c:v>
                </c:pt>
                <c:pt idx="5">
                  <c:v>COMUNA 6</c:v>
                </c:pt>
              </c:strCache>
            </c:strRef>
          </c:cat>
          <c:val>
            <c:numRef>
              <c:f>SyC!$AA$174:$AA$179</c:f>
              <c:numCache>
                <c:formatCode>0</c:formatCode>
                <c:ptCount val="6"/>
                <c:pt idx="0">
                  <c:v>50.8125</c:v>
                </c:pt>
                <c:pt idx="1">
                  <c:v>52.421052631578945</c:v>
                </c:pt>
                <c:pt idx="2">
                  <c:v>52.588235294117645</c:v>
                </c:pt>
                <c:pt idx="3">
                  <c:v>50.266666666666666</c:v>
                </c:pt>
                <c:pt idx="4">
                  <c:v>54.117647058823529</c:v>
                </c:pt>
                <c:pt idx="5">
                  <c:v>50.6</c:v>
                </c:pt>
              </c:numCache>
            </c:numRef>
          </c:val>
          <c:extLst>
            <c:ext xmlns:c16="http://schemas.microsoft.com/office/drawing/2014/chart" uri="{C3380CC4-5D6E-409C-BE32-E72D297353CC}">
              <c16:uniqueId val="{00000001-6FF0-4DC3-B973-4582DD3ABCD4}"/>
            </c:ext>
          </c:extLst>
        </c:ser>
        <c:ser>
          <c:idx val="2"/>
          <c:order val="2"/>
          <c:tx>
            <c:strRef>
              <c:f>SyC!$AB$173</c:f>
              <c:strCache>
                <c:ptCount val="1"/>
                <c:pt idx="0">
                  <c:v>2018</c:v>
                </c:pt>
              </c:strCache>
            </c:strRef>
          </c:tx>
          <c:spPr>
            <a:ln>
              <a:prstDash val="sysDash"/>
            </a:ln>
          </c:spPr>
          <c:cat>
            <c:strRef>
              <c:f>SyC!$Y$174:$Y$179</c:f>
              <c:strCache>
                <c:ptCount val="6"/>
                <c:pt idx="0">
                  <c:v>COMUNA 1</c:v>
                </c:pt>
                <c:pt idx="1">
                  <c:v>COMUNA 2</c:v>
                </c:pt>
                <c:pt idx="2">
                  <c:v>COMUNA 3</c:v>
                </c:pt>
                <c:pt idx="3">
                  <c:v>COMUNA 4</c:v>
                </c:pt>
                <c:pt idx="4">
                  <c:v>COMUNA 5</c:v>
                </c:pt>
                <c:pt idx="5">
                  <c:v>COMUNA 6</c:v>
                </c:pt>
              </c:strCache>
            </c:strRef>
          </c:cat>
          <c:val>
            <c:numRef>
              <c:f>SyC!$AB$174:$AB$179</c:f>
              <c:numCache>
                <c:formatCode>0</c:formatCode>
                <c:ptCount val="6"/>
                <c:pt idx="0">
                  <c:v>48.882352941176471</c:v>
                </c:pt>
                <c:pt idx="1">
                  <c:v>50.684210526315788</c:v>
                </c:pt>
                <c:pt idx="2">
                  <c:v>51.176470588235297</c:v>
                </c:pt>
                <c:pt idx="3">
                  <c:v>47.93333333333333</c:v>
                </c:pt>
                <c:pt idx="4">
                  <c:v>52.555555555555557</c:v>
                </c:pt>
                <c:pt idx="5">
                  <c:v>50.571428571428569</c:v>
                </c:pt>
              </c:numCache>
            </c:numRef>
          </c:val>
          <c:extLst>
            <c:ext xmlns:c16="http://schemas.microsoft.com/office/drawing/2014/chart" uri="{C3380CC4-5D6E-409C-BE32-E72D297353CC}">
              <c16:uniqueId val="{00000002-6FF0-4DC3-B973-4582DD3ABCD4}"/>
            </c:ext>
          </c:extLst>
        </c:ser>
        <c:ser>
          <c:idx val="3"/>
          <c:order val="3"/>
          <c:tx>
            <c:strRef>
              <c:f>SyC!$AC$173</c:f>
              <c:strCache>
                <c:ptCount val="1"/>
                <c:pt idx="0">
                  <c:v>2019</c:v>
                </c:pt>
              </c:strCache>
            </c:strRef>
          </c:tx>
          <c:cat>
            <c:strRef>
              <c:f>SyC!$Y$174:$Y$179</c:f>
              <c:strCache>
                <c:ptCount val="6"/>
                <c:pt idx="0">
                  <c:v>COMUNA 1</c:v>
                </c:pt>
                <c:pt idx="1">
                  <c:v>COMUNA 2</c:v>
                </c:pt>
                <c:pt idx="2">
                  <c:v>COMUNA 3</c:v>
                </c:pt>
                <c:pt idx="3">
                  <c:v>COMUNA 4</c:v>
                </c:pt>
                <c:pt idx="4">
                  <c:v>COMUNA 5</c:v>
                </c:pt>
                <c:pt idx="5">
                  <c:v>COMUNA 6</c:v>
                </c:pt>
              </c:strCache>
            </c:strRef>
          </c:cat>
          <c:val>
            <c:numRef>
              <c:f>SyC!$AC$174:$AC$179</c:f>
              <c:numCache>
                <c:formatCode>0</c:formatCode>
                <c:ptCount val="6"/>
                <c:pt idx="0">
                  <c:v>46.941176470588232</c:v>
                </c:pt>
                <c:pt idx="1">
                  <c:v>49.65</c:v>
                </c:pt>
                <c:pt idx="2">
                  <c:v>48.705882352941174</c:v>
                </c:pt>
                <c:pt idx="3">
                  <c:v>45.785714285714285</c:v>
                </c:pt>
                <c:pt idx="4">
                  <c:v>50.421052631578945</c:v>
                </c:pt>
                <c:pt idx="5">
                  <c:v>49.2</c:v>
                </c:pt>
              </c:numCache>
            </c:numRef>
          </c:val>
          <c:extLst>
            <c:ext xmlns:c16="http://schemas.microsoft.com/office/drawing/2014/chart" uri="{C3380CC4-5D6E-409C-BE32-E72D297353CC}">
              <c16:uniqueId val="{00000003-6FF0-4DC3-B973-4582DD3ABCD4}"/>
            </c:ext>
          </c:extLst>
        </c:ser>
        <c:ser>
          <c:idx val="4"/>
          <c:order val="4"/>
          <c:tx>
            <c:strRef>
              <c:f>SyC!$AD$173</c:f>
              <c:strCache>
                <c:ptCount val="1"/>
                <c:pt idx="0">
                  <c:v>2020</c:v>
                </c:pt>
              </c:strCache>
            </c:strRef>
          </c:tx>
          <c:cat>
            <c:strRef>
              <c:f>SyC!$Y$174:$Y$179</c:f>
              <c:strCache>
                <c:ptCount val="6"/>
                <c:pt idx="0">
                  <c:v>COMUNA 1</c:v>
                </c:pt>
                <c:pt idx="1">
                  <c:v>COMUNA 2</c:v>
                </c:pt>
                <c:pt idx="2">
                  <c:v>COMUNA 3</c:v>
                </c:pt>
                <c:pt idx="3">
                  <c:v>COMUNA 4</c:v>
                </c:pt>
                <c:pt idx="4">
                  <c:v>COMUNA 5</c:v>
                </c:pt>
                <c:pt idx="5">
                  <c:v>COMUNA 6</c:v>
                </c:pt>
              </c:strCache>
            </c:strRef>
          </c:cat>
          <c:val>
            <c:numRef>
              <c:f>SyC!$AD$174:$AD$179</c:f>
              <c:numCache>
                <c:formatCode>0</c:formatCode>
                <c:ptCount val="6"/>
                <c:pt idx="0">
                  <c:v>50.058823529411768</c:v>
                </c:pt>
                <c:pt idx="1">
                  <c:v>51.083333333333336</c:v>
                </c:pt>
                <c:pt idx="2">
                  <c:v>51.578947368421055</c:v>
                </c:pt>
                <c:pt idx="3">
                  <c:v>46.692307692307693</c:v>
                </c:pt>
                <c:pt idx="4">
                  <c:v>53.777777777777779</c:v>
                </c:pt>
                <c:pt idx="5">
                  <c:v>49.588235294117645</c:v>
                </c:pt>
              </c:numCache>
            </c:numRef>
          </c:val>
          <c:extLst>
            <c:ext xmlns:c16="http://schemas.microsoft.com/office/drawing/2014/chart" uri="{C3380CC4-5D6E-409C-BE32-E72D297353CC}">
              <c16:uniqueId val="{00000001-B9F6-4279-8107-9D79A57E0273}"/>
            </c:ext>
          </c:extLst>
        </c:ser>
        <c:ser>
          <c:idx val="5"/>
          <c:order val="5"/>
          <c:tx>
            <c:strRef>
              <c:f>SyC!$AE$173</c:f>
              <c:strCache>
                <c:ptCount val="1"/>
                <c:pt idx="0">
                  <c:v>2021</c:v>
                </c:pt>
              </c:strCache>
            </c:strRef>
          </c:tx>
          <c:cat>
            <c:strRef>
              <c:f>SyC!$Y$174:$Y$179</c:f>
              <c:strCache>
                <c:ptCount val="6"/>
                <c:pt idx="0">
                  <c:v>COMUNA 1</c:v>
                </c:pt>
                <c:pt idx="1">
                  <c:v>COMUNA 2</c:v>
                </c:pt>
                <c:pt idx="2">
                  <c:v>COMUNA 3</c:v>
                </c:pt>
                <c:pt idx="3">
                  <c:v>COMUNA 4</c:v>
                </c:pt>
                <c:pt idx="4">
                  <c:v>COMUNA 5</c:v>
                </c:pt>
                <c:pt idx="5">
                  <c:v>COMUNA 6</c:v>
                </c:pt>
              </c:strCache>
            </c:strRef>
          </c:cat>
          <c:val>
            <c:numRef>
              <c:f>SyC!$AE$174:$AE$179</c:f>
              <c:numCache>
                <c:formatCode>0</c:formatCode>
                <c:ptCount val="6"/>
                <c:pt idx="0">
                  <c:v>50.058823529411768</c:v>
                </c:pt>
                <c:pt idx="1">
                  <c:v>51.083333333333336</c:v>
                </c:pt>
                <c:pt idx="2">
                  <c:v>51.578947368421055</c:v>
                </c:pt>
                <c:pt idx="3">
                  <c:v>46.692307692307693</c:v>
                </c:pt>
                <c:pt idx="4">
                  <c:v>53.777777777777779</c:v>
                </c:pt>
                <c:pt idx="5">
                  <c:v>49.588235294117645</c:v>
                </c:pt>
              </c:numCache>
            </c:numRef>
          </c:val>
          <c:extLst>
            <c:ext xmlns:c16="http://schemas.microsoft.com/office/drawing/2014/chart" uri="{C3380CC4-5D6E-409C-BE32-E72D297353CC}">
              <c16:uniqueId val="{00000000-E77B-48C2-BF8E-39EDC2786495}"/>
            </c:ext>
          </c:extLst>
        </c:ser>
        <c:ser>
          <c:idx val="6"/>
          <c:order val="6"/>
          <c:tx>
            <c:strRef>
              <c:f>SyC!$AF$173</c:f>
              <c:strCache>
                <c:ptCount val="1"/>
                <c:pt idx="0">
                  <c:v>2022</c:v>
                </c:pt>
              </c:strCache>
            </c:strRef>
          </c:tx>
          <c:cat>
            <c:strRef>
              <c:f>SyC!$Y$174:$Y$179</c:f>
              <c:strCache>
                <c:ptCount val="6"/>
                <c:pt idx="0">
                  <c:v>COMUNA 1</c:v>
                </c:pt>
                <c:pt idx="1">
                  <c:v>COMUNA 2</c:v>
                </c:pt>
                <c:pt idx="2">
                  <c:v>COMUNA 3</c:v>
                </c:pt>
                <c:pt idx="3">
                  <c:v>COMUNA 4</c:v>
                </c:pt>
                <c:pt idx="4">
                  <c:v>COMUNA 5</c:v>
                </c:pt>
                <c:pt idx="5">
                  <c:v>COMUNA 6</c:v>
                </c:pt>
              </c:strCache>
            </c:strRef>
          </c:cat>
          <c:val>
            <c:numRef>
              <c:f>SyC!$AF$174:$AF$179</c:f>
              <c:numCache>
                <c:formatCode>0</c:formatCode>
                <c:ptCount val="6"/>
                <c:pt idx="0">
                  <c:v>49.388888888888886</c:v>
                </c:pt>
                <c:pt idx="1">
                  <c:v>51.08</c:v>
                </c:pt>
                <c:pt idx="2">
                  <c:v>51.863636363636367</c:v>
                </c:pt>
                <c:pt idx="3">
                  <c:v>47.214285714285715</c:v>
                </c:pt>
                <c:pt idx="4">
                  <c:v>53.352941176470587</c:v>
                </c:pt>
                <c:pt idx="5">
                  <c:v>49.736842105263158</c:v>
                </c:pt>
              </c:numCache>
            </c:numRef>
          </c:val>
          <c:extLst>
            <c:ext xmlns:c16="http://schemas.microsoft.com/office/drawing/2014/chart" uri="{C3380CC4-5D6E-409C-BE32-E72D297353CC}">
              <c16:uniqueId val="{00000000-7138-4799-AF03-004EDD5E4386}"/>
            </c:ext>
          </c:extLst>
        </c:ser>
        <c:ser>
          <c:idx val="7"/>
          <c:order val="7"/>
          <c:tx>
            <c:strRef>
              <c:f>SyC!$AG$173</c:f>
              <c:strCache>
                <c:ptCount val="1"/>
                <c:pt idx="0">
                  <c:v>2023</c:v>
                </c:pt>
              </c:strCache>
            </c:strRef>
          </c:tx>
          <c:cat>
            <c:strRef>
              <c:f>SyC!$Y$174:$Y$179</c:f>
              <c:strCache>
                <c:ptCount val="6"/>
                <c:pt idx="0">
                  <c:v>COMUNA 1</c:v>
                </c:pt>
                <c:pt idx="1">
                  <c:v>COMUNA 2</c:v>
                </c:pt>
                <c:pt idx="2">
                  <c:v>COMUNA 3</c:v>
                </c:pt>
                <c:pt idx="3">
                  <c:v>COMUNA 4</c:v>
                </c:pt>
                <c:pt idx="4">
                  <c:v>COMUNA 5</c:v>
                </c:pt>
                <c:pt idx="5">
                  <c:v>COMUNA 6</c:v>
                </c:pt>
              </c:strCache>
            </c:strRef>
          </c:cat>
          <c:val>
            <c:numRef>
              <c:f>SyC!$AG$174:$AG$179</c:f>
              <c:numCache>
                <c:formatCode>0</c:formatCode>
                <c:ptCount val="6"/>
                <c:pt idx="0">
                  <c:v>50.058823529411768</c:v>
                </c:pt>
                <c:pt idx="1">
                  <c:v>51.5</c:v>
                </c:pt>
                <c:pt idx="2">
                  <c:v>51.409090909090907</c:v>
                </c:pt>
                <c:pt idx="3">
                  <c:v>46.733333333333334</c:v>
                </c:pt>
                <c:pt idx="4">
                  <c:v>53.647058823529413</c:v>
                </c:pt>
                <c:pt idx="5">
                  <c:v>51.15</c:v>
                </c:pt>
              </c:numCache>
            </c:numRef>
          </c:val>
          <c:extLst>
            <c:ext xmlns:c16="http://schemas.microsoft.com/office/drawing/2014/chart" uri="{C3380CC4-5D6E-409C-BE32-E72D297353CC}">
              <c16:uniqueId val="{00000001-7138-4799-AF03-004EDD5E4386}"/>
            </c:ext>
          </c:extLst>
        </c:ser>
        <c:dLbls>
          <c:showLegendKey val="0"/>
          <c:showVal val="0"/>
          <c:showCatName val="0"/>
          <c:showSerName val="0"/>
          <c:showPercent val="0"/>
          <c:showBubbleSize val="0"/>
        </c:dLbls>
        <c:axId val="38807040"/>
        <c:axId val="38808576"/>
      </c:radarChart>
      <c:catAx>
        <c:axId val="38807040"/>
        <c:scaling>
          <c:orientation val="minMax"/>
        </c:scaling>
        <c:delete val="0"/>
        <c:axPos val="b"/>
        <c:majorGridlines/>
        <c:numFmt formatCode="General" sourceLinked="0"/>
        <c:majorTickMark val="none"/>
        <c:minorTickMark val="none"/>
        <c:tickLblPos val="nextTo"/>
        <c:spPr>
          <a:ln w="9525">
            <a:noFill/>
          </a:ln>
        </c:spPr>
        <c:crossAx val="38808576"/>
        <c:crosses val="autoZero"/>
        <c:auto val="1"/>
        <c:lblAlgn val="ctr"/>
        <c:lblOffset val="100"/>
        <c:noMultiLvlLbl val="0"/>
      </c:catAx>
      <c:valAx>
        <c:axId val="38808576"/>
        <c:scaling>
          <c:orientation val="minMax"/>
          <c:max val="56"/>
          <c:min val="45"/>
        </c:scaling>
        <c:delete val="0"/>
        <c:axPos val="l"/>
        <c:majorGridlines/>
        <c:numFmt formatCode="0" sourceLinked="1"/>
        <c:majorTickMark val="none"/>
        <c:minorTickMark val="none"/>
        <c:tickLblPos val="nextTo"/>
        <c:crossAx val="38807040"/>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s-CO" sz="1200">
                <a:latin typeface="Arial" panose="020B0604020202020204" pitchFamily="34" charset="0"/>
                <a:cs typeface="Arial" panose="020B0604020202020204" pitchFamily="34" charset="0"/>
              </a:rPr>
              <a:t>Resultados</a:t>
            </a:r>
            <a:r>
              <a:rPr lang="es-CO" sz="1200" baseline="0">
                <a:latin typeface="Arial" panose="020B0604020202020204" pitchFamily="34" charset="0"/>
                <a:cs typeface="Arial" panose="020B0604020202020204" pitchFamily="34" charset="0"/>
              </a:rPr>
              <a:t> Saber 11 por prueba Soacha 2016-2023 </a:t>
            </a:r>
            <a:endParaRPr lang="es-CO" sz="1200">
              <a:latin typeface="Arial" panose="020B0604020202020204" pitchFamily="34" charset="0"/>
              <a:cs typeface="Arial" panose="020B0604020202020204" pitchFamily="34" charset="0"/>
            </a:endParaRPr>
          </a:p>
        </c:rich>
      </c:tx>
      <c:overlay val="0"/>
    </c:title>
    <c:autoTitleDeleted val="0"/>
    <c:plotArea>
      <c:layout/>
      <c:radarChart>
        <c:radarStyle val="marker"/>
        <c:varyColors val="0"/>
        <c:ser>
          <c:idx val="0"/>
          <c:order val="0"/>
          <c:tx>
            <c:strRef>
              <c:f>PGLOBAL!$S$242</c:f>
              <c:strCache>
                <c:ptCount val="1"/>
                <c:pt idx="0">
                  <c:v>2016</c:v>
                </c:pt>
              </c:strCache>
            </c:strRef>
          </c:tx>
          <c:spPr>
            <a:ln>
              <a:prstDash val="lgDashDot"/>
            </a:ln>
          </c:spPr>
          <c:cat>
            <c:strRef>
              <c:f>PGLOBAL!$R$243:$R$247</c:f>
              <c:strCache>
                <c:ptCount val="5"/>
                <c:pt idx="0">
                  <c:v>LECTURA CRÍTICA</c:v>
                </c:pt>
                <c:pt idx="1">
                  <c:v>MATEMATICAS</c:v>
                </c:pt>
                <c:pt idx="2">
                  <c:v>SOCIALES Y CIUDADANAS </c:v>
                </c:pt>
                <c:pt idx="3">
                  <c:v>CIENCIAS NATURALES</c:v>
                </c:pt>
                <c:pt idx="4">
                  <c:v>INGLÉS</c:v>
                </c:pt>
              </c:strCache>
            </c:strRef>
          </c:cat>
          <c:val>
            <c:numRef>
              <c:f>PGLOBAL!$S$243:$S$247</c:f>
              <c:numCache>
                <c:formatCode>General</c:formatCode>
                <c:ptCount val="5"/>
                <c:pt idx="0">
                  <c:v>54</c:v>
                </c:pt>
                <c:pt idx="1">
                  <c:v>52</c:v>
                </c:pt>
                <c:pt idx="2">
                  <c:v>52</c:v>
                </c:pt>
                <c:pt idx="3">
                  <c:v>54</c:v>
                </c:pt>
                <c:pt idx="4">
                  <c:v>54</c:v>
                </c:pt>
              </c:numCache>
            </c:numRef>
          </c:val>
          <c:extLst>
            <c:ext xmlns:c16="http://schemas.microsoft.com/office/drawing/2014/chart" uri="{C3380CC4-5D6E-409C-BE32-E72D297353CC}">
              <c16:uniqueId val="{00000000-045C-4993-AAF0-32CD2CF7F245}"/>
            </c:ext>
          </c:extLst>
        </c:ser>
        <c:ser>
          <c:idx val="1"/>
          <c:order val="1"/>
          <c:tx>
            <c:strRef>
              <c:f>PGLOBAL!$T$242</c:f>
              <c:strCache>
                <c:ptCount val="1"/>
                <c:pt idx="0">
                  <c:v>2017</c:v>
                </c:pt>
              </c:strCache>
            </c:strRef>
          </c:tx>
          <c:cat>
            <c:strRef>
              <c:f>PGLOBAL!$R$243:$R$247</c:f>
              <c:strCache>
                <c:ptCount val="5"/>
                <c:pt idx="0">
                  <c:v>LECTURA CRÍTICA</c:v>
                </c:pt>
                <c:pt idx="1">
                  <c:v>MATEMATICAS</c:v>
                </c:pt>
                <c:pt idx="2">
                  <c:v>SOCIALES Y CIUDADANAS </c:v>
                </c:pt>
                <c:pt idx="3">
                  <c:v>CIENCIAS NATURALES</c:v>
                </c:pt>
                <c:pt idx="4">
                  <c:v>INGLÉS</c:v>
                </c:pt>
              </c:strCache>
            </c:strRef>
          </c:cat>
          <c:val>
            <c:numRef>
              <c:f>PGLOBAL!$T$243:$T$247</c:f>
              <c:numCache>
                <c:formatCode>General</c:formatCode>
                <c:ptCount val="5"/>
                <c:pt idx="0">
                  <c:v>55</c:v>
                </c:pt>
                <c:pt idx="1">
                  <c:v>52</c:v>
                </c:pt>
                <c:pt idx="2">
                  <c:v>52</c:v>
                </c:pt>
                <c:pt idx="3">
                  <c:v>53</c:v>
                </c:pt>
                <c:pt idx="4">
                  <c:v>53</c:v>
                </c:pt>
              </c:numCache>
            </c:numRef>
          </c:val>
          <c:extLst>
            <c:ext xmlns:c16="http://schemas.microsoft.com/office/drawing/2014/chart" uri="{C3380CC4-5D6E-409C-BE32-E72D297353CC}">
              <c16:uniqueId val="{00000001-045C-4993-AAF0-32CD2CF7F245}"/>
            </c:ext>
          </c:extLst>
        </c:ser>
        <c:ser>
          <c:idx val="2"/>
          <c:order val="2"/>
          <c:tx>
            <c:strRef>
              <c:f>PGLOBAL!$U$242</c:f>
              <c:strCache>
                <c:ptCount val="1"/>
                <c:pt idx="0">
                  <c:v>2018</c:v>
                </c:pt>
              </c:strCache>
            </c:strRef>
          </c:tx>
          <c:spPr>
            <a:ln>
              <a:prstDash val="sysDash"/>
            </a:ln>
          </c:spPr>
          <c:cat>
            <c:strRef>
              <c:f>PGLOBAL!$R$243:$R$247</c:f>
              <c:strCache>
                <c:ptCount val="5"/>
                <c:pt idx="0">
                  <c:v>LECTURA CRÍTICA</c:v>
                </c:pt>
                <c:pt idx="1">
                  <c:v>MATEMATICAS</c:v>
                </c:pt>
                <c:pt idx="2">
                  <c:v>SOCIALES Y CIUDADANAS </c:v>
                </c:pt>
                <c:pt idx="3">
                  <c:v>CIENCIAS NATURALES</c:v>
                </c:pt>
                <c:pt idx="4">
                  <c:v>INGLÉS</c:v>
                </c:pt>
              </c:strCache>
            </c:strRef>
          </c:cat>
          <c:val>
            <c:numRef>
              <c:f>PGLOBAL!$U$243:$U$247</c:f>
              <c:numCache>
                <c:formatCode>General</c:formatCode>
                <c:ptCount val="5"/>
                <c:pt idx="0">
                  <c:v>54</c:v>
                </c:pt>
                <c:pt idx="1">
                  <c:v>52</c:v>
                </c:pt>
                <c:pt idx="2">
                  <c:v>50</c:v>
                </c:pt>
                <c:pt idx="3">
                  <c:v>51</c:v>
                </c:pt>
                <c:pt idx="4">
                  <c:v>51</c:v>
                </c:pt>
              </c:numCache>
            </c:numRef>
          </c:val>
          <c:extLst>
            <c:ext xmlns:c16="http://schemas.microsoft.com/office/drawing/2014/chart" uri="{C3380CC4-5D6E-409C-BE32-E72D297353CC}">
              <c16:uniqueId val="{00000002-045C-4993-AAF0-32CD2CF7F245}"/>
            </c:ext>
          </c:extLst>
        </c:ser>
        <c:ser>
          <c:idx val="3"/>
          <c:order val="3"/>
          <c:tx>
            <c:strRef>
              <c:f>PGLOBAL!$V$242</c:f>
              <c:strCache>
                <c:ptCount val="1"/>
                <c:pt idx="0">
                  <c:v>2019</c:v>
                </c:pt>
              </c:strCache>
            </c:strRef>
          </c:tx>
          <c:cat>
            <c:strRef>
              <c:f>PGLOBAL!$R$243:$R$247</c:f>
              <c:strCache>
                <c:ptCount val="5"/>
                <c:pt idx="0">
                  <c:v>LECTURA CRÍTICA</c:v>
                </c:pt>
                <c:pt idx="1">
                  <c:v>MATEMATICAS</c:v>
                </c:pt>
                <c:pt idx="2">
                  <c:v>SOCIALES Y CIUDADANAS </c:v>
                </c:pt>
                <c:pt idx="3">
                  <c:v>CIENCIAS NATURALES</c:v>
                </c:pt>
                <c:pt idx="4">
                  <c:v>INGLÉS</c:v>
                </c:pt>
              </c:strCache>
            </c:strRef>
          </c:cat>
          <c:val>
            <c:numRef>
              <c:f>PGLOBAL!$V$243:$V$247</c:f>
              <c:numCache>
                <c:formatCode>General</c:formatCode>
                <c:ptCount val="5"/>
                <c:pt idx="0">
                  <c:v>54</c:v>
                </c:pt>
                <c:pt idx="1">
                  <c:v>53</c:v>
                </c:pt>
                <c:pt idx="2">
                  <c:v>48</c:v>
                </c:pt>
                <c:pt idx="3">
                  <c:v>50</c:v>
                </c:pt>
                <c:pt idx="4">
                  <c:v>50</c:v>
                </c:pt>
              </c:numCache>
            </c:numRef>
          </c:val>
          <c:extLst>
            <c:ext xmlns:c16="http://schemas.microsoft.com/office/drawing/2014/chart" uri="{C3380CC4-5D6E-409C-BE32-E72D297353CC}">
              <c16:uniqueId val="{00000003-045C-4993-AAF0-32CD2CF7F245}"/>
            </c:ext>
          </c:extLst>
        </c:ser>
        <c:ser>
          <c:idx val="4"/>
          <c:order val="4"/>
          <c:tx>
            <c:strRef>
              <c:f>PGLOBAL!$W$242</c:f>
              <c:strCache>
                <c:ptCount val="1"/>
                <c:pt idx="0">
                  <c:v>2020</c:v>
                </c:pt>
              </c:strCache>
            </c:strRef>
          </c:tx>
          <c:cat>
            <c:strRef>
              <c:f>PGLOBAL!$R$243:$R$247</c:f>
              <c:strCache>
                <c:ptCount val="5"/>
                <c:pt idx="0">
                  <c:v>LECTURA CRÍTICA</c:v>
                </c:pt>
                <c:pt idx="1">
                  <c:v>MATEMATICAS</c:v>
                </c:pt>
                <c:pt idx="2">
                  <c:v>SOCIALES Y CIUDADANAS </c:v>
                </c:pt>
                <c:pt idx="3">
                  <c:v>CIENCIAS NATURALES</c:v>
                </c:pt>
                <c:pt idx="4">
                  <c:v>INGLÉS</c:v>
                </c:pt>
              </c:strCache>
            </c:strRef>
          </c:cat>
          <c:val>
            <c:numRef>
              <c:f>PGLOBAL!$W$243:$W$247</c:f>
              <c:numCache>
                <c:formatCode>General</c:formatCode>
                <c:ptCount val="5"/>
                <c:pt idx="0">
                  <c:v>54</c:v>
                </c:pt>
                <c:pt idx="1">
                  <c:v>53</c:v>
                </c:pt>
                <c:pt idx="2">
                  <c:v>50</c:v>
                </c:pt>
                <c:pt idx="3">
                  <c:v>50</c:v>
                </c:pt>
                <c:pt idx="4">
                  <c:v>48</c:v>
                </c:pt>
              </c:numCache>
            </c:numRef>
          </c:val>
          <c:extLst>
            <c:ext xmlns:c16="http://schemas.microsoft.com/office/drawing/2014/chart" uri="{C3380CC4-5D6E-409C-BE32-E72D297353CC}">
              <c16:uniqueId val="{00000001-61DB-47A0-95EA-498307C2A18A}"/>
            </c:ext>
          </c:extLst>
        </c:ser>
        <c:ser>
          <c:idx val="5"/>
          <c:order val="5"/>
          <c:tx>
            <c:strRef>
              <c:f>PGLOBAL!$X$242</c:f>
              <c:strCache>
                <c:ptCount val="1"/>
                <c:pt idx="0">
                  <c:v>2021</c:v>
                </c:pt>
              </c:strCache>
            </c:strRef>
          </c:tx>
          <c:cat>
            <c:strRef>
              <c:f>PGLOBAL!$R$243:$R$247</c:f>
              <c:strCache>
                <c:ptCount val="5"/>
                <c:pt idx="0">
                  <c:v>LECTURA CRÍTICA</c:v>
                </c:pt>
                <c:pt idx="1">
                  <c:v>MATEMATICAS</c:v>
                </c:pt>
                <c:pt idx="2">
                  <c:v>SOCIALES Y CIUDADANAS </c:v>
                </c:pt>
                <c:pt idx="3">
                  <c:v>CIENCIAS NATURALES</c:v>
                </c:pt>
                <c:pt idx="4">
                  <c:v>INGLÉS</c:v>
                </c:pt>
              </c:strCache>
            </c:strRef>
          </c:cat>
          <c:val>
            <c:numRef>
              <c:f>PGLOBAL!$X$243:$X$247</c:f>
              <c:numCache>
                <c:formatCode>General</c:formatCode>
                <c:ptCount val="5"/>
                <c:pt idx="0">
                  <c:v>55</c:v>
                </c:pt>
                <c:pt idx="1">
                  <c:v>52</c:v>
                </c:pt>
                <c:pt idx="2">
                  <c:v>49</c:v>
                </c:pt>
                <c:pt idx="3">
                  <c:v>50</c:v>
                </c:pt>
                <c:pt idx="4">
                  <c:v>52</c:v>
                </c:pt>
              </c:numCache>
            </c:numRef>
          </c:val>
          <c:extLst>
            <c:ext xmlns:c16="http://schemas.microsoft.com/office/drawing/2014/chart" uri="{C3380CC4-5D6E-409C-BE32-E72D297353CC}">
              <c16:uniqueId val="{00000001-B8AB-43FA-AC10-8905BF6DFE1B}"/>
            </c:ext>
          </c:extLst>
        </c:ser>
        <c:ser>
          <c:idx val="6"/>
          <c:order val="6"/>
          <c:tx>
            <c:strRef>
              <c:f>PGLOBAL!$Y$242</c:f>
              <c:strCache>
                <c:ptCount val="1"/>
                <c:pt idx="0">
                  <c:v>2022</c:v>
                </c:pt>
              </c:strCache>
            </c:strRef>
          </c:tx>
          <c:cat>
            <c:strRef>
              <c:f>PGLOBAL!$R$243:$R$247</c:f>
              <c:strCache>
                <c:ptCount val="5"/>
                <c:pt idx="0">
                  <c:v>LECTURA CRÍTICA</c:v>
                </c:pt>
                <c:pt idx="1">
                  <c:v>MATEMATICAS</c:v>
                </c:pt>
                <c:pt idx="2">
                  <c:v>SOCIALES Y CIUDADANAS </c:v>
                </c:pt>
                <c:pt idx="3">
                  <c:v>CIENCIAS NATURALES</c:v>
                </c:pt>
                <c:pt idx="4">
                  <c:v>INGLÉS</c:v>
                </c:pt>
              </c:strCache>
            </c:strRef>
          </c:cat>
          <c:val>
            <c:numRef>
              <c:f>PGLOBAL!$Y$243:$Y$247</c:f>
              <c:numCache>
                <c:formatCode>General</c:formatCode>
                <c:ptCount val="5"/>
                <c:pt idx="0">
                  <c:v>55</c:v>
                </c:pt>
                <c:pt idx="1">
                  <c:v>53</c:v>
                </c:pt>
                <c:pt idx="2">
                  <c:v>50</c:v>
                </c:pt>
                <c:pt idx="3">
                  <c:v>51</c:v>
                </c:pt>
                <c:pt idx="4">
                  <c:v>53</c:v>
                </c:pt>
              </c:numCache>
            </c:numRef>
          </c:val>
          <c:extLst>
            <c:ext xmlns:c16="http://schemas.microsoft.com/office/drawing/2014/chart" uri="{C3380CC4-5D6E-409C-BE32-E72D297353CC}">
              <c16:uniqueId val="{00000000-1CAF-44A1-B25C-3701C7389E91}"/>
            </c:ext>
          </c:extLst>
        </c:ser>
        <c:ser>
          <c:idx val="7"/>
          <c:order val="7"/>
          <c:tx>
            <c:strRef>
              <c:f>PGLOBAL!$Z$242</c:f>
              <c:strCache>
                <c:ptCount val="1"/>
                <c:pt idx="0">
                  <c:v>2023</c:v>
                </c:pt>
              </c:strCache>
            </c:strRef>
          </c:tx>
          <c:cat>
            <c:strRef>
              <c:f>PGLOBAL!$R$243:$R$247</c:f>
              <c:strCache>
                <c:ptCount val="5"/>
                <c:pt idx="0">
                  <c:v>LECTURA CRÍTICA</c:v>
                </c:pt>
                <c:pt idx="1">
                  <c:v>MATEMATICAS</c:v>
                </c:pt>
                <c:pt idx="2">
                  <c:v>SOCIALES Y CIUDADANAS </c:v>
                </c:pt>
                <c:pt idx="3">
                  <c:v>CIENCIAS NATURALES</c:v>
                </c:pt>
                <c:pt idx="4">
                  <c:v>INGLÉS</c:v>
                </c:pt>
              </c:strCache>
            </c:strRef>
          </c:cat>
          <c:val>
            <c:numRef>
              <c:f>PGLOBAL!$Z$243:$Z$247</c:f>
              <c:numCache>
                <c:formatCode>General</c:formatCode>
                <c:ptCount val="5"/>
                <c:pt idx="0">
                  <c:v>55</c:v>
                </c:pt>
                <c:pt idx="1">
                  <c:v>53</c:v>
                </c:pt>
                <c:pt idx="2">
                  <c:v>50</c:v>
                </c:pt>
                <c:pt idx="3">
                  <c:v>51</c:v>
                </c:pt>
                <c:pt idx="4">
                  <c:v>53</c:v>
                </c:pt>
              </c:numCache>
            </c:numRef>
          </c:val>
          <c:extLst>
            <c:ext xmlns:c16="http://schemas.microsoft.com/office/drawing/2014/chart" uri="{C3380CC4-5D6E-409C-BE32-E72D297353CC}">
              <c16:uniqueId val="{00000001-1CAF-44A1-B25C-3701C7389E91}"/>
            </c:ext>
          </c:extLst>
        </c:ser>
        <c:dLbls>
          <c:showLegendKey val="0"/>
          <c:showVal val="0"/>
          <c:showCatName val="0"/>
          <c:showSerName val="0"/>
          <c:showPercent val="0"/>
          <c:showBubbleSize val="0"/>
        </c:dLbls>
        <c:axId val="38646528"/>
        <c:axId val="38648064"/>
      </c:radarChart>
      <c:catAx>
        <c:axId val="38646528"/>
        <c:scaling>
          <c:orientation val="minMax"/>
        </c:scaling>
        <c:delete val="0"/>
        <c:axPos val="b"/>
        <c:majorGridlines/>
        <c:numFmt formatCode="General" sourceLinked="0"/>
        <c:majorTickMark val="none"/>
        <c:minorTickMark val="none"/>
        <c:tickLblPos val="nextTo"/>
        <c:spPr>
          <a:ln w="9525">
            <a:noFill/>
          </a:ln>
        </c:spPr>
        <c:txPr>
          <a:bodyPr/>
          <a:lstStyle/>
          <a:p>
            <a:pPr>
              <a:defRPr>
                <a:latin typeface="Arial" panose="020B0604020202020204" pitchFamily="34" charset="0"/>
                <a:cs typeface="Arial" panose="020B0604020202020204" pitchFamily="34" charset="0"/>
              </a:defRPr>
            </a:pPr>
            <a:endParaRPr lang="es-CO"/>
          </a:p>
        </c:txPr>
        <c:crossAx val="38648064"/>
        <c:crosses val="autoZero"/>
        <c:auto val="1"/>
        <c:lblAlgn val="ctr"/>
        <c:lblOffset val="100"/>
        <c:noMultiLvlLbl val="0"/>
      </c:catAx>
      <c:valAx>
        <c:axId val="38648064"/>
        <c:scaling>
          <c:orientation val="minMax"/>
          <c:max val="56"/>
          <c:min val="46"/>
        </c:scaling>
        <c:delete val="0"/>
        <c:axPos val="l"/>
        <c:majorGridlines/>
        <c:numFmt formatCode="General" sourceLinked="1"/>
        <c:majorTickMark val="none"/>
        <c:minorTickMark val="none"/>
        <c:tickLblPos val="nextTo"/>
        <c:txPr>
          <a:bodyPr/>
          <a:lstStyle/>
          <a:p>
            <a:pPr>
              <a:defRPr>
                <a:latin typeface="Arial" panose="020B0604020202020204" pitchFamily="34" charset="0"/>
                <a:cs typeface="Arial" panose="020B0604020202020204" pitchFamily="34" charset="0"/>
              </a:defRPr>
            </a:pPr>
            <a:endParaRPr lang="es-CO"/>
          </a:p>
        </c:txPr>
        <c:crossAx val="38646528"/>
        <c:crosses val="autoZero"/>
        <c:crossBetween val="between"/>
        <c:majorUnit val="2"/>
      </c:valAx>
    </c:plotArea>
    <c:legend>
      <c:legendPos val="r"/>
      <c:overlay val="0"/>
      <c:txPr>
        <a:bodyPr/>
        <a:lstStyle/>
        <a:p>
          <a:pPr>
            <a:defRPr>
              <a:latin typeface="Arial" panose="020B0604020202020204" pitchFamily="34" charset="0"/>
              <a:cs typeface="Arial" panose="020B0604020202020204" pitchFamily="34" charset="0"/>
            </a:defRPr>
          </a:pPr>
          <a:endParaRPr lang="es-CO"/>
        </a:p>
      </c:txPr>
    </c:legend>
    <c:plotVisOnly val="1"/>
    <c:dispBlanksAs val="gap"/>
    <c:showDLblsOverMax val="0"/>
  </c:chart>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a:defRPr/>
            </a:pPr>
            <a:r>
              <a:rPr lang="es-CO" sz="1400" b="1" i="0" baseline="0">
                <a:effectLst/>
              </a:rPr>
              <a:t>Resultados Sociales y Ciudadanas Instituciones Oficiales por Comunas 2016-2023</a:t>
            </a:r>
            <a:endParaRPr lang="es-CO" sz="1400">
              <a:effectLst/>
            </a:endParaRPr>
          </a:p>
        </c:rich>
      </c:tx>
      <c:overlay val="0"/>
    </c:title>
    <c:autoTitleDeleted val="0"/>
    <c:plotArea>
      <c:layout/>
      <c:radarChart>
        <c:radarStyle val="marker"/>
        <c:varyColors val="0"/>
        <c:ser>
          <c:idx val="0"/>
          <c:order val="0"/>
          <c:tx>
            <c:strRef>
              <c:f>SyC!$U$196</c:f>
              <c:strCache>
                <c:ptCount val="1"/>
                <c:pt idx="0">
                  <c:v>2016</c:v>
                </c:pt>
              </c:strCache>
            </c:strRef>
          </c:tx>
          <c:spPr>
            <a:ln>
              <a:prstDash val="lgDashDot"/>
            </a:ln>
          </c:spPr>
          <c:cat>
            <c:strRef>
              <c:f>SyC!$T$197:$T$202</c:f>
              <c:strCache>
                <c:ptCount val="6"/>
                <c:pt idx="0">
                  <c:v>COMUNA 1</c:v>
                </c:pt>
                <c:pt idx="1">
                  <c:v>COMUNA 2</c:v>
                </c:pt>
                <c:pt idx="2">
                  <c:v>COMUNA 3</c:v>
                </c:pt>
                <c:pt idx="3">
                  <c:v>COMUNA 4</c:v>
                </c:pt>
                <c:pt idx="4">
                  <c:v>COMUNA 5</c:v>
                </c:pt>
                <c:pt idx="5">
                  <c:v>COMUNA 6</c:v>
                </c:pt>
              </c:strCache>
            </c:strRef>
          </c:cat>
          <c:val>
            <c:numRef>
              <c:f>SyC!$U$197:$U$202</c:f>
              <c:numCache>
                <c:formatCode>0</c:formatCode>
                <c:ptCount val="6"/>
                <c:pt idx="0">
                  <c:v>50.75</c:v>
                </c:pt>
                <c:pt idx="1">
                  <c:v>52</c:v>
                </c:pt>
                <c:pt idx="2">
                  <c:v>50.666666666666664</c:v>
                </c:pt>
                <c:pt idx="3">
                  <c:v>47.166666666666664</c:v>
                </c:pt>
                <c:pt idx="4">
                  <c:v>52</c:v>
                </c:pt>
                <c:pt idx="5">
                  <c:v>50.666666666666664</c:v>
                </c:pt>
              </c:numCache>
            </c:numRef>
          </c:val>
          <c:extLst>
            <c:ext xmlns:c16="http://schemas.microsoft.com/office/drawing/2014/chart" uri="{C3380CC4-5D6E-409C-BE32-E72D297353CC}">
              <c16:uniqueId val="{00000000-F7EE-486F-87F6-687CEB1BD33C}"/>
            </c:ext>
          </c:extLst>
        </c:ser>
        <c:ser>
          <c:idx val="1"/>
          <c:order val="1"/>
          <c:tx>
            <c:strRef>
              <c:f>SyC!$V$196</c:f>
              <c:strCache>
                <c:ptCount val="1"/>
                <c:pt idx="0">
                  <c:v>2017</c:v>
                </c:pt>
              </c:strCache>
            </c:strRef>
          </c:tx>
          <c:cat>
            <c:strRef>
              <c:f>SyC!$T$197:$T$202</c:f>
              <c:strCache>
                <c:ptCount val="6"/>
                <c:pt idx="0">
                  <c:v>COMUNA 1</c:v>
                </c:pt>
                <c:pt idx="1">
                  <c:v>COMUNA 2</c:v>
                </c:pt>
                <c:pt idx="2">
                  <c:v>COMUNA 3</c:v>
                </c:pt>
                <c:pt idx="3">
                  <c:v>COMUNA 4</c:v>
                </c:pt>
                <c:pt idx="4">
                  <c:v>COMUNA 5</c:v>
                </c:pt>
                <c:pt idx="5">
                  <c:v>COMUNA 6</c:v>
                </c:pt>
              </c:strCache>
            </c:strRef>
          </c:cat>
          <c:val>
            <c:numRef>
              <c:f>SyC!$V$197:$V$202</c:f>
              <c:numCache>
                <c:formatCode>0</c:formatCode>
                <c:ptCount val="6"/>
                <c:pt idx="0">
                  <c:v>51.5</c:v>
                </c:pt>
                <c:pt idx="1">
                  <c:v>51</c:v>
                </c:pt>
                <c:pt idx="2">
                  <c:v>50.666666666666664</c:v>
                </c:pt>
                <c:pt idx="3">
                  <c:v>47.5</c:v>
                </c:pt>
                <c:pt idx="4">
                  <c:v>50</c:v>
                </c:pt>
                <c:pt idx="5">
                  <c:v>50</c:v>
                </c:pt>
              </c:numCache>
            </c:numRef>
          </c:val>
          <c:extLst>
            <c:ext xmlns:c16="http://schemas.microsoft.com/office/drawing/2014/chart" uri="{C3380CC4-5D6E-409C-BE32-E72D297353CC}">
              <c16:uniqueId val="{00000001-F7EE-486F-87F6-687CEB1BD33C}"/>
            </c:ext>
          </c:extLst>
        </c:ser>
        <c:ser>
          <c:idx val="2"/>
          <c:order val="2"/>
          <c:tx>
            <c:strRef>
              <c:f>SyC!$W$196</c:f>
              <c:strCache>
                <c:ptCount val="1"/>
                <c:pt idx="0">
                  <c:v>2018</c:v>
                </c:pt>
              </c:strCache>
            </c:strRef>
          </c:tx>
          <c:spPr>
            <a:ln>
              <a:prstDash val="sysDash"/>
            </a:ln>
          </c:spPr>
          <c:cat>
            <c:strRef>
              <c:f>SyC!$T$197:$T$202</c:f>
              <c:strCache>
                <c:ptCount val="6"/>
                <c:pt idx="0">
                  <c:v>COMUNA 1</c:v>
                </c:pt>
                <c:pt idx="1">
                  <c:v>COMUNA 2</c:v>
                </c:pt>
                <c:pt idx="2">
                  <c:v>COMUNA 3</c:v>
                </c:pt>
                <c:pt idx="3">
                  <c:v>COMUNA 4</c:v>
                </c:pt>
                <c:pt idx="4">
                  <c:v>COMUNA 5</c:v>
                </c:pt>
                <c:pt idx="5">
                  <c:v>COMUNA 6</c:v>
                </c:pt>
              </c:strCache>
            </c:strRef>
          </c:cat>
          <c:val>
            <c:numRef>
              <c:f>SyC!$W$197:$W$202</c:f>
              <c:numCache>
                <c:formatCode>0</c:formatCode>
                <c:ptCount val="6"/>
                <c:pt idx="0">
                  <c:v>48.25</c:v>
                </c:pt>
                <c:pt idx="1">
                  <c:v>49</c:v>
                </c:pt>
                <c:pt idx="2">
                  <c:v>49.666666666666664</c:v>
                </c:pt>
                <c:pt idx="3">
                  <c:v>45.166666666666664</c:v>
                </c:pt>
                <c:pt idx="4">
                  <c:v>48</c:v>
                </c:pt>
                <c:pt idx="5">
                  <c:v>47.666666666666664</c:v>
                </c:pt>
              </c:numCache>
            </c:numRef>
          </c:val>
          <c:extLst>
            <c:ext xmlns:c16="http://schemas.microsoft.com/office/drawing/2014/chart" uri="{C3380CC4-5D6E-409C-BE32-E72D297353CC}">
              <c16:uniqueId val="{00000002-F7EE-486F-87F6-687CEB1BD33C}"/>
            </c:ext>
          </c:extLst>
        </c:ser>
        <c:ser>
          <c:idx val="3"/>
          <c:order val="3"/>
          <c:tx>
            <c:strRef>
              <c:f>SyC!$X$196</c:f>
              <c:strCache>
                <c:ptCount val="1"/>
                <c:pt idx="0">
                  <c:v>2019</c:v>
                </c:pt>
              </c:strCache>
            </c:strRef>
          </c:tx>
          <c:cat>
            <c:strRef>
              <c:f>SyC!$T$197:$T$202</c:f>
              <c:strCache>
                <c:ptCount val="6"/>
                <c:pt idx="0">
                  <c:v>COMUNA 1</c:v>
                </c:pt>
                <c:pt idx="1">
                  <c:v>COMUNA 2</c:v>
                </c:pt>
                <c:pt idx="2">
                  <c:v>COMUNA 3</c:v>
                </c:pt>
                <c:pt idx="3">
                  <c:v>COMUNA 4</c:v>
                </c:pt>
                <c:pt idx="4">
                  <c:v>COMUNA 5</c:v>
                </c:pt>
                <c:pt idx="5">
                  <c:v>COMUNA 6</c:v>
                </c:pt>
              </c:strCache>
            </c:strRef>
          </c:cat>
          <c:val>
            <c:numRef>
              <c:f>SyC!$X$197:$X$202</c:f>
              <c:numCache>
                <c:formatCode>0</c:formatCode>
                <c:ptCount val="6"/>
                <c:pt idx="0">
                  <c:v>47.25</c:v>
                </c:pt>
                <c:pt idx="1">
                  <c:v>48</c:v>
                </c:pt>
                <c:pt idx="2">
                  <c:v>46.333333333333336</c:v>
                </c:pt>
                <c:pt idx="3">
                  <c:v>43</c:v>
                </c:pt>
                <c:pt idx="4">
                  <c:v>47.5</c:v>
                </c:pt>
                <c:pt idx="5">
                  <c:v>46.666666666666664</c:v>
                </c:pt>
              </c:numCache>
            </c:numRef>
          </c:val>
          <c:extLst>
            <c:ext xmlns:c16="http://schemas.microsoft.com/office/drawing/2014/chart" uri="{C3380CC4-5D6E-409C-BE32-E72D297353CC}">
              <c16:uniqueId val="{00000003-F7EE-486F-87F6-687CEB1BD33C}"/>
            </c:ext>
          </c:extLst>
        </c:ser>
        <c:ser>
          <c:idx val="4"/>
          <c:order val="4"/>
          <c:tx>
            <c:strRef>
              <c:f>SyC!$Y$196</c:f>
              <c:strCache>
                <c:ptCount val="1"/>
                <c:pt idx="0">
                  <c:v>2020</c:v>
                </c:pt>
              </c:strCache>
            </c:strRef>
          </c:tx>
          <c:cat>
            <c:strRef>
              <c:f>SyC!$T$197:$T$202</c:f>
              <c:strCache>
                <c:ptCount val="6"/>
                <c:pt idx="0">
                  <c:v>COMUNA 1</c:v>
                </c:pt>
                <c:pt idx="1">
                  <c:v>COMUNA 2</c:v>
                </c:pt>
                <c:pt idx="2">
                  <c:v>COMUNA 3</c:v>
                </c:pt>
                <c:pt idx="3">
                  <c:v>COMUNA 4</c:v>
                </c:pt>
                <c:pt idx="4">
                  <c:v>COMUNA 5</c:v>
                </c:pt>
                <c:pt idx="5">
                  <c:v>COMUNA 6</c:v>
                </c:pt>
              </c:strCache>
            </c:strRef>
          </c:cat>
          <c:val>
            <c:numRef>
              <c:f>SyC!$Y$197:$Y$202</c:f>
              <c:numCache>
                <c:formatCode>0</c:formatCode>
                <c:ptCount val="6"/>
                <c:pt idx="0">
                  <c:v>49.75</c:v>
                </c:pt>
                <c:pt idx="1">
                  <c:v>50</c:v>
                </c:pt>
                <c:pt idx="2">
                  <c:v>49.25</c:v>
                </c:pt>
                <c:pt idx="3">
                  <c:v>45.333333333333336</c:v>
                </c:pt>
                <c:pt idx="4">
                  <c:v>49.5</c:v>
                </c:pt>
                <c:pt idx="5">
                  <c:v>48.666666666666664</c:v>
                </c:pt>
              </c:numCache>
            </c:numRef>
          </c:val>
          <c:extLst>
            <c:ext xmlns:c16="http://schemas.microsoft.com/office/drawing/2014/chart" uri="{C3380CC4-5D6E-409C-BE32-E72D297353CC}">
              <c16:uniqueId val="{00000001-90C1-4BCC-AC67-43A5E24B21E5}"/>
            </c:ext>
          </c:extLst>
        </c:ser>
        <c:ser>
          <c:idx val="5"/>
          <c:order val="5"/>
          <c:tx>
            <c:strRef>
              <c:f>SyC!$Z$196</c:f>
              <c:strCache>
                <c:ptCount val="1"/>
                <c:pt idx="0">
                  <c:v>2021</c:v>
                </c:pt>
              </c:strCache>
            </c:strRef>
          </c:tx>
          <c:cat>
            <c:strRef>
              <c:f>SyC!$T$197:$T$202</c:f>
              <c:strCache>
                <c:ptCount val="6"/>
                <c:pt idx="0">
                  <c:v>COMUNA 1</c:v>
                </c:pt>
                <c:pt idx="1">
                  <c:v>COMUNA 2</c:v>
                </c:pt>
                <c:pt idx="2">
                  <c:v>COMUNA 3</c:v>
                </c:pt>
                <c:pt idx="3">
                  <c:v>COMUNA 4</c:v>
                </c:pt>
                <c:pt idx="4">
                  <c:v>COMUNA 5</c:v>
                </c:pt>
                <c:pt idx="5">
                  <c:v>COMUNA 6</c:v>
                </c:pt>
              </c:strCache>
            </c:strRef>
          </c:cat>
          <c:val>
            <c:numRef>
              <c:f>SyC!$Z$197:$Z$202</c:f>
              <c:numCache>
                <c:formatCode>0</c:formatCode>
                <c:ptCount val="6"/>
                <c:pt idx="0">
                  <c:v>47.5</c:v>
                </c:pt>
                <c:pt idx="1">
                  <c:v>48.5</c:v>
                </c:pt>
                <c:pt idx="2">
                  <c:v>47.6</c:v>
                </c:pt>
                <c:pt idx="3">
                  <c:v>44</c:v>
                </c:pt>
                <c:pt idx="4">
                  <c:v>48</c:v>
                </c:pt>
                <c:pt idx="5">
                  <c:v>46.666666666666664</c:v>
                </c:pt>
              </c:numCache>
            </c:numRef>
          </c:val>
          <c:extLst>
            <c:ext xmlns:c16="http://schemas.microsoft.com/office/drawing/2014/chart" uri="{C3380CC4-5D6E-409C-BE32-E72D297353CC}">
              <c16:uniqueId val="{00000000-EF1E-4CE5-B7D0-E0ECA1CFC172}"/>
            </c:ext>
          </c:extLst>
        </c:ser>
        <c:ser>
          <c:idx val="6"/>
          <c:order val="6"/>
          <c:tx>
            <c:strRef>
              <c:f>SyC!$AA$196</c:f>
              <c:strCache>
                <c:ptCount val="1"/>
                <c:pt idx="0">
                  <c:v>2022</c:v>
                </c:pt>
              </c:strCache>
            </c:strRef>
          </c:tx>
          <c:cat>
            <c:strRef>
              <c:f>SyC!$T$197:$T$202</c:f>
              <c:strCache>
                <c:ptCount val="6"/>
                <c:pt idx="0">
                  <c:v>COMUNA 1</c:v>
                </c:pt>
                <c:pt idx="1">
                  <c:v>COMUNA 2</c:v>
                </c:pt>
                <c:pt idx="2">
                  <c:v>COMUNA 3</c:v>
                </c:pt>
                <c:pt idx="3">
                  <c:v>COMUNA 4</c:v>
                </c:pt>
                <c:pt idx="4">
                  <c:v>COMUNA 5</c:v>
                </c:pt>
                <c:pt idx="5">
                  <c:v>COMUNA 6</c:v>
                </c:pt>
              </c:strCache>
            </c:strRef>
          </c:cat>
          <c:val>
            <c:numRef>
              <c:f>SyC!$AA$197:$AA$202</c:f>
              <c:numCache>
                <c:formatCode>0</c:formatCode>
                <c:ptCount val="6"/>
                <c:pt idx="0">
                  <c:v>48.2</c:v>
                </c:pt>
                <c:pt idx="1">
                  <c:v>48.5</c:v>
                </c:pt>
                <c:pt idx="2">
                  <c:v>49.333333333333336</c:v>
                </c:pt>
                <c:pt idx="3">
                  <c:v>45</c:v>
                </c:pt>
                <c:pt idx="4">
                  <c:v>50</c:v>
                </c:pt>
                <c:pt idx="5">
                  <c:v>47</c:v>
                </c:pt>
              </c:numCache>
            </c:numRef>
          </c:val>
          <c:extLst>
            <c:ext xmlns:c16="http://schemas.microsoft.com/office/drawing/2014/chart" uri="{C3380CC4-5D6E-409C-BE32-E72D297353CC}">
              <c16:uniqueId val="{00000000-0E50-4C14-A98D-D60DD6D8679A}"/>
            </c:ext>
          </c:extLst>
        </c:ser>
        <c:ser>
          <c:idx val="7"/>
          <c:order val="7"/>
          <c:tx>
            <c:strRef>
              <c:f>SyC!$AB$196</c:f>
              <c:strCache>
                <c:ptCount val="1"/>
                <c:pt idx="0">
                  <c:v>2023</c:v>
                </c:pt>
              </c:strCache>
            </c:strRef>
          </c:tx>
          <c:cat>
            <c:strRef>
              <c:f>SyC!$T$197:$T$202</c:f>
              <c:strCache>
                <c:ptCount val="6"/>
                <c:pt idx="0">
                  <c:v>COMUNA 1</c:v>
                </c:pt>
                <c:pt idx="1">
                  <c:v>COMUNA 2</c:v>
                </c:pt>
                <c:pt idx="2">
                  <c:v>COMUNA 3</c:v>
                </c:pt>
                <c:pt idx="3">
                  <c:v>COMUNA 4</c:v>
                </c:pt>
                <c:pt idx="4">
                  <c:v>COMUNA 5</c:v>
                </c:pt>
                <c:pt idx="5">
                  <c:v>COMUNA 6</c:v>
                </c:pt>
              </c:strCache>
            </c:strRef>
          </c:cat>
          <c:val>
            <c:numRef>
              <c:f>SyC!$AB$197:$AB$202</c:f>
              <c:numCache>
                <c:formatCode>0</c:formatCode>
                <c:ptCount val="6"/>
                <c:pt idx="0">
                  <c:v>48.2</c:v>
                </c:pt>
                <c:pt idx="1">
                  <c:v>49</c:v>
                </c:pt>
                <c:pt idx="2">
                  <c:v>49.666666666666664</c:v>
                </c:pt>
                <c:pt idx="3">
                  <c:v>45.5</c:v>
                </c:pt>
                <c:pt idx="4">
                  <c:v>49.5</c:v>
                </c:pt>
                <c:pt idx="5">
                  <c:v>47.333333333333336</c:v>
                </c:pt>
              </c:numCache>
            </c:numRef>
          </c:val>
          <c:extLst>
            <c:ext xmlns:c16="http://schemas.microsoft.com/office/drawing/2014/chart" uri="{C3380CC4-5D6E-409C-BE32-E72D297353CC}">
              <c16:uniqueId val="{00000001-0E50-4C14-A98D-D60DD6D8679A}"/>
            </c:ext>
          </c:extLst>
        </c:ser>
        <c:dLbls>
          <c:showLegendKey val="0"/>
          <c:showVal val="0"/>
          <c:showCatName val="0"/>
          <c:showSerName val="0"/>
          <c:showPercent val="0"/>
          <c:showBubbleSize val="0"/>
        </c:dLbls>
        <c:axId val="38856192"/>
        <c:axId val="38857728"/>
      </c:radarChart>
      <c:catAx>
        <c:axId val="38856192"/>
        <c:scaling>
          <c:orientation val="minMax"/>
        </c:scaling>
        <c:delete val="0"/>
        <c:axPos val="b"/>
        <c:majorGridlines/>
        <c:numFmt formatCode="General" sourceLinked="0"/>
        <c:majorTickMark val="none"/>
        <c:minorTickMark val="none"/>
        <c:tickLblPos val="nextTo"/>
        <c:spPr>
          <a:ln w="9525">
            <a:noFill/>
          </a:ln>
        </c:spPr>
        <c:crossAx val="38857728"/>
        <c:crosses val="autoZero"/>
        <c:auto val="1"/>
        <c:lblAlgn val="ctr"/>
        <c:lblOffset val="100"/>
        <c:noMultiLvlLbl val="0"/>
      </c:catAx>
      <c:valAx>
        <c:axId val="38857728"/>
        <c:scaling>
          <c:orientation val="minMax"/>
          <c:max val="54"/>
          <c:min val="42"/>
        </c:scaling>
        <c:delete val="0"/>
        <c:axPos val="l"/>
        <c:majorGridlines/>
        <c:numFmt formatCode="0" sourceLinked="1"/>
        <c:majorTickMark val="none"/>
        <c:minorTickMark val="none"/>
        <c:tickLblPos val="nextTo"/>
        <c:crossAx val="38856192"/>
        <c:crosses val="autoZero"/>
        <c:crossBetween val="between"/>
        <c:majorUnit val="2"/>
      </c:valAx>
    </c:plotArea>
    <c:legend>
      <c:legendPos val="r"/>
      <c:overlay val="0"/>
    </c:legend>
    <c:plotVisOnly val="1"/>
    <c:dispBlanksAs val="gap"/>
    <c:showDLblsOverMax val="0"/>
  </c:chart>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a:defRPr/>
            </a:pPr>
            <a:r>
              <a:rPr lang="es-CO" sz="1400" b="1" i="0" baseline="0">
                <a:effectLst/>
              </a:rPr>
              <a:t>Resultados Sociales y Ciudadanas Instituciones No Oficiales por Comunas 2016-2023</a:t>
            </a:r>
          </a:p>
        </c:rich>
      </c:tx>
      <c:overlay val="0"/>
    </c:title>
    <c:autoTitleDeleted val="0"/>
    <c:plotArea>
      <c:layout/>
      <c:radarChart>
        <c:radarStyle val="marker"/>
        <c:varyColors val="0"/>
        <c:ser>
          <c:idx val="0"/>
          <c:order val="0"/>
          <c:tx>
            <c:strRef>
              <c:f>SyC!$G$196</c:f>
              <c:strCache>
                <c:ptCount val="1"/>
                <c:pt idx="0">
                  <c:v>2016</c:v>
                </c:pt>
              </c:strCache>
            </c:strRef>
          </c:tx>
          <c:spPr>
            <a:ln>
              <a:prstDash val="lgDashDot"/>
            </a:ln>
          </c:spPr>
          <c:cat>
            <c:strRef>
              <c:f>SyC!$F$197:$F$202</c:f>
              <c:strCache>
                <c:ptCount val="6"/>
                <c:pt idx="0">
                  <c:v>COMUNA 1</c:v>
                </c:pt>
                <c:pt idx="1">
                  <c:v>COMUNA 2</c:v>
                </c:pt>
                <c:pt idx="2">
                  <c:v>COMUNA 3</c:v>
                </c:pt>
                <c:pt idx="3">
                  <c:v>COMUNA 4</c:v>
                </c:pt>
                <c:pt idx="4">
                  <c:v>COMUNA 5</c:v>
                </c:pt>
                <c:pt idx="5">
                  <c:v>COMUNA 6</c:v>
                </c:pt>
              </c:strCache>
            </c:strRef>
          </c:cat>
          <c:val>
            <c:numRef>
              <c:f>SyC!$G$197:$G$202</c:f>
              <c:numCache>
                <c:formatCode>0</c:formatCode>
                <c:ptCount val="6"/>
                <c:pt idx="0">
                  <c:v>50.53846153846154</c:v>
                </c:pt>
                <c:pt idx="1">
                  <c:v>53</c:v>
                </c:pt>
                <c:pt idx="2">
                  <c:v>52.846153846153847</c:v>
                </c:pt>
                <c:pt idx="3">
                  <c:v>48.875</c:v>
                </c:pt>
                <c:pt idx="4">
                  <c:v>54.533333333333331</c:v>
                </c:pt>
                <c:pt idx="5">
                  <c:v>52.416666666666664</c:v>
                </c:pt>
              </c:numCache>
            </c:numRef>
          </c:val>
          <c:extLst>
            <c:ext xmlns:c16="http://schemas.microsoft.com/office/drawing/2014/chart" uri="{C3380CC4-5D6E-409C-BE32-E72D297353CC}">
              <c16:uniqueId val="{00000000-955B-46AC-9DC0-844E5F76A6D2}"/>
            </c:ext>
          </c:extLst>
        </c:ser>
        <c:ser>
          <c:idx val="1"/>
          <c:order val="1"/>
          <c:tx>
            <c:strRef>
              <c:f>SyC!$H$196</c:f>
              <c:strCache>
                <c:ptCount val="1"/>
                <c:pt idx="0">
                  <c:v>2017</c:v>
                </c:pt>
              </c:strCache>
            </c:strRef>
          </c:tx>
          <c:cat>
            <c:strRef>
              <c:f>SyC!$F$197:$F$202</c:f>
              <c:strCache>
                <c:ptCount val="6"/>
                <c:pt idx="0">
                  <c:v>COMUNA 1</c:v>
                </c:pt>
                <c:pt idx="1">
                  <c:v>COMUNA 2</c:v>
                </c:pt>
                <c:pt idx="2">
                  <c:v>COMUNA 3</c:v>
                </c:pt>
                <c:pt idx="3">
                  <c:v>COMUNA 4</c:v>
                </c:pt>
                <c:pt idx="4">
                  <c:v>COMUNA 5</c:v>
                </c:pt>
                <c:pt idx="5">
                  <c:v>COMUNA 6</c:v>
                </c:pt>
              </c:strCache>
            </c:strRef>
          </c:cat>
          <c:val>
            <c:numRef>
              <c:f>SyC!$H$197:$H$202</c:f>
              <c:numCache>
                <c:formatCode>0</c:formatCode>
                <c:ptCount val="6"/>
                <c:pt idx="0">
                  <c:v>50.583333333333336</c:v>
                </c:pt>
                <c:pt idx="1">
                  <c:v>52.588235294117645</c:v>
                </c:pt>
                <c:pt idx="2">
                  <c:v>53</c:v>
                </c:pt>
                <c:pt idx="3">
                  <c:v>52.111111111111114</c:v>
                </c:pt>
                <c:pt idx="4">
                  <c:v>54.666666666666664</c:v>
                </c:pt>
                <c:pt idx="5">
                  <c:v>50.75</c:v>
                </c:pt>
              </c:numCache>
            </c:numRef>
          </c:val>
          <c:extLst>
            <c:ext xmlns:c16="http://schemas.microsoft.com/office/drawing/2014/chart" uri="{C3380CC4-5D6E-409C-BE32-E72D297353CC}">
              <c16:uniqueId val="{00000001-955B-46AC-9DC0-844E5F76A6D2}"/>
            </c:ext>
          </c:extLst>
        </c:ser>
        <c:ser>
          <c:idx val="2"/>
          <c:order val="2"/>
          <c:tx>
            <c:strRef>
              <c:f>SyC!$I$196</c:f>
              <c:strCache>
                <c:ptCount val="1"/>
                <c:pt idx="0">
                  <c:v>2018</c:v>
                </c:pt>
              </c:strCache>
            </c:strRef>
          </c:tx>
          <c:spPr>
            <a:ln>
              <a:prstDash val="sysDash"/>
            </a:ln>
          </c:spPr>
          <c:cat>
            <c:strRef>
              <c:f>SyC!$F$197:$F$202</c:f>
              <c:strCache>
                <c:ptCount val="6"/>
                <c:pt idx="0">
                  <c:v>COMUNA 1</c:v>
                </c:pt>
                <c:pt idx="1">
                  <c:v>COMUNA 2</c:v>
                </c:pt>
                <c:pt idx="2">
                  <c:v>COMUNA 3</c:v>
                </c:pt>
                <c:pt idx="3">
                  <c:v>COMUNA 4</c:v>
                </c:pt>
                <c:pt idx="4">
                  <c:v>COMUNA 5</c:v>
                </c:pt>
                <c:pt idx="5">
                  <c:v>COMUNA 6</c:v>
                </c:pt>
              </c:strCache>
            </c:strRef>
          </c:cat>
          <c:val>
            <c:numRef>
              <c:f>SyC!$I$197:$I$202</c:f>
              <c:numCache>
                <c:formatCode>0</c:formatCode>
                <c:ptCount val="6"/>
                <c:pt idx="0">
                  <c:v>49.07692307692308</c:v>
                </c:pt>
                <c:pt idx="1">
                  <c:v>50.882352941176471</c:v>
                </c:pt>
                <c:pt idx="2">
                  <c:v>51.5</c:v>
                </c:pt>
                <c:pt idx="3">
                  <c:v>49.777777777777779</c:v>
                </c:pt>
                <c:pt idx="4">
                  <c:v>53.125</c:v>
                </c:pt>
                <c:pt idx="5">
                  <c:v>51.363636363636367</c:v>
                </c:pt>
              </c:numCache>
            </c:numRef>
          </c:val>
          <c:extLst>
            <c:ext xmlns:c16="http://schemas.microsoft.com/office/drawing/2014/chart" uri="{C3380CC4-5D6E-409C-BE32-E72D297353CC}">
              <c16:uniqueId val="{00000002-955B-46AC-9DC0-844E5F76A6D2}"/>
            </c:ext>
          </c:extLst>
        </c:ser>
        <c:ser>
          <c:idx val="3"/>
          <c:order val="3"/>
          <c:tx>
            <c:strRef>
              <c:f>SyC!$J$196</c:f>
              <c:strCache>
                <c:ptCount val="1"/>
                <c:pt idx="0">
                  <c:v>2019</c:v>
                </c:pt>
              </c:strCache>
            </c:strRef>
          </c:tx>
          <c:cat>
            <c:strRef>
              <c:f>SyC!$F$197:$F$202</c:f>
              <c:strCache>
                <c:ptCount val="6"/>
                <c:pt idx="0">
                  <c:v>COMUNA 1</c:v>
                </c:pt>
                <c:pt idx="1">
                  <c:v>COMUNA 2</c:v>
                </c:pt>
                <c:pt idx="2">
                  <c:v>COMUNA 3</c:v>
                </c:pt>
                <c:pt idx="3">
                  <c:v>COMUNA 4</c:v>
                </c:pt>
                <c:pt idx="4">
                  <c:v>COMUNA 5</c:v>
                </c:pt>
                <c:pt idx="5">
                  <c:v>COMUNA 6</c:v>
                </c:pt>
              </c:strCache>
            </c:strRef>
          </c:cat>
          <c:val>
            <c:numRef>
              <c:f>SyC!$J$197:$J$202</c:f>
              <c:numCache>
                <c:formatCode>0</c:formatCode>
                <c:ptCount val="6"/>
                <c:pt idx="0">
                  <c:v>46.846153846153847</c:v>
                </c:pt>
                <c:pt idx="1">
                  <c:v>49.833333333333336</c:v>
                </c:pt>
                <c:pt idx="2">
                  <c:v>49.214285714285715</c:v>
                </c:pt>
                <c:pt idx="3">
                  <c:v>47.875</c:v>
                </c:pt>
                <c:pt idx="4">
                  <c:v>50.764705882352942</c:v>
                </c:pt>
                <c:pt idx="5">
                  <c:v>49.833333333333336</c:v>
                </c:pt>
              </c:numCache>
            </c:numRef>
          </c:val>
          <c:extLst>
            <c:ext xmlns:c16="http://schemas.microsoft.com/office/drawing/2014/chart" uri="{C3380CC4-5D6E-409C-BE32-E72D297353CC}">
              <c16:uniqueId val="{00000003-955B-46AC-9DC0-844E5F76A6D2}"/>
            </c:ext>
          </c:extLst>
        </c:ser>
        <c:ser>
          <c:idx val="4"/>
          <c:order val="4"/>
          <c:tx>
            <c:strRef>
              <c:f>SyC!$K$196</c:f>
              <c:strCache>
                <c:ptCount val="1"/>
                <c:pt idx="0">
                  <c:v>2020</c:v>
                </c:pt>
              </c:strCache>
            </c:strRef>
          </c:tx>
          <c:cat>
            <c:strRef>
              <c:f>SyC!$F$197:$F$202</c:f>
              <c:strCache>
                <c:ptCount val="6"/>
                <c:pt idx="0">
                  <c:v>COMUNA 1</c:v>
                </c:pt>
                <c:pt idx="1">
                  <c:v>COMUNA 2</c:v>
                </c:pt>
                <c:pt idx="2">
                  <c:v>COMUNA 3</c:v>
                </c:pt>
                <c:pt idx="3">
                  <c:v>COMUNA 4</c:v>
                </c:pt>
                <c:pt idx="4">
                  <c:v>COMUNA 5</c:v>
                </c:pt>
                <c:pt idx="5">
                  <c:v>COMUNA 6</c:v>
                </c:pt>
              </c:strCache>
            </c:strRef>
          </c:cat>
          <c:val>
            <c:numRef>
              <c:f>SyC!$K$197:$K$202</c:f>
              <c:numCache>
                <c:formatCode>0</c:formatCode>
                <c:ptCount val="6"/>
                <c:pt idx="0">
                  <c:v>50.153846153846153</c:v>
                </c:pt>
                <c:pt idx="1">
                  <c:v>51.18181818181818</c:v>
                </c:pt>
                <c:pt idx="2">
                  <c:v>52.2</c:v>
                </c:pt>
                <c:pt idx="3">
                  <c:v>47.857142857142854</c:v>
                </c:pt>
                <c:pt idx="4">
                  <c:v>54.3125</c:v>
                </c:pt>
                <c:pt idx="5">
                  <c:v>49.785714285714285</c:v>
                </c:pt>
              </c:numCache>
            </c:numRef>
          </c:val>
          <c:extLst>
            <c:ext xmlns:c16="http://schemas.microsoft.com/office/drawing/2014/chart" uri="{C3380CC4-5D6E-409C-BE32-E72D297353CC}">
              <c16:uniqueId val="{00000001-62E1-4599-AD1A-B04001007A1D}"/>
            </c:ext>
          </c:extLst>
        </c:ser>
        <c:ser>
          <c:idx val="5"/>
          <c:order val="5"/>
          <c:tx>
            <c:strRef>
              <c:f>SyC!$L$196</c:f>
              <c:strCache>
                <c:ptCount val="1"/>
                <c:pt idx="0">
                  <c:v>2021</c:v>
                </c:pt>
              </c:strCache>
            </c:strRef>
          </c:tx>
          <c:cat>
            <c:strRef>
              <c:f>SyC!$F$197:$F$202</c:f>
              <c:strCache>
                <c:ptCount val="6"/>
                <c:pt idx="0">
                  <c:v>COMUNA 1</c:v>
                </c:pt>
                <c:pt idx="1">
                  <c:v>COMUNA 2</c:v>
                </c:pt>
                <c:pt idx="2">
                  <c:v>COMUNA 3</c:v>
                </c:pt>
                <c:pt idx="3">
                  <c:v>COMUNA 4</c:v>
                </c:pt>
                <c:pt idx="4">
                  <c:v>COMUNA 5</c:v>
                </c:pt>
                <c:pt idx="5">
                  <c:v>COMUNA 6</c:v>
                </c:pt>
              </c:strCache>
            </c:strRef>
          </c:cat>
          <c:val>
            <c:numRef>
              <c:f>SyC!$L$197:$L$202</c:f>
              <c:numCache>
                <c:formatCode>0</c:formatCode>
                <c:ptCount val="6"/>
                <c:pt idx="0">
                  <c:v>49.230769230769234</c:v>
                </c:pt>
                <c:pt idx="1">
                  <c:v>48.65</c:v>
                </c:pt>
                <c:pt idx="2">
                  <c:v>50.866666666666667</c:v>
                </c:pt>
                <c:pt idx="3">
                  <c:v>48.625</c:v>
                </c:pt>
                <c:pt idx="4">
                  <c:v>52.625</c:v>
                </c:pt>
                <c:pt idx="5">
                  <c:v>49.428571428571431</c:v>
                </c:pt>
              </c:numCache>
            </c:numRef>
          </c:val>
          <c:extLst>
            <c:ext xmlns:c16="http://schemas.microsoft.com/office/drawing/2014/chart" uri="{C3380CC4-5D6E-409C-BE32-E72D297353CC}">
              <c16:uniqueId val="{00000000-CF60-4589-BB9E-77FBDF63F4A1}"/>
            </c:ext>
          </c:extLst>
        </c:ser>
        <c:ser>
          <c:idx val="6"/>
          <c:order val="6"/>
          <c:tx>
            <c:strRef>
              <c:f>SyC!$M$196</c:f>
              <c:strCache>
                <c:ptCount val="1"/>
                <c:pt idx="0">
                  <c:v>2022</c:v>
                </c:pt>
              </c:strCache>
            </c:strRef>
          </c:tx>
          <c:cat>
            <c:strRef>
              <c:f>SyC!$F$197:$F$202</c:f>
              <c:strCache>
                <c:ptCount val="6"/>
                <c:pt idx="0">
                  <c:v>COMUNA 1</c:v>
                </c:pt>
                <c:pt idx="1">
                  <c:v>COMUNA 2</c:v>
                </c:pt>
                <c:pt idx="2">
                  <c:v>COMUNA 3</c:v>
                </c:pt>
                <c:pt idx="3">
                  <c:v>COMUNA 4</c:v>
                </c:pt>
                <c:pt idx="4">
                  <c:v>COMUNA 5</c:v>
                </c:pt>
                <c:pt idx="5">
                  <c:v>COMUNA 6</c:v>
                </c:pt>
              </c:strCache>
            </c:strRef>
          </c:cat>
          <c:val>
            <c:numRef>
              <c:f>SyC!$M$197:$M$202</c:f>
              <c:numCache>
                <c:formatCode>0</c:formatCode>
                <c:ptCount val="6"/>
                <c:pt idx="0">
                  <c:v>49.846153846153847</c:v>
                </c:pt>
                <c:pt idx="1">
                  <c:v>51.571428571428569</c:v>
                </c:pt>
                <c:pt idx="2">
                  <c:v>52.8125</c:v>
                </c:pt>
                <c:pt idx="3">
                  <c:v>48.875</c:v>
                </c:pt>
                <c:pt idx="4">
                  <c:v>53.8</c:v>
                </c:pt>
                <c:pt idx="5">
                  <c:v>50.25</c:v>
                </c:pt>
              </c:numCache>
            </c:numRef>
          </c:val>
          <c:extLst>
            <c:ext xmlns:c16="http://schemas.microsoft.com/office/drawing/2014/chart" uri="{C3380CC4-5D6E-409C-BE32-E72D297353CC}">
              <c16:uniqueId val="{00000000-878F-47B1-AFE6-D022CBC9E3F7}"/>
            </c:ext>
          </c:extLst>
        </c:ser>
        <c:ser>
          <c:idx val="7"/>
          <c:order val="7"/>
          <c:tx>
            <c:strRef>
              <c:f>SyC!$N$196</c:f>
              <c:strCache>
                <c:ptCount val="1"/>
                <c:pt idx="0">
                  <c:v>2023</c:v>
                </c:pt>
              </c:strCache>
            </c:strRef>
          </c:tx>
          <c:cat>
            <c:strRef>
              <c:f>SyC!$F$197:$F$202</c:f>
              <c:strCache>
                <c:ptCount val="6"/>
                <c:pt idx="0">
                  <c:v>COMUNA 1</c:v>
                </c:pt>
                <c:pt idx="1">
                  <c:v>COMUNA 2</c:v>
                </c:pt>
                <c:pt idx="2">
                  <c:v>COMUNA 3</c:v>
                </c:pt>
                <c:pt idx="3">
                  <c:v>COMUNA 4</c:v>
                </c:pt>
                <c:pt idx="4">
                  <c:v>COMUNA 5</c:v>
                </c:pt>
                <c:pt idx="5">
                  <c:v>COMUNA 6</c:v>
                </c:pt>
              </c:strCache>
            </c:strRef>
          </c:cat>
          <c:val>
            <c:numRef>
              <c:f>SyC!$N$197:$N$202</c:f>
              <c:numCache>
                <c:formatCode>0</c:formatCode>
                <c:ptCount val="6"/>
                <c:pt idx="0">
                  <c:v>50.833333333333336</c:v>
                </c:pt>
                <c:pt idx="1">
                  <c:v>51.954545454545453</c:v>
                </c:pt>
                <c:pt idx="2">
                  <c:v>52.0625</c:v>
                </c:pt>
                <c:pt idx="3">
                  <c:v>47.555555555555557</c:v>
                </c:pt>
                <c:pt idx="4">
                  <c:v>54.2</c:v>
                </c:pt>
                <c:pt idx="5">
                  <c:v>51.823529411764703</c:v>
                </c:pt>
              </c:numCache>
            </c:numRef>
          </c:val>
          <c:extLst>
            <c:ext xmlns:c16="http://schemas.microsoft.com/office/drawing/2014/chart" uri="{C3380CC4-5D6E-409C-BE32-E72D297353CC}">
              <c16:uniqueId val="{00000001-878F-47B1-AFE6-D022CBC9E3F7}"/>
            </c:ext>
          </c:extLst>
        </c:ser>
        <c:dLbls>
          <c:showLegendKey val="0"/>
          <c:showVal val="0"/>
          <c:showCatName val="0"/>
          <c:showSerName val="0"/>
          <c:showPercent val="0"/>
          <c:showBubbleSize val="0"/>
        </c:dLbls>
        <c:axId val="38958592"/>
        <c:axId val="38960128"/>
      </c:radarChart>
      <c:catAx>
        <c:axId val="38958592"/>
        <c:scaling>
          <c:orientation val="minMax"/>
        </c:scaling>
        <c:delete val="0"/>
        <c:axPos val="b"/>
        <c:majorGridlines/>
        <c:numFmt formatCode="General" sourceLinked="0"/>
        <c:majorTickMark val="none"/>
        <c:minorTickMark val="none"/>
        <c:tickLblPos val="nextTo"/>
        <c:spPr>
          <a:ln w="9525">
            <a:noFill/>
          </a:ln>
        </c:spPr>
        <c:crossAx val="38960128"/>
        <c:crosses val="autoZero"/>
        <c:auto val="1"/>
        <c:lblAlgn val="ctr"/>
        <c:lblOffset val="100"/>
        <c:noMultiLvlLbl val="0"/>
      </c:catAx>
      <c:valAx>
        <c:axId val="38960128"/>
        <c:scaling>
          <c:orientation val="minMax"/>
          <c:max val="56"/>
          <c:min val="46"/>
        </c:scaling>
        <c:delete val="0"/>
        <c:axPos val="l"/>
        <c:majorGridlines/>
        <c:numFmt formatCode="0" sourceLinked="1"/>
        <c:majorTickMark val="none"/>
        <c:minorTickMark val="none"/>
        <c:tickLblPos val="nextTo"/>
        <c:crossAx val="38958592"/>
        <c:crosses val="autoZero"/>
        <c:crossBetween val="between"/>
        <c:majorUnit val="2"/>
      </c:valAx>
    </c:plotArea>
    <c:legend>
      <c:legendPos val="r"/>
      <c:overlay val="0"/>
    </c:legend>
    <c:plotVisOnly val="1"/>
    <c:dispBlanksAs val="gap"/>
    <c:showDLblsOverMax val="0"/>
  </c:chart>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Niveles</a:t>
            </a:r>
            <a:r>
              <a:rPr lang="es-CO" baseline="0"/>
              <a:t> de Desempeño Sociales y Ciudadanas Saber 11 2016 - 2023 </a:t>
            </a:r>
            <a:endParaRPr lang="es-CO"/>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stacked"/>
        <c:varyColors val="0"/>
        <c:ser>
          <c:idx val="0"/>
          <c:order val="0"/>
          <c:tx>
            <c:strRef>
              <c:f>SyC!$E$232</c:f>
              <c:strCache>
                <c:ptCount val="1"/>
                <c:pt idx="0">
                  <c:v>1</c:v>
                </c:pt>
              </c:strCache>
            </c:strRef>
          </c:tx>
          <c:spPr>
            <a:solidFill>
              <a:srgbClr val="FF0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SyC!$F$230:$AK$231</c:f>
              <c:multiLvlStrCache>
                <c:ptCount val="32"/>
                <c:lvl>
                  <c:pt idx="0">
                    <c:v>COLOMBIA</c:v>
                  </c:pt>
                  <c:pt idx="1">
                    <c:v>SOACHA</c:v>
                  </c:pt>
                  <c:pt idx="2">
                    <c:v>SOACHA OFICIAL</c:v>
                  </c:pt>
                  <c:pt idx="3">
                    <c:v>SOACHA NO OFICIAL</c:v>
                  </c:pt>
                  <c:pt idx="4">
                    <c:v>COLOMBIA</c:v>
                  </c:pt>
                  <c:pt idx="5">
                    <c:v>SOACHA</c:v>
                  </c:pt>
                  <c:pt idx="6">
                    <c:v>SOACHA OFICIAL</c:v>
                  </c:pt>
                  <c:pt idx="7">
                    <c:v>SOACHA NO OFICIAL</c:v>
                  </c:pt>
                  <c:pt idx="8">
                    <c:v>COLOMBIA</c:v>
                  </c:pt>
                  <c:pt idx="9">
                    <c:v>SOACHA</c:v>
                  </c:pt>
                  <c:pt idx="10">
                    <c:v>SOACHA OFICIAL</c:v>
                  </c:pt>
                  <c:pt idx="11">
                    <c:v>SOACHA NO OFICIAL</c:v>
                  </c:pt>
                  <c:pt idx="12">
                    <c:v>COLOMBIA</c:v>
                  </c:pt>
                  <c:pt idx="13">
                    <c:v>SOACHA</c:v>
                  </c:pt>
                  <c:pt idx="14">
                    <c:v>SOACHA OFICIAL</c:v>
                  </c:pt>
                  <c:pt idx="15">
                    <c:v>SOACHA NO OFICIAL</c:v>
                  </c:pt>
                  <c:pt idx="16">
                    <c:v>COLOMBIA</c:v>
                  </c:pt>
                  <c:pt idx="17">
                    <c:v>SOACHA</c:v>
                  </c:pt>
                  <c:pt idx="18">
                    <c:v>SOACHA OFICIAL</c:v>
                  </c:pt>
                  <c:pt idx="19">
                    <c:v>SOACHA NO OFICIAL</c:v>
                  </c:pt>
                  <c:pt idx="20">
                    <c:v>COLOMBIA</c:v>
                  </c:pt>
                  <c:pt idx="21">
                    <c:v>SOACHA</c:v>
                  </c:pt>
                  <c:pt idx="22">
                    <c:v>SOACHA OFICIAL</c:v>
                  </c:pt>
                  <c:pt idx="23">
                    <c:v>SOACHA NO OFICIAL</c:v>
                  </c:pt>
                  <c:pt idx="24">
                    <c:v>COLOMBIA</c:v>
                  </c:pt>
                  <c:pt idx="25">
                    <c:v>SOACHA</c:v>
                  </c:pt>
                  <c:pt idx="26">
                    <c:v>SOACHA OFICIAL</c:v>
                  </c:pt>
                  <c:pt idx="27">
                    <c:v>SOACHA NO OFICIAL</c:v>
                  </c:pt>
                  <c:pt idx="28">
                    <c:v>COLOMBIA</c:v>
                  </c:pt>
                  <c:pt idx="29">
                    <c:v>SOACHA</c:v>
                  </c:pt>
                  <c:pt idx="30">
                    <c:v>SOACHA OFICIAL</c:v>
                  </c:pt>
                  <c:pt idx="31">
                    <c:v>SOACHA NO OFICIAL</c:v>
                  </c:pt>
                </c:lvl>
                <c:lvl>
                  <c:pt idx="0">
                    <c:v>2016</c:v>
                  </c:pt>
                  <c:pt idx="4">
                    <c:v>2017</c:v>
                  </c:pt>
                  <c:pt idx="8">
                    <c:v>2018</c:v>
                  </c:pt>
                  <c:pt idx="12">
                    <c:v>2019</c:v>
                  </c:pt>
                  <c:pt idx="16">
                    <c:v>2020</c:v>
                  </c:pt>
                  <c:pt idx="20">
                    <c:v>2021</c:v>
                  </c:pt>
                  <c:pt idx="24">
                    <c:v>2022</c:v>
                  </c:pt>
                  <c:pt idx="28">
                    <c:v>2023</c:v>
                  </c:pt>
                </c:lvl>
              </c:multiLvlStrCache>
            </c:multiLvlStrRef>
          </c:cat>
          <c:val>
            <c:numRef>
              <c:f>SyC!$F$232:$AK$232</c:f>
              <c:numCache>
                <c:formatCode>0%</c:formatCode>
                <c:ptCount val="32"/>
                <c:pt idx="0">
                  <c:v>0.17</c:v>
                </c:pt>
                <c:pt idx="1">
                  <c:v>0.13</c:v>
                </c:pt>
                <c:pt idx="2">
                  <c:v>0.16</c:v>
                </c:pt>
                <c:pt idx="3">
                  <c:v>0.11</c:v>
                </c:pt>
                <c:pt idx="4">
                  <c:v>0.17</c:v>
                </c:pt>
                <c:pt idx="5">
                  <c:v>0.13</c:v>
                </c:pt>
                <c:pt idx="6">
                  <c:v>0.16</c:v>
                </c:pt>
                <c:pt idx="7">
                  <c:v>0.11</c:v>
                </c:pt>
                <c:pt idx="8">
                  <c:v>0.25</c:v>
                </c:pt>
                <c:pt idx="9">
                  <c:v>0.21</c:v>
                </c:pt>
                <c:pt idx="10">
                  <c:v>0.25</c:v>
                </c:pt>
                <c:pt idx="11">
                  <c:v>0.16</c:v>
                </c:pt>
                <c:pt idx="12">
                  <c:v>0.32</c:v>
                </c:pt>
                <c:pt idx="13">
                  <c:v>0.26</c:v>
                </c:pt>
                <c:pt idx="14">
                  <c:v>0.31</c:v>
                </c:pt>
                <c:pt idx="15">
                  <c:v>0.21</c:v>
                </c:pt>
                <c:pt idx="16">
                  <c:v>0.27</c:v>
                </c:pt>
                <c:pt idx="17">
                  <c:v>0.19</c:v>
                </c:pt>
                <c:pt idx="18">
                  <c:v>0.22</c:v>
                </c:pt>
                <c:pt idx="19">
                  <c:v>0.16</c:v>
                </c:pt>
                <c:pt idx="20">
                  <c:v>0.31</c:v>
                </c:pt>
                <c:pt idx="21">
                  <c:v>0.23</c:v>
                </c:pt>
                <c:pt idx="22">
                  <c:v>0.28000000000000003</c:v>
                </c:pt>
                <c:pt idx="23">
                  <c:v>0.19</c:v>
                </c:pt>
                <c:pt idx="24">
                  <c:v>0.28999999999999998</c:v>
                </c:pt>
                <c:pt idx="25">
                  <c:v>0.21</c:v>
                </c:pt>
                <c:pt idx="26">
                  <c:v>0.25</c:v>
                </c:pt>
                <c:pt idx="27">
                  <c:v>0.16</c:v>
                </c:pt>
                <c:pt idx="28">
                  <c:v>0.27</c:v>
                </c:pt>
                <c:pt idx="29">
                  <c:v>0.2</c:v>
                </c:pt>
                <c:pt idx="30">
                  <c:v>0.24</c:v>
                </c:pt>
                <c:pt idx="31">
                  <c:v>0.14000000000000001</c:v>
                </c:pt>
              </c:numCache>
            </c:numRef>
          </c:val>
          <c:extLst>
            <c:ext xmlns:c16="http://schemas.microsoft.com/office/drawing/2014/chart" uri="{C3380CC4-5D6E-409C-BE32-E72D297353CC}">
              <c16:uniqueId val="{00000000-1A61-435B-A765-40AB71907592}"/>
            </c:ext>
          </c:extLst>
        </c:ser>
        <c:ser>
          <c:idx val="1"/>
          <c:order val="1"/>
          <c:tx>
            <c:strRef>
              <c:f>SyC!$E$233</c:f>
              <c:strCache>
                <c:ptCount val="1"/>
                <c:pt idx="0">
                  <c:v>2</c:v>
                </c:pt>
              </c:strCache>
            </c:strRef>
          </c:tx>
          <c:spPr>
            <a:solidFill>
              <a:srgbClr val="FFFF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SyC!$F$230:$AK$231</c:f>
              <c:multiLvlStrCache>
                <c:ptCount val="32"/>
                <c:lvl>
                  <c:pt idx="0">
                    <c:v>COLOMBIA</c:v>
                  </c:pt>
                  <c:pt idx="1">
                    <c:v>SOACHA</c:v>
                  </c:pt>
                  <c:pt idx="2">
                    <c:v>SOACHA OFICIAL</c:v>
                  </c:pt>
                  <c:pt idx="3">
                    <c:v>SOACHA NO OFICIAL</c:v>
                  </c:pt>
                  <c:pt idx="4">
                    <c:v>COLOMBIA</c:v>
                  </c:pt>
                  <c:pt idx="5">
                    <c:v>SOACHA</c:v>
                  </c:pt>
                  <c:pt idx="6">
                    <c:v>SOACHA OFICIAL</c:v>
                  </c:pt>
                  <c:pt idx="7">
                    <c:v>SOACHA NO OFICIAL</c:v>
                  </c:pt>
                  <c:pt idx="8">
                    <c:v>COLOMBIA</c:v>
                  </c:pt>
                  <c:pt idx="9">
                    <c:v>SOACHA</c:v>
                  </c:pt>
                  <c:pt idx="10">
                    <c:v>SOACHA OFICIAL</c:v>
                  </c:pt>
                  <c:pt idx="11">
                    <c:v>SOACHA NO OFICIAL</c:v>
                  </c:pt>
                  <c:pt idx="12">
                    <c:v>COLOMBIA</c:v>
                  </c:pt>
                  <c:pt idx="13">
                    <c:v>SOACHA</c:v>
                  </c:pt>
                  <c:pt idx="14">
                    <c:v>SOACHA OFICIAL</c:v>
                  </c:pt>
                  <c:pt idx="15">
                    <c:v>SOACHA NO OFICIAL</c:v>
                  </c:pt>
                  <c:pt idx="16">
                    <c:v>COLOMBIA</c:v>
                  </c:pt>
                  <c:pt idx="17">
                    <c:v>SOACHA</c:v>
                  </c:pt>
                  <c:pt idx="18">
                    <c:v>SOACHA OFICIAL</c:v>
                  </c:pt>
                  <c:pt idx="19">
                    <c:v>SOACHA NO OFICIAL</c:v>
                  </c:pt>
                  <c:pt idx="20">
                    <c:v>COLOMBIA</c:v>
                  </c:pt>
                  <c:pt idx="21">
                    <c:v>SOACHA</c:v>
                  </c:pt>
                  <c:pt idx="22">
                    <c:v>SOACHA OFICIAL</c:v>
                  </c:pt>
                  <c:pt idx="23">
                    <c:v>SOACHA NO OFICIAL</c:v>
                  </c:pt>
                  <c:pt idx="24">
                    <c:v>COLOMBIA</c:v>
                  </c:pt>
                  <c:pt idx="25">
                    <c:v>SOACHA</c:v>
                  </c:pt>
                  <c:pt idx="26">
                    <c:v>SOACHA OFICIAL</c:v>
                  </c:pt>
                  <c:pt idx="27">
                    <c:v>SOACHA NO OFICIAL</c:v>
                  </c:pt>
                  <c:pt idx="28">
                    <c:v>COLOMBIA</c:v>
                  </c:pt>
                  <c:pt idx="29">
                    <c:v>SOACHA</c:v>
                  </c:pt>
                  <c:pt idx="30">
                    <c:v>SOACHA OFICIAL</c:v>
                  </c:pt>
                  <c:pt idx="31">
                    <c:v>SOACHA NO OFICIAL</c:v>
                  </c:pt>
                </c:lvl>
                <c:lvl>
                  <c:pt idx="0">
                    <c:v>2016</c:v>
                  </c:pt>
                  <c:pt idx="4">
                    <c:v>2017</c:v>
                  </c:pt>
                  <c:pt idx="8">
                    <c:v>2018</c:v>
                  </c:pt>
                  <c:pt idx="12">
                    <c:v>2019</c:v>
                  </c:pt>
                  <c:pt idx="16">
                    <c:v>2020</c:v>
                  </c:pt>
                  <c:pt idx="20">
                    <c:v>2021</c:v>
                  </c:pt>
                  <c:pt idx="24">
                    <c:v>2022</c:v>
                  </c:pt>
                  <c:pt idx="28">
                    <c:v>2023</c:v>
                  </c:pt>
                </c:lvl>
              </c:multiLvlStrCache>
            </c:multiLvlStrRef>
          </c:cat>
          <c:val>
            <c:numRef>
              <c:f>SyC!$F$233:$AK$233</c:f>
              <c:numCache>
                <c:formatCode>0%</c:formatCode>
                <c:ptCount val="32"/>
                <c:pt idx="0">
                  <c:v>0.47</c:v>
                </c:pt>
                <c:pt idx="1">
                  <c:v>0.52</c:v>
                </c:pt>
                <c:pt idx="2">
                  <c:v>0.55000000000000004</c:v>
                </c:pt>
                <c:pt idx="3">
                  <c:v>0.5</c:v>
                </c:pt>
                <c:pt idx="4">
                  <c:v>0.47</c:v>
                </c:pt>
                <c:pt idx="5">
                  <c:v>0.51</c:v>
                </c:pt>
                <c:pt idx="6">
                  <c:v>0.54</c:v>
                </c:pt>
                <c:pt idx="7">
                  <c:v>0.48</c:v>
                </c:pt>
                <c:pt idx="8">
                  <c:v>0.43</c:v>
                </c:pt>
                <c:pt idx="9">
                  <c:v>0.49</c:v>
                </c:pt>
                <c:pt idx="10">
                  <c:v>0.51</c:v>
                </c:pt>
                <c:pt idx="11">
                  <c:v>0.47</c:v>
                </c:pt>
                <c:pt idx="12">
                  <c:v>0.41</c:v>
                </c:pt>
                <c:pt idx="13">
                  <c:v>0.47</c:v>
                </c:pt>
                <c:pt idx="14">
                  <c:v>0.48</c:v>
                </c:pt>
                <c:pt idx="15">
                  <c:v>0.46</c:v>
                </c:pt>
                <c:pt idx="16">
                  <c:v>0.42</c:v>
                </c:pt>
                <c:pt idx="17">
                  <c:v>0.47</c:v>
                </c:pt>
                <c:pt idx="18">
                  <c:v>0.5</c:v>
                </c:pt>
                <c:pt idx="19">
                  <c:v>0.45</c:v>
                </c:pt>
                <c:pt idx="20">
                  <c:v>0.42</c:v>
                </c:pt>
                <c:pt idx="21">
                  <c:v>0.48</c:v>
                </c:pt>
                <c:pt idx="22">
                  <c:v>0.5</c:v>
                </c:pt>
                <c:pt idx="23">
                  <c:v>0.45</c:v>
                </c:pt>
                <c:pt idx="24">
                  <c:v>0.41</c:v>
                </c:pt>
                <c:pt idx="25">
                  <c:v>0.46</c:v>
                </c:pt>
                <c:pt idx="26">
                  <c:v>0.5</c:v>
                </c:pt>
                <c:pt idx="27">
                  <c:v>0.42</c:v>
                </c:pt>
                <c:pt idx="28">
                  <c:v>0.42</c:v>
                </c:pt>
                <c:pt idx="29">
                  <c:v>0.48</c:v>
                </c:pt>
                <c:pt idx="30">
                  <c:v>0.51</c:v>
                </c:pt>
                <c:pt idx="31">
                  <c:v>0.44</c:v>
                </c:pt>
              </c:numCache>
            </c:numRef>
          </c:val>
          <c:extLst>
            <c:ext xmlns:c16="http://schemas.microsoft.com/office/drawing/2014/chart" uri="{C3380CC4-5D6E-409C-BE32-E72D297353CC}">
              <c16:uniqueId val="{00000001-1A61-435B-A765-40AB71907592}"/>
            </c:ext>
          </c:extLst>
        </c:ser>
        <c:ser>
          <c:idx val="2"/>
          <c:order val="2"/>
          <c:tx>
            <c:strRef>
              <c:f>SyC!$E$234</c:f>
              <c:strCache>
                <c:ptCount val="1"/>
                <c:pt idx="0">
                  <c:v>3</c:v>
                </c:pt>
              </c:strCache>
            </c:strRef>
          </c:tx>
          <c:spPr>
            <a:solidFill>
              <a:srgbClr val="FFC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SyC!$F$230:$AK$231</c:f>
              <c:multiLvlStrCache>
                <c:ptCount val="32"/>
                <c:lvl>
                  <c:pt idx="0">
                    <c:v>COLOMBIA</c:v>
                  </c:pt>
                  <c:pt idx="1">
                    <c:v>SOACHA</c:v>
                  </c:pt>
                  <c:pt idx="2">
                    <c:v>SOACHA OFICIAL</c:v>
                  </c:pt>
                  <c:pt idx="3">
                    <c:v>SOACHA NO OFICIAL</c:v>
                  </c:pt>
                  <c:pt idx="4">
                    <c:v>COLOMBIA</c:v>
                  </c:pt>
                  <c:pt idx="5">
                    <c:v>SOACHA</c:v>
                  </c:pt>
                  <c:pt idx="6">
                    <c:v>SOACHA OFICIAL</c:v>
                  </c:pt>
                  <c:pt idx="7">
                    <c:v>SOACHA NO OFICIAL</c:v>
                  </c:pt>
                  <c:pt idx="8">
                    <c:v>COLOMBIA</c:v>
                  </c:pt>
                  <c:pt idx="9">
                    <c:v>SOACHA</c:v>
                  </c:pt>
                  <c:pt idx="10">
                    <c:v>SOACHA OFICIAL</c:v>
                  </c:pt>
                  <c:pt idx="11">
                    <c:v>SOACHA NO OFICIAL</c:v>
                  </c:pt>
                  <c:pt idx="12">
                    <c:v>COLOMBIA</c:v>
                  </c:pt>
                  <c:pt idx="13">
                    <c:v>SOACHA</c:v>
                  </c:pt>
                  <c:pt idx="14">
                    <c:v>SOACHA OFICIAL</c:v>
                  </c:pt>
                  <c:pt idx="15">
                    <c:v>SOACHA NO OFICIAL</c:v>
                  </c:pt>
                  <c:pt idx="16">
                    <c:v>COLOMBIA</c:v>
                  </c:pt>
                  <c:pt idx="17">
                    <c:v>SOACHA</c:v>
                  </c:pt>
                  <c:pt idx="18">
                    <c:v>SOACHA OFICIAL</c:v>
                  </c:pt>
                  <c:pt idx="19">
                    <c:v>SOACHA NO OFICIAL</c:v>
                  </c:pt>
                  <c:pt idx="20">
                    <c:v>COLOMBIA</c:v>
                  </c:pt>
                  <c:pt idx="21">
                    <c:v>SOACHA</c:v>
                  </c:pt>
                  <c:pt idx="22">
                    <c:v>SOACHA OFICIAL</c:v>
                  </c:pt>
                  <c:pt idx="23">
                    <c:v>SOACHA NO OFICIAL</c:v>
                  </c:pt>
                  <c:pt idx="24">
                    <c:v>COLOMBIA</c:v>
                  </c:pt>
                  <c:pt idx="25">
                    <c:v>SOACHA</c:v>
                  </c:pt>
                  <c:pt idx="26">
                    <c:v>SOACHA OFICIAL</c:v>
                  </c:pt>
                  <c:pt idx="27">
                    <c:v>SOACHA NO OFICIAL</c:v>
                  </c:pt>
                  <c:pt idx="28">
                    <c:v>COLOMBIA</c:v>
                  </c:pt>
                  <c:pt idx="29">
                    <c:v>SOACHA</c:v>
                  </c:pt>
                  <c:pt idx="30">
                    <c:v>SOACHA OFICIAL</c:v>
                  </c:pt>
                  <c:pt idx="31">
                    <c:v>SOACHA NO OFICIAL</c:v>
                  </c:pt>
                </c:lvl>
                <c:lvl>
                  <c:pt idx="0">
                    <c:v>2016</c:v>
                  </c:pt>
                  <c:pt idx="4">
                    <c:v>2017</c:v>
                  </c:pt>
                  <c:pt idx="8">
                    <c:v>2018</c:v>
                  </c:pt>
                  <c:pt idx="12">
                    <c:v>2019</c:v>
                  </c:pt>
                  <c:pt idx="16">
                    <c:v>2020</c:v>
                  </c:pt>
                  <c:pt idx="20">
                    <c:v>2021</c:v>
                  </c:pt>
                  <c:pt idx="24">
                    <c:v>2022</c:v>
                  </c:pt>
                  <c:pt idx="28">
                    <c:v>2023</c:v>
                  </c:pt>
                </c:lvl>
              </c:multiLvlStrCache>
            </c:multiLvlStrRef>
          </c:cat>
          <c:val>
            <c:numRef>
              <c:f>SyC!$F$234:$AK$234</c:f>
              <c:numCache>
                <c:formatCode>0%</c:formatCode>
                <c:ptCount val="32"/>
                <c:pt idx="0">
                  <c:v>0.32</c:v>
                </c:pt>
                <c:pt idx="1">
                  <c:v>0.33</c:v>
                </c:pt>
                <c:pt idx="2">
                  <c:v>0.28000000000000003</c:v>
                </c:pt>
                <c:pt idx="3">
                  <c:v>0.38</c:v>
                </c:pt>
                <c:pt idx="4">
                  <c:v>0.32</c:v>
                </c:pt>
                <c:pt idx="5">
                  <c:v>0.33</c:v>
                </c:pt>
                <c:pt idx="6">
                  <c:v>0.28999999999999998</c:v>
                </c:pt>
                <c:pt idx="7">
                  <c:v>0.39</c:v>
                </c:pt>
                <c:pt idx="8">
                  <c:v>0.28000000000000003</c:v>
                </c:pt>
                <c:pt idx="9">
                  <c:v>0.28999999999999998</c:v>
                </c:pt>
                <c:pt idx="10">
                  <c:v>0.24</c:v>
                </c:pt>
                <c:pt idx="11">
                  <c:v>0.35</c:v>
                </c:pt>
                <c:pt idx="12">
                  <c:v>0.24</c:v>
                </c:pt>
                <c:pt idx="13">
                  <c:v>0.25</c:v>
                </c:pt>
                <c:pt idx="14">
                  <c:v>0.2</c:v>
                </c:pt>
                <c:pt idx="15">
                  <c:v>0.31</c:v>
                </c:pt>
                <c:pt idx="16">
                  <c:v>0.27</c:v>
                </c:pt>
                <c:pt idx="17">
                  <c:v>0.31</c:v>
                </c:pt>
                <c:pt idx="18">
                  <c:v>0.26</c:v>
                </c:pt>
                <c:pt idx="19">
                  <c:v>0.36</c:v>
                </c:pt>
                <c:pt idx="20">
                  <c:v>0.24</c:v>
                </c:pt>
                <c:pt idx="21">
                  <c:v>0.27</c:v>
                </c:pt>
                <c:pt idx="22">
                  <c:v>0.21</c:v>
                </c:pt>
                <c:pt idx="23">
                  <c:v>0.33</c:v>
                </c:pt>
                <c:pt idx="24">
                  <c:v>0.27</c:v>
                </c:pt>
                <c:pt idx="25">
                  <c:v>0.31</c:v>
                </c:pt>
                <c:pt idx="26">
                  <c:v>0.23</c:v>
                </c:pt>
                <c:pt idx="27">
                  <c:v>0.39</c:v>
                </c:pt>
                <c:pt idx="28">
                  <c:v>0.27</c:v>
                </c:pt>
                <c:pt idx="29">
                  <c:v>0.31</c:v>
                </c:pt>
                <c:pt idx="30">
                  <c:v>0.24</c:v>
                </c:pt>
                <c:pt idx="31">
                  <c:v>0.38</c:v>
                </c:pt>
              </c:numCache>
            </c:numRef>
          </c:val>
          <c:extLst>
            <c:ext xmlns:c16="http://schemas.microsoft.com/office/drawing/2014/chart" uri="{C3380CC4-5D6E-409C-BE32-E72D297353CC}">
              <c16:uniqueId val="{00000002-1A61-435B-A765-40AB71907592}"/>
            </c:ext>
          </c:extLst>
        </c:ser>
        <c:ser>
          <c:idx val="3"/>
          <c:order val="3"/>
          <c:tx>
            <c:strRef>
              <c:f>SyC!$E$235</c:f>
              <c:strCache>
                <c:ptCount val="1"/>
                <c:pt idx="0">
                  <c:v>4</c:v>
                </c:pt>
              </c:strCache>
            </c:strRef>
          </c:tx>
          <c:spPr>
            <a:solidFill>
              <a:srgbClr val="00B05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SyC!$F$230:$AK$231</c:f>
              <c:multiLvlStrCache>
                <c:ptCount val="32"/>
                <c:lvl>
                  <c:pt idx="0">
                    <c:v>COLOMBIA</c:v>
                  </c:pt>
                  <c:pt idx="1">
                    <c:v>SOACHA</c:v>
                  </c:pt>
                  <c:pt idx="2">
                    <c:v>SOACHA OFICIAL</c:v>
                  </c:pt>
                  <c:pt idx="3">
                    <c:v>SOACHA NO OFICIAL</c:v>
                  </c:pt>
                  <c:pt idx="4">
                    <c:v>COLOMBIA</c:v>
                  </c:pt>
                  <c:pt idx="5">
                    <c:v>SOACHA</c:v>
                  </c:pt>
                  <c:pt idx="6">
                    <c:v>SOACHA OFICIAL</c:v>
                  </c:pt>
                  <c:pt idx="7">
                    <c:v>SOACHA NO OFICIAL</c:v>
                  </c:pt>
                  <c:pt idx="8">
                    <c:v>COLOMBIA</c:v>
                  </c:pt>
                  <c:pt idx="9">
                    <c:v>SOACHA</c:v>
                  </c:pt>
                  <c:pt idx="10">
                    <c:v>SOACHA OFICIAL</c:v>
                  </c:pt>
                  <c:pt idx="11">
                    <c:v>SOACHA NO OFICIAL</c:v>
                  </c:pt>
                  <c:pt idx="12">
                    <c:v>COLOMBIA</c:v>
                  </c:pt>
                  <c:pt idx="13">
                    <c:v>SOACHA</c:v>
                  </c:pt>
                  <c:pt idx="14">
                    <c:v>SOACHA OFICIAL</c:v>
                  </c:pt>
                  <c:pt idx="15">
                    <c:v>SOACHA NO OFICIAL</c:v>
                  </c:pt>
                  <c:pt idx="16">
                    <c:v>COLOMBIA</c:v>
                  </c:pt>
                  <c:pt idx="17">
                    <c:v>SOACHA</c:v>
                  </c:pt>
                  <c:pt idx="18">
                    <c:v>SOACHA OFICIAL</c:v>
                  </c:pt>
                  <c:pt idx="19">
                    <c:v>SOACHA NO OFICIAL</c:v>
                  </c:pt>
                  <c:pt idx="20">
                    <c:v>COLOMBIA</c:v>
                  </c:pt>
                  <c:pt idx="21">
                    <c:v>SOACHA</c:v>
                  </c:pt>
                  <c:pt idx="22">
                    <c:v>SOACHA OFICIAL</c:v>
                  </c:pt>
                  <c:pt idx="23">
                    <c:v>SOACHA NO OFICIAL</c:v>
                  </c:pt>
                  <c:pt idx="24">
                    <c:v>COLOMBIA</c:v>
                  </c:pt>
                  <c:pt idx="25">
                    <c:v>SOACHA</c:v>
                  </c:pt>
                  <c:pt idx="26">
                    <c:v>SOACHA OFICIAL</c:v>
                  </c:pt>
                  <c:pt idx="27">
                    <c:v>SOACHA NO OFICIAL</c:v>
                  </c:pt>
                  <c:pt idx="28">
                    <c:v>COLOMBIA</c:v>
                  </c:pt>
                  <c:pt idx="29">
                    <c:v>SOACHA</c:v>
                  </c:pt>
                  <c:pt idx="30">
                    <c:v>SOACHA OFICIAL</c:v>
                  </c:pt>
                  <c:pt idx="31">
                    <c:v>SOACHA NO OFICIAL</c:v>
                  </c:pt>
                </c:lvl>
                <c:lvl>
                  <c:pt idx="0">
                    <c:v>2016</c:v>
                  </c:pt>
                  <c:pt idx="4">
                    <c:v>2017</c:v>
                  </c:pt>
                  <c:pt idx="8">
                    <c:v>2018</c:v>
                  </c:pt>
                  <c:pt idx="12">
                    <c:v>2019</c:v>
                  </c:pt>
                  <c:pt idx="16">
                    <c:v>2020</c:v>
                  </c:pt>
                  <c:pt idx="20">
                    <c:v>2021</c:v>
                  </c:pt>
                  <c:pt idx="24">
                    <c:v>2022</c:v>
                  </c:pt>
                  <c:pt idx="28">
                    <c:v>2023</c:v>
                  </c:pt>
                </c:lvl>
              </c:multiLvlStrCache>
            </c:multiLvlStrRef>
          </c:cat>
          <c:val>
            <c:numRef>
              <c:f>SyC!$F$235:$AK$235</c:f>
              <c:numCache>
                <c:formatCode>0%</c:formatCode>
                <c:ptCount val="32"/>
                <c:pt idx="0">
                  <c:v>0.03</c:v>
                </c:pt>
                <c:pt idx="1">
                  <c:v>0.01</c:v>
                </c:pt>
                <c:pt idx="2">
                  <c:v>0.01</c:v>
                </c:pt>
                <c:pt idx="3">
                  <c:v>0.02</c:v>
                </c:pt>
                <c:pt idx="4">
                  <c:v>0.04</c:v>
                </c:pt>
                <c:pt idx="5">
                  <c:v>0.02</c:v>
                </c:pt>
                <c:pt idx="6">
                  <c:v>0.01</c:v>
                </c:pt>
                <c:pt idx="7">
                  <c:v>0.03</c:v>
                </c:pt>
                <c:pt idx="8">
                  <c:v>0.04</c:v>
                </c:pt>
                <c:pt idx="9">
                  <c:v>0.02</c:v>
                </c:pt>
                <c:pt idx="10">
                  <c:v>0.01</c:v>
                </c:pt>
                <c:pt idx="11">
                  <c:v>0.03</c:v>
                </c:pt>
                <c:pt idx="12">
                  <c:v>0.03</c:v>
                </c:pt>
                <c:pt idx="13">
                  <c:v>0.01</c:v>
                </c:pt>
                <c:pt idx="14">
                  <c:v>0.01</c:v>
                </c:pt>
                <c:pt idx="15">
                  <c:v>0.02</c:v>
                </c:pt>
                <c:pt idx="16">
                  <c:v>0.04</c:v>
                </c:pt>
                <c:pt idx="17">
                  <c:v>0.02</c:v>
                </c:pt>
                <c:pt idx="18">
                  <c:v>0.01</c:v>
                </c:pt>
                <c:pt idx="19">
                  <c:v>0.03</c:v>
                </c:pt>
                <c:pt idx="20">
                  <c:v>0.03</c:v>
                </c:pt>
                <c:pt idx="21">
                  <c:v>0.02</c:v>
                </c:pt>
                <c:pt idx="22">
                  <c:v>0.01</c:v>
                </c:pt>
                <c:pt idx="23">
                  <c:v>0.03</c:v>
                </c:pt>
                <c:pt idx="24">
                  <c:v>0.03</c:v>
                </c:pt>
                <c:pt idx="25">
                  <c:v>0.02</c:v>
                </c:pt>
                <c:pt idx="26">
                  <c:v>0.01</c:v>
                </c:pt>
                <c:pt idx="27">
                  <c:v>0.03</c:v>
                </c:pt>
                <c:pt idx="28">
                  <c:v>0.04</c:v>
                </c:pt>
                <c:pt idx="29">
                  <c:v>0.02</c:v>
                </c:pt>
                <c:pt idx="30">
                  <c:v>0.01</c:v>
                </c:pt>
                <c:pt idx="31">
                  <c:v>0.03</c:v>
                </c:pt>
              </c:numCache>
            </c:numRef>
          </c:val>
          <c:extLst>
            <c:ext xmlns:c16="http://schemas.microsoft.com/office/drawing/2014/chart" uri="{C3380CC4-5D6E-409C-BE32-E72D297353CC}">
              <c16:uniqueId val="{00000003-1A61-435B-A765-40AB71907592}"/>
            </c:ext>
          </c:extLst>
        </c:ser>
        <c:dLbls>
          <c:showLegendKey val="0"/>
          <c:showVal val="0"/>
          <c:showCatName val="0"/>
          <c:showSerName val="0"/>
          <c:showPercent val="0"/>
          <c:showBubbleSize val="0"/>
        </c:dLbls>
        <c:gapWidth val="150"/>
        <c:overlap val="100"/>
        <c:axId val="744346207"/>
        <c:axId val="634479663"/>
      </c:barChart>
      <c:catAx>
        <c:axId val="74434620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634479663"/>
        <c:crosses val="autoZero"/>
        <c:auto val="1"/>
        <c:lblAlgn val="ctr"/>
        <c:lblOffset val="100"/>
        <c:noMultiLvlLbl val="0"/>
      </c:catAx>
      <c:valAx>
        <c:axId val="634479663"/>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74434620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sz="1400"/>
              <a:t>Resultados Ciencias Naturales</a:t>
            </a:r>
            <a:r>
              <a:rPr lang="es-CO" sz="1400" baseline="0"/>
              <a:t> por Comunas 2016 - 2023</a:t>
            </a:r>
            <a:endParaRPr lang="es-CO" sz="1400"/>
          </a:p>
        </c:rich>
      </c:tx>
      <c:overlay val="0"/>
    </c:title>
    <c:autoTitleDeleted val="0"/>
    <c:plotArea>
      <c:layout/>
      <c:radarChart>
        <c:radarStyle val="marker"/>
        <c:varyColors val="0"/>
        <c:ser>
          <c:idx val="0"/>
          <c:order val="0"/>
          <c:tx>
            <c:strRef>
              <c:f>CN!$X$173</c:f>
              <c:strCache>
                <c:ptCount val="1"/>
                <c:pt idx="0">
                  <c:v>2016</c:v>
                </c:pt>
              </c:strCache>
            </c:strRef>
          </c:tx>
          <c:spPr>
            <a:ln>
              <a:prstDash val="lgDashDot"/>
            </a:ln>
          </c:spPr>
          <c:cat>
            <c:strRef>
              <c:f>CN!$W$174:$W$179</c:f>
              <c:strCache>
                <c:ptCount val="6"/>
                <c:pt idx="0">
                  <c:v>COMUNA 1</c:v>
                </c:pt>
                <c:pt idx="1">
                  <c:v>COMUNA 2</c:v>
                </c:pt>
                <c:pt idx="2">
                  <c:v>COMUNA 3</c:v>
                </c:pt>
                <c:pt idx="3">
                  <c:v>COMUNA 4</c:v>
                </c:pt>
                <c:pt idx="4">
                  <c:v>COMUNA 5</c:v>
                </c:pt>
                <c:pt idx="5">
                  <c:v>COMUNA 6</c:v>
                </c:pt>
              </c:strCache>
            </c:strRef>
          </c:cat>
          <c:val>
            <c:numRef>
              <c:f>CN!$X$174:$X$179</c:f>
              <c:numCache>
                <c:formatCode>0</c:formatCode>
                <c:ptCount val="6"/>
                <c:pt idx="0">
                  <c:v>53.176470588235297</c:v>
                </c:pt>
                <c:pt idx="1">
                  <c:v>54.6</c:v>
                </c:pt>
                <c:pt idx="2">
                  <c:v>55.0625</c:v>
                </c:pt>
                <c:pt idx="3">
                  <c:v>51.142857142857146</c:v>
                </c:pt>
                <c:pt idx="4">
                  <c:v>56.235294117647058</c:v>
                </c:pt>
                <c:pt idx="5">
                  <c:v>55.06666666666667</c:v>
                </c:pt>
              </c:numCache>
            </c:numRef>
          </c:val>
          <c:extLst>
            <c:ext xmlns:c16="http://schemas.microsoft.com/office/drawing/2014/chart" uri="{C3380CC4-5D6E-409C-BE32-E72D297353CC}">
              <c16:uniqueId val="{00000000-3F0A-40B9-8E3C-7D8199688C49}"/>
            </c:ext>
          </c:extLst>
        </c:ser>
        <c:ser>
          <c:idx val="1"/>
          <c:order val="1"/>
          <c:tx>
            <c:strRef>
              <c:f>CN!$Y$173</c:f>
              <c:strCache>
                <c:ptCount val="1"/>
                <c:pt idx="0">
                  <c:v>2017</c:v>
                </c:pt>
              </c:strCache>
            </c:strRef>
          </c:tx>
          <c:cat>
            <c:strRef>
              <c:f>CN!$W$174:$W$179</c:f>
              <c:strCache>
                <c:ptCount val="6"/>
                <c:pt idx="0">
                  <c:v>COMUNA 1</c:v>
                </c:pt>
                <c:pt idx="1">
                  <c:v>COMUNA 2</c:v>
                </c:pt>
                <c:pt idx="2">
                  <c:v>COMUNA 3</c:v>
                </c:pt>
                <c:pt idx="3">
                  <c:v>COMUNA 4</c:v>
                </c:pt>
                <c:pt idx="4">
                  <c:v>COMUNA 5</c:v>
                </c:pt>
                <c:pt idx="5">
                  <c:v>COMUNA 6</c:v>
                </c:pt>
              </c:strCache>
            </c:strRef>
          </c:cat>
          <c:val>
            <c:numRef>
              <c:f>CN!$Y$174:$Y$179</c:f>
              <c:numCache>
                <c:formatCode>0</c:formatCode>
                <c:ptCount val="6"/>
                <c:pt idx="0">
                  <c:v>52.625</c:v>
                </c:pt>
                <c:pt idx="1">
                  <c:v>52.89473684210526</c:v>
                </c:pt>
                <c:pt idx="2">
                  <c:v>53.235294117647058</c:v>
                </c:pt>
                <c:pt idx="3">
                  <c:v>51.2</c:v>
                </c:pt>
                <c:pt idx="4">
                  <c:v>55</c:v>
                </c:pt>
                <c:pt idx="5">
                  <c:v>52.06666666666667</c:v>
                </c:pt>
              </c:numCache>
            </c:numRef>
          </c:val>
          <c:extLst>
            <c:ext xmlns:c16="http://schemas.microsoft.com/office/drawing/2014/chart" uri="{C3380CC4-5D6E-409C-BE32-E72D297353CC}">
              <c16:uniqueId val="{00000001-3F0A-40B9-8E3C-7D8199688C49}"/>
            </c:ext>
          </c:extLst>
        </c:ser>
        <c:ser>
          <c:idx val="2"/>
          <c:order val="2"/>
          <c:tx>
            <c:strRef>
              <c:f>CN!$Z$173</c:f>
              <c:strCache>
                <c:ptCount val="1"/>
                <c:pt idx="0">
                  <c:v>2018</c:v>
                </c:pt>
              </c:strCache>
            </c:strRef>
          </c:tx>
          <c:spPr>
            <a:ln>
              <a:prstDash val="sysDash"/>
            </a:ln>
          </c:spPr>
          <c:cat>
            <c:strRef>
              <c:f>CN!$W$174:$W$179</c:f>
              <c:strCache>
                <c:ptCount val="6"/>
                <c:pt idx="0">
                  <c:v>COMUNA 1</c:v>
                </c:pt>
                <c:pt idx="1">
                  <c:v>COMUNA 2</c:v>
                </c:pt>
                <c:pt idx="2">
                  <c:v>COMUNA 3</c:v>
                </c:pt>
                <c:pt idx="3">
                  <c:v>COMUNA 4</c:v>
                </c:pt>
                <c:pt idx="4">
                  <c:v>COMUNA 5</c:v>
                </c:pt>
                <c:pt idx="5">
                  <c:v>COMUNA 6</c:v>
                </c:pt>
              </c:strCache>
            </c:strRef>
          </c:cat>
          <c:val>
            <c:numRef>
              <c:f>CN!$Z$174:$Z$179</c:f>
              <c:numCache>
                <c:formatCode>0</c:formatCode>
                <c:ptCount val="6"/>
                <c:pt idx="0">
                  <c:v>50.764705882352942</c:v>
                </c:pt>
                <c:pt idx="1">
                  <c:v>51.684210526315788</c:v>
                </c:pt>
                <c:pt idx="2">
                  <c:v>52.117647058823529</c:v>
                </c:pt>
                <c:pt idx="3">
                  <c:v>49.266666666666666</c:v>
                </c:pt>
                <c:pt idx="4">
                  <c:v>53.611111111111114</c:v>
                </c:pt>
                <c:pt idx="5">
                  <c:v>51</c:v>
                </c:pt>
              </c:numCache>
            </c:numRef>
          </c:val>
          <c:extLst>
            <c:ext xmlns:c16="http://schemas.microsoft.com/office/drawing/2014/chart" uri="{C3380CC4-5D6E-409C-BE32-E72D297353CC}">
              <c16:uniqueId val="{00000002-3F0A-40B9-8E3C-7D8199688C49}"/>
            </c:ext>
          </c:extLst>
        </c:ser>
        <c:ser>
          <c:idx val="3"/>
          <c:order val="3"/>
          <c:tx>
            <c:strRef>
              <c:f>CN!$AA$173</c:f>
              <c:strCache>
                <c:ptCount val="1"/>
                <c:pt idx="0">
                  <c:v>2019</c:v>
                </c:pt>
              </c:strCache>
            </c:strRef>
          </c:tx>
          <c:cat>
            <c:strRef>
              <c:f>CN!$W$174:$W$179</c:f>
              <c:strCache>
                <c:ptCount val="6"/>
                <c:pt idx="0">
                  <c:v>COMUNA 1</c:v>
                </c:pt>
                <c:pt idx="1">
                  <c:v>COMUNA 2</c:v>
                </c:pt>
                <c:pt idx="2">
                  <c:v>COMUNA 3</c:v>
                </c:pt>
                <c:pt idx="3">
                  <c:v>COMUNA 4</c:v>
                </c:pt>
                <c:pt idx="4">
                  <c:v>COMUNA 5</c:v>
                </c:pt>
                <c:pt idx="5">
                  <c:v>COMUNA 6</c:v>
                </c:pt>
              </c:strCache>
            </c:strRef>
          </c:cat>
          <c:val>
            <c:numRef>
              <c:f>CN!$AA$174:$AA$179</c:f>
              <c:numCache>
                <c:formatCode>0</c:formatCode>
                <c:ptCount val="6"/>
                <c:pt idx="0">
                  <c:v>49.470588235294116</c:v>
                </c:pt>
                <c:pt idx="1">
                  <c:v>51.25</c:v>
                </c:pt>
                <c:pt idx="2">
                  <c:v>50.705882352941174</c:v>
                </c:pt>
                <c:pt idx="3">
                  <c:v>47.714285714285715</c:v>
                </c:pt>
                <c:pt idx="4">
                  <c:v>52.157894736842103</c:v>
                </c:pt>
                <c:pt idx="5">
                  <c:v>50.333333333333336</c:v>
                </c:pt>
              </c:numCache>
            </c:numRef>
          </c:val>
          <c:extLst>
            <c:ext xmlns:c16="http://schemas.microsoft.com/office/drawing/2014/chart" uri="{C3380CC4-5D6E-409C-BE32-E72D297353CC}">
              <c16:uniqueId val="{00000003-3F0A-40B9-8E3C-7D8199688C49}"/>
            </c:ext>
          </c:extLst>
        </c:ser>
        <c:ser>
          <c:idx val="4"/>
          <c:order val="4"/>
          <c:tx>
            <c:strRef>
              <c:f>CN!$AB$173</c:f>
              <c:strCache>
                <c:ptCount val="1"/>
                <c:pt idx="0">
                  <c:v>2020</c:v>
                </c:pt>
              </c:strCache>
            </c:strRef>
          </c:tx>
          <c:cat>
            <c:strRef>
              <c:f>CN!$W$174:$W$179</c:f>
              <c:strCache>
                <c:ptCount val="6"/>
                <c:pt idx="0">
                  <c:v>COMUNA 1</c:v>
                </c:pt>
                <c:pt idx="1">
                  <c:v>COMUNA 2</c:v>
                </c:pt>
                <c:pt idx="2">
                  <c:v>COMUNA 3</c:v>
                </c:pt>
                <c:pt idx="3">
                  <c:v>COMUNA 4</c:v>
                </c:pt>
                <c:pt idx="4">
                  <c:v>COMUNA 5</c:v>
                </c:pt>
                <c:pt idx="5">
                  <c:v>COMUNA 6</c:v>
                </c:pt>
              </c:strCache>
            </c:strRef>
          </c:cat>
          <c:val>
            <c:numRef>
              <c:f>CN!$AB$174:$AB$179</c:f>
              <c:numCache>
                <c:formatCode>0</c:formatCode>
                <c:ptCount val="6"/>
                <c:pt idx="0">
                  <c:v>49.588235294117645</c:v>
                </c:pt>
                <c:pt idx="1">
                  <c:v>49.75</c:v>
                </c:pt>
                <c:pt idx="2">
                  <c:v>50.94736842105263</c:v>
                </c:pt>
                <c:pt idx="3">
                  <c:v>47</c:v>
                </c:pt>
                <c:pt idx="4">
                  <c:v>52.777777777777779</c:v>
                </c:pt>
                <c:pt idx="5">
                  <c:v>49.235294117647058</c:v>
                </c:pt>
              </c:numCache>
            </c:numRef>
          </c:val>
          <c:extLst>
            <c:ext xmlns:c16="http://schemas.microsoft.com/office/drawing/2014/chart" uri="{C3380CC4-5D6E-409C-BE32-E72D297353CC}">
              <c16:uniqueId val="{00000001-A6A4-43B1-9C0C-825CDE793F37}"/>
            </c:ext>
          </c:extLst>
        </c:ser>
        <c:ser>
          <c:idx val="5"/>
          <c:order val="5"/>
          <c:tx>
            <c:strRef>
              <c:f>CN!$AC$173</c:f>
              <c:strCache>
                <c:ptCount val="1"/>
                <c:pt idx="0">
                  <c:v>2021</c:v>
                </c:pt>
              </c:strCache>
            </c:strRef>
          </c:tx>
          <c:cat>
            <c:strRef>
              <c:f>CN!$W$174:$W$179</c:f>
              <c:strCache>
                <c:ptCount val="6"/>
                <c:pt idx="0">
                  <c:v>COMUNA 1</c:v>
                </c:pt>
                <c:pt idx="1">
                  <c:v>COMUNA 2</c:v>
                </c:pt>
                <c:pt idx="2">
                  <c:v>COMUNA 3</c:v>
                </c:pt>
                <c:pt idx="3">
                  <c:v>COMUNA 4</c:v>
                </c:pt>
                <c:pt idx="4">
                  <c:v>COMUNA 5</c:v>
                </c:pt>
                <c:pt idx="5">
                  <c:v>COMUNA 6</c:v>
                </c:pt>
              </c:strCache>
            </c:strRef>
          </c:cat>
          <c:val>
            <c:numRef>
              <c:f>CN!$AC$174:$AC$179</c:f>
              <c:numCache>
                <c:formatCode>0</c:formatCode>
                <c:ptCount val="6"/>
                <c:pt idx="0">
                  <c:v>49.705882352941174</c:v>
                </c:pt>
                <c:pt idx="1">
                  <c:v>50.18181818181818</c:v>
                </c:pt>
                <c:pt idx="2">
                  <c:v>51</c:v>
                </c:pt>
                <c:pt idx="3">
                  <c:v>47.571428571428569</c:v>
                </c:pt>
                <c:pt idx="4">
                  <c:v>52.277777777777779</c:v>
                </c:pt>
                <c:pt idx="5">
                  <c:v>49.235294117647058</c:v>
                </c:pt>
              </c:numCache>
            </c:numRef>
          </c:val>
          <c:extLst>
            <c:ext xmlns:c16="http://schemas.microsoft.com/office/drawing/2014/chart" uri="{C3380CC4-5D6E-409C-BE32-E72D297353CC}">
              <c16:uniqueId val="{00000000-BF4B-4F30-9369-57EC137F697B}"/>
            </c:ext>
          </c:extLst>
        </c:ser>
        <c:ser>
          <c:idx val="6"/>
          <c:order val="6"/>
          <c:tx>
            <c:strRef>
              <c:f>CN!$AD$173</c:f>
              <c:strCache>
                <c:ptCount val="1"/>
                <c:pt idx="0">
                  <c:v>2021</c:v>
                </c:pt>
              </c:strCache>
            </c:strRef>
          </c:tx>
          <c:cat>
            <c:strRef>
              <c:f>CN!$W$174:$W$179</c:f>
              <c:strCache>
                <c:ptCount val="6"/>
                <c:pt idx="0">
                  <c:v>COMUNA 1</c:v>
                </c:pt>
                <c:pt idx="1">
                  <c:v>COMUNA 2</c:v>
                </c:pt>
                <c:pt idx="2">
                  <c:v>COMUNA 3</c:v>
                </c:pt>
                <c:pt idx="3">
                  <c:v>COMUNA 4</c:v>
                </c:pt>
                <c:pt idx="4">
                  <c:v>COMUNA 5</c:v>
                </c:pt>
                <c:pt idx="5">
                  <c:v>COMUNA 6</c:v>
                </c:pt>
              </c:strCache>
            </c:strRef>
          </c:cat>
          <c:val>
            <c:numRef>
              <c:f>CN!$AD$174:$AD$179</c:f>
              <c:numCache>
                <c:formatCode>0</c:formatCode>
                <c:ptCount val="6"/>
                <c:pt idx="0">
                  <c:v>50.388888888888886</c:v>
                </c:pt>
                <c:pt idx="1">
                  <c:v>51.52</c:v>
                </c:pt>
                <c:pt idx="2">
                  <c:v>51.5</c:v>
                </c:pt>
                <c:pt idx="3">
                  <c:v>48.5</c:v>
                </c:pt>
                <c:pt idx="4">
                  <c:v>53.705882352941174</c:v>
                </c:pt>
                <c:pt idx="5">
                  <c:v>49.736842105263158</c:v>
                </c:pt>
              </c:numCache>
            </c:numRef>
          </c:val>
          <c:extLst>
            <c:ext xmlns:c16="http://schemas.microsoft.com/office/drawing/2014/chart" uri="{C3380CC4-5D6E-409C-BE32-E72D297353CC}">
              <c16:uniqueId val="{00000000-9DD3-4838-8DC6-23F0AA3B8FFA}"/>
            </c:ext>
          </c:extLst>
        </c:ser>
        <c:ser>
          <c:idx val="7"/>
          <c:order val="7"/>
          <c:tx>
            <c:strRef>
              <c:f>CN!$AE$173</c:f>
              <c:strCache>
                <c:ptCount val="1"/>
                <c:pt idx="0">
                  <c:v>2022</c:v>
                </c:pt>
              </c:strCache>
            </c:strRef>
          </c:tx>
          <c:cat>
            <c:strRef>
              <c:f>CN!$W$174:$W$179</c:f>
              <c:strCache>
                <c:ptCount val="6"/>
                <c:pt idx="0">
                  <c:v>COMUNA 1</c:v>
                </c:pt>
                <c:pt idx="1">
                  <c:v>COMUNA 2</c:v>
                </c:pt>
                <c:pt idx="2">
                  <c:v>COMUNA 3</c:v>
                </c:pt>
                <c:pt idx="3">
                  <c:v>COMUNA 4</c:v>
                </c:pt>
                <c:pt idx="4">
                  <c:v>COMUNA 5</c:v>
                </c:pt>
                <c:pt idx="5">
                  <c:v>COMUNA 6</c:v>
                </c:pt>
              </c:strCache>
            </c:strRef>
          </c:cat>
          <c:val>
            <c:numRef>
              <c:f>CN!$AE$174:$AE$179</c:f>
              <c:numCache>
                <c:formatCode>0</c:formatCode>
                <c:ptCount val="6"/>
                <c:pt idx="0">
                  <c:v>51.411764705882355</c:v>
                </c:pt>
                <c:pt idx="1">
                  <c:v>51.384615384615387</c:v>
                </c:pt>
                <c:pt idx="2">
                  <c:v>52.272727272727273</c:v>
                </c:pt>
                <c:pt idx="3">
                  <c:v>48</c:v>
                </c:pt>
                <c:pt idx="4">
                  <c:v>54.588235294117645</c:v>
                </c:pt>
                <c:pt idx="5">
                  <c:v>50.9</c:v>
                </c:pt>
              </c:numCache>
            </c:numRef>
          </c:val>
          <c:extLst>
            <c:ext xmlns:c16="http://schemas.microsoft.com/office/drawing/2014/chart" uri="{C3380CC4-5D6E-409C-BE32-E72D297353CC}">
              <c16:uniqueId val="{00000001-9DD3-4838-8DC6-23F0AA3B8FFA}"/>
            </c:ext>
          </c:extLst>
        </c:ser>
        <c:dLbls>
          <c:showLegendKey val="0"/>
          <c:showVal val="0"/>
          <c:showCatName val="0"/>
          <c:showSerName val="0"/>
          <c:showPercent val="0"/>
          <c:showBubbleSize val="0"/>
        </c:dLbls>
        <c:axId val="39135104"/>
        <c:axId val="39136640"/>
      </c:radarChart>
      <c:catAx>
        <c:axId val="39135104"/>
        <c:scaling>
          <c:orientation val="minMax"/>
        </c:scaling>
        <c:delete val="0"/>
        <c:axPos val="b"/>
        <c:majorGridlines/>
        <c:numFmt formatCode="General" sourceLinked="0"/>
        <c:majorTickMark val="none"/>
        <c:minorTickMark val="none"/>
        <c:tickLblPos val="nextTo"/>
        <c:spPr>
          <a:ln w="9525">
            <a:noFill/>
          </a:ln>
        </c:spPr>
        <c:crossAx val="39136640"/>
        <c:crosses val="autoZero"/>
        <c:auto val="1"/>
        <c:lblAlgn val="ctr"/>
        <c:lblOffset val="100"/>
        <c:noMultiLvlLbl val="0"/>
      </c:catAx>
      <c:valAx>
        <c:axId val="39136640"/>
        <c:scaling>
          <c:orientation val="minMax"/>
          <c:max val="58"/>
          <c:min val="44"/>
        </c:scaling>
        <c:delete val="0"/>
        <c:axPos val="l"/>
        <c:majorGridlines/>
        <c:numFmt formatCode="0" sourceLinked="1"/>
        <c:majorTickMark val="none"/>
        <c:minorTickMark val="none"/>
        <c:tickLblPos val="nextTo"/>
        <c:crossAx val="39135104"/>
        <c:crosses val="autoZero"/>
        <c:crossBetween val="between"/>
        <c:majorUnit val="2"/>
      </c:valAx>
    </c:plotArea>
    <c:legend>
      <c:legendPos val="r"/>
      <c:overlay val="0"/>
    </c:legend>
    <c:plotVisOnly val="1"/>
    <c:dispBlanksAs val="gap"/>
    <c:showDLblsOverMax val="0"/>
  </c:chart>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a:defRPr/>
            </a:pPr>
            <a:r>
              <a:rPr lang="es-CO" sz="1400" b="1" i="0" baseline="0">
                <a:effectLst/>
              </a:rPr>
              <a:t>Resultados Ciencias Naturales Instituciones No Oficiales por Comunas 2016 - 2023</a:t>
            </a:r>
            <a:endParaRPr lang="es-CO" sz="1400">
              <a:effectLst/>
            </a:endParaRPr>
          </a:p>
        </c:rich>
      </c:tx>
      <c:overlay val="0"/>
    </c:title>
    <c:autoTitleDeleted val="0"/>
    <c:plotArea>
      <c:layout/>
      <c:radarChart>
        <c:radarStyle val="marker"/>
        <c:varyColors val="0"/>
        <c:ser>
          <c:idx val="0"/>
          <c:order val="0"/>
          <c:tx>
            <c:strRef>
              <c:f>CN!$F$198</c:f>
              <c:strCache>
                <c:ptCount val="1"/>
                <c:pt idx="0">
                  <c:v>2016</c:v>
                </c:pt>
              </c:strCache>
            </c:strRef>
          </c:tx>
          <c:spPr>
            <a:ln>
              <a:prstDash val="lgDashDot"/>
            </a:ln>
          </c:spPr>
          <c:cat>
            <c:strRef>
              <c:f>CN!$E$199:$E$204</c:f>
              <c:strCache>
                <c:ptCount val="6"/>
                <c:pt idx="0">
                  <c:v>COMUNA 1</c:v>
                </c:pt>
                <c:pt idx="1">
                  <c:v>COMUNA 2</c:v>
                </c:pt>
                <c:pt idx="2">
                  <c:v>COMUNA 3</c:v>
                </c:pt>
                <c:pt idx="3">
                  <c:v>COMUNA 4</c:v>
                </c:pt>
                <c:pt idx="4">
                  <c:v>COMUNA 5</c:v>
                </c:pt>
                <c:pt idx="5">
                  <c:v>COMUNA 6</c:v>
                </c:pt>
              </c:strCache>
            </c:strRef>
          </c:cat>
          <c:val>
            <c:numRef>
              <c:f>CN!$F$199:$F$204</c:f>
              <c:numCache>
                <c:formatCode>0</c:formatCode>
                <c:ptCount val="6"/>
                <c:pt idx="0">
                  <c:v>52.92307692307692</c:v>
                </c:pt>
                <c:pt idx="1">
                  <c:v>54.666666666666664</c:v>
                </c:pt>
                <c:pt idx="2">
                  <c:v>55.46153846153846</c:v>
                </c:pt>
                <c:pt idx="3">
                  <c:v>51.625</c:v>
                </c:pt>
                <c:pt idx="4">
                  <c:v>56.533333333333331</c:v>
                </c:pt>
                <c:pt idx="5">
                  <c:v>55.5</c:v>
                </c:pt>
              </c:numCache>
            </c:numRef>
          </c:val>
          <c:extLst>
            <c:ext xmlns:c16="http://schemas.microsoft.com/office/drawing/2014/chart" uri="{C3380CC4-5D6E-409C-BE32-E72D297353CC}">
              <c16:uniqueId val="{00000000-9BAC-48E9-B567-4D96458C5EB6}"/>
            </c:ext>
          </c:extLst>
        </c:ser>
        <c:ser>
          <c:idx val="1"/>
          <c:order val="1"/>
          <c:tx>
            <c:strRef>
              <c:f>CN!$G$198</c:f>
              <c:strCache>
                <c:ptCount val="1"/>
                <c:pt idx="0">
                  <c:v>2017</c:v>
                </c:pt>
              </c:strCache>
            </c:strRef>
          </c:tx>
          <c:cat>
            <c:strRef>
              <c:f>CN!$E$199:$E$204</c:f>
              <c:strCache>
                <c:ptCount val="6"/>
                <c:pt idx="0">
                  <c:v>COMUNA 1</c:v>
                </c:pt>
                <c:pt idx="1">
                  <c:v>COMUNA 2</c:v>
                </c:pt>
                <c:pt idx="2">
                  <c:v>COMUNA 3</c:v>
                </c:pt>
                <c:pt idx="3">
                  <c:v>COMUNA 4</c:v>
                </c:pt>
                <c:pt idx="4">
                  <c:v>COMUNA 5</c:v>
                </c:pt>
                <c:pt idx="5">
                  <c:v>COMUNA 6</c:v>
                </c:pt>
              </c:strCache>
            </c:strRef>
          </c:cat>
          <c:val>
            <c:numRef>
              <c:f>CN!$G$199:$G$204</c:f>
              <c:numCache>
                <c:formatCode>0</c:formatCode>
                <c:ptCount val="6"/>
                <c:pt idx="0">
                  <c:v>52.5</c:v>
                </c:pt>
                <c:pt idx="1">
                  <c:v>52.823529411764703</c:v>
                </c:pt>
                <c:pt idx="2">
                  <c:v>53.642857142857146</c:v>
                </c:pt>
                <c:pt idx="3">
                  <c:v>52.111111111111114</c:v>
                </c:pt>
                <c:pt idx="4">
                  <c:v>55.466666666666669</c:v>
                </c:pt>
                <c:pt idx="5">
                  <c:v>52.083333333333336</c:v>
                </c:pt>
              </c:numCache>
            </c:numRef>
          </c:val>
          <c:extLst>
            <c:ext xmlns:c16="http://schemas.microsoft.com/office/drawing/2014/chart" uri="{C3380CC4-5D6E-409C-BE32-E72D297353CC}">
              <c16:uniqueId val="{00000001-9BAC-48E9-B567-4D96458C5EB6}"/>
            </c:ext>
          </c:extLst>
        </c:ser>
        <c:ser>
          <c:idx val="2"/>
          <c:order val="2"/>
          <c:tx>
            <c:strRef>
              <c:f>CN!$H$198</c:f>
              <c:strCache>
                <c:ptCount val="1"/>
                <c:pt idx="0">
                  <c:v>2018</c:v>
                </c:pt>
              </c:strCache>
            </c:strRef>
          </c:tx>
          <c:spPr>
            <a:ln>
              <a:prstDash val="sysDash"/>
            </a:ln>
          </c:spPr>
          <c:cat>
            <c:strRef>
              <c:f>CN!$E$199:$E$204</c:f>
              <c:strCache>
                <c:ptCount val="6"/>
                <c:pt idx="0">
                  <c:v>COMUNA 1</c:v>
                </c:pt>
                <c:pt idx="1">
                  <c:v>COMUNA 2</c:v>
                </c:pt>
                <c:pt idx="2">
                  <c:v>COMUNA 3</c:v>
                </c:pt>
                <c:pt idx="3">
                  <c:v>COMUNA 4</c:v>
                </c:pt>
                <c:pt idx="4">
                  <c:v>COMUNA 5</c:v>
                </c:pt>
                <c:pt idx="5">
                  <c:v>COMUNA 6</c:v>
                </c:pt>
              </c:strCache>
            </c:strRef>
          </c:cat>
          <c:val>
            <c:numRef>
              <c:f>CN!$H$199:$H$204</c:f>
              <c:numCache>
                <c:formatCode>0</c:formatCode>
                <c:ptCount val="6"/>
                <c:pt idx="0">
                  <c:v>50.846153846153847</c:v>
                </c:pt>
                <c:pt idx="1">
                  <c:v>51.764705882352942</c:v>
                </c:pt>
                <c:pt idx="2">
                  <c:v>52.428571428571431</c:v>
                </c:pt>
                <c:pt idx="3">
                  <c:v>51.111111111111114</c:v>
                </c:pt>
                <c:pt idx="4">
                  <c:v>54.125</c:v>
                </c:pt>
                <c:pt idx="5">
                  <c:v>51.18181818181818</c:v>
                </c:pt>
              </c:numCache>
            </c:numRef>
          </c:val>
          <c:extLst>
            <c:ext xmlns:c16="http://schemas.microsoft.com/office/drawing/2014/chart" uri="{C3380CC4-5D6E-409C-BE32-E72D297353CC}">
              <c16:uniqueId val="{00000002-9BAC-48E9-B567-4D96458C5EB6}"/>
            </c:ext>
          </c:extLst>
        </c:ser>
        <c:ser>
          <c:idx val="3"/>
          <c:order val="3"/>
          <c:tx>
            <c:strRef>
              <c:f>CN!$I$198</c:f>
              <c:strCache>
                <c:ptCount val="1"/>
                <c:pt idx="0">
                  <c:v>2019</c:v>
                </c:pt>
              </c:strCache>
            </c:strRef>
          </c:tx>
          <c:cat>
            <c:strRef>
              <c:f>CN!$E$199:$E$204</c:f>
              <c:strCache>
                <c:ptCount val="6"/>
                <c:pt idx="0">
                  <c:v>COMUNA 1</c:v>
                </c:pt>
                <c:pt idx="1">
                  <c:v>COMUNA 2</c:v>
                </c:pt>
                <c:pt idx="2">
                  <c:v>COMUNA 3</c:v>
                </c:pt>
                <c:pt idx="3">
                  <c:v>COMUNA 4</c:v>
                </c:pt>
                <c:pt idx="4">
                  <c:v>COMUNA 5</c:v>
                </c:pt>
                <c:pt idx="5">
                  <c:v>COMUNA 6</c:v>
                </c:pt>
              </c:strCache>
            </c:strRef>
          </c:cat>
          <c:val>
            <c:numRef>
              <c:f>CN!$I$199:$I$204</c:f>
              <c:numCache>
                <c:formatCode>0</c:formatCode>
                <c:ptCount val="6"/>
                <c:pt idx="0">
                  <c:v>49.46153846153846</c:v>
                </c:pt>
                <c:pt idx="1">
                  <c:v>51.5</c:v>
                </c:pt>
                <c:pt idx="2">
                  <c:v>51.142857142857146</c:v>
                </c:pt>
                <c:pt idx="3">
                  <c:v>49.375</c:v>
                </c:pt>
                <c:pt idx="4">
                  <c:v>52.470588235294116</c:v>
                </c:pt>
                <c:pt idx="5">
                  <c:v>50.833333333333336</c:v>
                </c:pt>
              </c:numCache>
            </c:numRef>
          </c:val>
          <c:extLst>
            <c:ext xmlns:c16="http://schemas.microsoft.com/office/drawing/2014/chart" uri="{C3380CC4-5D6E-409C-BE32-E72D297353CC}">
              <c16:uniqueId val="{00000003-9BAC-48E9-B567-4D96458C5EB6}"/>
            </c:ext>
          </c:extLst>
        </c:ser>
        <c:ser>
          <c:idx val="4"/>
          <c:order val="4"/>
          <c:tx>
            <c:strRef>
              <c:f>CN!$J$198</c:f>
              <c:strCache>
                <c:ptCount val="1"/>
                <c:pt idx="0">
                  <c:v>2020</c:v>
                </c:pt>
              </c:strCache>
            </c:strRef>
          </c:tx>
          <c:cat>
            <c:strRef>
              <c:f>CN!$E$199:$E$204</c:f>
              <c:strCache>
                <c:ptCount val="6"/>
                <c:pt idx="0">
                  <c:v>COMUNA 1</c:v>
                </c:pt>
                <c:pt idx="1">
                  <c:v>COMUNA 2</c:v>
                </c:pt>
                <c:pt idx="2">
                  <c:v>COMUNA 3</c:v>
                </c:pt>
                <c:pt idx="3">
                  <c:v>COMUNA 4</c:v>
                </c:pt>
                <c:pt idx="4">
                  <c:v>COMUNA 5</c:v>
                </c:pt>
                <c:pt idx="5">
                  <c:v>COMUNA 6</c:v>
                </c:pt>
              </c:strCache>
            </c:strRef>
          </c:cat>
          <c:val>
            <c:numRef>
              <c:f>CN!$J$199:$J$204</c:f>
              <c:numCache>
                <c:formatCode>0</c:formatCode>
                <c:ptCount val="6"/>
                <c:pt idx="0">
                  <c:v>49.769230769230766</c:v>
                </c:pt>
                <c:pt idx="1">
                  <c:v>49.81818181818182</c:v>
                </c:pt>
                <c:pt idx="2">
                  <c:v>51.4</c:v>
                </c:pt>
                <c:pt idx="3">
                  <c:v>48.571428571428569</c:v>
                </c:pt>
                <c:pt idx="4">
                  <c:v>53.25</c:v>
                </c:pt>
                <c:pt idx="5">
                  <c:v>49.428571428571431</c:v>
                </c:pt>
              </c:numCache>
            </c:numRef>
          </c:val>
          <c:extLst>
            <c:ext xmlns:c16="http://schemas.microsoft.com/office/drawing/2014/chart" uri="{C3380CC4-5D6E-409C-BE32-E72D297353CC}">
              <c16:uniqueId val="{00000001-8DC5-4FD2-9FAB-193726B04AB9}"/>
            </c:ext>
          </c:extLst>
        </c:ser>
        <c:ser>
          <c:idx val="5"/>
          <c:order val="5"/>
          <c:tx>
            <c:strRef>
              <c:f>CN!$K$198</c:f>
              <c:strCache>
                <c:ptCount val="1"/>
                <c:pt idx="0">
                  <c:v>2021</c:v>
                </c:pt>
              </c:strCache>
            </c:strRef>
          </c:tx>
          <c:cat>
            <c:strRef>
              <c:f>CN!$E$199:$E$204</c:f>
              <c:strCache>
                <c:ptCount val="6"/>
                <c:pt idx="0">
                  <c:v>COMUNA 1</c:v>
                </c:pt>
                <c:pt idx="1">
                  <c:v>COMUNA 2</c:v>
                </c:pt>
                <c:pt idx="2">
                  <c:v>COMUNA 3</c:v>
                </c:pt>
                <c:pt idx="3">
                  <c:v>COMUNA 4</c:v>
                </c:pt>
                <c:pt idx="4">
                  <c:v>COMUNA 5</c:v>
                </c:pt>
                <c:pt idx="5">
                  <c:v>COMUNA 6</c:v>
                </c:pt>
              </c:strCache>
            </c:strRef>
          </c:cat>
          <c:val>
            <c:numRef>
              <c:f>CN!$K$199:$K$204</c:f>
              <c:numCache>
                <c:formatCode>0</c:formatCode>
                <c:ptCount val="6"/>
                <c:pt idx="0">
                  <c:v>50</c:v>
                </c:pt>
                <c:pt idx="1">
                  <c:v>50.3</c:v>
                </c:pt>
                <c:pt idx="2">
                  <c:v>51.666666666666664</c:v>
                </c:pt>
                <c:pt idx="3">
                  <c:v>48.75</c:v>
                </c:pt>
                <c:pt idx="4">
                  <c:v>52.75</c:v>
                </c:pt>
                <c:pt idx="5">
                  <c:v>49.571428571428569</c:v>
                </c:pt>
              </c:numCache>
            </c:numRef>
          </c:val>
          <c:extLst>
            <c:ext xmlns:c16="http://schemas.microsoft.com/office/drawing/2014/chart" uri="{C3380CC4-5D6E-409C-BE32-E72D297353CC}">
              <c16:uniqueId val="{00000000-44EA-4848-A6CD-3D79A8BC91EB}"/>
            </c:ext>
          </c:extLst>
        </c:ser>
        <c:ser>
          <c:idx val="6"/>
          <c:order val="6"/>
          <c:tx>
            <c:strRef>
              <c:f>CN!$L$198</c:f>
              <c:strCache>
                <c:ptCount val="1"/>
                <c:pt idx="0">
                  <c:v>2022</c:v>
                </c:pt>
              </c:strCache>
            </c:strRef>
          </c:tx>
          <c:cat>
            <c:strRef>
              <c:f>CN!$E$199:$E$204</c:f>
              <c:strCache>
                <c:ptCount val="6"/>
                <c:pt idx="0">
                  <c:v>COMUNA 1</c:v>
                </c:pt>
                <c:pt idx="1">
                  <c:v>COMUNA 2</c:v>
                </c:pt>
                <c:pt idx="2">
                  <c:v>COMUNA 3</c:v>
                </c:pt>
                <c:pt idx="3">
                  <c:v>COMUNA 4</c:v>
                </c:pt>
                <c:pt idx="4">
                  <c:v>COMUNA 5</c:v>
                </c:pt>
                <c:pt idx="5">
                  <c:v>COMUNA 6</c:v>
                </c:pt>
              </c:strCache>
            </c:strRef>
          </c:cat>
          <c:val>
            <c:numRef>
              <c:f>CN!$L$199:$L$204</c:f>
              <c:numCache>
                <c:formatCode>0</c:formatCode>
                <c:ptCount val="6"/>
                <c:pt idx="0">
                  <c:v>50.846153846153847</c:v>
                </c:pt>
                <c:pt idx="1">
                  <c:v>51.857142857142854</c:v>
                </c:pt>
                <c:pt idx="2">
                  <c:v>52.125</c:v>
                </c:pt>
                <c:pt idx="3">
                  <c:v>50.25</c:v>
                </c:pt>
                <c:pt idx="4">
                  <c:v>54.133333333333333</c:v>
                </c:pt>
                <c:pt idx="5">
                  <c:v>49.875</c:v>
                </c:pt>
              </c:numCache>
            </c:numRef>
          </c:val>
          <c:extLst>
            <c:ext xmlns:c16="http://schemas.microsoft.com/office/drawing/2014/chart" uri="{C3380CC4-5D6E-409C-BE32-E72D297353CC}">
              <c16:uniqueId val="{00000000-B238-4850-8255-24F3789D8DCE}"/>
            </c:ext>
          </c:extLst>
        </c:ser>
        <c:ser>
          <c:idx val="7"/>
          <c:order val="7"/>
          <c:tx>
            <c:strRef>
              <c:f>CN!$M$198</c:f>
              <c:strCache>
                <c:ptCount val="1"/>
                <c:pt idx="0">
                  <c:v>2023</c:v>
                </c:pt>
              </c:strCache>
            </c:strRef>
          </c:tx>
          <c:cat>
            <c:strRef>
              <c:f>CN!$E$199:$E$204</c:f>
              <c:strCache>
                <c:ptCount val="6"/>
                <c:pt idx="0">
                  <c:v>COMUNA 1</c:v>
                </c:pt>
                <c:pt idx="1">
                  <c:v>COMUNA 2</c:v>
                </c:pt>
                <c:pt idx="2">
                  <c:v>COMUNA 3</c:v>
                </c:pt>
                <c:pt idx="3">
                  <c:v>COMUNA 4</c:v>
                </c:pt>
                <c:pt idx="4">
                  <c:v>COMUNA 5</c:v>
                </c:pt>
                <c:pt idx="5">
                  <c:v>COMUNA 6</c:v>
                </c:pt>
              </c:strCache>
            </c:strRef>
          </c:cat>
          <c:val>
            <c:numRef>
              <c:f>CN!$M$199:$M$204</c:f>
              <c:numCache>
                <c:formatCode>0</c:formatCode>
                <c:ptCount val="6"/>
                <c:pt idx="0">
                  <c:v>52</c:v>
                </c:pt>
                <c:pt idx="1">
                  <c:v>51.68181818181818</c:v>
                </c:pt>
                <c:pt idx="2">
                  <c:v>52.9375</c:v>
                </c:pt>
                <c:pt idx="3">
                  <c:v>48.888888888888886</c:v>
                </c:pt>
                <c:pt idx="4">
                  <c:v>55.133333333333333</c:v>
                </c:pt>
                <c:pt idx="5">
                  <c:v>51.235294117647058</c:v>
                </c:pt>
              </c:numCache>
            </c:numRef>
          </c:val>
          <c:extLst>
            <c:ext xmlns:c16="http://schemas.microsoft.com/office/drawing/2014/chart" uri="{C3380CC4-5D6E-409C-BE32-E72D297353CC}">
              <c16:uniqueId val="{00000000-F2B1-4CA7-92B5-8FE0D6D2C23D}"/>
            </c:ext>
          </c:extLst>
        </c:ser>
        <c:dLbls>
          <c:showLegendKey val="0"/>
          <c:showVal val="0"/>
          <c:showCatName val="0"/>
          <c:showSerName val="0"/>
          <c:showPercent val="0"/>
          <c:showBubbleSize val="0"/>
        </c:dLbls>
        <c:axId val="39929728"/>
        <c:axId val="39931264"/>
      </c:radarChart>
      <c:catAx>
        <c:axId val="39929728"/>
        <c:scaling>
          <c:orientation val="minMax"/>
        </c:scaling>
        <c:delete val="0"/>
        <c:axPos val="b"/>
        <c:majorGridlines/>
        <c:numFmt formatCode="General" sourceLinked="0"/>
        <c:majorTickMark val="none"/>
        <c:minorTickMark val="none"/>
        <c:tickLblPos val="nextTo"/>
        <c:spPr>
          <a:ln w="9525">
            <a:noFill/>
          </a:ln>
        </c:spPr>
        <c:crossAx val="39931264"/>
        <c:crosses val="autoZero"/>
        <c:auto val="1"/>
        <c:lblAlgn val="ctr"/>
        <c:lblOffset val="100"/>
        <c:noMultiLvlLbl val="0"/>
      </c:catAx>
      <c:valAx>
        <c:axId val="39931264"/>
        <c:scaling>
          <c:orientation val="minMax"/>
          <c:max val="58"/>
          <c:min val="46"/>
        </c:scaling>
        <c:delete val="0"/>
        <c:axPos val="l"/>
        <c:majorGridlines/>
        <c:numFmt formatCode="0" sourceLinked="1"/>
        <c:majorTickMark val="none"/>
        <c:minorTickMark val="none"/>
        <c:tickLblPos val="nextTo"/>
        <c:crossAx val="39929728"/>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a:defRPr/>
            </a:pPr>
            <a:r>
              <a:rPr lang="es-CO" sz="1400" b="1" i="0" baseline="0">
                <a:effectLst/>
              </a:rPr>
              <a:t>Resultados Ciencias Naturales Instituciones Oficiales por Comunas 2016 - 2023</a:t>
            </a:r>
            <a:endParaRPr lang="es-CO" sz="1400">
              <a:effectLst/>
            </a:endParaRPr>
          </a:p>
        </c:rich>
      </c:tx>
      <c:overlay val="0"/>
    </c:title>
    <c:autoTitleDeleted val="0"/>
    <c:plotArea>
      <c:layout/>
      <c:radarChart>
        <c:radarStyle val="marker"/>
        <c:varyColors val="0"/>
        <c:ser>
          <c:idx val="0"/>
          <c:order val="0"/>
          <c:tx>
            <c:strRef>
              <c:f>CN!$V$198</c:f>
              <c:strCache>
                <c:ptCount val="1"/>
                <c:pt idx="0">
                  <c:v>2016</c:v>
                </c:pt>
              </c:strCache>
            </c:strRef>
          </c:tx>
          <c:spPr>
            <a:ln>
              <a:prstDash val="lgDashDot"/>
            </a:ln>
          </c:spPr>
          <c:cat>
            <c:strRef>
              <c:f>CN!$U$199:$U$204</c:f>
              <c:strCache>
                <c:ptCount val="6"/>
                <c:pt idx="0">
                  <c:v>COMUNA 1</c:v>
                </c:pt>
                <c:pt idx="1">
                  <c:v>COMUNA 2</c:v>
                </c:pt>
                <c:pt idx="2">
                  <c:v>COMUNA 3</c:v>
                </c:pt>
                <c:pt idx="3">
                  <c:v>COMUNA 4</c:v>
                </c:pt>
                <c:pt idx="4">
                  <c:v>COMUNA 5</c:v>
                </c:pt>
                <c:pt idx="5">
                  <c:v>COMUNA 6</c:v>
                </c:pt>
              </c:strCache>
            </c:strRef>
          </c:cat>
          <c:val>
            <c:numRef>
              <c:f>CN!$V$199:$V$204</c:f>
              <c:numCache>
                <c:formatCode>0</c:formatCode>
                <c:ptCount val="6"/>
                <c:pt idx="0">
                  <c:v>54</c:v>
                </c:pt>
                <c:pt idx="1">
                  <c:v>54</c:v>
                </c:pt>
                <c:pt idx="2">
                  <c:v>53.333333333333336</c:v>
                </c:pt>
                <c:pt idx="3">
                  <c:v>50.5</c:v>
                </c:pt>
                <c:pt idx="4">
                  <c:v>54</c:v>
                </c:pt>
                <c:pt idx="5">
                  <c:v>53.333333333333336</c:v>
                </c:pt>
              </c:numCache>
            </c:numRef>
          </c:val>
          <c:extLst>
            <c:ext xmlns:c16="http://schemas.microsoft.com/office/drawing/2014/chart" uri="{C3380CC4-5D6E-409C-BE32-E72D297353CC}">
              <c16:uniqueId val="{00000000-41D8-4C9B-B01E-CA2FB3F8B326}"/>
            </c:ext>
          </c:extLst>
        </c:ser>
        <c:ser>
          <c:idx val="1"/>
          <c:order val="1"/>
          <c:tx>
            <c:strRef>
              <c:f>CN!$W$198</c:f>
              <c:strCache>
                <c:ptCount val="1"/>
                <c:pt idx="0">
                  <c:v>2017</c:v>
                </c:pt>
              </c:strCache>
            </c:strRef>
          </c:tx>
          <c:cat>
            <c:strRef>
              <c:f>CN!$U$199:$U$204</c:f>
              <c:strCache>
                <c:ptCount val="6"/>
                <c:pt idx="0">
                  <c:v>COMUNA 1</c:v>
                </c:pt>
                <c:pt idx="1">
                  <c:v>COMUNA 2</c:v>
                </c:pt>
                <c:pt idx="2">
                  <c:v>COMUNA 3</c:v>
                </c:pt>
                <c:pt idx="3">
                  <c:v>COMUNA 4</c:v>
                </c:pt>
                <c:pt idx="4">
                  <c:v>COMUNA 5</c:v>
                </c:pt>
                <c:pt idx="5">
                  <c:v>COMUNA 6</c:v>
                </c:pt>
              </c:strCache>
            </c:strRef>
          </c:cat>
          <c:val>
            <c:numRef>
              <c:f>CN!$W$199:$W$204</c:f>
              <c:numCache>
                <c:formatCode>0</c:formatCode>
                <c:ptCount val="6"/>
                <c:pt idx="0">
                  <c:v>53</c:v>
                </c:pt>
                <c:pt idx="1">
                  <c:v>53.5</c:v>
                </c:pt>
                <c:pt idx="2">
                  <c:v>51.333333333333336</c:v>
                </c:pt>
                <c:pt idx="3">
                  <c:v>49.833333333333336</c:v>
                </c:pt>
                <c:pt idx="4">
                  <c:v>51.5</c:v>
                </c:pt>
                <c:pt idx="5">
                  <c:v>52</c:v>
                </c:pt>
              </c:numCache>
            </c:numRef>
          </c:val>
          <c:extLst>
            <c:ext xmlns:c16="http://schemas.microsoft.com/office/drawing/2014/chart" uri="{C3380CC4-5D6E-409C-BE32-E72D297353CC}">
              <c16:uniqueId val="{00000001-41D8-4C9B-B01E-CA2FB3F8B326}"/>
            </c:ext>
          </c:extLst>
        </c:ser>
        <c:ser>
          <c:idx val="2"/>
          <c:order val="2"/>
          <c:tx>
            <c:strRef>
              <c:f>CN!$X$198</c:f>
              <c:strCache>
                <c:ptCount val="1"/>
                <c:pt idx="0">
                  <c:v>2018</c:v>
                </c:pt>
              </c:strCache>
            </c:strRef>
          </c:tx>
          <c:spPr>
            <a:ln>
              <a:prstDash val="sysDash"/>
            </a:ln>
          </c:spPr>
          <c:cat>
            <c:strRef>
              <c:f>CN!$U$199:$U$204</c:f>
              <c:strCache>
                <c:ptCount val="6"/>
                <c:pt idx="0">
                  <c:v>COMUNA 1</c:v>
                </c:pt>
                <c:pt idx="1">
                  <c:v>COMUNA 2</c:v>
                </c:pt>
                <c:pt idx="2">
                  <c:v>COMUNA 3</c:v>
                </c:pt>
                <c:pt idx="3">
                  <c:v>COMUNA 4</c:v>
                </c:pt>
                <c:pt idx="4">
                  <c:v>COMUNA 5</c:v>
                </c:pt>
                <c:pt idx="5">
                  <c:v>COMUNA 6</c:v>
                </c:pt>
              </c:strCache>
            </c:strRef>
          </c:cat>
          <c:val>
            <c:numRef>
              <c:f>CN!$X$199:$X$204</c:f>
              <c:numCache>
                <c:formatCode>0</c:formatCode>
                <c:ptCount val="6"/>
                <c:pt idx="0">
                  <c:v>50.5</c:v>
                </c:pt>
                <c:pt idx="1">
                  <c:v>51</c:v>
                </c:pt>
                <c:pt idx="2">
                  <c:v>50.666666666666664</c:v>
                </c:pt>
                <c:pt idx="3">
                  <c:v>46.5</c:v>
                </c:pt>
                <c:pt idx="4">
                  <c:v>49.5</c:v>
                </c:pt>
                <c:pt idx="5">
                  <c:v>50.333333333333336</c:v>
                </c:pt>
              </c:numCache>
            </c:numRef>
          </c:val>
          <c:extLst>
            <c:ext xmlns:c16="http://schemas.microsoft.com/office/drawing/2014/chart" uri="{C3380CC4-5D6E-409C-BE32-E72D297353CC}">
              <c16:uniqueId val="{00000002-41D8-4C9B-B01E-CA2FB3F8B326}"/>
            </c:ext>
          </c:extLst>
        </c:ser>
        <c:ser>
          <c:idx val="3"/>
          <c:order val="3"/>
          <c:tx>
            <c:strRef>
              <c:f>CN!$Y$198</c:f>
              <c:strCache>
                <c:ptCount val="1"/>
                <c:pt idx="0">
                  <c:v>2019</c:v>
                </c:pt>
              </c:strCache>
            </c:strRef>
          </c:tx>
          <c:cat>
            <c:strRef>
              <c:f>CN!$U$199:$U$204</c:f>
              <c:strCache>
                <c:ptCount val="6"/>
                <c:pt idx="0">
                  <c:v>COMUNA 1</c:v>
                </c:pt>
                <c:pt idx="1">
                  <c:v>COMUNA 2</c:v>
                </c:pt>
                <c:pt idx="2">
                  <c:v>COMUNA 3</c:v>
                </c:pt>
                <c:pt idx="3">
                  <c:v>COMUNA 4</c:v>
                </c:pt>
                <c:pt idx="4">
                  <c:v>COMUNA 5</c:v>
                </c:pt>
                <c:pt idx="5">
                  <c:v>COMUNA 6</c:v>
                </c:pt>
              </c:strCache>
            </c:strRef>
          </c:cat>
          <c:val>
            <c:numRef>
              <c:f>CN!$Y$199:$Y$204</c:f>
              <c:numCache>
                <c:formatCode>0</c:formatCode>
                <c:ptCount val="6"/>
                <c:pt idx="0">
                  <c:v>49.5</c:v>
                </c:pt>
                <c:pt idx="1">
                  <c:v>49</c:v>
                </c:pt>
                <c:pt idx="2">
                  <c:v>48.666666666666664</c:v>
                </c:pt>
                <c:pt idx="3">
                  <c:v>45.5</c:v>
                </c:pt>
                <c:pt idx="4">
                  <c:v>49.5</c:v>
                </c:pt>
                <c:pt idx="5">
                  <c:v>48.333333333333336</c:v>
                </c:pt>
              </c:numCache>
            </c:numRef>
          </c:val>
          <c:extLst>
            <c:ext xmlns:c16="http://schemas.microsoft.com/office/drawing/2014/chart" uri="{C3380CC4-5D6E-409C-BE32-E72D297353CC}">
              <c16:uniqueId val="{00000003-41D8-4C9B-B01E-CA2FB3F8B326}"/>
            </c:ext>
          </c:extLst>
        </c:ser>
        <c:ser>
          <c:idx val="4"/>
          <c:order val="4"/>
          <c:tx>
            <c:strRef>
              <c:f>CN!$Z$198</c:f>
              <c:strCache>
                <c:ptCount val="1"/>
                <c:pt idx="0">
                  <c:v>2020</c:v>
                </c:pt>
              </c:strCache>
            </c:strRef>
          </c:tx>
          <c:cat>
            <c:strRef>
              <c:f>CN!$U$199:$U$204</c:f>
              <c:strCache>
                <c:ptCount val="6"/>
                <c:pt idx="0">
                  <c:v>COMUNA 1</c:v>
                </c:pt>
                <c:pt idx="1">
                  <c:v>COMUNA 2</c:v>
                </c:pt>
                <c:pt idx="2">
                  <c:v>COMUNA 3</c:v>
                </c:pt>
                <c:pt idx="3">
                  <c:v>COMUNA 4</c:v>
                </c:pt>
                <c:pt idx="4">
                  <c:v>COMUNA 5</c:v>
                </c:pt>
                <c:pt idx="5">
                  <c:v>COMUNA 6</c:v>
                </c:pt>
              </c:strCache>
            </c:strRef>
          </c:cat>
          <c:val>
            <c:numRef>
              <c:f>CN!$Z$199:$Z$204</c:f>
              <c:numCache>
                <c:formatCode>0</c:formatCode>
                <c:ptCount val="6"/>
                <c:pt idx="0">
                  <c:v>49</c:v>
                </c:pt>
                <c:pt idx="1">
                  <c:v>49</c:v>
                </c:pt>
                <c:pt idx="2">
                  <c:v>49.25</c:v>
                </c:pt>
                <c:pt idx="3">
                  <c:v>45.166666666666664</c:v>
                </c:pt>
                <c:pt idx="4">
                  <c:v>49</c:v>
                </c:pt>
                <c:pt idx="5">
                  <c:v>48.333333333333336</c:v>
                </c:pt>
              </c:numCache>
            </c:numRef>
          </c:val>
          <c:extLst>
            <c:ext xmlns:c16="http://schemas.microsoft.com/office/drawing/2014/chart" uri="{C3380CC4-5D6E-409C-BE32-E72D297353CC}">
              <c16:uniqueId val="{00000001-D1C0-45CF-9990-115616822364}"/>
            </c:ext>
          </c:extLst>
        </c:ser>
        <c:ser>
          <c:idx val="5"/>
          <c:order val="5"/>
          <c:tx>
            <c:strRef>
              <c:f>CN!$AA$198</c:f>
              <c:strCache>
                <c:ptCount val="1"/>
                <c:pt idx="0">
                  <c:v>2021</c:v>
                </c:pt>
              </c:strCache>
            </c:strRef>
          </c:tx>
          <c:cat>
            <c:strRef>
              <c:f>CN!$U$199:$U$204</c:f>
              <c:strCache>
                <c:ptCount val="6"/>
                <c:pt idx="0">
                  <c:v>COMUNA 1</c:v>
                </c:pt>
                <c:pt idx="1">
                  <c:v>COMUNA 2</c:v>
                </c:pt>
                <c:pt idx="2">
                  <c:v>COMUNA 3</c:v>
                </c:pt>
                <c:pt idx="3">
                  <c:v>COMUNA 4</c:v>
                </c:pt>
                <c:pt idx="4">
                  <c:v>COMUNA 5</c:v>
                </c:pt>
                <c:pt idx="5">
                  <c:v>COMUNA 6</c:v>
                </c:pt>
              </c:strCache>
            </c:strRef>
          </c:cat>
          <c:val>
            <c:numRef>
              <c:f>CN!$AA$199:$AA$204</c:f>
              <c:numCache>
                <c:formatCode>0</c:formatCode>
                <c:ptCount val="6"/>
                <c:pt idx="0">
                  <c:v>48.75</c:v>
                </c:pt>
                <c:pt idx="1">
                  <c:v>49</c:v>
                </c:pt>
                <c:pt idx="2">
                  <c:v>49</c:v>
                </c:pt>
                <c:pt idx="3">
                  <c:v>46</c:v>
                </c:pt>
                <c:pt idx="4">
                  <c:v>48.5</c:v>
                </c:pt>
                <c:pt idx="5">
                  <c:v>47.666666666666664</c:v>
                </c:pt>
              </c:numCache>
            </c:numRef>
          </c:val>
          <c:extLst>
            <c:ext xmlns:c16="http://schemas.microsoft.com/office/drawing/2014/chart" uri="{C3380CC4-5D6E-409C-BE32-E72D297353CC}">
              <c16:uniqueId val="{00000000-3D58-4AE8-8B82-13EED9E137A3}"/>
            </c:ext>
          </c:extLst>
        </c:ser>
        <c:ser>
          <c:idx val="6"/>
          <c:order val="6"/>
          <c:tx>
            <c:strRef>
              <c:f>CN!$AB$198</c:f>
              <c:strCache>
                <c:ptCount val="1"/>
                <c:pt idx="0">
                  <c:v>2022</c:v>
                </c:pt>
              </c:strCache>
            </c:strRef>
          </c:tx>
          <c:cat>
            <c:strRef>
              <c:f>CN!$U$199:$U$204</c:f>
              <c:strCache>
                <c:ptCount val="6"/>
                <c:pt idx="0">
                  <c:v>COMUNA 1</c:v>
                </c:pt>
                <c:pt idx="1">
                  <c:v>COMUNA 2</c:v>
                </c:pt>
                <c:pt idx="2">
                  <c:v>COMUNA 3</c:v>
                </c:pt>
                <c:pt idx="3">
                  <c:v>COMUNA 4</c:v>
                </c:pt>
                <c:pt idx="4">
                  <c:v>COMUNA 5</c:v>
                </c:pt>
                <c:pt idx="5">
                  <c:v>COMUNA 6</c:v>
                </c:pt>
              </c:strCache>
            </c:strRef>
          </c:cat>
          <c:val>
            <c:numRef>
              <c:f>CN!$AB$199:$AB$204</c:f>
              <c:numCache>
                <c:formatCode>0</c:formatCode>
                <c:ptCount val="6"/>
                <c:pt idx="0">
                  <c:v>49.2</c:v>
                </c:pt>
                <c:pt idx="1">
                  <c:v>49.75</c:v>
                </c:pt>
                <c:pt idx="2">
                  <c:v>49.833333333333336</c:v>
                </c:pt>
                <c:pt idx="3">
                  <c:v>46.166666666666664</c:v>
                </c:pt>
                <c:pt idx="4">
                  <c:v>50.5</c:v>
                </c:pt>
                <c:pt idx="5">
                  <c:v>49</c:v>
                </c:pt>
              </c:numCache>
            </c:numRef>
          </c:val>
          <c:extLst>
            <c:ext xmlns:c16="http://schemas.microsoft.com/office/drawing/2014/chart" uri="{C3380CC4-5D6E-409C-BE32-E72D297353CC}">
              <c16:uniqueId val="{00000000-9316-4847-ADB5-305A264106B0}"/>
            </c:ext>
          </c:extLst>
        </c:ser>
        <c:ser>
          <c:idx val="7"/>
          <c:order val="7"/>
          <c:tx>
            <c:strRef>
              <c:f>CN!$AC$198</c:f>
              <c:strCache>
                <c:ptCount val="1"/>
                <c:pt idx="0">
                  <c:v>2023</c:v>
                </c:pt>
              </c:strCache>
            </c:strRef>
          </c:tx>
          <c:cat>
            <c:strRef>
              <c:f>CN!$U$199:$U$204</c:f>
              <c:strCache>
                <c:ptCount val="6"/>
                <c:pt idx="0">
                  <c:v>COMUNA 1</c:v>
                </c:pt>
                <c:pt idx="1">
                  <c:v>COMUNA 2</c:v>
                </c:pt>
                <c:pt idx="2">
                  <c:v>COMUNA 3</c:v>
                </c:pt>
                <c:pt idx="3">
                  <c:v>COMUNA 4</c:v>
                </c:pt>
                <c:pt idx="4">
                  <c:v>COMUNA 5</c:v>
                </c:pt>
                <c:pt idx="5">
                  <c:v>COMUNA 6</c:v>
                </c:pt>
              </c:strCache>
            </c:strRef>
          </c:cat>
          <c:val>
            <c:numRef>
              <c:f>CN!$AC$199:$AC$204</c:f>
              <c:numCache>
                <c:formatCode>0</c:formatCode>
                <c:ptCount val="6"/>
                <c:pt idx="0">
                  <c:v>50</c:v>
                </c:pt>
                <c:pt idx="1">
                  <c:v>49.75</c:v>
                </c:pt>
                <c:pt idx="2">
                  <c:v>50.5</c:v>
                </c:pt>
                <c:pt idx="3">
                  <c:v>46.666666666666664</c:v>
                </c:pt>
                <c:pt idx="4">
                  <c:v>50.5</c:v>
                </c:pt>
                <c:pt idx="5">
                  <c:v>49</c:v>
                </c:pt>
              </c:numCache>
            </c:numRef>
          </c:val>
          <c:extLst>
            <c:ext xmlns:c16="http://schemas.microsoft.com/office/drawing/2014/chart" uri="{C3380CC4-5D6E-409C-BE32-E72D297353CC}">
              <c16:uniqueId val="{00000000-32CA-4D2A-8250-DEEB48DF8C1E}"/>
            </c:ext>
          </c:extLst>
        </c:ser>
        <c:dLbls>
          <c:showLegendKey val="0"/>
          <c:showVal val="0"/>
          <c:showCatName val="0"/>
          <c:showSerName val="0"/>
          <c:showPercent val="0"/>
          <c:showBubbleSize val="0"/>
        </c:dLbls>
        <c:axId val="39171968"/>
        <c:axId val="39173504"/>
      </c:radarChart>
      <c:catAx>
        <c:axId val="39171968"/>
        <c:scaling>
          <c:orientation val="minMax"/>
        </c:scaling>
        <c:delete val="0"/>
        <c:axPos val="b"/>
        <c:majorGridlines/>
        <c:numFmt formatCode="General" sourceLinked="0"/>
        <c:majorTickMark val="none"/>
        <c:minorTickMark val="none"/>
        <c:tickLblPos val="nextTo"/>
        <c:spPr>
          <a:ln w="9525">
            <a:noFill/>
          </a:ln>
        </c:spPr>
        <c:crossAx val="39173504"/>
        <c:crosses val="autoZero"/>
        <c:auto val="1"/>
        <c:lblAlgn val="ctr"/>
        <c:lblOffset val="100"/>
        <c:noMultiLvlLbl val="0"/>
      </c:catAx>
      <c:valAx>
        <c:axId val="39173504"/>
        <c:scaling>
          <c:orientation val="minMax"/>
          <c:max val="56"/>
          <c:min val="44"/>
        </c:scaling>
        <c:delete val="0"/>
        <c:axPos val="l"/>
        <c:majorGridlines/>
        <c:numFmt formatCode="0" sourceLinked="1"/>
        <c:majorTickMark val="none"/>
        <c:minorTickMark val="none"/>
        <c:tickLblPos val="nextTo"/>
        <c:crossAx val="39171968"/>
        <c:crosses val="autoZero"/>
        <c:crossBetween val="between"/>
        <c:majorUnit val="2"/>
      </c:valAx>
    </c:plotArea>
    <c:legend>
      <c:legendPos val="r"/>
      <c:overlay val="0"/>
    </c:legend>
    <c:plotVisOnly val="1"/>
    <c:dispBlanksAs val="gap"/>
    <c:showDLblsOverMax val="0"/>
  </c:chart>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Niveles</a:t>
            </a:r>
            <a:r>
              <a:rPr lang="es-CO" baseline="0"/>
              <a:t> de Desempeño Ciencias Naturales Saber 11 2016 - 2023 </a:t>
            </a:r>
            <a:endParaRPr lang="es-CO"/>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stacked"/>
        <c:varyColors val="0"/>
        <c:ser>
          <c:idx val="0"/>
          <c:order val="0"/>
          <c:tx>
            <c:strRef>
              <c:f>CN!$E$236</c:f>
              <c:strCache>
                <c:ptCount val="1"/>
                <c:pt idx="0">
                  <c:v>1</c:v>
                </c:pt>
              </c:strCache>
            </c:strRef>
          </c:tx>
          <c:spPr>
            <a:solidFill>
              <a:srgbClr val="FF0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CN!$F$234:$AK$235</c:f>
              <c:multiLvlStrCache>
                <c:ptCount val="32"/>
                <c:lvl>
                  <c:pt idx="0">
                    <c:v>COLOMBIA</c:v>
                  </c:pt>
                  <c:pt idx="1">
                    <c:v>SOACHA</c:v>
                  </c:pt>
                  <c:pt idx="2">
                    <c:v>SOACHA OFICIAL</c:v>
                  </c:pt>
                  <c:pt idx="3">
                    <c:v>SOACHA NO OFICIAL</c:v>
                  </c:pt>
                  <c:pt idx="4">
                    <c:v>COLOMBIA</c:v>
                  </c:pt>
                  <c:pt idx="5">
                    <c:v>SOACHA</c:v>
                  </c:pt>
                  <c:pt idx="6">
                    <c:v>SOACHA OFICIAL</c:v>
                  </c:pt>
                  <c:pt idx="7">
                    <c:v>SOACHA NO OFICIAL</c:v>
                  </c:pt>
                  <c:pt idx="8">
                    <c:v>COLOMBIA</c:v>
                  </c:pt>
                  <c:pt idx="9">
                    <c:v>SOACHA</c:v>
                  </c:pt>
                  <c:pt idx="10">
                    <c:v>SOACHA OFICIAL</c:v>
                  </c:pt>
                  <c:pt idx="11">
                    <c:v>SOACHA NO OFICIAL</c:v>
                  </c:pt>
                  <c:pt idx="12">
                    <c:v>COLOMBIA</c:v>
                  </c:pt>
                  <c:pt idx="13">
                    <c:v>SOACHA</c:v>
                  </c:pt>
                  <c:pt idx="14">
                    <c:v>SOACHA OFICIAL</c:v>
                  </c:pt>
                  <c:pt idx="15">
                    <c:v>SOACHA NO OFICIAL</c:v>
                  </c:pt>
                  <c:pt idx="16">
                    <c:v>COLOMBIA</c:v>
                  </c:pt>
                  <c:pt idx="17">
                    <c:v>SOACHA</c:v>
                  </c:pt>
                  <c:pt idx="18">
                    <c:v>SOACHA OFICIAL</c:v>
                  </c:pt>
                  <c:pt idx="19">
                    <c:v>SOACHA NO OFICIAL</c:v>
                  </c:pt>
                  <c:pt idx="20">
                    <c:v>COLOMBIA</c:v>
                  </c:pt>
                  <c:pt idx="21">
                    <c:v>SOACHA</c:v>
                  </c:pt>
                  <c:pt idx="22">
                    <c:v>SOACHA OFICIAL</c:v>
                  </c:pt>
                  <c:pt idx="23">
                    <c:v>SOACHA NO OFICIAL</c:v>
                  </c:pt>
                  <c:pt idx="24">
                    <c:v>COLOMBIA</c:v>
                  </c:pt>
                  <c:pt idx="25">
                    <c:v>SOACHA</c:v>
                  </c:pt>
                  <c:pt idx="26">
                    <c:v>SOACHA OFICIAL</c:v>
                  </c:pt>
                  <c:pt idx="27">
                    <c:v>SOACHA NO OFICIAL</c:v>
                  </c:pt>
                  <c:pt idx="28">
                    <c:v>COLOMBIA</c:v>
                  </c:pt>
                  <c:pt idx="29">
                    <c:v>SOACHA</c:v>
                  </c:pt>
                  <c:pt idx="30">
                    <c:v>SOACHA OFICIAL</c:v>
                  </c:pt>
                  <c:pt idx="31">
                    <c:v>SOACHA NO OFICIAL</c:v>
                  </c:pt>
                </c:lvl>
                <c:lvl>
                  <c:pt idx="0">
                    <c:v>2016</c:v>
                  </c:pt>
                  <c:pt idx="4">
                    <c:v>2017</c:v>
                  </c:pt>
                  <c:pt idx="8">
                    <c:v>2018</c:v>
                  </c:pt>
                  <c:pt idx="12">
                    <c:v>2019</c:v>
                  </c:pt>
                  <c:pt idx="16">
                    <c:v>2020</c:v>
                  </c:pt>
                  <c:pt idx="20">
                    <c:v>2021</c:v>
                  </c:pt>
                  <c:pt idx="24">
                    <c:v>2022</c:v>
                  </c:pt>
                  <c:pt idx="28">
                    <c:v>2023</c:v>
                  </c:pt>
                </c:lvl>
              </c:multiLvlStrCache>
            </c:multiLvlStrRef>
          </c:cat>
          <c:val>
            <c:numRef>
              <c:f>CN!$F$236:$AK$236</c:f>
              <c:numCache>
                <c:formatCode>0%</c:formatCode>
                <c:ptCount val="32"/>
                <c:pt idx="0">
                  <c:v>0.09</c:v>
                </c:pt>
                <c:pt idx="1">
                  <c:v>0.05</c:v>
                </c:pt>
                <c:pt idx="2">
                  <c:v>0.06</c:v>
                </c:pt>
                <c:pt idx="3">
                  <c:v>0.03</c:v>
                </c:pt>
                <c:pt idx="4">
                  <c:v>0.12</c:v>
                </c:pt>
                <c:pt idx="5">
                  <c:v>0.08</c:v>
                </c:pt>
                <c:pt idx="6">
                  <c:v>0.09</c:v>
                </c:pt>
                <c:pt idx="7">
                  <c:v>0.06</c:v>
                </c:pt>
                <c:pt idx="8">
                  <c:v>0.17</c:v>
                </c:pt>
                <c:pt idx="9">
                  <c:v>0.11</c:v>
                </c:pt>
                <c:pt idx="10">
                  <c:v>0.14000000000000001</c:v>
                </c:pt>
                <c:pt idx="11">
                  <c:v>0.08</c:v>
                </c:pt>
                <c:pt idx="12">
                  <c:v>0.21</c:v>
                </c:pt>
                <c:pt idx="13">
                  <c:v>0.14000000000000001</c:v>
                </c:pt>
                <c:pt idx="14">
                  <c:v>0.18</c:v>
                </c:pt>
                <c:pt idx="15">
                  <c:v>0.1</c:v>
                </c:pt>
                <c:pt idx="16">
                  <c:v>0.23</c:v>
                </c:pt>
                <c:pt idx="17">
                  <c:v>0.16</c:v>
                </c:pt>
                <c:pt idx="18">
                  <c:v>0.19</c:v>
                </c:pt>
                <c:pt idx="19">
                  <c:v>0.14000000000000001</c:v>
                </c:pt>
                <c:pt idx="20">
                  <c:v>0.22</c:v>
                </c:pt>
                <c:pt idx="21">
                  <c:v>0.14000000000000001</c:v>
                </c:pt>
                <c:pt idx="22">
                  <c:v>0.17</c:v>
                </c:pt>
                <c:pt idx="23">
                  <c:v>0.1</c:v>
                </c:pt>
                <c:pt idx="24">
                  <c:v>0.21</c:v>
                </c:pt>
                <c:pt idx="25">
                  <c:v>0.14000000000000001</c:v>
                </c:pt>
                <c:pt idx="26">
                  <c:v>0.17</c:v>
                </c:pt>
                <c:pt idx="27">
                  <c:v>0.12</c:v>
                </c:pt>
                <c:pt idx="28">
                  <c:v>0.19</c:v>
                </c:pt>
                <c:pt idx="29">
                  <c:v>0.13</c:v>
                </c:pt>
                <c:pt idx="30">
                  <c:v>0.16</c:v>
                </c:pt>
                <c:pt idx="31">
                  <c:v>0.09</c:v>
                </c:pt>
              </c:numCache>
            </c:numRef>
          </c:val>
          <c:extLst>
            <c:ext xmlns:c16="http://schemas.microsoft.com/office/drawing/2014/chart" uri="{C3380CC4-5D6E-409C-BE32-E72D297353CC}">
              <c16:uniqueId val="{00000000-7ECA-481F-B401-9E861CD34B0B}"/>
            </c:ext>
          </c:extLst>
        </c:ser>
        <c:ser>
          <c:idx val="1"/>
          <c:order val="1"/>
          <c:tx>
            <c:strRef>
              <c:f>CN!$E$237</c:f>
              <c:strCache>
                <c:ptCount val="1"/>
                <c:pt idx="0">
                  <c:v>2</c:v>
                </c:pt>
              </c:strCache>
            </c:strRef>
          </c:tx>
          <c:spPr>
            <a:solidFill>
              <a:srgbClr val="FFFF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CN!$F$234:$AK$235</c:f>
              <c:multiLvlStrCache>
                <c:ptCount val="32"/>
                <c:lvl>
                  <c:pt idx="0">
                    <c:v>COLOMBIA</c:v>
                  </c:pt>
                  <c:pt idx="1">
                    <c:v>SOACHA</c:v>
                  </c:pt>
                  <c:pt idx="2">
                    <c:v>SOACHA OFICIAL</c:v>
                  </c:pt>
                  <c:pt idx="3">
                    <c:v>SOACHA NO OFICIAL</c:v>
                  </c:pt>
                  <c:pt idx="4">
                    <c:v>COLOMBIA</c:v>
                  </c:pt>
                  <c:pt idx="5">
                    <c:v>SOACHA</c:v>
                  </c:pt>
                  <c:pt idx="6">
                    <c:v>SOACHA OFICIAL</c:v>
                  </c:pt>
                  <c:pt idx="7">
                    <c:v>SOACHA NO OFICIAL</c:v>
                  </c:pt>
                  <c:pt idx="8">
                    <c:v>COLOMBIA</c:v>
                  </c:pt>
                  <c:pt idx="9">
                    <c:v>SOACHA</c:v>
                  </c:pt>
                  <c:pt idx="10">
                    <c:v>SOACHA OFICIAL</c:v>
                  </c:pt>
                  <c:pt idx="11">
                    <c:v>SOACHA NO OFICIAL</c:v>
                  </c:pt>
                  <c:pt idx="12">
                    <c:v>COLOMBIA</c:v>
                  </c:pt>
                  <c:pt idx="13">
                    <c:v>SOACHA</c:v>
                  </c:pt>
                  <c:pt idx="14">
                    <c:v>SOACHA OFICIAL</c:v>
                  </c:pt>
                  <c:pt idx="15">
                    <c:v>SOACHA NO OFICIAL</c:v>
                  </c:pt>
                  <c:pt idx="16">
                    <c:v>COLOMBIA</c:v>
                  </c:pt>
                  <c:pt idx="17">
                    <c:v>SOACHA</c:v>
                  </c:pt>
                  <c:pt idx="18">
                    <c:v>SOACHA OFICIAL</c:v>
                  </c:pt>
                  <c:pt idx="19">
                    <c:v>SOACHA NO OFICIAL</c:v>
                  </c:pt>
                  <c:pt idx="20">
                    <c:v>COLOMBIA</c:v>
                  </c:pt>
                  <c:pt idx="21">
                    <c:v>SOACHA</c:v>
                  </c:pt>
                  <c:pt idx="22">
                    <c:v>SOACHA OFICIAL</c:v>
                  </c:pt>
                  <c:pt idx="23">
                    <c:v>SOACHA NO OFICIAL</c:v>
                  </c:pt>
                  <c:pt idx="24">
                    <c:v>COLOMBIA</c:v>
                  </c:pt>
                  <c:pt idx="25">
                    <c:v>SOACHA</c:v>
                  </c:pt>
                  <c:pt idx="26">
                    <c:v>SOACHA OFICIAL</c:v>
                  </c:pt>
                  <c:pt idx="27">
                    <c:v>SOACHA NO OFICIAL</c:v>
                  </c:pt>
                  <c:pt idx="28">
                    <c:v>COLOMBIA</c:v>
                  </c:pt>
                  <c:pt idx="29">
                    <c:v>SOACHA</c:v>
                  </c:pt>
                  <c:pt idx="30">
                    <c:v>SOACHA OFICIAL</c:v>
                  </c:pt>
                  <c:pt idx="31">
                    <c:v>SOACHA NO OFICIAL</c:v>
                  </c:pt>
                </c:lvl>
                <c:lvl>
                  <c:pt idx="0">
                    <c:v>2016</c:v>
                  </c:pt>
                  <c:pt idx="4">
                    <c:v>2017</c:v>
                  </c:pt>
                  <c:pt idx="8">
                    <c:v>2018</c:v>
                  </c:pt>
                  <c:pt idx="12">
                    <c:v>2019</c:v>
                  </c:pt>
                  <c:pt idx="16">
                    <c:v>2020</c:v>
                  </c:pt>
                  <c:pt idx="20">
                    <c:v>2021</c:v>
                  </c:pt>
                  <c:pt idx="24">
                    <c:v>2022</c:v>
                  </c:pt>
                  <c:pt idx="28">
                    <c:v>2023</c:v>
                  </c:pt>
                </c:lvl>
              </c:multiLvlStrCache>
            </c:multiLvlStrRef>
          </c:cat>
          <c:val>
            <c:numRef>
              <c:f>CN!$F$237:$AK$237</c:f>
              <c:numCache>
                <c:formatCode>0%</c:formatCode>
                <c:ptCount val="32"/>
                <c:pt idx="0">
                  <c:v>0.5</c:v>
                </c:pt>
                <c:pt idx="1">
                  <c:v>0.54</c:v>
                </c:pt>
                <c:pt idx="2">
                  <c:v>0.59</c:v>
                </c:pt>
                <c:pt idx="3">
                  <c:v>0.5</c:v>
                </c:pt>
                <c:pt idx="4">
                  <c:v>0.49</c:v>
                </c:pt>
                <c:pt idx="5">
                  <c:v>0.53</c:v>
                </c:pt>
                <c:pt idx="6">
                  <c:v>0.56999999999999995</c:v>
                </c:pt>
                <c:pt idx="7">
                  <c:v>0.49</c:v>
                </c:pt>
                <c:pt idx="8">
                  <c:v>0.5</c:v>
                </c:pt>
                <c:pt idx="9">
                  <c:v>0.56999999999999995</c:v>
                </c:pt>
                <c:pt idx="10">
                  <c:v>0.6</c:v>
                </c:pt>
                <c:pt idx="11">
                  <c:v>0.53</c:v>
                </c:pt>
                <c:pt idx="12">
                  <c:v>0.5</c:v>
                </c:pt>
                <c:pt idx="13">
                  <c:v>0.6</c:v>
                </c:pt>
                <c:pt idx="14">
                  <c:v>0.61</c:v>
                </c:pt>
                <c:pt idx="15">
                  <c:v>0.56999999999999995</c:v>
                </c:pt>
                <c:pt idx="16">
                  <c:v>0.5</c:v>
                </c:pt>
                <c:pt idx="17">
                  <c:v>0.56000000000000005</c:v>
                </c:pt>
                <c:pt idx="18">
                  <c:v>0.59</c:v>
                </c:pt>
                <c:pt idx="19">
                  <c:v>0.53</c:v>
                </c:pt>
                <c:pt idx="20">
                  <c:v>0.53</c:v>
                </c:pt>
                <c:pt idx="21">
                  <c:v>0.6</c:v>
                </c:pt>
                <c:pt idx="22">
                  <c:v>0.64</c:v>
                </c:pt>
                <c:pt idx="23">
                  <c:v>0.56999999999999995</c:v>
                </c:pt>
                <c:pt idx="24">
                  <c:v>0.5</c:v>
                </c:pt>
                <c:pt idx="25">
                  <c:v>0.55000000000000004</c:v>
                </c:pt>
                <c:pt idx="26">
                  <c:v>0.59</c:v>
                </c:pt>
                <c:pt idx="27">
                  <c:v>0.5</c:v>
                </c:pt>
                <c:pt idx="28">
                  <c:v>0.49</c:v>
                </c:pt>
                <c:pt idx="29">
                  <c:v>0.54</c:v>
                </c:pt>
                <c:pt idx="30">
                  <c:v>0.57999999999999996</c:v>
                </c:pt>
                <c:pt idx="31">
                  <c:v>0.49</c:v>
                </c:pt>
              </c:numCache>
            </c:numRef>
          </c:val>
          <c:extLst>
            <c:ext xmlns:c16="http://schemas.microsoft.com/office/drawing/2014/chart" uri="{C3380CC4-5D6E-409C-BE32-E72D297353CC}">
              <c16:uniqueId val="{00000001-7ECA-481F-B401-9E861CD34B0B}"/>
            </c:ext>
          </c:extLst>
        </c:ser>
        <c:ser>
          <c:idx val="2"/>
          <c:order val="2"/>
          <c:tx>
            <c:strRef>
              <c:f>CN!$E$238</c:f>
              <c:strCache>
                <c:ptCount val="1"/>
                <c:pt idx="0">
                  <c:v>3</c:v>
                </c:pt>
              </c:strCache>
            </c:strRef>
          </c:tx>
          <c:spPr>
            <a:solidFill>
              <a:srgbClr val="FFC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CN!$F$234:$AK$235</c:f>
              <c:multiLvlStrCache>
                <c:ptCount val="32"/>
                <c:lvl>
                  <c:pt idx="0">
                    <c:v>COLOMBIA</c:v>
                  </c:pt>
                  <c:pt idx="1">
                    <c:v>SOACHA</c:v>
                  </c:pt>
                  <c:pt idx="2">
                    <c:v>SOACHA OFICIAL</c:v>
                  </c:pt>
                  <c:pt idx="3">
                    <c:v>SOACHA NO OFICIAL</c:v>
                  </c:pt>
                  <c:pt idx="4">
                    <c:v>COLOMBIA</c:v>
                  </c:pt>
                  <c:pt idx="5">
                    <c:v>SOACHA</c:v>
                  </c:pt>
                  <c:pt idx="6">
                    <c:v>SOACHA OFICIAL</c:v>
                  </c:pt>
                  <c:pt idx="7">
                    <c:v>SOACHA NO OFICIAL</c:v>
                  </c:pt>
                  <c:pt idx="8">
                    <c:v>COLOMBIA</c:v>
                  </c:pt>
                  <c:pt idx="9">
                    <c:v>SOACHA</c:v>
                  </c:pt>
                  <c:pt idx="10">
                    <c:v>SOACHA OFICIAL</c:v>
                  </c:pt>
                  <c:pt idx="11">
                    <c:v>SOACHA NO OFICIAL</c:v>
                  </c:pt>
                  <c:pt idx="12">
                    <c:v>COLOMBIA</c:v>
                  </c:pt>
                  <c:pt idx="13">
                    <c:v>SOACHA</c:v>
                  </c:pt>
                  <c:pt idx="14">
                    <c:v>SOACHA OFICIAL</c:v>
                  </c:pt>
                  <c:pt idx="15">
                    <c:v>SOACHA NO OFICIAL</c:v>
                  </c:pt>
                  <c:pt idx="16">
                    <c:v>COLOMBIA</c:v>
                  </c:pt>
                  <c:pt idx="17">
                    <c:v>SOACHA</c:v>
                  </c:pt>
                  <c:pt idx="18">
                    <c:v>SOACHA OFICIAL</c:v>
                  </c:pt>
                  <c:pt idx="19">
                    <c:v>SOACHA NO OFICIAL</c:v>
                  </c:pt>
                  <c:pt idx="20">
                    <c:v>COLOMBIA</c:v>
                  </c:pt>
                  <c:pt idx="21">
                    <c:v>SOACHA</c:v>
                  </c:pt>
                  <c:pt idx="22">
                    <c:v>SOACHA OFICIAL</c:v>
                  </c:pt>
                  <c:pt idx="23">
                    <c:v>SOACHA NO OFICIAL</c:v>
                  </c:pt>
                  <c:pt idx="24">
                    <c:v>COLOMBIA</c:v>
                  </c:pt>
                  <c:pt idx="25">
                    <c:v>SOACHA</c:v>
                  </c:pt>
                  <c:pt idx="26">
                    <c:v>SOACHA OFICIAL</c:v>
                  </c:pt>
                  <c:pt idx="27">
                    <c:v>SOACHA NO OFICIAL</c:v>
                  </c:pt>
                  <c:pt idx="28">
                    <c:v>COLOMBIA</c:v>
                  </c:pt>
                  <c:pt idx="29">
                    <c:v>SOACHA</c:v>
                  </c:pt>
                  <c:pt idx="30">
                    <c:v>SOACHA OFICIAL</c:v>
                  </c:pt>
                  <c:pt idx="31">
                    <c:v>SOACHA NO OFICIAL</c:v>
                  </c:pt>
                </c:lvl>
                <c:lvl>
                  <c:pt idx="0">
                    <c:v>2016</c:v>
                  </c:pt>
                  <c:pt idx="4">
                    <c:v>2017</c:v>
                  </c:pt>
                  <c:pt idx="8">
                    <c:v>2018</c:v>
                  </c:pt>
                  <c:pt idx="12">
                    <c:v>2019</c:v>
                  </c:pt>
                  <c:pt idx="16">
                    <c:v>2020</c:v>
                  </c:pt>
                  <c:pt idx="20">
                    <c:v>2021</c:v>
                  </c:pt>
                  <c:pt idx="24">
                    <c:v>2022</c:v>
                  </c:pt>
                  <c:pt idx="28">
                    <c:v>2023</c:v>
                  </c:pt>
                </c:lvl>
              </c:multiLvlStrCache>
            </c:multiLvlStrRef>
          </c:cat>
          <c:val>
            <c:numRef>
              <c:f>CN!$F$238:$AK$238</c:f>
              <c:numCache>
                <c:formatCode>0%</c:formatCode>
                <c:ptCount val="32"/>
                <c:pt idx="0">
                  <c:v>0.38</c:v>
                </c:pt>
                <c:pt idx="1">
                  <c:v>0.4</c:v>
                </c:pt>
                <c:pt idx="2">
                  <c:v>0.35</c:v>
                </c:pt>
                <c:pt idx="3">
                  <c:v>0.46</c:v>
                </c:pt>
                <c:pt idx="4">
                  <c:v>0.36</c:v>
                </c:pt>
                <c:pt idx="5">
                  <c:v>0.38</c:v>
                </c:pt>
                <c:pt idx="6">
                  <c:v>0.33</c:v>
                </c:pt>
                <c:pt idx="7">
                  <c:v>0.44</c:v>
                </c:pt>
                <c:pt idx="8">
                  <c:v>0.31</c:v>
                </c:pt>
                <c:pt idx="9">
                  <c:v>0.31</c:v>
                </c:pt>
                <c:pt idx="10">
                  <c:v>0.25</c:v>
                </c:pt>
                <c:pt idx="11">
                  <c:v>0.38</c:v>
                </c:pt>
                <c:pt idx="12">
                  <c:v>0.27</c:v>
                </c:pt>
                <c:pt idx="13">
                  <c:v>0.25</c:v>
                </c:pt>
                <c:pt idx="14">
                  <c:v>0.2</c:v>
                </c:pt>
                <c:pt idx="15">
                  <c:v>0.31</c:v>
                </c:pt>
                <c:pt idx="16">
                  <c:v>0.25</c:v>
                </c:pt>
                <c:pt idx="17">
                  <c:v>0.27</c:v>
                </c:pt>
                <c:pt idx="18">
                  <c:v>0.22</c:v>
                </c:pt>
                <c:pt idx="19">
                  <c:v>0.32</c:v>
                </c:pt>
                <c:pt idx="20">
                  <c:v>0.23</c:v>
                </c:pt>
                <c:pt idx="21">
                  <c:v>0.25</c:v>
                </c:pt>
                <c:pt idx="22">
                  <c:v>0.18</c:v>
                </c:pt>
                <c:pt idx="23">
                  <c:v>0.32</c:v>
                </c:pt>
                <c:pt idx="24">
                  <c:v>0.27</c:v>
                </c:pt>
                <c:pt idx="25">
                  <c:v>0.28999999999999998</c:v>
                </c:pt>
                <c:pt idx="26">
                  <c:v>0.23</c:v>
                </c:pt>
                <c:pt idx="27">
                  <c:v>0.36</c:v>
                </c:pt>
                <c:pt idx="28">
                  <c:v>0.28999999999999998</c:v>
                </c:pt>
                <c:pt idx="29">
                  <c:v>0.32</c:v>
                </c:pt>
                <c:pt idx="30">
                  <c:v>0.25</c:v>
                </c:pt>
                <c:pt idx="31">
                  <c:v>0.4</c:v>
                </c:pt>
              </c:numCache>
            </c:numRef>
          </c:val>
          <c:extLst>
            <c:ext xmlns:c16="http://schemas.microsoft.com/office/drawing/2014/chart" uri="{C3380CC4-5D6E-409C-BE32-E72D297353CC}">
              <c16:uniqueId val="{00000002-7ECA-481F-B401-9E861CD34B0B}"/>
            </c:ext>
          </c:extLst>
        </c:ser>
        <c:ser>
          <c:idx val="3"/>
          <c:order val="3"/>
          <c:tx>
            <c:strRef>
              <c:f>CN!$E$239</c:f>
              <c:strCache>
                <c:ptCount val="1"/>
                <c:pt idx="0">
                  <c:v>4</c:v>
                </c:pt>
              </c:strCache>
            </c:strRef>
          </c:tx>
          <c:spPr>
            <a:solidFill>
              <a:srgbClr val="00B05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CN!$F$234:$AK$235</c:f>
              <c:multiLvlStrCache>
                <c:ptCount val="32"/>
                <c:lvl>
                  <c:pt idx="0">
                    <c:v>COLOMBIA</c:v>
                  </c:pt>
                  <c:pt idx="1">
                    <c:v>SOACHA</c:v>
                  </c:pt>
                  <c:pt idx="2">
                    <c:v>SOACHA OFICIAL</c:v>
                  </c:pt>
                  <c:pt idx="3">
                    <c:v>SOACHA NO OFICIAL</c:v>
                  </c:pt>
                  <c:pt idx="4">
                    <c:v>COLOMBIA</c:v>
                  </c:pt>
                  <c:pt idx="5">
                    <c:v>SOACHA</c:v>
                  </c:pt>
                  <c:pt idx="6">
                    <c:v>SOACHA OFICIAL</c:v>
                  </c:pt>
                  <c:pt idx="7">
                    <c:v>SOACHA NO OFICIAL</c:v>
                  </c:pt>
                  <c:pt idx="8">
                    <c:v>COLOMBIA</c:v>
                  </c:pt>
                  <c:pt idx="9">
                    <c:v>SOACHA</c:v>
                  </c:pt>
                  <c:pt idx="10">
                    <c:v>SOACHA OFICIAL</c:v>
                  </c:pt>
                  <c:pt idx="11">
                    <c:v>SOACHA NO OFICIAL</c:v>
                  </c:pt>
                  <c:pt idx="12">
                    <c:v>COLOMBIA</c:v>
                  </c:pt>
                  <c:pt idx="13">
                    <c:v>SOACHA</c:v>
                  </c:pt>
                  <c:pt idx="14">
                    <c:v>SOACHA OFICIAL</c:v>
                  </c:pt>
                  <c:pt idx="15">
                    <c:v>SOACHA NO OFICIAL</c:v>
                  </c:pt>
                  <c:pt idx="16">
                    <c:v>COLOMBIA</c:v>
                  </c:pt>
                  <c:pt idx="17">
                    <c:v>SOACHA</c:v>
                  </c:pt>
                  <c:pt idx="18">
                    <c:v>SOACHA OFICIAL</c:v>
                  </c:pt>
                  <c:pt idx="19">
                    <c:v>SOACHA NO OFICIAL</c:v>
                  </c:pt>
                  <c:pt idx="20">
                    <c:v>COLOMBIA</c:v>
                  </c:pt>
                  <c:pt idx="21">
                    <c:v>SOACHA</c:v>
                  </c:pt>
                  <c:pt idx="22">
                    <c:v>SOACHA OFICIAL</c:v>
                  </c:pt>
                  <c:pt idx="23">
                    <c:v>SOACHA NO OFICIAL</c:v>
                  </c:pt>
                  <c:pt idx="24">
                    <c:v>COLOMBIA</c:v>
                  </c:pt>
                  <c:pt idx="25">
                    <c:v>SOACHA</c:v>
                  </c:pt>
                  <c:pt idx="26">
                    <c:v>SOACHA OFICIAL</c:v>
                  </c:pt>
                  <c:pt idx="27">
                    <c:v>SOACHA NO OFICIAL</c:v>
                  </c:pt>
                  <c:pt idx="28">
                    <c:v>COLOMBIA</c:v>
                  </c:pt>
                  <c:pt idx="29">
                    <c:v>SOACHA</c:v>
                  </c:pt>
                  <c:pt idx="30">
                    <c:v>SOACHA OFICIAL</c:v>
                  </c:pt>
                  <c:pt idx="31">
                    <c:v>SOACHA NO OFICIAL</c:v>
                  </c:pt>
                </c:lvl>
                <c:lvl>
                  <c:pt idx="0">
                    <c:v>2016</c:v>
                  </c:pt>
                  <c:pt idx="4">
                    <c:v>2017</c:v>
                  </c:pt>
                  <c:pt idx="8">
                    <c:v>2018</c:v>
                  </c:pt>
                  <c:pt idx="12">
                    <c:v>2019</c:v>
                  </c:pt>
                  <c:pt idx="16">
                    <c:v>2020</c:v>
                  </c:pt>
                  <c:pt idx="20">
                    <c:v>2021</c:v>
                  </c:pt>
                  <c:pt idx="24">
                    <c:v>2022</c:v>
                  </c:pt>
                  <c:pt idx="28">
                    <c:v>2023</c:v>
                  </c:pt>
                </c:lvl>
              </c:multiLvlStrCache>
            </c:multiLvlStrRef>
          </c:cat>
          <c:val>
            <c:numRef>
              <c:f>CN!$F$239:$AK$239</c:f>
              <c:numCache>
                <c:formatCode>0%</c:formatCode>
                <c:ptCount val="32"/>
                <c:pt idx="0">
                  <c:v>0.03</c:v>
                </c:pt>
                <c:pt idx="1">
                  <c:v>0.01</c:v>
                </c:pt>
                <c:pt idx="2">
                  <c:v>0.01</c:v>
                </c:pt>
                <c:pt idx="3">
                  <c:v>0.01</c:v>
                </c:pt>
                <c:pt idx="4">
                  <c:v>0.03</c:v>
                </c:pt>
                <c:pt idx="5">
                  <c:v>0.01</c:v>
                </c:pt>
                <c:pt idx="6">
                  <c:v>0.01</c:v>
                </c:pt>
                <c:pt idx="7">
                  <c:v>0.02</c:v>
                </c:pt>
                <c:pt idx="8">
                  <c:v>0.03</c:v>
                </c:pt>
                <c:pt idx="9">
                  <c:v>0.01</c:v>
                </c:pt>
                <c:pt idx="10">
                  <c:v>0.01</c:v>
                </c:pt>
                <c:pt idx="11">
                  <c:v>0.02</c:v>
                </c:pt>
                <c:pt idx="12">
                  <c:v>0.03</c:v>
                </c:pt>
                <c:pt idx="13">
                  <c:v>0.01</c:v>
                </c:pt>
                <c:pt idx="14">
                  <c:v>0.01</c:v>
                </c:pt>
                <c:pt idx="15">
                  <c:v>0.02</c:v>
                </c:pt>
                <c:pt idx="16">
                  <c:v>0.02</c:v>
                </c:pt>
                <c:pt idx="17">
                  <c:v>0.01</c:v>
                </c:pt>
                <c:pt idx="18">
                  <c:v>0.01</c:v>
                </c:pt>
                <c:pt idx="19">
                  <c:v>0.01</c:v>
                </c:pt>
                <c:pt idx="20">
                  <c:v>0.02</c:v>
                </c:pt>
                <c:pt idx="21">
                  <c:v>0.01</c:v>
                </c:pt>
                <c:pt idx="22">
                  <c:v>0</c:v>
                </c:pt>
                <c:pt idx="23">
                  <c:v>0.01</c:v>
                </c:pt>
                <c:pt idx="24">
                  <c:v>0.03</c:v>
                </c:pt>
                <c:pt idx="25">
                  <c:v>0.01</c:v>
                </c:pt>
                <c:pt idx="26">
                  <c:v>0.01</c:v>
                </c:pt>
                <c:pt idx="27">
                  <c:v>0.02</c:v>
                </c:pt>
                <c:pt idx="28">
                  <c:v>0.03</c:v>
                </c:pt>
                <c:pt idx="29">
                  <c:v>0.02</c:v>
                </c:pt>
                <c:pt idx="30">
                  <c:v>0.01</c:v>
                </c:pt>
                <c:pt idx="31">
                  <c:v>0.02</c:v>
                </c:pt>
              </c:numCache>
            </c:numRef>
          </c:val>
          <c:extLst>
            <c:ext xmlns:c16="http://schemas.microsoft.com/office/drawing/2014/chart" uri="{C3380CC4-5D6E-409C-BE32-E72D297353CC}">
              <c16:uniqueId val="{00000003-7ECA-481F-B401-9E861CD34B0B}"/>
            </c:ext>
          </c:extLst>
        </c:ser>
        <c:dLbls>
          <c:showLegendKey val="0"/>
          <c:showVal val="0"/>
          <c:showCatName val="0"/>
          <c:showSerName val="0"/>
          <c:showPercent val="0"/>
          <c:showBubbleSize val="0"/>
        </c:dLbls>
        <c:gapWidth val="150"/>
        <c:overlap val="100"/>
        <c:axId val="744346207"/>
        <c:axId val="634479663"/>
      </c:barChart>
      <c:catAx>
        <c:axId val="74434620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634479663"/>
        <c:crosses val="autoZero"/>
        <c:auto val="1"/>
        <c:lblAlgn val="ctr"/>
        <c:lblOffset val="100"/>
        <c:noMultiLvlLbl val="0"/>
      </c:catAx>
      <c:valAx>
        <c:axId val="634479663"/>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74434620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sz="1400"/>
              <a:t>Resultados Inglés </a:t>
            </a:r>
            <a:r>
              <a:rPr lang="es-CO" sz="1400" baseline="0"/>
              <a:t>por Comunas 2016 - 2023</a:t>
            </a:r>
            <a:endParaRPr lang="es-CO" sz="1400"/>
          </a:p>
        </c:rich>
      </c:tx>
      <c:overlay val="0"/>
    </c:title>
    <c:autoTitleDeleted val="0"/>
    <c:plotArea>
      <c:layout/>
      <c:radarChart>
        <c:radarStyle val="marker"/>
        <c:varyColors val="0"/>
        <c:ser>
          <c:idx val="0"/>
          <c:order val="0"/>
          <c:tx>
            <c:strRef>
              <c:f>INGLES!$Z$173</c:f>
              <c:strCache>
                <c:ptCount val="1"/>
                <c:pt idx="0">
                  <c:v>2016</c:v>
                </c:pt>
              </c:strCache>
            </c:strRef>
          </c:tx>
          <c:spPr>
            <a:ln>
              <a:prstDash val="lgDashDot"/>
            </a:ln>
          </c:spPr>
          <c:cat>
            <c:strRef>
              <c:f>INGLES!$Y$174:$Y$179</c:f>
              <c:strCache>
                <c:ptCount val="6"/>
                <c:pt idx="0">
                  <c:v>COMUNA 1</c:v>
                </c:pt>
                <c:pt idx="1">
                  <c:v>COMUNA 2</c:v>
                </c:pt>
                <c:pt idx="2">
                  <c:v>COMUNA 3</c:v>
                </c:pt>
                <c:pt idx="3">
                  <c:v>COMUNA 4</c:v>
                </c:pt>
                <c:pt idx="4">
                  <c:v>COMUNA 5</c:v>
                </c:pt>
                <c:pt idx="5">
                  <c:v>COMUNA 6</c:v>
                </c:pt>
              </c:strCache>
            </c:strRef>
          </c:cat>
          <c:val>
            <c:numRef>
              <c:f>INGLES!$Z$174:$Z$179</c:f>
              <c:numCache>
                <c:formatCode>0</c:formatCode>
                <c:ptCount val="6"/>
                <c:pt idx="0">
                  <c:v>52.647058823529413</c:v>
                </c:pt>
                <c:pt idx="1">
                  <c:v>54.7</c:v>
                </c:pt>
                <c:pt idx="2">
                  <c:v>54.5</c:v>
                </c:pt>
                <c:pt idx="3">
                  <c:v>50.785714285714285</c:v>
                </c:pt>
                <c:pt idx="4">
                  <c:v>57</c:v>
                </c:pt>
                <c:pt idx="5">
                  <c:v>54.2</c:v>
                </c:pt>
              </c:numCache>
            </c:numRef>
          </c:val>
          <c:extLst>
            <c:ext xmlns:c16="http://schemas.microsoft.com/office/drawing/2014/chart" uri="{C3380CC4-5D6E-409C-BE32-E72D297353CC}">
              <c16:uniqueId val="{00000000-680B-417E-A672-FFD22B16563E}"/>
            </c:ext>
          </c:extLst>
        </c:ser>
        <c:ser>
          <c:idx val="1"/>
          <c:order val="1"/>
          <c:tx>
            <c:strRef>
              <c:f>INGLES!$AA$173</c:f>
              <c:strCache>
                <c:ptCount val="1"/>
                <c:pt idx="0">
                  <c:v>2017</c:v>
                </c:pt>
              </c:strCache>
            </c:strRef>
          </c:tx>
          <c:cat>
            <c:strRef>
              <c:f>INGLES!$Y$174:$Y$179</c:f>
              <c:strCache>
                <c:ptCount val="6"/>
                <c:pt idx="0">
                  <c:v>COMUNA 1</c:v>
                </c:pt>
                <c:pt idx="1">
                  <c:v>COMUNA 2</c:v>
                </c:pt>
                <c:pt idx="2">
                  <c:v>COMUNA 3</c:v>
                </c:pt>
                <c:pt idx="3">
                  <c:v>COMUNA 4</c:v>
                </c:pt>
                <c:pt idx="4">
                  <c:v>COMUNA 5</c:v>
                </c:pt>
                <c:pt idx="5">
                  <c:v>COMUNA 6</c:v>
                </c:pt>
              </c:strCache>
            </c:strRef>
          </c:cat>
          <c:val>
            <c:numRef>
              <c:f>INGLES!$AA$174:$AA$179</c:f>
              <c:numCache>
                <c:formatCode>0</c:formatCode>
                <c:ptCount val="6"/>
                <c:pt idx="0">
                  <c:v>50.4375</c:v>
                </c:pt>
                <c:pt idx="1">
                  <c:v>52.315789473684212</c:v>
                </c:pt>
                <c:pt idx="2">
                  <c:v>51.117647058823529</c:v>
                </c:pt>
                <c:pt idx="3">
                  <c:v>49.466666666666669</c:v>
                </c:pt>
                <c:pt idx="4">
                  <c:v>55.411764705882355</c:v>
                </c:pt>
                <c:pt idx="5">
                  <c:v>50.93333333333333</c:v>
                </c:pt>
              </c:numCache>
            </c:numRef>
          </c:val>
          <c:extLst>
            <c:ext xmlns:c16="http://schemas.microsoft.com/office/drawing/2014/chart" uri="{C3380CC4-5D6E-409C-BE32-E72D297353CC}">
              <c16:uniqueId val="{00000001-680B-417E-A672-FFD22B16563E}"/>
            </c:ext>
          </c:extLst>
        </c:ser>
        <c:ser>
          <c:idx val="2"/>
          <c:order val="2"/>
          <c:tx>
            <c:strRef>
              <c:f>INGLES!$AB$173</c:f>
              <c:strCache>
                <c:ptCount val="1"/>
                <c:pt idx="0">
                  <c:v>2018</c:v>
                </c:pt>
              </c:strCache>
            </c:strRef>
          </c:tx>
          <c:spPr>
            <a:ln>
              <a:prstDash val="sysDash"/>
            </a:ln>
          </c:spPr>
          <c:cat>
            <c:strRef>
              <c:f>INGLES!$Y$174:$Y$179</c:f>
              <c:strCache>
                <c:ptCount val="6"/>
                <c:pt idx="0">
                  <c:v>COMUNA 1</c:v>
                </c:pt>
                <c:pt idx="1">
                  <c:v>COMUNA 2</c:v>
                </c:pt>
                <c:pt idx="2">
                  <c:v>COMUNA 3</c:v>
                </c:pt>
                <c:pt idx="3">
                  <c:v>COMUNA 4</c:v>
                </c:pt>
                <c:pt idx="4">
                  <c:v>COMUNA 5</c:v>
                </c:pt>
                <c:pt idx="5">
                  <c:v>COMUNA 6</c:v>
                </c:pt>
              </c:strCache>
            </c:strRef>
          </c:cat>
          <c:val>
            <c:numRef>
              <c:f>INGLES!$AB$174:$AB$179</c:f>
              <c:numCache>
                <c:formatCode>0</c:formatCode>
                <c:ptCount val="6"/>
                <c:pt idx="0">
                  <c:v>52.117647058823529</c:v>
                </c:pt>
                <c:pt idx="1">
                  <c:v>54</c:v>
                </c:pt>
                <c:pt idx="2">
                  <c:v>52.882352941176471</c:v>
                </c:pt>
                <c:pt idx="3">
                  <c:v>52.133333333333333</c:v>
                </c:pt>
                <c:pt idx="4">
                  <c:v>55.833333333333336</c:v>
                </c:pt>
                <c:pt idx="5">
                  <c:v>52.357142857142854</c:v>
                </c:pt>
              </c:numCache>
            </c:numRef>
          </c:val>
          <c:extLst>
            <c:ext xmlns:c16="http://schemas.microsoft.com/office/drawing/2014/chart" uri="{C3380CC4-5D6E-409C-BE32-E72D297353CC}">
              <c16:uniqueId val="{00000002-680B-417E-A672-FFD22B16563E}"/>
            </c:ext>
          </c:extLst>
        </c:ser>
        <c:ser>
          <c:idx val="3"/>
          <c:order val="3"/>
          <c:tx>
            <c:strRef>
              <c:f>INGLES!$AC$173</c:f>
              <c:strCache>
                <c:ptCount val="1"/>
                <c:pt idx="0">
                  <c:v>2019</c:v>
                </c:pt>
              </c:strCache>
            </c:strRef>
          </c:tx>
          <c:cat>
            <c:strRef>
              <c:f>INGLES!$Y$174:$Y$179</c:f>
              <c:strCache>
                <c:ptCount val="6"/>
                <c:pt idx="0">
                  <c:v>COMUNA 1</c:v>
                </c:pt>
                <c:pt idx="1">
                  <c:v>COMUNA 2</c:v>
                </c:pt>
                <c:pt idx="2">
                  <c:v>COMUNA 3</c:v>
                </c:pt>
                <c:pt idx="3">
                  <c:v>COMUNA 4</c:v>
                </c:pt>
                <c:pt idx="4">
                  <c:v>COMUNA 5</c:v>
                </c:pt>
                <c:pt idx="5">
                  <c:v>COMUNA 6</c:v>
                </c:pt>
              </c:strCache>
            </c:strRef>
          </c:cat>
          <c:val>
            <c:numRef>
              <c:f>INGLES!$AC$174:$AC$179</c:f>
              <c:numCache>
                <c:formatCode>0</c:formatCode>
                <c:ptCount val="6"/>
                <c:pt idx="0">
                  <c:v>50.058823529411768</c:v>
                </c:pt>
                <c:pt idx="1">
                  <c:v>53.45</c:v>
                </c:pt>
                <c:pt idx="2">
                  <c:v>51.764705882352942</c:v>
                </c:pt>
                <c:pt idx="3">
                  <c:v>48.785714285714285</c:v>
                </c:pt>
                <c:pt idx="4">
                  <c:v>55.10526315789474</c:v>
                </c:pt>
                <c:pt idx="5">
                  <c:v>51.733333333333334</c:v>
                </c:pt>
              </c:numCache>
            </c:numRef>
          </c:val>
          <c:extLst>
            <c:ext xmlns:c16="http://schemas.microsoft.com/office/drawing/2014/chart" uri="{C3380CC4-5D6E-409C-BE32-E72D297353CC}">
              <c16:uniqueId val="{00000003-680B-417E-A672-FFD22B16563E}"/>
            </c:ext>
          </c:extLst>
        </c:ser>
        <c:ser>
          <c:idx val="4"/>
          <c:order val="4"/>
          <c:tx>
            <c:strRef>
              <c:f>INGLES!$AD$173</c:f>
              <c:strCache>
                <c:ptCount val="1"/>
                <c:pt idx="0">
                  <c:v>2020</c:v>
                </c:pt>
              </c:strCache>
            </c:strRef>
          </c:tx>
          <c:cat>
            <c:strRef>
              <c:f>INGLES!$Y$174:$Y$179</c:f>
              <c:strCache>
                <c:ptCount val="6"/>
                <c:pt idx="0">
                  <c:v>COMUNA 1</c:v>
                </c:pt>
                <c:pt idx="1">
                  <c:v>COMUNA 2</c:v>
                </c:pt>
                <c:pt idx="2">
                  <c:v>COMUNA 3</c:v>
                </c:pt>
                <c:pt idx="3">
                  <c:v>COMUNA 4</c:v>
                </c:pt>
                <c:pt idx="4">
                  <c:v>COMUNA 5</c:v>
                </c:pt>
                <c:pt idx="5">
                  <c:v>COMUNA 6</c:v>
                </c:pt>
              </c:strCache>
            </c:strRef>
          </c:cat>
          <c:val>
            <c:numRef>
              <c:f>INGLES!$AD$174:$AD$179</c:f>
              <c:numCache>
                <c:formatCode>0</c:formatCode>
                <c:ptCount val="6"/>
                <c:pt idx="0">
                  <c:v>48.058823529411768</c:v>
                </c:pt>
                <c:pt idx="1">
                  <c:v>48.583333333333336</c:v>
                </c:pt>
                <c:pt idx="2">
                  <c:v>49.10526315789474</c:v>
                </c:pt>
                <c:pt idx="3">
                  <c:v>45.846153846153847</c:v>
                </c:pt>
                <c:pt idx="4">
                  <c:v>51.166666666666664</c:v>
                </c:pt>
                <c:pt idx="5">
                  <c:v>47.588235294117645</c:v>
                </c:pt>
              </c:numCache>
            </c:numRef>
          </c:val>
          <c:extLst>
            <c:ext xmlns:c16="http://schemas.microsoft.com/office/drawing/2014/chart" uri="{C3380CC4-5D6E-409C-BE32-E72D297353CC}">
              <c16:uniqueId val="{00000001-7F88-4DA8-82E7-5561B8B34109}"/>
            </c:ext>
          </c:extLst>
        </c:ser>
        <c:ser>
          <c:idx val="5"/>
          <c:order val="5"/>
          <c:tx>
            <c:strRef>
              <c:f>INGLES!$AE$173</c:f>
              <c:strCache>
                <c:ptCount val="1"/>
                <c:pt idx="0">
                  <c:v>2021</c:v>
                </c:pt>
              </c:strCache>
            </c:strRef>
          </c:tx>
          <c:cat>
            <c:strRef>
              <c:f>INGLES!$Y$174:$Y$179</c:f>
              <c:strCache>
                <c:ptCount val="6"/>
                <c:pt idx="0">
                  <c:v>COMUNA 1</c:v>
                </c:pt>
                <c:pt idx="1">
                  <c:v>COMUNA 2</c:v>
                </c:pt>
                <c:pt idx="2">
                  <c:v>COMUNA 3</c:v>
                </c:pt>
                <c:pt idx="3">
                  <c:v>COMUNA 4</c:v>
                </c:pt>
                <c:pt idx="4">
                  <c:v>COMUNA 5</c:v>
                </c:pt>
                <c:pt idx="5">
                  <c:v>COMUNA 6</c:v>
                </c:pt>
              </c:strCache>
            </c:strRef>
          </c:cat>
          <c:val>
            <c:numRef>
              <c:f>INGLES!$AE$174:$AE$179</c:f>
              <c:numCache>
                <c:formatCode>0</c:formatCode>
                <c:ptCount val="6"/>
                <c:pt idx="0">
                  <c:v>52</c:v>
                </c:pt>
                <c:pt idx="1">
                  <c:v>53.227272727272727</c:v>
                </c:pt>
                <c:pt idx="2">
                  <c:v>52.25</c:v>
                </c:pt>
                <c:pt idx="3">
                  <c:v>48.857142857142854</c:v>
                </c:pt>
                <c:pt idx="4">
                  <c:v>56.111111111111114</c:v>
                </c:pt>
                <c:pt idx="5">
                  <c:v>53.117647058823529</c:v>
                </c:pt>
              </c:numCache>
            </c:numRef>
          </c:val>
          <c:extLst>
            <c:ext xmlns:c16="http://schemas.microsoft.com/office/drawing/2014/chart" uri="{C3380CC4-5D6E-409C-BE32-E72D297353CC}">
              <c16:uniqueId val="{00000000-07EC-4A60-B227-E69C7F5F9BFD}"/>
            </c:ext>
          </c:extLst>
        </c:ser>
        <c:ser>
          <c:idx val="6"/>
          <c:order val="6"/>
          <c:tx>
            <c:strRef>
              <c:f>INGLES!$AF$173</c:f>
              <c:strCache>
                <c:ptCount val="1"/>
                <c:pt idx="0">
                  <c:v>2022</c:v>
                </c:pt>
              </c:strCache>
            </c:strRef>
          </c:tx>
          <c:cat>
            <c:strRef>
              <c:f>INGLES!$Y$174:$Y$179</c:f>
              <c:strCache>
                <c:ptCount val="6"/>
                <c:pt idx="0">
                  <c:v>COMUNA 1</c:v>
                </c:pt>
                <c:pt idx="1">
                  <c:v>COMUNA 2</c:v>
                </c:pt>
                <c:pt idx="2">
                  <c:v>COMUNA 3</c:v>
                </c:pt>
                <c:pt idx="3">
                  <c:v>COMUNA 4</c:v>
                </c:pt>
                <c:pt idx="4">
                  <c:v>COMUNA 5</c:v>
                </c:pt>
                <c:pt idx="5">
                  <c:v>COMUNA 6</c:v>
                </c:pt>
              </c:strCache>
            </c:strRef>
          </c:cat>
          <c:val>
            <c:numRef>
              <c:f>INGLES!$AF$174:$AF$179</c:f>
              <c:numCache>
                <c:formatCode>0</c:formatCode>
                <c:ptCount val="6"/>
                <c:pt idx="0">
                  <c:v>52</c:v>
                </c:pt>
                <c:pt idx="1">
                  <c:v>54.96</c:v>
                </c:pt>
                <c:pt idx="2">
                  <c:v>54.363636363636367</c:v>
                </c:pt>
                <c:pt idx="3">
                  <c:v>49.785714285714285</c:v>
                </c:pt>
                <c:pt idx="4">
                  <c:v>57.117647058823529</c:v>
                </c:pt>
                <c:pt idx="5">
                  <c:v>53.842105263157897</c:v>
                </c:pt>
              </c:numCache>
            </c:numRef>
          </c:val>
          <c:extLst>
            <c:ext xmlns:c16="http://schemas.microsoft.com/office/drawing/2014/chart" uri="{C3380CC4-5D6E-409C-BE32-E72D297353CC}">
              <c16:uniqueId val="{00000000-CBEC-4CE0-829F-A912CF2EA407}"/>
            </c:ext>
          </c:extLst>
        </c:ser>
        <c:ser>
          <c:idx val="7"/>
          <c:order val="7"/>
          <c:tx>
            <c:strRef>
              <c:f>INGLES!$AG$173</c:f>
              <c:strCache>
                <c:ptCount val="1"/>
                <c:pt idx="0">
                  <c:v>2023</c:v>
                </c:pt>
              </c:strCache>
            </c:strRef>
          </c:tx>
          <c:cat>
            <c:strRef>
              <c:f>INGLES!$Y$174:$Y$179</c:f>
              <c:strCache>
                <c:ptCount val="6"/>
                <c:pt idx="0">
                  <c:v>COMUNA 1</c:v>
                </c:pt>
                <c:pt idx="1">
                  <c:v>COMUNA 2</c:v>
                </c:pt>
                <c:pt idx="2">
                  <c:v>COMUNA 3</c:v>
                </c:pt>
                <c:pt idx="3">
                  <c:v>COMUNA 4</c:v>
                </c:pt>
                <c:pt idx="4">
                  <c:v>COMUNA 5</c:v>
                </c:pt>
                <c:pt idx="5">
                  <c:v>COMUNA 6</c:v>
                </c:pt>
              </c:strCache>
            </c:strRef>
          </c:cat>
          <c:val>
            <c:numRef>
              <c:f>INGLES!$AG$174:$AG$179</c:f>
              <c:numCache>
                <c:formatCode>0</c:formatCode>
                <c:ptCount val="6"/>
                <c:pt idx="0">
                  <c:v>53.058823529411768</c:v>
                </c:pt>
                <c:pt idx="1">
                  <c:v>54.42307692307692</c:v>
                </c:pt>
                <c:pt idx="2">
                  <c:v>54.409090909090907</c:v>
                </c:pt>
                <c:pt idx="3">
                  <c:v>49.266666666666666</c:v>
                </c:pt>
                <c:pt idx="4">
                  <c:v>57.470588235294116</c:v>
                </c:pt>
                <c:pt idx="5">
                  <c:v>53.8</c:v>
                </c:pt>
              </c:numCache>
            </c:numRef>
          </c:val>
          <c:extLst>
            <c:ext xmlns:c16="http://schemas.microsoft.com/office/drawing/2014/chart" uri="{C3380CC4-5D6E-409C-BE32-E72D297353CC}">
              <c16:uniqueId val="{00000001-CBEC-4CE0-829F-A912CF2EA407}"/>
            </c:ext>
          </c:extLst>
        </c:ser>
        <c:dLbls>
          <c:showLegendKey val="0"/>
          <c:showVal val="0"/>
          <c:showCatName val="0"/>
          <c:showSerName val="0"/>
          <c:showPercent val="0"/>
          <c:showBubbleSize val="0"/>
        </c:dLbls>
        <c:axId val="39741696"/>
        <c:axId val="39743488"/>
      </c:radarChart>
      <c:catAx>
        <c:axId val="39741696"/>
        <c:scaling>
          <c:orientation val="minMax"/>
        </c:scaling>
        <c:delete val="0"/>
        <c:axPos val="b"/>
        <c:majorGridlines/>
        <c:numFmt formatCode="General" sourceLinked="0"/>
        <c:majorTickMark val="none"/>
        <c:minorTickMark val="none"/>
        <c:tickLblPos val="nextTo"/>
        <c:spPr>
          <a:ln w="9525">
            <a:noFill/>
          </a:ln>
        </c:spPr>
        <c:crossAx val="39743488"/>
        <c:crosses val="autoZero"/>
        <c:auto val="1"/>
        <c:lblAlgn val="ctr"/>
        <c:lblOffset val="100"/>
        <c:noMultiLvlLbl val="0"/>
      </c:catAx>
      <c:valAx>
        <c:axId val="39743488"/>
        <c:scaling>
          <c:orientation val="minMax"/>
          <c:max val="58"/>
          <c:min val="44"/>
        </c:scaling>
        <c:delete val="0"/>
        <c:axPos val="l"/>
        <c:majorGridlines/>
        <c:numFmt formatCode="0" sourceLinked="1"/>
        <c:majorTickMark val="none"/>
        <c:minorTickMark val="none"/>
        <c:tickLblPos val="nextTo"/>
        <c:crossAx val="39741696"/>
        <c:crosses val="autoZero"/>
        <c:crossBetween val="between"/>
        <c:majorUnit val="2"/>
      </c:valAx>
    </c:plotArea>
    <c:legend>
      <c:legendPos val="r"/>
      <c:overlay val="0"/>
    </c:legend>
    <c:plotVisOnly val="1"/>
    <c:dispBlanksAs val="gap"/>
    <c:showDLblsOverMax val="0"/>
  </c:chart>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a:defRPr/>
            </a:pPr>
            <a:r>
              <a:rPr lang="es-CO" sz="1200" b="1" i="0" baseline="0">
                <a:effectLst/>
                <a:latin typeface="Arial" panose="020B0604020202020204" pitchFamily="34" charset="0"/>
                <a:cs typeface="Arial" panose="020B0604020202020204" pitchFamily="34" charset="0"/>
              </a:rPr>
              <a:t>Resultados Inglés Instituciones Oficiales por Comunas 2016 - 2023</a:t>
            </a:r>
            <a:endParaRPr lang="es-CO" sz="1200">
              <a:effectLst/>
              <a:latin typeface="Arial" panose="020B0604020202020204" pitchFamily="34" charset="0"/>
              <a:cs typeface="Arial" panose="020B0604020202020204" pitchFamily="34" charset="0"/>
            </a:endParaRPr>
          </a:p>
        </c:rich>
      </c:tx>
      <c:overlay val="0"/>
    </c:title>
    <c:autoTitleDeleted val="0"/>
    <c:plotArea>
      <c:layout/>
      <c:radarChart>
        <c:radarStyle val="marker"/>
        <c:varyColors val="0"/>
        <c:ser>
          <c:idx val="0"/>
          <c:order val="0"/>
          <c:tx>
            <c:strRef>
              <c:f>INGLES!$L$196</c:f>
              <c:strCache>
                <c:ptCount val="1"/>
                <c:pt idx="0">
                  <c:v>2016</c:v>
                </c:pt>
              </c:strCache>
            </c:strRef>
          </c:tx>
          <c:spPr>
            <a:ln>
              <a:prstDash val="lgDashDot"/>
            </a:ln>
          </c:spPr>
          <c:cat>
            <c:strRef>
              <c:f>INGLES!$K$197:$K$202</c:f>
              <c:strCache>
                <c:ptCount val="6"/>
                <c:pt idx="0">
                  <c:v>COMUNA 1</c:v>
                </c:pt>
                <c:pt idx="1">
                  <c:v>COMUNA 2</c:v>
                </c:pt>
                <c:pt idx="2">
                  <c:v>COMUNA 3</c:v>
                </c:pt>
                <c:pt idx="3">
                  <c:v>COMUNA 4</c:v>
                </c:pt>
                <c:pt idx="4">
                  <c:v>COMUNA 5</c:v>
                </c:pt>
                <c:pt idx="5">
                  <c:v>COMUNA 6</c:v>
                </c:pt>
              </c:strCache>
            </c:strRef>
          </c:cat>
          <c:val>
            <c:numRef>
              <c:f>INGLES!$L$197:$L$202</c:f>
              <c:numCache>
                <c:formatCode>0</c:formatCode>
                <c:ptCount val="6"/>
                <c:pt idx="0">
                  <c:v>52.25</c:v>
                </c:pt>
                <c:pt idx="1">
                  <c:v>52</c:v>
                </c:pt>
                <c:pt idx="2">
                  <c:v>51.666666666666664</c:v>
                </c:pt>
                <c:pt idx="3">
                  <c:v>49.333333333333336</c:v>
                </c:pt>
                <c:pt idx="4">
                  <c:v>53</c:v>
                </c:pt>
                <c:pt idx="5">
                  <c:v>52.333333333333336</c:v>
                </c:pt>
              </c:numCache>
            </c:numRef>
          </c:val>
          <c:extLst>
            <c:ext xmlns:c16="http://schemas.microsoft.com/office/drawing/2014/chart" uri="{C3380CC4-5D6E-409C-BE32-E72D297353CC}">
              <c16:uniqueId val="{00000000-4C97-4A70-AB4F-3C899EA7666A}"/>
            </c:ext>
          </c:extLst>
        </c:ser>
        <c:ser>
          <c:idx val="1"/>
          <c:order val="1"/>
          <c:tx>
            <c:strRef>
              <c:f>INGLES!$M$196</c:f>
              <c:strCache>
                <c:ptCount val="1"/>
                <c:pt idx="0">
                  <c:v>2017</c:v>
                </c:pt>
              </c:strCache>
            </c:strRef>
          </c:tx>
          <c:cat>
            <c:strRef>
              <c:f>INGLES!$K$197:$K$202</c:f>
              <c:strCache>
                <c:ptCount val="6"/>
                <c:pt idx="0">
                  <c:v>COMUNA 1</c:v>
                </c:pt>
                <c:pt idx="1">
                  <c:v>COMUNA 2</c:v>
                </c:pt>
                <c:pt idx="2">
                  <c:v>COMUNA 3</c:v>
                </c:pt>
                <c:pt idx="3">
                  <c:v>COMUNA 4</c:v>
                </c:pt>
                <c:pt idx="4">
                  <c:v>COMUNA 5</c:v>
                </c:pt>
                <c:pt idx="5">
                  <c:v>COMUNA 6</c:v>
                </c:pt>
              </c:strCache>
            </c:strRef>
          </c:cat>
          <c:val>
            <c:numRef>
              <c:f>INGLES!$M$197:$M$202</c:f>
              <c:numCache>
                <c:formatCode>0</c:formatCode>
                <c:ptCount val="6"/>
                <c:pt idx="0">
                  <c:v>49.5</c:v>
                </c:pt>
                <c:pt idx="1">
                  <c:v>50.5</c:v>
                </c:pt>
                <c:pt idx="2">
                  <c:v>49.666666666666664</c:v>
                </c:pt>
                <c:pt idx="3">
                  <c:v>47.333333333333336</c:v>
                </c:pt>
                <c:pt idx="4">
                  <c:v>50</c:v>
                </c:pt>
                <c:pt idx="5">
                  <c:v>49.333333333333336</c:v>
                </c:pt>
              </c:numCache>
            </c:numRef>
          </c:val>
          <c:extLst>
            <c:ext xmlns:c16="http://schemas.microsoft.com/office/drawing/2014/chart" uri="{C3380CC4-5D6E-409C-BE32-E72D297353CC}">
              <c16:uniqueId val="{00000001-4C97-4A70-AB4F-3C899EA7666A}"/>
            </c:ext>
          </c:extLst>
        </c:ser>
        <c:ser>
          <c:idx val="2"/>
          <c:order val="2"/>
          <c:tx>
            <c:strRef>
              <c:f>INGLES!$N$196</c:f>
              <c:strCache>
                <c:ptCount val="1"/>
                <c:pt idx="0">
                  <c:v>2018</c:v>
                </c:pt>
              </c:strCache>
            </c:strRef>
          </c:tx>
          <c:spPr>
            <a:ln>
              <a:prstDash val="sysDash"/>
            </a:ln>
          </c:spPr>
          <c:cat>
            <c:strRef>
              <c:f>INGLES!$K$197:$K$202</c:f>
              <c:strCache>
                <c:ptCount val="6"/>
                <c:pt idx="0">
                  <c:v>COMUNA 1</c:v>
                </c:pt>
                <c:pt idx="1">
                  <c:v>COMUNA 2</c:v>
                </c:pt>
                <c:pt idx="2">
                  <c:v>COMUNA 3</c:v>
                </c:pt>
                <c:pt idx="3">
                  <c:v>COMUNA 4</c:v>
                </c:pt>
                <c:pt idx="4">
                  <c:v>COMUNA 5</c:v>
                </c:pt>
                <c:pt idx="5">
                  <c:v>COMUNA 6</c:v>
                </c:pt>
              </c:strCache>
            </c:strRef>
          </c:cat>
          <c:val>
            <c:numRef>
              <c:f>INGLES!$N$197:$N$202</c:f>
              <c:numCache>
                <c:formatCode>0</c:formatCode>
                <c:ptCount val="6"/>
                <c:pt idx="0">
                  <c:v>51.5</c:v>
                </c:pt>
                <c:pt idx="1">
                  <c:v>51.5</c:v>
                </c:pt>
                <c:pt idx="2">
                  <c:v>51</c:v>
                </c:pt>
                <c:pt idx="3">
                  <c:v>48.5</c:v>
                </c:pt>
                <c:pt idx="4">
                  <c:v>50</c:v>
                </c:pt>
                <c:pt idx="5">
                  <c:v>50.666666666666664</c:v>
                </c:pt>
              </c:numCache>
            </c:numRef>
          </c:val>
          <c:extLst>
            <c:ext xmlns:c16="http://schemas.microsoft.com/office/drawing/2014/chart" uri="{C3380CC4-5D6E-409C-BE32-E72D297353CC}">
              <c16:uniqueId val="{00000002-4C97-4A70-AB4F-3C899EA7666A}"/>
            </c:ext>
          </c:extLst>
        </c:ser>
        <c:ser>
          <c:idx val="3"/>
          <c:order val="3"/>
          <c:tx>
            <c:strRef>
              <c:f>INGLES!$O$196</c:f>
              <c:strCache>
                <c:ptCount val="1"/>
                <c:pt idx="0">
                  <c:v>2019</c:v>
                </c:pt>
              </c:strCache>
            </c:strRef>
          </c:tx>
          <c:cat>
            <c:strRef>
              <c:f>INGLES!$K$197:$K$202</c:f>
              <c:strCache>
                <c:ptCount val="6"/>
                <c:pt idx="0">
                  <c:v>COMUNA 1</c:v>
                </c:pt>
                <c:pt idx="1">
                  <c:v>COMUNA 2</c:v>
                </c:pt>
                <c:pt idx="2">
                  <c:v>COMUNA 3</c:v>
                </c:pt>
                <c:pt idx="3">
                  <c:v>COMUNA 4</c:v>
                </c:pt>
                <c:pt idx="4">
                  <c:v>COMUNA 5</c:v>
                </c:pt>
                <c:pt idx="5">
                  <c:v>COMUNA 6</c:v>
                </c:pt>
              </c:strCache>
            </c:strRef>
          </c:cat>
          <c:val>
            <c:numRef>
              <c:f>INGLES!$O$197:$O$202</c:f>
              <c:numCache>
                <c:formatCode>0</c:formatCode>
                <c:ptCount val="6"/>
                <c:pt idx="0">
                  <c:v>50.25</c:v>
                </c:pt>
                <c:pt idx="1">
                  <c:v>51</c:v>
                </c:pt>
                <c:pt idx="2">
                  <c:v>49</c:v>
                </c:pt>
                <c:pt idx="3">
                  <c:v>46.833333333333336</c:v>
                </c:pt>
                <c:pt idx="4">
                  <c:v>50</c:v>
                </c:pt>
                <c:pt idx="5">
                  <c:v>50</c:v>
                </c:pt>
              </c:numCache>
            </c:numRef>
          </c:val>
          <c:extLst>
            <c:ext xmlns:c16="http://schemas.microsoft.com/office/drawing/2014/chart" uri="{C3380CC4-5D6E-409C-BE32-E72D297353CC}">
              <c16:uniqueId val="{00000003-4C97-4A70-AB4F-3C899EA7666A}"/>
            </c:ext>
          </c:extLst>
        </c:ser>
        <c:ser>
          <c:idx val="4"/>
          <c:order val="4"/>
          <c:tx>
            <c:strRef>
              <c:f>INGLES!$P$196</c:f>
              <c:strCache>
                <c:ptCount val="1"/>
                <c:pt idx="0">
                  <c:v>2020</c:v>
                </c:pt>
              </c:strCache>
            </c:strRef>
          </c:tx>
          <c:cat>
            <c:strRef>
              <c:f>INGLES!$K$197:$K$202</c:f>
              <c:strCache>
                <c:ptCount val="6"/>
                <c:pt idx="0">
                  <c:v>COMUNA 1</c:v>
                </c:pt>
                <c:pt idx="1">
                  <c:v>COMUNA 2</c:v>
                </c:pt>
                <c:pt idx="2">
                  <c:v>COMUNA 3</c:v>
                </c:pt>
                <c:pt idx="3">
                  <c:v>COMUNA 4</c:v>
                </c:pt>
                <c:pt idx="4">
                  <c:v>COMUNA 5</c:v>
                </c:pt>
                <c:pt idx="5">
                  <c:v>COMUNA 6</c:v>
                </c:pt>
              </c:strCache>
            </c:strRef>
          </c:cat>
          <c:val>
            <c:numRef>
              <c:f>INGLES!$P$197:$P$202</c:f>
              <c:numCache>
                <c:formatCode>0</c:formatCode>
                <c:ptCount val="6"/>
                <c:pt idx="0">
                  <c:v>46.5</c:v>
                </c:pt>
                <c:pt idx="1">
                  <c:v>47</c:v>
                </c:pt>
                <c:pt idx="2">
                  <c:v>46.75</c:v>
                </c:pt>
                <c:pt idx="3">
                  <c:v>44</c:v>
                </c:pt>
                <c:pt idx="4">
                  <c:v>46.5</c:v>
                </c:pt>
                <c:pt idx="5">
                  <c:v>47</c:v>
                </c:pt>
              </c:numCache>
            </c:numRef>
          </c:val>
          <c:extLst>
            <c:ext xmlns:c16="http://schemas.microsoft.com/office/drawing/2014/chart" uri="{C3380CC4-5D6E-409C-BE32-E72D297353CC}">
              <c16:uniqueId val="{00000001-9193-4367-83A9-0D99386E0A3E}"/>
            </c:ext>
          </c:extLst>
        </c:ser>
        <c:ser>
          <c:idx val="5"/>
          <c:order val="5"/>
          <c:tx>
            <c:strRef>
              <c:f>INGLES!$Q$196</c:f>
              <c:strCache>
                <c:ptCount val="1"/>
                <c:pt idx="0">
                  <c:v>2021</c:v>
                </c:pt>
              </c:strCache>
            </c:strRef>
          </c:tx>
          <c:cat>
            <c:strRef>
              <c:f>INGLES!$K$197:$K$202</c:f>
              <c:strCache>
                <c:ptCount val="6"/>
                <c:pt idx="0">
                  <c:v>COMUNA 1</c:v>
                </c:pt>
                <c:pt idx="1">
                  <c:v>COMUNA 2</c:v>
                </c:pt>
                <c:pt idx="2">
                  <c:v>COMUNA 3</c:v>
                </c:pt>
                <c:pt idx="3">
                  <c:v>COMUNA 4</c:v>
                </c:pt>
                <c:pt idx="4">
                  <c:v>COMUNA 5</c:v>
                </c:pt>
                <c:pt idx="5">
                  <c:v>COMUNA 6</c:v>
                </c:pt>
              </c:strCache>
            </c:strRef>
          </c:cat>
          <c:val>
            <c:numRef>
              <c:f>INGLES!$Q$197:$Q$202</c:f>
              <c:numCache>
                <c:formatCode>0</c:formatCode>
                <c:ptCount val="6"/>
                <c:pt idx="0">
                  <c:v>49.5</c:v>
                </c:pt>
                <c:pt idx="1">
                  <c:v>50</c:v>
                </c:pt>
                <c:pt idx="2">
                  <c:v>49</c:v>
                </c:pt>
                <c:pt idx="3">
                  <c:v>46</c:v>
                </c:pt>
                <c:pt idx="4">
                  <c:v>49.5</c:v>
                </c:pt>
                <c:pt idx="5">
                  <c:v>50.333333333333336</c:v>
                </c:pt>
              </c:numCache>
            </c:numRef>
          </c:val>
          <c:extLst>
            <c:ext xmlns:c16="http://schemas.microsoft.com/office/drawing/2014/chart" uri="{C3380CC4-5D6E-409C-BE32-E72D297353CC}">
              <c16:uniqueId val="{00000000-444F-4C03-9A33-A21C3B35482D}"/>
            </c:ext>
          </c:extLst>
        </c:ser>
        <c:ser>
          <c:idx val="6"/>
          <c:order val="6"/>
          <c:tx>
            <c:strRef>
              <c:f>INGLES!$R$196</c:f>
              <c:strCache>
                <c:ptCount val="1"/>
                <c:pt idx="0">
                  <c:v>2022</c:v>
                </c:pt>
              </c:strCache>
            </c:strRef>
          </c:tx>
          <c:cat>
            <c:strRef>
              <c:f>INGLES!$K$197:$K$202</c:f>
              <c:strCache>
                <c:ptCount val="6"/>
                <c:pt idx="0">
                  <c:v>COMUNA 1</c:v>
                </c:pt>
                <c:pt idx="1">
                  <c:v>COMUNA 2</c:v>
                </c:pt>
                <c:pt idx="2">
                  <c:v>COMUNA 3</c:v>
                </c:pt>
                <c:pt idx="3">
                  <c:v>COMUNA 4</c:v>
                </c:pt>
                <c:pt idx="4">
                  <c:v>COMUNA 5</c:v>
                </c:pt>
                <c:pt idx="5">
                  <c:v>COMUNA 6</c:v>
                </c:pt>
              </c:strCache>
            </c:strRef>
          </c:cat>
          <c:val>
            <c:numRef>
              <c:f>INGLES!$R$197:$R$202</c:f>
              <c:numCache>
                <c:formatCode>0</c:formatCode>
                <c:ptCount val="6"/>
                <c:pt idx="0">
                  <c:v>49.6</c:v>
                </c:pt>
                <c:pt idx="1">
                  <c:v>50.5</c:v>
                </c:pt>
                <c:pt idx="2">
                  <c:v>51.666666666666664</c:v>
                </c:pt>
                <c:pt idx="3">
                  <c:v>48.333333333333336</c:v>
                </c:pt>
                <c:pt idx="4">
                  <c:v>52</c:v>
                </c:pt>
                <c:pt idx="5">
                  <c:v>52</c:v>
                </c:pt>
              </c:numCache>
            </c:numRef>
          </c:val>
          <c:extLst>
            <c:ext xmlns:c16="http://schemas.microsoft.com/office/drawing/2014/chart" uri="{C3380CC4-5D6E-409C-BE32-E72D297353CC}">
              <c16:uniqueId val="{00000000-D6AE-4B8A-AA87-69E6F7753B03}"/>
            </c:ext>
          </c:extLst>
        </c:ser>
        <c:ser>
          <c:idx val="7"/>
          <c:order val="7"/>
          <c:tx>
            <c:strRef>
              <c:f>INGLES!$S$196</c:f>
              <c:strCache>
                <c:ptCount val="1"/>
                <c:pt idx="0">
                  <c:v>2023</c:v>
                </c:pt>
              </c:strCache>
            </c:strRef>
          </c:tx>
          <c:cat>
            <c:strRef>
              <c:f>INGLES!$K$197:$K$202</c:f>
              <c:strCache>
                <c:ptCount val="6"/>
                <c:pt idx="0">
                  <c:v>COMUNA 1</c:v>
                </c:pt>
                <c:pt idx="1">
                  <c:v>COMUNA 2</c:v>
                </c:pt>
                <c:pt idx="2">
                  <c:v>COMUNA 3</c:v>
                </c:pt>
                <c:pt idx="3">
                  <c:v>COMUNA 4</c:v>
                </c:pt>
                <c:pt idx="4">
                  <c:v>COMUNA 5</c:v>
                </c:pt>
                <c:pt idx="5">
                  <c:v>COMUNA 6</c:v>
                </c:pt>
              </c:strCache>
            </c:strRef>
          </c:cat>
          <c:val>
            <c:numRef>
              <c:f>INGLES!$S$197:$S$202</c:f>
              <c:numCache>
                <c:formatCode>0</c:formatCode>
                <c:ptCount val="6"/>
                <c:pt idx="0">
                  <c:v>49.8</c:v>
                </c:pt>
                <c:pt idx="1">
                  <c:v>51</c:v>
                </c:pt>
                <c:pt idx="2">
                  <c:v>51.333333333333336</c:v>
                </c:pt>
                <c:pt idx="3">
                  <c:v>47.666666666666664</c:v>
                </c:pt>
                <c:pt idx="4">
                  <c:v>52</c:v>
                </c:pt>
                <c:pt idx="5">
                  <c:v>50.666666666666664</c:v>
                </c:pt>
              </c:numCache>
            </c:numRef>
          </c:val>
          <c:extLst>
            <c:ext xmlns:c16="http://schemas.microsoft.com/office/drawing/2014/chart" uri="{C3380CC4-5D6E-409C-BE32-E72D297353CC}">
              <c16:uniqueId val="{00000000-541D-4D2D-80FF-82506B089929}"/>
            </c:ext>
          </c:extLst>
        </c:ser>
        <c:dLbls>
          <c:showLegendKey val="0"/>
          <c:showVal val="0"/>
          <c:showCatName val="0"/>
          <c:showSerName val="0"/>
          <c:showPercent val="0"/>
          <c:showBubbleSize val="0"/>
        </c:dLbls>
        <c:axId val="39393536"/>
        <c:axId val="39395328"/>
      </c:radarChart>
      <c:catAx>
        <c:axId val="39393536"/>
        <c:scaling>
          <c:orientation val="minMax"/>
        </c:scaling>
        <c:delete val="0"/>
        <c:axPos val="b"/>
        <c:majorGridlines/>
        <c:numFmt formatCode="General" sourceLinked="0"/>
        <c:majorTickMark val="none"/>
        <c:minorTickMark val="none"/>
        <c:tickLblPos val="nextTo"/>
        <c:spPr>
          <a:ln w="9525">
            <a:noFill/>
          </a:ln>
        </c:spPr>
        <c:txPr>
          <a:bodyPr/>
          <a:lstStyle/>
          <a:p>
            <a:pPr>
              <a:defRPr>
                <a:latin typeface="Arial" panose="020B0604020202020204" pitchFamily="34" charset="0"/>
                <a:cs typeface="Arial" panose="020B0604020202020204" pitchFamily="34" charset="0"/>
              </a:defRPr>
            </a:pPr>
            <a:endParaRPr lang="es-CO"/>
          </a:p>
        </c:txPr>
        <c:crossAx val="39395328"/>
        <c:crosses val="autoZero"/>
        <c:auto val="1"/>
        <c:lblAlgn val="ctr"/>
        <c:lblOffset val="100"/>
        <c:noMultiLvlLbl val="0"/>
      </c:catAx>
      <c:valAx>
        <c:axId val="39395328"/>
        <c:scaling>
          <c:orientation val="minMax"/>
          <c:max val="56"/>
          <c:min val="42"/>
        </c:scaling>
        <c:delete val="0"/>
        <c:axPos val="l"/>
        <c:majorGridlines/>
        <c:numFmt formatCode="0" sourceLinked="1"/>
        <c:majorTickMark val="none"/>
        <c:minorTickMark val="none"/>
        <c:tickLblPos val="nextTo"/>
        <c:txPr>
          <a:bodyPr/>
          <a:lstStyle/>
          <a:p>
            <a:pPr>
              <a:defRPr>
                <a:latin typeface="Arial" panose="020B0604020202020204" pitchFamily="34" charset="0"/>
                <a:cs typeface="Arial" panose="020B0604020202020204" pitchFamily="34" charset="0"/>
              </a:defRPr>
            </a:pPr>
            <a:endParaRPr lang="es-CO"/>
          </a:p>
        </c:txPr>
        <c:crossAx val="39393536"/>
        <c:crosses val="autoZero"/>
        <c:crossBetween val="between"/>
        <c:majorUnit val="2"/>
      </c:valAx>
    </c:plotArea>
    <c:legend>
      <c:legendPos val="r"/>
      <c:overlay val="0"/>
      <c:txPr>
        <a:bodyPr/>
        <a:lstStyle/>
        <a:p>
          <a:pPr>
            <a:defRPr>
              <a:latin typeface="Arial" panose="020B0604020202020204" pitchFamily="34" charset="0"/>
              <a:cs typeface="Arial" panose="020B0604020202020204" pitchFamily="34" charset="0"/>
            </a:defRPr>
          </a:pPr>
          <a:endParaRPr lang="es-CO"/>
        </a:p>
      </c:txPr>
    </c:legend>
    <c:plotVisOnly val="1"/>
    <c:dispBlanksAs val="gap"/>
    <c:showDLblsOverMax val="0"/>
  </c:chart>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a:defRPr/>
            </a:pPr>
            <a:r>
              <a:rPr lang="es-CO" sz="1200" b="1" i="0" baseline="0">
                <a:effectLst/>
                <a:latin typeface="Arial" panose="020B0604020202020204" pitchFamily="34" charset="0"/>
                <a:cs typeface="Arial" panose="020B0604020202020204" pitchFamily="34" charset="0"/>
              </a:rPr>
              <a:t>Resultados Inglés Instituciones No Oficiales por Comunas 2016 - 2023</a:t>
            </a:r>
            <a:endParaRPr lang="es-CO" sz="1200">
              <a:effectLst/>
              <a:latin typeface="Arial" panose="020B0604020202020204" pitchFamily="34" charset="0"/>
              <a:cs typeface="Arial" panose="020B0604020202020204" pitchFamily="34" charset="0"/>
            </a:endParaRPr>
          </a:p>
        </c:rich>
      </c:tx>
      <c:overlay val="0"/>
    </c:title>
    <c:autoTitleDeleted val="0"/>
    <c:plotArea>
      <c:layout/>
      <c:radarChart>
        <c:radarStyle val="marker"/>
        <c:varyColors val="0"/>
        <c:ser>
          <c:idx val="0"/>
          <c:order val="0"/>
          <c:tx>
            <c:strRef>
              <c:f>INGLES!$Y$196</c:f>
              <c:strCache>
                <c:ptCount val="1"/>
                <c:pt idx="0">
                  <c:v>2016</c:v>
                </c:pt>
              </c:strCache>
            </c:strRef>
          </c:tx>
          <c:spPr>
            <a:ln>
              <a:prstDash val="lgDashDot"/>
            </a:ln>
          </c:spPr>
          <c:cat>
            <c:strRef>
              <c:f>INGLES!$X$197:$X$202</c:f>
              <c:strCache>
                <c:ptCount val="6"/>
                <c:pt idx="0">
                  <c:v>COMUNA 1</c:v>
                </c:pt>
                <c:pt idx="1">
                  <c:v>COMUNA 2</c:v>
                </c:pt>
                <c:pt idx="2">
                  <c:v>COMUNA 3</c:v>
                </c:pt>
                <c:pt idx="3">
                  <c:v>COMUNA 4</c:v>
                </c:pt>
                <c:pt idx="4">
                  <c:v>COMUNA 5</c:v>
                </c:pt>
                <c:pt idx="5">
                  <c:v>COMUNA 6</c:v>
                </c:pt>
              </c:strCache>
            </c:strRef>
          </c:cat>
          <c:val>
            <c:numRef>
              <c:f>INGLES!$Y$197:$Y$202</c:f>
              <c:numCache>
                <c:formatCode>0</c:formatCode>
                <c:ptCount val="6"/>
                <c:pt idx="0">
                  <c:v>52.769230769230766</c:v>
                </c:pt>
                <c:pt idx="1">
                  <c:v>55</c:v>
                </c:pt>
                <c:pt idx="2">
                  <c:v>55.153846153846153</c:v>
                </c:pt>
                <c:pt idx="3">
                  <c:v>51.875</c:v>
                </c:pt>
                <c:pt idx="4">
                  <c:v>57.533333333333331</c:v>
                </c:pt>
                <c:pt idx="5">
                  <c:v>54.666666666666664</c:v>
                </c:pt>
              </c:numCache>
            </c:numRef>
          </c:val>
          <c:extLst>
            <c:ext xmlns:c16="http://schemas.microsoft.com/office/drawing/2014/chart" uri="{C3380CC4-5D6E-409C-BE32-E72D297353CC}">
              <c16:uniqueId val="{00000000-4F9C-47D5-A5FC-8B596A8504AF}"/>
            </c:ext>
          </c:extLst>
        </c:ser>
        <c:ser>
          <c:idx val="1"/>
          <c:order val="1"/>
          <c:tx>
            <c:strRef>
              <c:f>INGLES!$Z$196</c:f>
              <c:strCache>
                <c:ptCount val="1"/>
                <c:pt idx="0">
                  <c:v>2017</c:v>
                </c:pt>
              </c:strCache>
            </c:strRef>
          </c:tx>
          <c:cat>
            <c:strRef>
              <c:f>INGLES!$X$197:$X$202</c:f>
              <c:strCache>
                <c:ptCount val="6"/>
                <c:pt idx="0">
                  <c:v>COMUNA 1</c:v>
                </c:pt>
                <c:pt idx="1">
                  <c:v>COMUNA 2</c:v>
                </c:pt>
                <c:pt idx="2">
                  <c:v>COMUNA 3</c:v>
                </c:pt>
                <c:pt idx="3">
                  <c:v>COMUNA 4</c:v>
                </c:pt>
                <c:pt idx="4">
                  <c:v>COMUNA 5</c:v>
                </c:pt>
                <c:pt idx="5">
                  <c:v>COMUNA 6</c:v>
                </c:pt>
              </c:strCache>
            </c:strRef>
          </c:cat>
          <c:val>
            <c:numRef>
              <c:f>INGLES!$Z$197:$Z$202</c:f>
              <c:numCache>
                <c:formatCode>0</c:formatCode>
                <c:ptCount val="6"/>
                <c:pt idx="0">
                  <c:v>50.75</c:v>
                </c:pt>
                <c:pt idx="1">
                  <c:v>52.529411764705884</c:v>
                </c:pt>
                <c:pt idx="2">
                  <c:v>51.428571428571431</c:v>
                </c:pt>
                <c:pt idx="3">
                  <c:v>50.888888888888886</c:v>
                </c:pt>
                <c:pt idx="4">
                  <c:v>56.133333333333333</c:v>
                </c:pt>
                <c:pt idx="5">
                  <c:v>51.333333333333336</c:v>
                </c:pt>
              </c:numCache>
            </c:numRef>
          </c:val>
          <c:extLst>
            <c:ext xmlns:c16="http://schemas.microsoft.com/office/drawing/2014/chart" uri="{C3380CC4-5D6E-409C-BE32-E72D297353CC}">
              <c16:uniqueId val="{00000001-4F9C-47D5-A5FC-8B596A8504AF}"/>
            </c:ext>
          </c:extLst>
        </c:ser>
        <c:ser>
          <c:idx val="2"/>
          <c:order val="2"/>
          <c:tx>
            <c:strRef>
              <c:f>INGLES!$AA$196</c:f>
              <c:strCache>
                <c:ptCount val="1"/>
                <c:pt idx="0">
                  <c:v>2018</c:v>
                </c:pt>
              </c:strCache>
            </c:strRef>
          </c:tx>
          <c:spPr>
            <a:ln>
              <a:prstDash val="sysDash"/>
            </a:ln>
          </c:spPr>
          <c:cat>
            <c:strRef>
              <c:f>INGLES!$X$197:$X$202</c:f>
              <c:strCache>
                <c:ptCount val="6"/>
                <c:pt idx="0">
                  <c:v>COMUNA 1</c:v>
                </c:pt>
                <c:pt idx="1">
                  <c:v>COMUNA 2</c:v>
                </c:pt>
                <c:pt idx="2">
                  <c:v>COMUNA 3</c:v>
                </c:pt>
                <c:pt idx="3">
                  <c:v>COMUNA 4</c:v>
                </c:pt>
                <c:pt idx="4">
                  <c:v>COMUNA 5</c:v>
                </c:pt>
                <c:pt idx="5">
                  <c:v>COMUNA 6</c:v>
                </c:pt>
              </c:strCache>
            </c:strRef>
          </c:cat>
          <c:val>
            <c:numRef>
              <c:f>INGLES!$AA$197:$AA$202</c:f>
              <c:numCache>
                <c:formatCode>0</c:formatCode>
                <c:ptCount val="6"/>
                <c:pt idx="0">
                  <c:v>52.307692307692307</c:v>
                </c:pt>
                <c:pt idx="1">
                  <c:v>54.294117647058826</c:v>
                </c:pt>
                <c:pt idx="2">
                  <c:v>53.285714285714285</c:v>
                </c:pt>
                <c:pt idx="3">
                  <c:v>54.555555555555557</c:v>
                </c:pt>
                <c:pt idx="4">
                  <c:v>56.5625</c:v>
                </c:pt>
                <c:pt idx="5">
                  <c:v>52.81818181818182</c:v>
                </c:pt>
              </c:numCache>
            </c:numRef>
          </c:val>
          <c:extLst>
            <c:ext xmlns:c16="http://schemas.microsoft.com/office/drawing/2014/chart" uri="{C3380CC4-5D6E-409C-BE32-E72D297353CC}">
              <c16:uniqueId val="{00000002-4F9C-47D5-A5FC-8B596A8504AF}"/>
            </c:ext>
          </c:extLst>
        </c:ser>
        <c:ser>
          <c:idx val="3"/>
          <c:order val="3"/>
          <c:tx>
            <c:strRef>
              <c:f>INGLES!$AB$196</c:f>
              <c:strCache>
                <c:ptCount val="1"/>
                <c:pt idx="0">
                  <c:v>2019</c:v>
                </c:pt>
              </c:strCache>
            </c:strRef>
          </c:tx>
          <c:cat>
            <c:strRef>
              <c:f>INGLES!$X$197:$X$202</c:f>
              <c:strCache>
                <c:ptCount val="6"/>
                <c:pt idx="0">
                  <c:v>COMUNA 1</c:v>
                </c:pt>
                <c:pt idx="1">
                  <c:v>COMUNA 2</c:v>
                </c:pt>
                <c:pt idx="2">
                  <c:v>COMUNA 3</c:v>
                </c:pt>
                <c:pt idx="3">
                  <c:v>COMUNA 4</c:v>
                </c:pt>
                <c:pt idx="4">
                  <c:v>COMUNA 5</c:v>
                </c:pt>
                <c:pt idx="5">
                  <c:v>COMUNA 6</c:v>
                </c:pt>
              </c:strCache>
            </c:strRef>
          </c:cat>
          <c:val>
            <c:numRef>
              <c:f>INGLES!$AB$197:$AB$202</c:f>
              <c:numCache>
                <c:formatCode>0</c:formatCode>
                <c:ptCount val="6"/>
                <c:pt idx="0">
                  <c:v>50</c:v>
                </c:pt>
                <c:pt idx="1">
                  <c:v>53.722222222222221</c:v>
                </c:pt>
                <c:pt idx="2">
                  <c:v>52.357142857142854</c:v>
                </c:pt>
                <c:pt idx="3">
                  <c:v>50.25</c:v>
                </c:pt>
                <c:pt idx="4">
                  <c:v>55.705882352941174</c:v>
                </c:pt>
                <c:pt idx="5">
                  <c:v>52.166666666666664</c:v>
                </c:pt>
              </c:numCache>
            </c:numRef>
          </c:val>
          <c:extLst>
            <c:ext xmlns:c16="http://schemas.microsoft.com/office/drawing/2014/chart" uri="{C3380CC4-5D6E-409C-BE32-E72D297353CC}">
              <c16:uniqueId val="{00000003-4F9C-47D5-A5FC-8B596A8504AF}"/>
            </c:ext>
          </c:extLst>
        </c:ser>
        <c:ser>
          <c:idx val="4"/>
          <c:order val="4"/>
          <c:tx>
            <c:strRef>
              <c:f>INGLES!$AC$196</c:f>
              <c:strCache>
                <c:ptCount val="1"/>
                <c:pt idx="0">
                  <c:v>2020</c:v>
                </c:pt>
              </c:strCache>
            </c:strRef>
          </c:tx>
          <c:cat>
            <c:strRef>
              <c:f>INGLES!$X$197:$X$202</c:f>
              <c:strCache>
                <c:ptCount val="6"/>
                <c:pt idx="0">
                  <c:v>COMUNA 1</c:v>
                </c:pt>
                <c:pt idx="1">
                  <c:v>COMUNA 2</c:v>
                </c:pt>
                <c:pt idx="2">
                  <c:v>COMUNA 3</c:v>
                </c:pt>
                <c:pt idx="3">
                  <c:v>COMUNA 4</c:v>
                </c:pt>
                <c:pt idx="4">
                  <c:v>COMUNA 5</c:v>
                </c:pt>
                <c:pt idx="5">
                  <c:v>COMUNA 6</c:v>
                </c:pt>
              </c:strCache>
            </c:strRef>
          </c:cat>
          <c:val>
            <c:numRef>
              <c:f>INGLES!$AC$197:$AC$202</c:f>
              <c:numCache>
                <c:formatCode>0</c:formatCode>
                <c:ptCount val="6"/>
                <c:pt idx="0">
                  <c:v>48.53846153846154</c:v>
                </c:pt>
                <c:pt idx="1">
                  <c:v>48.727272727272727</c:v>
                </c:pt>
                <c:pt idx="2">
                  <c:v>49.733333333333334</c:v>
                </c:pt>
                <c:pt idx="3">
                  <c:v>47.428571428571431</c:v>
                </c:pt>
                <c:pt idx="4">
                  <c:v>51.75</c:v>
                </c:pt>
                <c:pt idx="5">
                  <c:v>47.714285714285715</c:v>
                </c:pt>
              </c:numCache>
            </c:numRef>
          </c:val>
          <c:extLst>
            <c:ext xmlns:c16="http://schemas.microsoft.com/office/drawing/2014/chart" uri="{C3380CC4-5D6E-409C-BE32-E72D297353CC}">
              <c16:uniqueId val="{00000001-0218-463A-BF7D-EF5FED84A3E9}"/>
            </c:ext>
          </c:extLst>
        </c:ser>
        <c:ser>
          <c:idx val="5"/>
          <c:order val="5"/>
          <c:tx>
            <c:strRef>
              <c:f>INGLES!$AD$196</c:f>
              <c:strCache>
                <c:ptCount val="1"/>
                <c:pt idx="0">
                  <c:v>2021</c:v>
                </c:pt>
              </c:strCache>
            </c:strRef>
          </c:tx>
          <c:cat>
            <c:strRef>
              <c:f>INGLES!$X$197:$X$202</c:f>
              <c:strCache>
                <c:ptCount val="6"/>
                <c:pt idx="0">
                  <c:v>COMUNA 1</c:v>
                </c:pt>
                <c:pt idx="1">
                  <c:v>COMUNA 2</c:v>
                </c:pt>
                <c:pt idx="2">
                  <c:v>COMUNA 3</c:v>
                </c:pt>
                <c:pt idx="3">
                  <c:v>COMUNA 4</c:v>
                </c:pt>
                <c:pt idx="4">
                  <c:v>COMUNA 5</c:v>
                </c:pt>
                <c:pt idx="5">
                  <c:v>COMUNA 6</c:v>
                </c:pt>
              </c:strCache>
            </c:strRef>
          </c:cat>
          <c:val>
            <c:numRef>
              <c:f>INGLES!$AD$197:$AD$202</c:f>
              <c:numCache>
                <c:formatCode>0</c:formatCode>
                <c:ptCount val="6"/>
                <c:pt idx="0">
                  <c:v>52.769230769230766</c:v>
                </c:pt>
                <c:pt idx="1">
                  <c:v>53.55</c:v>
                </c:pt>
                <c:pt idx="2">
                  <c:v>53.333333333333336</c:v>
                </c:pt>
                <c:pt idx="3">
                  <c:v>51</c:v>
                </c:pt>
                <c:pt idx="4">
                  <c:v>56.9375</c:v>
                </c:pt>
                <c:pt idx="5">
                  <c:v>53.714285714285715</c:v>
                </c:pt>
              </c:numCache>
            </c:numRef>
          </c:val>
          <c:extLst>
            <c:ext xmlns:c16="http://schemas.microsoft.com/office/drawing/2014/chart" uri="{C3380CC4-5D6E-409C-BE32-E72D297353CC}">
              <c16:uniqueId val="{00000000-E7C0-4CD4-BE78-3E3B264E817F}"/>
            </c:ext>
          </c:extLst>
        </c:ser>
        <c:ser>
          <c:idx val="6"/>
          <c:order val="6"/>
          <c:tx>
            <c:strRef>
              <c:f>INGLES!$AE$196</c:f>
              <c:strCache>
                <c:ptCount val="1"/>
                <c:pt idx="0">
                  <c:v>2022</c:v>
                </c:pt>
              </c:strCache>
            </c:strRef>
          </c:tx>
          <c:cat>
            <c:strRef>
              <c:f>INGLES!$X$197:$X$202</c:f>
              <c:strCache>
                <c:ptCount val="6"/>
                <c:pt idx="0">
                  <c:v>COMUNA 1</c:v>
                </c:pt>
                <c:pt idx="1">
                  <c:v>COMUNA 2</c:v>
                </c:pt>
                <c:pt idx="2">
                  <c:v>COMUNA 3</c:v>
                </c:pt>
                <c:pt idx="3">
                  <c:v>COMUNA 4</c:v>
                </c:pt>
                <c:pt idx="4">
                  <c:v>COMUNA 5</c:v>
                </c:pt>
                <c:pt idx="5">
                  <c:v>COMUNA 6</c:v>
                </c:pt>
              </c:strCache>
            </c:strRef>
          </c:cat>
          <c:val>
            <c:numRef>
              <c:f>INGLES!$AE$197:$AE$202</c:f>
              <c:numCache>
                <c:formatCode>0</c:formatCode>
                <c:ptCount val="6"/>
                <c:pt idx="0">
                  <c:v>52.92307692307692</c:v>
                </c:pt>
                <c:pt idx="1">
                  <c:v>55.80952380952381</c:v>
                </c:pt>
                <c:pt idx="2">
                  <c:v>55.375</c:v>
                </c:pt>
                <c:pt idx="3">
                  <c:v>50.875</c:v>
                </c:pt>
                <c:pt idx="4">
                  <c:v>57.8</c:v>
                </c:pt>
                <c:pt idx="5">
                  <c:v>54.1875</c:v>
                </c:pt>
              </c:numCache>
            </c:numRef>
          </c:val>
          <c:extLst>
            <c:ext xmlns:c16="http://schemas.microsoft.com/office/drawing/2014/chart" uri="{C3380CC4-5D6E-409C-BE32-E72D297353CC}">
              <c16:uniqueId val="{00000000-C332-41EA-BBF0-50D9F6BAF867}"/>
            </c:ext>
          </c:extLst>
        </c:ser>
        <c:ser>
          <c:idx val="7"/>
          <c:order val="7"/>
          <c:tx>
            <c:strRef>
              <c:f>INGLES!$AF$196</c:f>
              <c:strCache>
                <c:ptCount val="1"/>
                <c:pt idx="0">
                  <c:v>2023</c:v>
                </c:pt>
              </c:strCache>
            </c:strRef>
          </c:tx>
          <c:cat>
            <c:strRef>
              <c:f>INGLES!$X$197:$X$202</c:f>
              <c:strCache>
                <c:ptCount val="6"/>
                <c:pt idx="0">
                  <c:v>COMUNA 1</c:v>
                </c:pt>
                <c:pt idx="1">
                  <c:v>COMUNA 2</c:v>
                </c:pt>
                <c:pt idx="2">
                  <c:v>COMUNA 3</c:v>
                </c:pt>
                <c:pt idx="3">
                  <c:v>COMUNA 4</c:v>
                </c:pt>
                <c:pt idx="4">
                  <c:v>COMUNA 5</c:v>
                </c:pt>
                <c:pt idx="5">
                  <c:v>COMUNA 6</c:v>
                </c:pt>
              </c:strCache>
            </c:strRef>
          </c:cat>
          <c:val>
            <c:numRef>
              <c:f>INGLES!$AF$197:$AF$202</c:f>
              <c:numCache>
                <c:formatCode>0</c:formatCode>
                <c:ptCount val="6"/>
                <c:pt idx="0">
                  <c:v>54.416666666666664</c:v>
                </c:pt>
                <c:pt idx="1">
                  <c:v>55.045454545454547</c:v>
                </c:pt>
                <c:pt idx="2">
                  <c:v>55.5625</c:v>
                </c:pt>
                <c:pt idx="3">
                  <c:v>50.333333333333336</c:v>
                </c:pt>
                <c:pt idx="4">
                  <c:v>58.2</c:v>
                </c:pt>
                <c:pt idx="5">
                  <c:v>54.352941176470587</c:v>
                </c:pt>
              </c:numCache>
            </c:numRef>
          </c:val>
          <c:extLst>
            <c:ext xmlns:c16="http://schemas.microsoft.com/office/drawing/2014/chart" uri="{C3380CC4-5D6E-409C-BE32-E72D297353CC}">
              <c16:uniqueId val="{00000000-5C6A-4C73-97DA-3FB97BD91DC8}"/>
            </c:ext>
          </c:extLst>
        </c:ser>
        <c:dLbls>
          <c:showLegendKey val="0"/>
          <c:showVal val="0"/>
          <c:showCatName val="0"/>
          <c:showSerName val="0"/>
          <c:showPercent val="0"/>
          <c:showBubbleSize val="0"/>
        </c:dLbls>
        <c:axId val="39422208"/>
        <c:axId val="39428096"/>
      </c:radarChart>
      <c:catAx>
        <c:axId val="39422208"/>
        <c:scaling>
          <c:orientation val="minMax"/>
        </c:scaling>
        <c:delete val="0"/>
        <c:axPos val="b"/>
        <c:majorGridlines/>
        <c:numFmt formatCode="General" sourceLinked="0"/>
        <c:majorTickMark val="none"/>
        <c:minorTickMark val="none"/>
        <c:tickLblPos val="nextTo"/>
        <c:spPr>
          <a:ln w="9525">
            <a:noFill/>
          </a:ln>
        </c:spPr>
        <c:txPr>
          <a:bodyPr/>
          <a:lstStyle/>
          <a:p>
            <a:pPr>
              <a:defRPr>
                <a:latin typeface="Arial" panose="020B0604020202020204" pitchFamily="34" charset="0"/>
                <a:cs typeface="Arial" panose="020B0604020202020204" pitchFamily="34" charset="0"/>
              </a:defRPr>
            </a:pPr>
            <a:endParaRPr lang="es-CO"/>
          </a:p>
        </c:txPr>
        <c:crossAx val="39428096"/>
        <c:crosses val="autoZero"/>
        <c:auto val="1"/>
        <c:lblAlgn val="ctr"/>
        <c:lblOffset val="100"/>
        <c:noMultiLvlLbl val="0"/>
      </c:catAx>
      <c:valAx>
        <c:axId val="39428096"/>
        <c:scaling>
          <c:orientation val="minMax"/>
          <c:max val="58"/>
          <c:min val="46"/>
        </c:scaling>
        <c:delete val="0"/>
        <c:axPos val="l"/>
        <c:majorGridlines/>
        <c:numFmt formatCode="0" sourceLinked="1"/>
        <c:majorTickMark val="none"/>
        <c:minorTickMark val="none"/>
        <c:tickLblPos val="nextTo"/>
        <c:txPr>
          <a:bodyPr/>
          <a:lstStyle/>
          <a:p>
            <a:pPr>
              <a:defRPr>
                <a:latin typeface="Arial" panose="020B0604020202020204" pitchFamily="34" charset="0"/>
                <a:cs typeface="Arial" panose="020B0604020202020204" pitchFamily="34" charset="0"/>
              </a:defRPr>
            </a:pPr>
            <a:endParaRPr lang="es-CO"/>
          </a:p>
        </c:txPr>
        <c:crossAx val="39422208"/>
        <c:crosses val="autoZero"/>
        <c:crossBetween val="between"/>
      </c:valAx>
    </c:plotArea>
    <c:legend>
      <c:legendPos val="r"/>
      <c:overlay val="0"/>
      <c:txPr>
        <a:bodyPr/>
        <a:lstStyle/>
        <a:p>
          <a:pPr>
            <a:defRPr>
              <a:latin typeface="Arial" panose="020B0604020202020204" pitchFamily="34" charset="0"/>
              <a:cs typeface="Arial" panose="020B0604020202020204" pitchFamily="34" charset="0"/>
            </a:defRPr>
          </a:pPr>
          <a:endParaRPr lang="es-CO"/>
        </a:p>
      </c:txPr>
    </c:legend>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cap="all" spc="0" baseline="0">
                <a:gradFill>
                  <a:gsLst>
                    <a:gs pos="0">
                      <a:schemeClr val="dk1">
                        <a:lumMod val="50000"/>
                        <a:lumOff val="50000"/>
                      </a:schemeClr>
                    </a:gs>
                    <a:gs pos="100000">
                      <a:schemeClr val="dk1">
                        <a:lumMod val="85000"/>
                        <a:lumOff val="15000"/>
                      </a:schemeClr>
                    </a:gs>
                  </a:gsLst>
                  <a:lin ang="5400000" scaled="0"/>
                </a:gradFill>
                <a:latin typeface="+mn-lt"/>
                <a:ea typeface="+mn-ea"/>
                <a:cs typeface="+mn-cs"/>
              </a:defRPr>
            </a:pPr>
            <a:r>
              <a:rPr lang="es-CO" sz="1200"/>
              <a:t>PROMEDIO PUNTAJE GLOBAL 2016-2023</a:t>
            </a:r>
          </a:p>
        </c:rich>
      </c:tx>
      <c:overlay val="0"/>
      <c:spPr>
        <a:noFill/>
        <a:ln>
          <a:noFill/>
        </a:ln>
        <a:effectLst/>
      </c:spPr>
      <c:txPr>
        <a:bodyPr rot="0" spcFirstLastPara="1" vertOverflow="ellipsis" vert="horz" wrap="square" anchor="ctr" anchorCtr="1"/>
        <a:lstStyle/>
        <a:p>
          <a:pPr>
            <a:defRPr sz="1200" b="0" i="0" u="none" strike="noStrike" kern="1200" cap="all" spc="0" baseline="0">
              <a:gradFill>
                <a:gsLst>
                  <a:gs pos="0">
                    <a:schemeClr val="dk1">
                      <a:lumMod val="50000"/>
                      <a:lumOff val="50000"/>
                    </a:schemeClr>
                  </a:gs>
                  <a:gs pos="100000">
                    <a:schemeClr val="dk1">
                      <a:lumMod val="85000"/>
                      <a:lumOff val="15000"/>
                    </a:schemeClr>
                  </a:gs>
                </a:gsLst>
                <a:lin ang="5400000" scaled="0"/>
              </a:gradFill>
              <a:latin typeface="+mn-lt"/>
              <a:ea typeface="+mn-ea"/>
              <a:cs typeface="+mn-cs"/>
            </a:defRPr>
          </a:pPr>
          <a:endParaRPr lang="es-CO"/>
        </a:p>
      </c:txPr>
    </c:title>
    <c:autoTitleDeleted val="0"/>
    <c:plotArea>
      <c:layout/>
      <c:lineChart>
        <c:grouping val="standard"/>
        <c:varyColors val="0"/>
        <c:ser>
          <c:idx val="0"/>
          <c:order val="0"/>
          <c:tx>
            <c:strRef>
              <c:f>PGLOBAL!$C$316</c:f>
              <c:strCache>
                <c:ptCount val="1"/>
                <c:pt idx="0">
                  <c:v>COLOMBIA</c:v>
                </c:pt>
              </c:strCache>
            </c:strRef>
          </c:tx>
          <c:spPr>
            <a:ln w="19050" cap="rnd" cmpd="sng" algn="ctr">
              <a:solidFill>
                <a:schemeClr val="accent1">
                  <a:shade val="95000"/>
                  <a:satMod val="105000"/>
                </a:schemeClr>
              </a:solidFill>
              <a:round/>
            </a:ln>
            <a:effectLst/>
          </c:spPr>
          <c:marker>
            <c:symbol val="circle"/>
            <c:size val="17"/>
            <c:spPr>
              <a:solidFill>
                <a:schemeClr val="lt1"/>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1"/>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35000"/>
                          <a:lumOff val="65000"/>
                        </a:schemeClr>
                      </a:solidFill>
                    </a:ln>
                    <a:effectLst/>
                  </c:spPr>
                </c15:leaderLines>
              </c:ext>
            </c:extLst>
          </c:dLbls>
          <c:cat>
            <c:strRef>
              <c:f>PGLOBAL!$H$314:$O$315</c:f>
              <c:strCache>
                <c:ptCount val="8"/>
                <c:pt idx="0">
                  <c:v>2016</c:v>
                </c:pt>
                <c:pt idx="1">
                  <c:v>2017</c:v>
                </c:pt>
                <c:pt idx="2">
                  <c:v>2018</c:v>
                </c:pt>
                <c:pt idx="3">
                  <c:v>2019</c:v>
                </c:pt>
                <c:pt idx="4">
                  <c:v>2020</c:v>
                </c:pt>
                <c:pt idx="5">
                  <c:v>2021</c:v>
                </c:pt>
                <c:pt idx="6">
                  <c:v>2022</c:v>
                </c:pt>
                <c:pt idx="7">
                  <c:v>2023</c:v>
                </c:pt>
              </c:strCache>
            </c:strRef>
          </c:cat>
          <c:val>
            <c:numRef>
              <c:f>PGLOBAL!$H$316:$O$316</c:f>
              <c:numCache>
                <c:formatCode>General</c:formatCode>
                <c:ptCount val="8"/>
                <c:pt idx="0">
                  <c:v>264</c:v>
                </c:pt>
                <c:pt idx="1">
                  <c:v>262</c:v>
                </c:pt>
                <c:pt idx="2">
                  <c:v>258</c:v>
                </c:pt>
                <c:pt idx="3">
                  <c:v>253</c:v>
                </c:pt>
                <c:pt idx="4">
                  <c:v>252</c:v>
                </c:pt>
                <c:pt idx="5">
                  <c:v>250</c:v>
                </c:pt>
                <c:pt idx="6">
                  <c:v>254</c:v>
                </c:pt>
                <c:pt idx="7">
                  <c:v>257</c:v>
                </c:pt>
              </c:numCache>
            </c:numRef>
          </c:val>
          <c:smooth val="0"/>
          <c:extLst>
            <c:ext xmlns:c16="http://schemas.microsoft.com/office/drawing/2014/chart" uri="{C3380CC4-5D6E-409C-BE32-E72D297353CC}">
              <c16:uniqueId val="{00000000-F7F8-4B5A-B3E0-61B53F0BFD04}"/>
            </c:ext>
          </c:extLst>
        </c:ser>
        <c:ser>
          <c:idx val="1"/>
          <c:order val="1"/>
          <c:tx>
            <c:strRef>
              <c:f>PGLOBAL!$C$317</c:f>
              <c:strCache>
                <c:ptCount val="1"/>
                <c:pt idx="0">
                  <c:v>SOACHA</c:v>
                </c:pt>
              </c:strCache>
            </c:strRef>
          </c:tx>
          <c:spPr>
            <a:ln w="19050" cap="rnd" cmpd="sng" algn="ctr">
              <a:solidFill>
                <a:schemeClr val="accent6"/>
              </a:solidFill>
              <a:round/>
            </a:ln>
            <a:effectLst/>
          </c:spPr>
          <c:marker>
            <c:symbol val="circle"/>
            <c:size val="17"/>
            <c:spPr>
              <a:solidFill>
                <a:schemeClr val="lt1"/>
              </a:solidFill>
              <a:ln>
                <a:noFill/>
              </a:ln>
              <a:effectLst/>
            </c:spPr>
          </c:marker>
          <c:dLbls>
            <c:dLbl>
              <c:idx val="6"/>
              <c:layout>
                <c:manualLayout>
                  <c:x val="-3.4554309891635833E-2"/>
                  <c:y val="3.4305085661419611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F7F8-4B5A-B3E0-61B53F0BFD04}"/>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6"/>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35000"/>
                          <a:lumOff val="65000"/>
                        </a:schemeClr>
                      </a:solidFill>
                    </a:ln>
                    <a:effectLst/>
                  </c:spPr>
                </c15:leaderLines>
              </c:ext>
            </c:extLst>
          </c:dLbls>
          <c:cat>
            <c:strRef>
              <c:f>PGLOBAL!$H$314:$O$315</c:f>
              <c:strCache>
                <c:ptCount val="8"/>
                <c:pt idx="0">
                  <c:v>2016</c:v>
                </c:pt>
                <c:pt idx="1">
                  <c:v>2017</c:v>
                </c:pt>
                <c:pt idx="2">
                  <c:v>2018</c:v>
                </c:pt>
                <c:pt idx="3">
                  <c:v>2019</c:v>
                </c:pt>
                <c:pt idx="4">
                  <c:v>2020</c:v>
                </c:pt>
                <c:pt idx="5">
                  <c:v>2021</c:v>
                </c:pt>
                <c:pt idx="6">
                  <c:v>2022</c:v>
                </c:pt>
                <c:pt idx="7">
                  <c:v>2023</c:v>
                </c:pt>
              </c:strCache>
            </c:strRef>
          </c:cat>
          <c:val>
            <c:numRef>
              <c:f>PGLOBAL!$H$317:$O$317</c:f>
              <c:numCache>
                <c:formatCode>General</c:formatCode>
                <c:ptCount val="8"/>
                <c:pt idx="0">
                  <c:v>266</c:v>
                </c:pt>
                <c:pt idx="1">
                  <c:v>263</c:v>
                </c:pt>
                <c:pt idx="2">
                  <c:v>260</c:v>
                </c:pt>
                <c:pt idx="3">
                  <c:v>257</c:v>
                </c:pt>
                <c:pt idx="4">
                  <c:v>258</c:v>
                </c:pt>
                <c:pt idx="5">
                  <c:v>257</c:v>
                </c:pt>
                <c:pt idx="6">
                  <c:v>262</c:v>
                </c:pt>
                <c:pt idx="7">
                  <c:v>262</c:v>
                </c:pt>
              </c:numCache>
            </c:numRef>
          </c:val>
          <c:smooth val="0"/>
          <c:extLst>
            <c:ext xmlns:c16="http://schemas.microsoft.com/office/drawing/2014/chart" uri="{C3380CC4-5D6E-409C-BE32-E72D297353CC}">
              <c16:uniqueId val="{00000001-F7F8-4B5A-B3E0-61B53F0BFD04}"/>
            </c:ext>
          </c:extLst>
        </c:ser>
        <c:ser>
          <c:idx val="2"/>
          <c:order val="2"/>
          <c:tx>
            <c:strRef>
              <c:f>PGLOBAL!$C$318</c:f>
              <c:strCache>
                <c:ptCount val="1"/>
                <c:pt idx="0">
                  <c:v>OFICIALES URBANOS DE SOACHA</c:v>
                </c:pt>
              </c:strCache>
            </c:strRef>
          </c:tx>
          <c:spPr>
            <a:ln w="19050" cap="rnd" cmpd="sng" algn="ctr">
              <a:solidFill>
                <a:srgbClr val="FFC000"/>
              </a:solidFill>
              <a:round/>
            </a:ln>
            <a:effectLst/>
          </c:spPr>
          <c:marker>
            <c:symbol val="circle"/>
            <c:size val="17"/>
            <c:spPr>
              <a:solidFill>
                <a:schemeClr val="lt1"/>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FFC000"/>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35000"/>
                          <a:lumOff val="65000"/>
                        </a:schemeClr>
                      </a:solidFill>
                    </a:ln>
                    <a:effectLst/>
                  </c:spPr>
                </c15:leaderLines>
              </c:ext>
            </c:extLst>
          </c:dLbls>
          <c:cat>
            <c:strRef>
              <c:f>PGLOBAL!$H$314:$O$315</c:f>
              <c:strCache>
                <c:ptCount val="8"/>
                <c:pt idx="0">
                  <c:v>2016</c:v>
                </c:pt>
                <c:pt idx="1">
                  <c:v>2017</c:v>
                </c:pt>
                <c:pt idx="2">
                  <c:v>2018</c:v>
                </c:pt>
                <c:pt idx="3">
                  <c:v>2019</c:v>
                </c:pt>
                <c:pt idx="4">
                  <c:v>2020</c:v>
                </c:pt>
                <c:pt idx="5">
                  <c:v>2021</c:v>
                </c:pt>
                <c:pt idx="6">
                  <c:v>2022</c:v>
                </c:pt>
                <c:pt idx="7">
                  <c:v>2023</c:v>
                </c:pt>
              </c:strCache>
            </c:strRef>
          </c:cat>
          <c:val>
            <c:numRef>
              <c:f>PGLOBAL!$H$318:$O$318</c:f>
              <c:numCache>
                <c:formatCode>General</c:formatCode>
                <c:ptCount val="8"/>
                <c:pt idx="0">
                  <c:v>260</c:v>
                </c:pt>
                <c:pt idx="1">
                  <c:v>257</c:v>
                </c:pt>
                <c:pt idx="2">
                  <c:v>252</c:v>
                </c:pt>
                <c:pt idx="3">
                  <c:v>249</c:v>
                </c:pt>
                <c:pt idx="4">
                  <c:v>251</c:v>
                </c:pt>
                <c:pt idx="5">
                  <c:v>248</c:v>
                </c:pt>
                <c:pt idx="6">
                  <c:v>252</c:v>
                </c:pt>
                <c:pt idx="7">
                  <c:v>253</c:v>
                </c:pt>
              </c:numCache>
            </c:numRef>
          </c:val>
          <c:smooth val="0"/>
          <c:extLst>
            <c:ext xmlns:c16="http://schemas.microsoft.com/office/drawing/2014/chart" uri="{C3380CC4-5D6E-409C-BE32-E72D297353CC}">
              <c16:uniqueId val="{00000002-F7F8-4B5A-B3E0-61B53F0BFD04}"/>
            </c:ext>
          </c:extLst>
        </c:ser>
        <c:ser>
          <c:idx val="3"/>
          <c:order val="3"/>
          <c:tx>
            <c:strRef>
              <c:f>PGLOBAL!$C$319</c:f>
              <c:strCache>
                <c:ptCount val="1"/>
                <c:pt idx="0">
                  <c:v>OFICIALES RURALES DE SOACHA</c:v>
                </c:pt>
              </c:strCache>
            </c:strRef>
          </c:tx>
          <c:spPr>
            <a:ln w="19050" cap="rnd" cmpd="sng" algn="ctr">
              <a:solidFill>
                <a:srgbClr val="92D050"/>
              </a:solidFill>
              <a:round/>
            </a:ln>
            <a:effectLst/>
          </c:spPr>
          <c:marker>
            <c:symbol val="circle"/>
            <c:size val="17"/>
            <c:spPr>
              <a:solidFill>
                <a:schemeClr val="lt1"/>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92D050"/>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35000"/>
                          <a:lumOff val="65000"/>
                        </a:schemeClr>
                      </a:solidFill>
                    </a:ln>
                    <a:effectLst/>
                  </c:spPr>
                </c15:leaderLines>
              </c:ext>
            </c:extLst>
          </c:dLbls>
          <c:cat>
            <c:strRef>
              <c:f>PGLOBAL!$H$314:$O$315</c:f>
              <c:strCache>
                <c:ptCount val="8"/>
                <c:pt idx="0">
                  <c:v>2016</c:v>
                </c:pt>
                <c:pt idx="1">
                  <c:v>2017</c:v>
                </c:pt>
                <c:pt idx="2">
                  <c:v>2018</c:v>
                </c:pt>
                <c:pt idx="3">
                  <c:v>2019</c:v>
                </c:pt>
                <c:pt idx="4">
                  <c:v>2020</c:v>
                </c:pt>
                <c:pt idx="5">
                  <c:v>2021</c:v>
                </c:pt>
                <c:pt idx="6">
                  <c:v>2022</c:v>
                </c:pt>
                <c:pt idx="7">
                  <c:v>2023</c:v>
                </c:pt>
              </c:strCache>
            </c:strRef>
          </c:cat>
          <c:val>
            <c:numRef>
              <c:f>PGLOBAL!$H$319:$O$319</c:f>
              <c:numCache>
                <c:formatCode>General</c:formatCode>
                <c:ptCount val="8"/>
                <c:pt idx="0">
                  <c:v>260</c:v>
                </c:pt>
                <c:pt idx="1">
                  <c:v>249</c:v>
                </c:pt>
                <c:pt idx="2">
                  <c:v>248</c:v>
                </c:pt>
                <c:pt idx="3">
                  <c:v>249</c:v>
                </c:pt>
                <c:pt idx="4">
                  <c:v>248</c:v>
                </c:pt>
                <c:pt idx="5">
                  <c:v>244</c:v>
                </c:pt>
                <c:pt idx="6">
                  <c:v>249</c:v>
                </c:pt>
                <c:pt idx="7">
                  <c:v>240</c:v>
                </c:pt>
              </c:numCache>
            </c:numRef>
          </c:val>
          <c:smooth val="0"/>
          <c:extLst>
            <c:ext xmlns:c16="http://schemas.microsoft.com/office/drawing/2014/chart" uri="{C3380CC4-5D6E-409C-BE32-E72D297353CC}">
              <c16:uniqueId val="{00000003-F7F8-4B5A-B3E0-61B53F0BFD04}"/>
            </c:ext>
          </c:extLst>
        </c:ser>
        <c:ser>
          <c:idx val="4"/>
          <c:order val="4"/>
          <c:tx>
            <c:strRef>
              <c:f>PGLOBAL!$C$320</c:f>
              <c:strCache>
                <c:ptCount val="1"/>
                <c:pt idx="0">
                  <c:v>PRIVADOS DE SOACHA</c:v>
                </c:pt>
              </c:strCache>
            </c:strRef>
          </c:tx>
          <c:spPr>
            <a:ln w="19050" cap="rnd" cmpd="sng" algn="ctr">
              <a:solidFill>
                <a:schemeClr val="accent5">
                  <a:shade val="95000"/>
                  <a:satMod val="105000"/>
                </a:schemeClr>
              </a:solidFill>
              <a:round/>
            </a:ln>
            <a:effectLst/>
          </c:spPr>
          <c:marker>
            <c:symbol val="circle"/>
            <c:size val="17"/>
            <c:spPr>
              <a:solidFill>
                <a:schemeClr val="lt1"/>
              </a:solidFill>
              <a:ln>
                <a:noFill/>
              </a:ln>
              <a:effectLst/>
            </c:spPr>
          </c:marker>
          <c:dLbls>
            <c:dLbl>
              <c:idx val="3"/>
              <c:layout>
                <c:manualLayout>
                  <c:x val="-3.6253145186209798E-2"/>
                  <c:y val="1.029152569842588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7F8-4B5A-B3E0-61B53F0BFD04}"/>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5"/>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35000"/>
                          <a:lumOff val="65000"/>
                        </a:schemeClr>
                      </a:solidFill>
                    </a:ln>
                    <a:effectLst/>
                  </c:spPr>
                </c15:leaderLines>
              </c:ext>
            </c:extLst>
          </c:dLbls>
          <c:cat>
            <c:strRef>
              <c:f>PGLOBAL!$H$314:$O$315</c:f>
              <c:strCache>
                <c:ptCount val="8"/>
                <c:pt idx="0">
                  <c:v>2016</c:v>
                </c:pt>
                <c:pt idx="1">
                  <c:v>2017</c:v>
                </c:pt>
                <c:pt idx="2">
                  <c:v>2018</c:v>
                </c:pt>
                <c:pt idx="3">
                  <c:v>2019</c:v>
                </c:pt>
                <c:pt idx="4">
                  <c:v>2020</c:v>
                </c:pt>
                <c:pt idx="5">
                  <c:v>2021</c:v>
                </c:pt>
                <c:pt idx="6">
                  <c:v>2022</c:v>
                </c:pt>
                <c:pt idx="7">
                  <c:v>2023</c:v>
                </c:pt>
              </c:strCache>
            </c:strRef>
          </c:cat>
          <c:val>
            <c:numRef>
              <c:f>PGLOBAL!$H$320:$O$320</c:f>
              <c:numCache>
                <c:formatCode>General</c:formatCode>
                <c:ptCount val="8"/>
                <c:pt idx="0">
                  <c:v>272</c:v>
                </c:pt>
                <c:pt idx="1">
                  <c:v>270</c:v>
                </c:pt>
                <c:pt idx="2">
                  <c:v>269</c:v>
                </c:pt>
                <c:pt idx="3">
                  <c:v>266</c:v>
                </c:pt>
                <c:pt idx="4">
                  <c:v>265</c:v>
                </c:pt>
                <c:pt idx="5">
                  <c:v>266</c:v>
                </c:pt>
                <c:pt idx="6">
                  <c:v>272</c:v>
                </c:pt>
                <c:pt idx="7">
                  <c:v>273</c:v>
                </c:pt>
              </c:numCache>
            </c:numRef>
          </c:val>
          <c:smooth val="0"/>
          <c:extLst>
            <c:ext xmlns:c16="http://schemas.microsoft.com/office/drawing/2014/chart" uri="{C3380CC4-5D6E-409C-BE32-E72D297353CC}">
              <c16:uniqueId val="{00000004-F7F8-4B5A-B3E0-61B53F0BFD04}"/>
            </c:ext>
          </c:extLst>
        </c:ser>
        <c:dLbls>
          <c:dLblPos val="ctr"/>
          <c:showLegendKey val="0"/>
          <c:showVal val="1"/>
          <c:showCatName val="0"/>
          <c:showSerName val="0"/>
          <c:showPercent val="0"/>
          <c:showBubbleSize val="0"/>
        </c:dLbls>
        <c:marker val="1"/>
        <c:smooth val="0"/>
        <c:axId val="1095091279"/>
        <c:axId val="1419091247"/>
        <c:extLst>
          <c:ext xmlns:c15="http://schemas.microsoft.com/office/drawing/2012/chart" uri="{02D57815-91ED-43cb-92C2-25804820EDAC}">
            <c15:filteredLineSeries>
              <c15:ser>
                <c:idx val="5"/>
                <c:order val="5"/>
                <c:tx>
                  <c:strRef>
                    <c:extLst>
                      <c:ext uri="{02D57815-91ED-43cb-92C2-25804820EDAC}">
                        <c15:formulaRef>
                          <c15:sqref>PGLOBAL!$C$321</c15:sqref>
                        </c15:formulaRef>
                      </c:ext>
                    </c:extLst>
                    <c:strCache>
                      <c:ptCount val="1"/>
                      <c:pt idx="0">
                        <c:v>GC 2 DE SOACHA</c:v>
                      </c:pt>
                    </c:strCache>
                  </c:strRef>
                </c:tx>
                <c:spPr>
                  <a:ln w="19050" cap="rnd" cmpd="sng" algn="ctr">
                    <a:solidFill>
                      <a:schemeClr val="accent6">
                        <a:shade val="95000"/>
                        <a:satMod val="105000"/>
                      </a:schemeClr>
                    </a:solidFill>
                    <a:round/>
                  </a:ln>
                  <a:effectLst/>
                </c:spPr>
                <c:marker>
                  <c:symbol val="circle"/>
                  <c:size val="17"/>
                  <c:spPr>
                    <a:solidFill>
                      <a:schemeClr val="lt1"/>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6"/>
                          </a:solidFill>
                          <a:latin typeface="+mn-lt"/>
                          <a:ea typeface="+mn-ea"/>
                          <a:cs typeface="+mn-cs"/>
                        </a:defRPr>
                      </a:pPr>
                      <a:endParaRPr lang="es-CO"/>
                    </a:p>
                  </c:txPr>
                  <c:dLblPos val="ctr"/>
                  <c:showLegendKey val="0"/>
                  <c:showVal val="1"/>
                  <c:showCatName val="0"/>
                  <c:showSerName val="0"/>
                  <c:showPercent val="0"/>
                  <c:showBubbleSize val="0"/>
                  <c:showLeaderLines val="0"/>
                  <c:extLst>
                    <c:ext uri="{CE6537A1-D6FC-4f65-9D91-7224C49458BB}">
                      <c15:showLeaderLines val="1"/>
                      <c15:leaderLines>
                        <c:spPr>
                          <a:ln w="9525">
                            <a:solidFill>
                              <a:schemeClr val="dk1">
                                <a:lumMod val="35000"/>
                                <a:lumOff val="65000"/>
                              </a:schemeClr>
                            </a:solidFill>
                          </a:ln>
                          <a:effectLst/>
                        </c:spPr>
                      </c15:leaderLines>
                    </c:ext>
                  </c:extLst>
                </c:dLbls>
                <c:cat>
                  <c:strRef>
                    <c:extLst>
                      <c:ext uri="{02D57815-91ED-43cb-92C2-25804820EDAC}">
                        <c15:formulaRef>
                          <c15:sqref>PGLOBAL!$H$314:$O$315</c15:sqref>
                        </c15:formulaRef>
                      </c:ext>
                    </c:extLst>
                    <c:strCache>
                      <c:ptCount val="8"/>
                      <c:pt idx="0">
                        <c:v>2016</c:v>
                      </c:pt>
                      <c:pt idx="1">
                        <c:v>2017</c:v>
                      </c:pt>
                      <c:pt idx="2">
                        <c:v>2018</c:v>
                      </c:pt>
                      <c:pt idx="3">
                        <c:v>2019</c:v>
                      </c:pt>
                      <c:pt idx="4">
                        <c:v>2020</c:v>
                      </c:pt>
                      <c:pt idx="5">
                        <c:v>2021</c:v>
                      </c:pt>
                      <c:pt idx="6">
                        <c:v>2022</c:v>
                      </c:pt>
                      <c:pt idx="7">
                        <c:v>2023</c:v>
                      </c:pt>
                    </c:strCache>
                  </c:strRef>
                </c:cat>
                <c:val>
                  <c:numRef>
                    <c:extLst>
                      <c:ext uri="{02D57815-91ED-43cb-92C2-25804820EDAC}">
                        <c15:formulaRef>
                          <c15:sqref>PGLOBAL!$H$321:$O$321</c15:sqref>
                        </c15:formulaRef>
                      </c:ext>
                    </c:extLst>
                    <c:numCache>
                      <c:formatCode>General</c:formatCode>
                      <c:ptCount val="8"/>
                      <c:pt idx="0">
                        <c:v>256</c:v>
                      </c:pt>
                      <c:pt idx="1">
                        <c:v>256</c:v>
                      </c:pt>
                      <c:pt idx="2">
                        <c:v>251</c:v>
                      </c:pt>
                      <c:pt idx="3">
                        <c:v>248</c:v>
                      </c:pt>
                      <c:pt idx="4">
                        <c:v>247</c:v>
                      </c:pt>
                      <c:pt idx="5">
                        <c:v>244</c:v>
                      </c:pt>
                      <c:pt idx="7">
                        <c:v>250</c:v>
                      </c:pt>
                    </c:numCache>
                  </c:numRef>
                </c:val>
                <c:smooth val="0"/>
                <c:extLst>
                  <c:ext xmlns:c16="http://schemas.microsoft.com/office/drawing/2014/chart" uri="{C3380CC4-5D6E-409C-BE32-E72D297353CC}">
                    <c16:uniqueId val="{00000001-5915-420E-8214-AB8AFC634811}"/>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PGLOBAL!$C$322</c15:sqref>
                        </c15:formulaRef>
                      </c:ext>
                    </c:extLst>
                    <c:strCache>
                      <c:ptCount val="1"/>
                      <c:pt idx="0">
                        <c:v>GC 3 DE SOACHA</c:v>
                      </c:pt>
                    </c:strCache>
                  </c:strRef>
                </c:tx>
                <c:spPr>
                  <a:ln w="19050" cap="rnd" cmpd="sng" algn="ctr">
                    <a:solidFill>
                      <a:schemeClr val="accent1">
                        <a:lumMod val="60000"/>
                        <a:shade val="95000"/>
                        <a:satMod val="105000"/>
                      </a:schemeClr>
                    </a:solidFill>
                    <a:round/>
                  </a:ln>
                  <a:effectLst/>
                </c:spPr>
                <c:marker>
                  <c:symbol val="circle"/>
                  <c:size val="17"/>
                  <c:spPr>
                    <a:solidFill>
                      <a:schemeClr val="lt1"/>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1">
                              <a:lumMod val="60000"/>
                            </a:schemeClr>
                          </a:solidFill>
                          <a:latin typeface="+mn-lt"/>
                          <a:ea typeface="+mn-ea"/>
                          <a:cs typeface="+mn-cs"/>
                        </a:defRPr>
                      </a:pPr>
                      <a:endParaRPr lang="es-CO"/>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a:solidFill>
                              <a:schemeClr val="dk1">
                                <a:lumMod val="35000"/>
                                <a:lumOff val="65000"/>
                              </a:schemeClr>
                            </a:solidFill>
                          </a:ln>
                          <a:effectLst/>
                        </c:spPr>
                      </c15:leaderLines>
                    </c:ext>
                  </c:extLst>
                </c:dLbls>
                <c:cat>
                  <c:strRef>
                    <c:extLst xmlns:c15="http://schemas.microsoft.com/office/drawing/2012/chart">
                      <c:ext xmlns:c15="http://schemas.microsoft.com/office/drawing/2012/chart" uri="{02D57815-91ED-43cb-92C2-25804820EDAC}">
                        <c15:formulaRef>
                          <c15:sqref>PGLOBAL!$H$314:$O$315</c15:sqref>
                        </c15:formulaRef>
                      </c:ext>
                    </c:extLst>
                    <c:strCache>
                      <c:ptCount val="8"/>
                      <c:pt idx="0">
                        <c:v>2016</c:v>
                      </c:pt>
                      <c:pt idx="1">
                        <c:v>2017</c:v>
                      </c:pt>
                      <c:pt idx="2">
                        <c:v>2018</c:v>
                      </c:pt>
                      <c:pt idx="3">
                        <c:v>2019</c:v>
                      </c:pt>
                      <c:pt idx="4">
                        <c:v>2020</c:v>
                      </c:pt>
                      <c:pt idx="5">
                        <c:v>2021</c:v>
                      </c:pt>
                      <c:pt idx="6">
                        <c:v>2022</c:v>
                      </c:pt>
                      <c:pt idx="7">
                        <c:v>2023</c:v>
                      </c:pt>
                    </c:strCache>
                  </c:strRef>
                </c:cat>
                <c:val>
                  <c:numRef>
                    <c:extLst xmlns:c15="http://schemas.microsoft.com/office/drawing/2012/chart">
                      <c:ext xmlns:c15="http://schemas.microsoft.com/office/drawing/2012/chart" uri="{02D57815-91ED-43cb-92C2-25804820EDAC}">
                        <c15:formulaRef>
                          <c15:sqref>PGLOBAL!$H$322:$O$322</c15:sqref>
                        </c15:formulaRef>
                      </c:ext>
                    </c:extLst>
                    <c:numCache>
                      <c:formatCode>General</c:formatCode>
                      <c:ptCount val="8"/>
                      <c:pt idx="0">
                        <c:v>270</c:v>
                      </c:pt>
                      <c:pt idx="1">
                        <c:v>269</c:v>
                      </c:pt>
                      <c:pt idx="2">
                        <c:v>265</c:v>
                      </c:pt>
                      <c:pt idx="3">
                        <c:v>262</c:v>
                      </c:pt>
                      <c:pt idx="4">
                        <c:v>262</c:v>
                      </c:pt>
                      <c:pt idx="5">
                        <c:v>261</c:v>
                      </c:pt>
                      <c:pt idx="7">
                        <c:v>269</c:v>
                      </c:pt>
                    </c:numCache>
                  </c:numRef>
                </c:val>
                <c:smooth val="0"/>
                <c:extLst xmlns:c15="http://schemas.microsoft.com/office/drawing/2012/chart">
                  <c:ext xmlns:c16="http://schemas.microsoft.com/office/drawing/2014/chart" uri="{C3380CC4-5D6E-409C-BE32-E72D297353CC}">
                    <c16:uniqueId val="{00000000-FF6B-4603-9752-38C93226C5B3}"/>
                  </c:ext>
                </c:extLst>
              </c15:ser>
            </c15:filteredLineSeries>
          </c:ext>
        </c:extLst>
      </c:lineChart>
      <c:catAx>
        <c:axId val="1095091279"/>
        <c:scaling>
          <c:orientation val="minMax"/>
        </c:scaling>
        <c:delete val="0"/>
        <c:axPos val="b"/>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dk1">
                    <a:lumMod val="65000"/>
                    <a:lumOff val="35000"/>
                  </a:schemeClr>
                </a:solidFill>
                <a:latin typeface="+mn-lt"/>
                <a:ea typeface="+mn-ea"/>
                <a:cs typeface="+mn-cs"/>
              </a:defRPr>
            </a:pPr>
            <a:endParaRPr lang="es-CO"/>
          </a:p>
        </c:txPr>
        <c:crossAx val="1419091247"/>
        <c:crosses val="autoZero"/>
        <c:auto val="1"/>
        <c:lblAlgn val="ctr"/>
        <c:lblOffset val="100"/>
        <c:noMultiLvlLbl val="0"/>
      </c:catAx>
      <c:valAx>
        <c:axId val="1419091247"/>
        <c:scaling>
          <c:orientation val="minMax"/>
          <c:max val="275"/>
          <c:min val="235"/>
        </c:scaling>
        <c:delete val="1"/>
        <c:axPos val="l"/>
        <c:numFmt formatCode="General" sourceLinked="1"/>
        <c:majorTickMark val="out"/>
        <c:minorTickMark val="none"/>
        <c:tickLblPos val="nextTo"/>
        <c:crossAx val="1095091279"/>
        <c:crosses val="autoZero"/>
        <c:crossBetween val="between"/>
        <c:majorUnit val="3"/>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dk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Niveles</a:t>
            </a:r>
            <a:r>
              <a:rPr lang="es-CO" baseline="0"/>
              <a:t> de Desempeño Inglés Saber 11 2016 - 2022 </a:t>
            </a:r>
            <a:endParaRPr lang="es-CO"/>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stacked"/>
        <c:varyColors val="0"/>
        <c:ser>
          <c:idx val="0"/>
          <c:order val="0"/>
          <c:tx>
            <c:strRef>
              <c:f>INGLES!$F$246</c:f>
              <c:strCache>
                <c:ptCount val="1"/>
                <c:pt idx="0">
                  <c:v>A-</c:v>
                </c:pt>
              </c:strCache>
            </c:strRef>
          </c:tx>
          <c:spPr>
            <a:solidFill>
              <a:srgbClr val="FF0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INGLES!$H$244:$AL$245</c:f>
              <c:multiLvlStrCache>
                <c:ptCount val="31"/>
                <c:lvl>
                  <c:pt idx="0">
                    <c:v>SOACHA</c:v>
                  </c:pt>
                  <c:pt idx="1">
                    <c:v>SOACHA OFICIAL</c:v>
                  </c:pt>
                  <c:pt idx="2">
                    <c:v>SOACHA NO OFICIAL</c:v>
                  </c:pt>
                  <c:pt idx="3">
                    <c:v>COLOMBIA</c:v>
                  </c:pt>
                  <c:pt idx="4">
                    <c:v>SOACHA</c:v>
                  </c:pt>
                  <c:pt idx="5">
                    <c:v>SOACHA OFICIAL</c:v>
                  </c:pt>
                  <c:pt idx="6">
                    <c:v>SOACHA NO OFICIAL</c:v>
                  </c:pt>
                  <c:pt idx="7">
                    <c:v>COLOMBIA</c:v>
                  </c:pt>
                  <c:pt idx="8">
                    <c:v>SOACHA</c:v>
                  </c:pt>
                  <c:pt idx="9">
                    <c:v>SOACHA OFICIAL</c:v>
                  </c:pt>
                  <c:pt idx="10">
                    <c:v>SOACHA NO OFICIAL</c:v>
                  </c:pt>
                  <c:pt idx="11">
                    <c:v>COLOMBIA</c:v>
                  </c:pt>
                  <c:pt idx="12">
                    <c:v>SOACHA</c:v>
                  </c:pt>
                  <c:pt idx="13">
                    <c:v>SOACHA OFICIAL</c:v>
                  </c:pt>
                  <c:pt idx="14">
                    <c:v>SOACHA NO OFICIAL</c:v>
                  </c:pt>
                  <c:pt idx="15">
                    <c:v>COLOMBIA</c:v>
                  </c:pt>
                  <c:pt idx="16">
                    <c:v>SOACHA</c:v>
                  </c:pt>
                  <c:pt idx="17">
                    <c:v>SOACHA OFICIAL</c:v>
                  </c:pt>
                  <c:pt idx="18">
                    <c:v>SOACHA NO OFICIAL</c:v>
                  </c:pt>
                  <c:pt idx="19">
                    <c:v>COLOMBIA</c:v>
                  </c:pt>
                  <c:pt idx="20">
                    <c:v>SOACHA</c:v>
                  </c:pt>
                  <c:pt idx="21">
                    <c:v>SOACHA OFICIAL</c:v>
                  </c:pt>
                  <c:pt idx="22">
                    <c:v>SOACHA NO OFICIAL</c:v>
                  </c:pt>
                  <c:pt idx="23">
                    <c:v>COLOMBIA</c:v>
                  </c:pt>
                  <c:pt idx="24">
                    <c:v>SOACHA</c:v>
                  </c:pt>
                  <c:pt idx="25">
                    <c:v>SOACHA OFICIAL</c:v>
                  </c:pt>
                  <c:pt idx="26">
                    <c:v>SOACHA NO OFICIAL</c:v>
                  </c:pt>
                  <c:pt idx="27">
                    <c:v>COLOMBIA</c:v>
                  </c:pt>
                  <c:pt idx="28">
                    <c:v>SOACHA</c:v>
                  </c:pt>
                  <c:pt idx="29">
                    <c:v>SOACHA OFICIAL</c:v>
                  </c:pt>
                  <c:pt idx="30">
                    <c:v>SOACHA NO OFICIAL</c:v>
                  </c:pt>
                </c:lvl>
                <c:lvl>
                  <c:pt idx="3">
                    <c:v>2017</c:v>
                  </c:pt>
                  <c:pt idx="7">
                    <c:v>2018</c:v>
                  </c:pt>
                  <c:pt idx="11">
                    <c:v>2019</c:v>
                  </c:pt>
                  <c:pt idx="15">
                    <c:v>2020</c:v>
                  </c:pt>
                  <c:pt idx="19">
                    <c:v>2021</c:v>
                  </c:pt>
                  <c:pt idx="23">
                    <c:v>2022</c:v>
                  </c:pt>
                  <c:pt idx="27">
                    <c:v>2023</c:v>
                  </c:pt>
                </c:lvl>
              </c:multiLvlStrCache>
            </c:multiLvlStrRef>
          </c:cat>
          <c:val>
            <c:numRef>
              <c:f>INGLES!$H$246:$AL$246</c:f>
              <c:numCache>
                <c:formatCode>0%</c:formatCode>
                <c:ptCount val="31"/>
                <c:pt idx="0">
                  <c:v>0.28999999999999998</c:v>
                </c:pt>
                <c:pt idx="1">
                  <c:v>0.35</c:v>
                </c:pt>
                <c:pt idx="2">
                  <c:v>0.22</c:v>
                </c:pt>
                <c:pt idx="3">
                  <c:v>0.44</c:v>
                </c:pt>
                <c:pt idx="4">
                  <c:v>0.38</c:v>
                </c:pt>
                <c:pt idx="5">
                  <c:v>0.45</c:v>
                </c:pt>
                <c:pt idx="6">
                  <c:v>0.3</c:v>
                </c:pt>
                <c:pt idx="7">
                  <c:v>0.37</c:v>
                </c:pt>
                <c:pt idx="8">
                  <c:v>0.31</c:v>
                </c:pt>
                <c:pt idx="9">
                  <c:v>0.37</c:v>
                </c:pt>
                <c:pt idx="10">
                  <c:v>0.23</c:v>
                </c:pt>
                <c:pt idx="11">
                  <c:v>0.44</c:v>
                </c:pt>
                <c:pt idx="12">
                  <c:v>0.35</c:v>
                </c:pt>
                <c:pt idx="13">
                  <c:v>0.43</c:v>
                </c:pt>
                <c:pt idx="14">
                  <c:v>0.26</c:v>
                </c:pt>
                <c:pt idx="15">
                  <c:v>0.56999999999999995</c:v>
                </c:pt>
                <c:pt idx="16">
                  <c:v>0.51</c:v>
                </c:pt>
                <c:pt idx="17">
                  <c:v>0.59</c:v>
                </c:pt>
                <c:pt idx="18">
                  <c:v>0.43</c:v>
                </c:pt>
                <c:pt idx="19">
                  <c:v>0.47</c:v>
                </c:pt>
                <c:pt idx="20">
                  <c:v>0.35</c:v>
                </c:pt>
                <c:pt idx="21">
                  <c:v>0.44</c:v>
                </c:pt>
                <c:pt idx="22">
                  <c:v>0.24</c:v>
                </c:pt>
                <c:pt idx="23">
                  <c:v>0.44</c:v>
                </c:pt>
                <c:pt idx="24">
                  <c:v>0.3</c:v>
                </c:pt>
                <c:pt idx="25">
                  <c:v>0.39</c:v>
                </c:pt>
                <c:pt idx="26">
                  <c:v>0.21</c:v>
                </c:pt>
                <c:pt idx="27">
                  <c:v>0.42</c:v>
                </c:pt>
                <c:pt idx="28">
                  <c:v>0.31</c:v>
                </c:pt>
                <c:pt idx="29">
                  <c:v>0.39</c:v>
                </c:pt>
                <c:pt idx="30">
                  <c:v>0.22</c:v>
                </c:pt>
              </c:numCache>
            </c:numRef>
          </c:val>
          <c:extLst>
            <c:ext xmlns:c16="http://schemas.microsoft.com/office/drawing/2014/chart" uri="{C3380CC4-5D6E-409C-BE32-E72D297353CC}">
              <c16:uniqueId val="{00000000-4DBF-499F-837D-79AD55BDDAA7}"/>
            </c:ext>
          </c:extLst>
        </c:ser>
        <c:ser>
          <c:idx val="1"/>
          <c:order val="1"/>
          <c:tx>
            <c:strRef>
              <c:f>INGLES!$F$247</c:f>
              <c:strCache>
                <c:ptCount val="1"/>
                <c:pt idx="0">
                  <c:v>A1</c:v>
                </c:pt>
              </c:strCache>
            </c:strRef>
          </c:tx>
          <c:spPr>
            <a:solidFill>
              <a:srgbClr val="FFFF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INGLES!$H$244:$AL$245</c:f>
              <c:multiLvlStrCache>
                <c:ptCount val="31"/>
                <c:lvl>
                  <c:pt idx="0">
                    <c:v>SOACHA</c:v>
                  </c:pt>
                  <c:pt idx="1">
                    <c:v>SOACHA OFICIAL</c:v>
                  </c:pt>
                  <c:pt idx="2">
                    <c:v>SOACHA NO OFICIAL</c:v>
                  </c:pt>
                  <c:pt idx="3">
                    <c:v>COLOMBIA</c:v>
                  </c:pt>
                  <c:pt idx="4">
                    <c:v>SOACHA</c:v>
                  </c:pt>
                  <c:pt idx="5">
                    <c:v>SOACHA OFICIAL</c:v>
                  </c:pt>
                  <c:pt idx="6">
                    <c:v>SOACHA NO OFICIAL</c:v>
                  </c:pt>
                  <c:pt idx="7">
                    <c:v>COLOMBIA</c:v>
                  </c:pt>
                  <c:pt idx="8">
                    <c:v>SOACHA</c:v>
                  </c:pt>
                  <c:pt idx="9">
                    <c:v>SOACHA OFICIAL</c:v>
                  </c:pt>
                  <c:pt idx="10">
                    <c:v>SOACHA NO OFICIAL</c:v>
                  </c:pt>
                  <c:pt idx="11">
                    <c:v>COLOMBIA</c:v>
                  </c:pt>
                  <c:pt idx="12">
                    <c:v>SOACHA</c:v>
                  </c:pt>
                  <c:pt idx="13">
                    <c:v>SOACHA OFICIAL</c:v>
                  </c:pt>
                  <c:pt idx="14">
                    <c:v>SOACHA NO OFICIAL</c:v>
                  </c:pt>
                  <c:pt idx="15">
                    <c:v>COLOMBIA</c:v>
                  </c:pt>
                  <c:pt idx="16">
                    <c:v>SOACHA</c:v>
                  </c:pt>
                  <c:pt idx="17">
                    <c:v>SOACHA OFICIAL</c:v>
                  </c:pt>
                  <c:pt idx="18">
                    <c:v>SOACHA NO OFICIAL</c:v>
                  </c:pt>
                  <c:pt idx="19">
                    <c:v>COLOMBIA</c:v>
                  </c:pt>
                  <c:pt idx="20">
                    <c:v>SOACHA</c:v>
                  </c:pt>
                  <c:pt idx="21">
                    <c:v>SOACHA OFICIAL</c:v>
                  </c:pt>
                  <c:pt idx="22">
                    <c:v>SOACHA NO OFICIAL</c:v>
                  </c:pt>
                  <c:pt idx="23">
                    <c:v>COLOMBIA</c:v>
                  </c:pt>
                  <c:pt idx="24">
                    <c:v>SOACHA</c:v>
                  </c:pt>
                  <c:pt idx="25">
                    <c:v>SOACHA OFICIAL</c:v>
                  </c:pt>
                  <c:pt idx="26">
                    <c:v>SOACHA NO OFICIAL</c:v>
                  </c:pt>
                  <c:pt idx="27">
                    <c:v>COLOMBIA</c:v>
                  </c:pt>
                  <c:pt idx="28">
                    <c:v>SOACHA</c:v>
                  </c:pt>
                  <c:pt idx="29">
                    <c:v>SOACHA OFICIAL</c:v>
                  </c:pt>
                  <c:pt idx="30">
                    <c:v>SOACHA NO OFICIAL</c:v>
                  </c:pt>
                </c:lvl>
                <c:lvl>
                  <c:pt idx="3">
                    <c:v>2017</c:v>
                  </c:pt>
                  <c:pt idx="7">
                    <c:v>2018</c:v>
                  </c:pt>
                  <c:pt idx="11">
                    <c:v>2019</c:v>
                  </c:pt>
                  <c:pt idx="15">
                    <c:v>2020</c:v>
                  </c:pt>
                  <c:pt idx="19">
                    <c:v>2021</c:v>
                  </c:pt>
                  <c:pt idx="23">
                    <c:v>2022</c:v>
                  </c:pt>
                  <c:pt idx="27">
                    <c:v>2023</c:v>
                  </c:pt>
                </c:lvl>
              </c:multiLvlStrCache>
            </c:multiLvlStrRef>
          </c:cat>
          <c:val>
            <c:numRef>
              <c:f>INGLES!$H$247:$AL$247</c:f>
              <c:numCache>
                <c:formatCode>0%</c:formatCode>
                <c:ptCount val="31"/>
                <c:pt idx="0">
                  <c:v>0.4</c:v>
                </c:pt>
                <c:pt idx="1">
                  <c:v>0.41</c:v>
                </c:pt>
                <c:pt idx="2">
                  <c:v>0.38</c:v>
                </c:pt>
                <c:pt idx="3">
                  <c:v>0.3</c:v>
                </c:pt>
                <c:pt idx="4">
                  <c:v>0.36</c:v>
                </c:pt>
                <c:pt idx="5">
                  <c:v>0.36</c:v>
                </c:pt>
                <c:pt idx="6">
                  <c:v>0.36</c:v>
                </c:pt>
                <c:pt idx="7">
                  <c:v>0.34</c:v>
                </c:pt>
                <c:pt idx="8">
                  <c:v>0.42</c:v>
                </c:pt>
                <c:pt idx="9">
                  <c:v>0.43</c:v>
                </c:pt>
                <c:pt idx="10">
                  <c:v>0.4</c:v>
                </c:pt>
                <c:pt idx="11">
                  <c:v>0.3</c:v>
                </c:pt>
                <c:pt idx="12">
                  <c:v>0.39</c:v>
                </c:pt>
                <c:pt idx="13">
                  <c:v>0.38</c:v>
                </c:pt>
                <c:pt idx="14">
                  <c:v>0.4</c:v>
                </c:pt>
                <c:pt idx="15">
                  <c:v>0.27</c:v>
                </c:pt>
                <c:pt idx="16">
                  <c:v>0.34</c:v>
                </c:pt>
                <c:pt idx="17">
                  <c:v>0.32</c:v>
                </c:pt>
                <c:pt idx="18">
                  <c:v>0.37</c:v>
                </c:pt>
                <c:pt idx="19">
                  <c:v>0.28000000000000003</c:v>
                </c:pt>
                <c:pt idx="20">
                  <c:v>0.37</c:v>
                </c:pt>
                <c:pt idx="21">
                  <c:v>0.37</c:v>
                </c:pt>
                <c:pt idx="22">
                  <c:v>0.37</c:v>
                </c:pt>
                <c:pt idx="23">
                  <c:v>0.28000000000000003</c:v>
                </c:pt>
                <c:pt idx="24">
                  <c:v>0.36</c:v>
                </c:pt>
                <c:pt idx="25">
                  <c:v>0.36</c:v>
                </c:pt>
                <c:pt idx="26">
                  <c:v>0.35</c:v>
                </c:pt>
                <c:pt idx="27">
                  <c:v>0.31</c:v>
                </c:pt>
                <c:pt idx="28">
                  <c:v>0.37</c:v>
                </c:pt>
                <c:pt idx="29">
                  <c:v>0.39</c:v>
                </c:pt>
                <c:pt idx="30">
                  <c:v>0.35</c:v>
                </c:pt>
              </c:numCache>
            </c:numRef>
          </c:val>
          <c:extLst>
            <c:ext xmlns:c16="http://schemas.microsoft.com/office/drawing/2014/chart" uri="{C3380CC4-5D6E-409C-BE32-E72D297353CC}">
              <c16:uniqueId val="{00000001-4DBF-499F-837D-79AD55BDDAA7}"/>
            </c:ext>
          </c:extLst>
        </c:ser>
        <c:ser>
          <c:idx val="2"/>
          <c:order val="2"/>
          <c:tx>
            <c:strRef>
              <c:f>INGLES!$F$248</c:f>
              <c:strCache>
                <c:ptCount val="1"/>
                <c:pt idx="0">
                  <c:v>A2</c:v>
                </c:pt>
              </c:strCache>
            </c:strRef>
          </c:tx>
          <c:spPr>
            <a:solidFill>
              <a:srgbClr val="FFC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INGLES!$H$244:$AL$245</c:f>
              <c:multiLvlStrCache>
                <c:ptCount val="31"/>
                <c:lvl>
                  <c:pt idx="0">
                    <c:v>SOACHA</c:v>
                  </c:pt>
                  <c:pt idx="1">
                    <c:v>SOACHA OFICIAL</c:v>
                  </c:pt>
                  <c:pt idx="2">
                    <c:v>SOACHA NO OFICIAL</c:v>
                  </c:pt>
                  <c:pt idx="3">
                    <c:v>COLOMBIA</c:v>
                  </c:pt>
                  <c:pt idx="4">
                    <c:v>SOACHA</c:v>
                  </c:pt>
                  <c:pt idx="5">
                    <c:v>SOACHA OFICIAL</c:v>
                  </c:pt>
                  <c:pt idx="6">
                    <c:v>SOACHA NO OFICIAL</c:v>
                  </c:pt>
                  <c:pt idx="7">
                    <c:v>COLOMBIA</c:v>
                  </c:pt>
                  <c:pt idx="8">
                    <c:v>SOACHA</c:v>
                  </c:pt>
                  <c:pt idx="9">
                    <c:v>SOACHA OFICIAL</c:v>
                  </c:pt>
                  <c:pt idx="10">
                    <c:v>SOACHA NO OFICIAL</c:v>
                  </c:pt>
                  <c:pt idx="11">
                    <c:v>COLOMBIA</c:v>
                  </c:pt>
                  <c:pt idx="12">
                    <c:v>SOACHA</c:v>
                  </c:pt>
                  <c:pt idx="13">
                    <c:v>SOACHA OFICIAL</c:v>
                  </c:pt>
                  <c:pt idx="14">
                    <c:v>SOACHA NO OFICIAL</c:v>
                  </c:pt>
                  <c:pt idx="15">
                    <c:v>COLOMBIA</c:v>
                  </c:pt>
                  <c:pt idx="16">
                    <c:v>SOACHA</c:v>
                  </c:pt>
                  <c:pt idx="17">
                    <c:v>SOACHA OFICIAL</c:v>
                  </c:pt>
                  <c:pt idx="18">
                    <c:v>SOACHA NO OFICIAL</c:v>
                  </c:pt>
                  <c:pt idx="19">
                    <c:v>COLOMBIA</c:v>
                  </c:pt>
                  <c:pt idx="20">
                    <c:v>SOACHA</c:v>
                  </c:pt>
                  <c:pt idx="21">
                    <c:v>SOACHA OFICIAL</c:v>
                  </c:pt>
                  <c:pt idx="22">
                    <c:v>SOACHA NO OFICIAL</c:v>
                  </c:pt>
                  <c:pt idx="23">
                    <c:v>COLOMBIA</c:v>
                  </c:pt>
                  <c:pt idx="24">
                    <c:v>SOACHA</c:v>
                  </c:pt>
                  <c:pt idx="25">
                    <c:v>SOACHA OFICIAL</c:v>
                  </c:pt>
                  <c:pt idx="26">
                    <c:v>SOACHA NO OFICIAL</c:v>
                  </c:pt>
                  <c:pt idx="27">
                    <c:v>COLOMBIA</c:v>
                  </c:pt>
                  <c:pt idx="28">
                    <c:v>SOACHA</c:v>
                  </c:pt>
                  <c:pt idx="29">
                    <c:v>SOACHA OFICIAL</c:v>
                  </c:pt>
                  <c:pt idx="30">
                    <c:v>SOACHA NO OFICIAL</c:v>
                  </c:pt>
                </c:lvl>
                <c:lvl>
                  <c:pt idx="3">
                    <c:v>2017</c:v>
                  </c:pt>
                  <c:pt idx="7">
                    <c:v>2018</c:v>
                  </c:pt>
                  <c:pt idx="11">
                    <c:v>2019</c:v>
                  </c:pt>
                  <c:pt idx="15">
                    <c:v>2020</c:v>
                  </c:pt>
                  <c:pt idx="19">
                    <c:v>2021</c:v>
                  </c:pt>
                  <c:pt idx="23">
                    <c:v>2022</c:v>
                  </c:pt>
                  <c:pt idx="27">
                    <c:v>2023</c:v>
                  </c:pt>
                </c:lvl>
              </c:multiLvlStrCache>
            </c:multiLvlStrRef>
          </c:cat>
          <c:val>
            <c:numRef>
              <c:f>INGLES!$H$248:$AL$248</c:f>
              <c:numCache>
                <c:formatCode>0%</c:formatCode>
                <c:ptCount val="31"/>
                <c:pt idx="0">
                  <c:v>0.24</c:v>
                </c:pt>
                <c:pt idx="1">
                  <c:v>0.2</c:v>
                </c:pt>
                <c:pt idx="2">
                  <c:v>0.28000000000000003</c:v>
                </c:pt>
                <c:pt idx="3">
                  <c:v>0.16</c:v>
                </c:pt>
                <c:pt idx="4">
                  <c:v>0.2</c:v>
                </c:pt>
                <c:pt idx="5">
                  <c:v>0.16</c:v>
                </c:pt>
                <c:pt idx="6">
                  <c:v>0.25</c:v>
                </c:pt>
                <c:pt idx="7">
                  <c:v>0.19</c:v>
                </c:pt>
                <c:pt idx="8">
                  <c:v>0.21</c:v>
                </c:pt>
                <c:pt idx="9">
                  <c:v>0.16</c:v>
                </c:pt>
                <c:pt idx="10">
                  <c:v>0.28000000000000003</c:v>
                </c:pt>
                <c:pt idx="11">
                  <c:v>0.17</c:v>
                </c:pt>
                <c:pt idx="12">
                  <c:v>0.2</c:v>
                </c:pt>
                <c:pt idx="13">
                  <c:v>0.15</c:v>
                </c:pt>
                <c:pt idx="14">
                  <c:v>0.25</c:v>
                </c:pt>
                <c:pt idx="15">
                  <c:v>0.09</c:v>
                </c:pt>
                <c:pt idx="16">
                  <c:v>0.1</c:v>
                </c:pt>
                <c:pt idx="17">
                  <c:v>7.0000000000000007E-2</c:v>
                </c:pt>
                <c:pt idx="18">
                  <c:v>0.14000000000000001</c:v>
                </c:pt>
                <c:pt idx="19">
                  <c:v>0.15</c:v>
                </c:pt>
                <c:pt idx="20">
                  <c:v>0.2</c:v>
                </c:pt>
                <c:pt idx="21">
                  <c:v>0.15</c:v>
                </c:pt>
                <c:pt idx="22">
                  <c:v>0.27</c:v>
                </c:pt>
                <c:pt idx="23">
                  <c:v>0.17</c:v>
                </c:pt>
                <c:pt idx="24">
                  <c:v>0.24</c:v>
                </c:pt>
                <c:pt idx="25">
                  <c:v>0.19</c:v>
                </c:pt>
                <c:pt idx="26">
                  <c:v>0.28999999999999998</c:v>
                </c:pt>
                <c:pt idx="27">
                  <c:v>0.16</c:v>
                </c:pt>
                <c:pt idx="28">
                  <c:v>0.22</c:v>
                </c:pt>
                <c:pt idx="29">
                  <c:v>0.17</c:v>
                </c:pt>
                <c:pt idx="30">
                  <c:v>0.27</c:v>
                </c:pt>
              </c:numCache>
            </c:numRef>
          </c:val>
          <c:extLst>
            <c:ext xmlns:c16="http://schemas.microsoft.com/office/drawing/2014/chart" uri="{C3380CC4-5D6E-409C-BE32-E72D297353CC}">
              <c16:uniqueId val="{00000002-4DBF-499F-837D-79AD55BDDAA7}"/>
            </c:ext>
          </c:extLst>
        </c:ser>
        <c:ser>
          <c:idx val="3"/>
          <c:order val="3"/>
          <c:tx>
            <c:strRef>
              <c:f>INGLES!$F$249</c:f>
              <c:strCache>
                <c:ptCount val="1"/>
                <c:pt idx="0">
                  <c:v>B1</c:v>
                </c:pt>
              </c:strCache>
            </c:strRef>
          </c:tx>
          <c:spPr>
            <a:solidFill>
              <a:srgbClr val="00B05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INGLES!$H$244:$AL$245</c:f>
              <c:multiLvlStrCache>
                <c:ptCount val="31"/>
                <c:lvl>
                  <c:pt idx="0">
                    <c:v>SOACHA</c:v>
                  </c:pt>
                  <c:pt idx="1">
                    <c:v>SOACHA OFICIAL</c:v>
                  </c:pt>
                  <c:pt idx="2">
                    <c:v>SOACHA NO OFICIAL</c:v>
                  </c:pt>
                  <c:pt idx="3">
                    <c:v>COLOMBIA</c:v>
                  </c:pt>
                  <c:pt idx="4">
                    <c:v>SOACHA</c:v>
                  </c:pt>
                  <c:pt idx="5">
                    <c:v>SOACHA OFICIAL</c:v>
                  </c:pt>
                  <c:pt idx="6">
                    <c:v>SOACHA NO OFICIAL</c:v>
                  </c:pt>
                  <c:pt idx="7">
                    <c:v>COLOMBIA</c:v>
                  </c:pt>
                  <c:pt idx="8">
                    <c:v>SOACHA</c:v>
                  </c:pt>
                  <c:pt idx="9">
                    <c:v>SOACHA OFICIAL</c:v>
                  </c:pt>
                  <c:pt idx="10">
                    <c:v>SOACHA NO OFICIAL</c:v>
                  </c:pt>
                  <c:pt idx="11">
                    <c:v>COLOMBIA</c:v>
                  </c:pt>
                  <c:pt idx="12">
                    <c:v>SOACHA</c:v>
                  </c:pt>
                  <c:pt idx="13">
                    <c:v>SOACHA OFICIAL</c:v>
                  </c:pt>
                  <c:pt idx="14">
                    <c:v>SOACHA NO OFICIAL</c:v>
                  </c:pt>
                  <c:pt idx="15">
                    <c:v>COLOMBIA</c:v>
                  </c:pt>
                  <c:pt idx="16">
                    <c:v>SOACHA</c:v>
                  </c:pt>
                  <c:pt idx="17">
                    <c:v>SOACHA OFICIAL</c:v>
                  </c:pt>
                  <c:pt idx="18">
                    <c:v>SOACHA NO OFICIAL</c:v>
                  </c:pt>
                  <c:pt idx="19">
                    <c:v>COLOMBIA</c:v>
                  </c:pt>
                  <c:pt idx="20">
                    <c:v>SOACHA</c:v>
                  </c:pt>
                  <c:pt idx="21">
                    <c:v>SOACHA OFICIAL</c:v>
                  </c:pt>
                  <c:pt idx="22">
                    <c:v>SOACHA NO OFICIAL</c:v>
                  </c:pt>
                  <c:pt idx="23">
                    <c:v>COLOMBIA</c:v>
                  </c:pt>
                  <c:pt idx="24">
                    <c:v>SOACHA</c:v>
                  </c:pt>
                  <c:pt idx="25">
                    <c:v>SOACHA OFICIAL</c:v>
                  </c:pt>
                  <c:pt idx="26">
                    <c:v>SOACHA NO OFICIAL</c:v>
                  </c:pt>
                  <c:pt idx="27">
                    <c:v>COLOMBIA</c:v>
                  </c:pt>
                  <c:pt idx="28">
                    <c:v>SOACHA</c:v>
                  </c:pt>
                  <c:pt idx="29">
                    <c:v>SOACHA OFICIAL</c:v>
                  </c:pt>
                  <c:pt idx="30">
                    <c:v>SOACHA NO OFICIAL</c:v>
                  </c:pt>
                </c:lvl>
                <c:lvl>
                  <c:pt idx="3">
                    <c:v>2017</c:v>
                  </c:pt>
                  <c:pt idx="7">
                    <c:v>2018</c:v>
                  </c:pt>
                  <c:pt idx="11">
                    <c:v>2019</c:v>
                  </c:pt>
                  <c:pt idx="15">
                    <c:v>2020</c:v>
                  </c:pt>
                  <c:pt idx="19">
                    <c:v>2021</c:v>
                  </c:pt>
                  <c:pt idx="23">
                    <c:v>2022</c:v>
                  </c:pt>
                  <c:pt idx="27">
                    <c:v>2023</c:v>
                  </c:pt>
                </c:lvl>
              </c:multiLvlStrCache>
            </c:multiLvlStrRef>
          </c:cat>
          <c:val>
            <c:numRef>
              <c:f>INGLES!$H$249:$AL$249</c:f>
              <c:numCache>
                <c:formatCode>0%</c:formatCode>
                <c:ptCount val="31"/>
                <c:pt idx="0">
                  <c:v>0.08</c:v>
                </c:pt>
                <c:pt idx="1">
                  <c:v>0.04</c:v>
                </c:pt>
                <c:pt idx="2">
                  <c:v>0.11</c:v>
                </c:pt>
                <c:pt idx="3">
                  <c:v>0.08</c:v>
                </c:pt>
                <c:pt idx="4">
                  <c:v>0.05</c:v>
                </c:pt>
                <c:pt idx="5">
                  <c:v>0.03</c:v>
                </c:pt>
                <c:pt idx="6">
                  <c:v>7.0000000000000007E-2</c:v>
                </c:pt>
                <c:pt idx="7">
                  <c:v>0.08</c:v>
                </c:pt>
                <c:pt idx="8">
                  <c:v>0.06</c:v>
                </c:pt>
                <c:pt idx="9">
                  <c:v>0.03</c:v>
                </c:pt>
                <c:pt idx="10">
                  <c:v>0.08</c:v>
                </c:pt>
                <c:pt idx="11">
                  <c:v>7.0000000000000007E-2</c:v>
                </c:pt>
                <c:pt idx="12">
                  <c:v>0.06</c:v>
                </c:pt>
                <c:pt idx="13">
                  <c:v>0.03</c:v>
                </c:pt>
                <c:pt idx="14">
                  <c:v>0.08</c:v>
                </c:pt>
                <c:pt idx="15">
                  <c:v>0.06</c:v>
                </c:pt>
                <c:pt idx="16">
                  <c:v>0.04</c:v>
                </c:pt>
                <c:pt idx="17">
                  <c:v>0.02</c:v>
                </c:pt>
                <c:pt idx="18">
                  <c:v>0.06</c:v>
                </c:pt>
                <c:pt idx="19">
                  <c:v>0.08</c:v>
                </c:pt>
                <c:pt idx="20">
                  <c:v>7.0000000000000007E-2</c:v>
                </c:pt>
                <c:pt idx="21">
                  <c:v>0.04</c:v>
                </c:pt>
                <c:pt idx="22">
                  <c:v>0.11</c:v>
                </c:pt>
                <c:pt idx="23">
                  <c:v>0.09</c:v>
                </c:pt>
                <c:pt idx="24">
                  <c:v>0.09</c:v>
                </c:pt>
                <c:pt idx="25">
                  <c:v>0.05</c:v>
                </c:pt>
                <c:pt idx="26">
                  <c:v>0.13</c:v>
                </c:pt>
                <c:pt idx="27">
                  <c:v>0.09</c:v>
                </c:pt>
                <c:pt idx="28">
                  <c:v>0.09</c:v>
                </c:pt>
                <c:pt idx="29">
                  <c:v>0.05</c:v>
                </c:pt>
                <c:pt idx="30">
                  <c:v>0.15</c:v>
                </c:pt>
              </c:numCache>
            </c:numRef>
          </c:val>
          <c:extLst>
            <c:ext xmlns:c16="http://schemas.microsoft.com/office/drawing/2014/chart" uri="{C3380CC4-5D6E-409C-BE32-E72D297353CC}">
              <c16:uniqueId val="{00000003-4DBF-499F-837D-79AD55BDDAA7}"/>
            </c:ext>
          </c:extLst>
        </c:ser>
        <c:ser>
          <c:idx val="4"/>
          <c:order val="4"/>
          <c:tx>
            <c:strRef>
              <c:f>INGLES!$F$250</c:f>
              <c:strCache>
                <c:ptCount val="1"/>
                <c:pt idx="0">
                  <c:v>B+</c:v>
                </c:pt>
              </c:strCache>
            </c:strRef>
          </c:tx>
          <c:spPr>
            <a:solidFill>
              <a:schemeClr val="accent5"/>
            </a:solidFill>
            <a:ln>
              <a:noFill/>
            </a:ln>
            <a:effectLst/>
          </c:spPr>
          <c:invertIfNegative val="0"/>
          <c:dLbls>
            <c:dLbl>
              <c:idx val="2"/>
              <c:layout>
                <c:manualLayout>
                  <c:x val="-2.2807299535614145E-17"/>
                  <c:y val="-7.709750750435975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4DBF-499F-837D-79AD55BDDAA7}"/>
                </c:ext>
              </c:extLst>
            </c:dLbl>
            <c:dLbl>
              <c:idx val="5"/>
              <c:layout>
                <c:manualLayout>
                  <c:x val="0"/>
                  <c:y val="-7.709750750435975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4DBF-499F-837D-79AD55BDDAA7}"/>
                </c:ext>
              </c:extLst>
            </c:dLbl>
            <c:dLbl>
              <c:idx val="6"/>
              <c:layout>
                <c:manualLayout>
                  <c:x val="0"/>
                  <c:y val="-1.28495845840599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DBF-499F-837D-79AD55BDDAA7}"/>
                </c:ext>
              </c:extLst>
            </c:dLbl>
            <c:dLbl>
              <c:idx val="10"/>
              <c:layout>
                <c:manualLayout>
                  <c:x val="0"/>
                  <c:y val="-7.709750750435975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4DBF-499F-837D-79AD55BDDAA7}"/>
                </c:ext>
              </c:extLst>
            </c:dLbl>
            <c:dLbl>
              <c:idx val="13"/>
              <c:layout>
                <c:manualLayout>
                  <c:x val="0"/>
                  <c:y val="-7.709750750435975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4DBF-499F-837D-79AD55BDDAA7}"/>
                </c:ext>
              </c:extLst>
            </c:dLbl>
            <c:dLbl>
              <c:idx val="14"/>
              <c:layout>
                <c:manualLayout>
                  <c:x val="0"/>
                  <c:y val="-1.027966766724796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4DBF-499F-837D-79AD55BDDAA7}"/>
                </c:ext>
              </c:extLst>
            </c:dLbl>
            <c:dLbl>
              <c:idx val="17"/>
              <c:layout>
                <c:manualLayout>
                  <c:x val="0"/>
                  <c:y val="-1.027966766724796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4DBF-499F-837D-79AD55BDDAA7}"/>
                </c:ext>
              </c:extLst>
            </c:dLbl>
            <c:dLbl>
              <c:idx val="18"/>
              <c:layout>
                <c:manualLayout>
                  <c:x val="-1.8245839628491316E-16"/>
                  <c:y val="-1.027966766724796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4DBF-499F-837D-79AD55BDDAA7}"/>
                </c:ext>
              </c:extLst>
            </c:dLbl>
            <c:dLbl>
              <c:idx val="19"/>
              <c:layout>
                <c:manualLayout>
                  <c:x val="1.244048891317342E-3"/>
                  <c:y val="-7.709750750435975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4DBF-499F-837D-79AD55BDDAA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INGLES!$H$244:$AL$245</c:f>
              <c:multiLvlStrCache>
                <c:ptCount val="31"/>
                <c:lvl>
                  <c:pt idx="0">
                    <c:v>SOACHA</c:v>
                  </c:pt>
                  <c:pt idx="1">
                    <c:v>SOACHA OFICIAL</c:v>
                  </c:pt>
                  <c:pt idx="2">
                    <c:v>SOACHA NO OFICIAL</c:v>
                  </c:pt>
                  <c:pt idx="3">
                    <c:v>COLOMBIA</c:v>
                  </c:pt>
                  <c:pt idx="4">
                    <c:v>SOACHA</c:v>
                  </c:pt>
                  <c:pt idx="5">
                    <c:v>SOACHA OFICIAL</c:v>
                  </c:pt>
                  <c:pt idx="6">
                    <c:v>SOACHA NO OFICIAL</c:v>
                  </c:pt>
                  <c:pt idx="7">
                    <c:v>COLOMBIA</c:v>
                  </c:pt>
                  <c:pt idx="8">
                    <c:v>SOACHA</c:v>
                  </c:pt>
                  <c:pt idx="9">
                    <c:v>SOACHA OFICIAL</c:v>
                  </c:pt>
                  <c:pt idx="10">
                    <c:v>SOACHA NO OFICIAL</c:v>
                  </c:pt>
                  <c:pt idx="11">
                    <c:v>COLOMBIA</c:v>
                  </c:pt>
                  <c:pt idx="12">
                    <c:v>SOACHA</c:v>
                  </c:pt>
                  <c:pt idx="13">
                    <c:v>SOACHA OFICIAL</c:v>
                  </c:pt>
                  <c:pt idx="14">
                    <c:v>SOACHA NO OFICIAL</c:v>
                  </c:pt>
                  <c:pt idx="15">
                    <c:v>COLOMBIA</c:v>
                  </c:pt>
                  <c:pt idx="16">
                    <c:v>SOACHA</c:v>
                  </c:pt>
                  <c:pt idx="17">
                    <c:v>SOACHA OFICIAL</c:v>
                  </c:pt>
                  <c:pt idx="18">
                    <c:v>SOACHA NO OFICIAL</c:v>
                  </c:pt>
                  <c:pt idx="19">
                    <c:v>COLOMBIA</c:v>
                  </c:pt>
                  <c:pt idx="20">
                    <c:v>SOACHA</c:v>
                  </c:pt>
                  <c:pt idx="21">
                    <c:v>SOACHA OFICIAL</c:v>
                  </c:pt>
                  <c:pt idx="22">
                    <c:v>SOACHA NO OFICIAL</c:v>
                  </c:pt>
                  <c:pt idx="23">
                    <c:v>COLOMBIA</c:v>
                  </c:pt>
                  <c:pt idx="24">
                    <c:v>SOACHA</c:v>
                  </c:pt>
                  <c:pt idx="25">
                    <c:v>SOACHA OFICIAL</c:v>
                  </c:pt>
                  <c:pt idx="26">
                    <c:v>SOACHA NO OFICIAL</c:v>
                  </c:pt>
                  <c:pt idx="27">
                    <c:v>COLOMBIA</c:v>
                  </c:pt>
                  <c:pt idx="28">
                    <c:v>SOACHA</c:v>
                  </c:pt>
                  <c:pt idx="29">
                    <c:v>SOACHA OFICIAL</c:v>
                  </c:pt>
                  <c:pt idx="30">
                    <c:v>SOACHA NO OFICIAL</c:v>
                  </c:pt>
                </c:lvl>
                <c:lvl>
                  <c:pt idx="3">
                    <c:v>2017</c:v>
                  </c:pt>
                  <c:pt idx="7">
                    <c:v>2018</c:v>
                  </c:pt>
                  <c:pt idx="11">
                    <c:v>2019</c:v>
                  </c:pt>
                  <c:pt idx="15">
                    <c:v>2020</c:v>
                  </c:pt>
                  <c:pt idx="19">
                    <c:v>2021</c:v>
                  </c:pt>
                  <c:pt idx="23">
                    <c:v>2022</c:v>
                  </c:pt>
                  <c:pt idx="27">
                    <c:v>2023</c:v>
                  </c:pt>
                </c:lvl>
              </c:multiLvlStrCache>
            </c:multiLvlStrRef>
          </c:cat>
          <c:val>
            <c:numRef>
              <c:f>INGLES!$H$250:$AL$250</c:f>
              <c:numCache>
                <c:formatCode>0%</c:formatCode>
                <c:ptCount val="31"/>
                <c:pt idx="0">
                  <c:v>0</c:v>
                </c:pt>
                <c:pt idx="1">
                  <c:v>0</c:v>
                </c:pt>
                <c:pt idx="2">
                  <c:v>0</c:v>
                </c:pt>
                <c:pt idx="3">
                  <c:v>0.02</c:v>
                </c:pt>
                <c:pt idx="4">
                  <c:v>0</c:v>
                </c:pt>
                <c:pt idx="5">
                  <c:v>0</c:v>
                </c:pt>
                <c:pt idx="6">
                  <c:v>0.01</c:v>
                </c:pt>
                <c:pt idx="7">
                  <c:v>0.02</c:v>
                </c:pt>
                <c:pt idx="8">
                  <c:v>0.01</c:v>
                </c:pt>
                <c:pt idx="9">
                  <c:v>0</c:v>
                </c:pt>
                <c:pt idx="10">
                  <c:v>0.01</c:v>
                </c:pt>
                <c:pt idx="11">
                  <c:v>0.02</c:v>
                </c:pt>
                <c:pt idx="12">
                  <c:v>0</c:v>
                </c:pt>
                <c:pt idx="13">
                  <c:v>0</c:v>
                </c:pt>
                <c:pt idx="14">
                  <c:v>0.01</c:v>
                </c:pt>
                <c:pt idx="15">
                  <c:v>0.01</c:v>
                </c:pt>
                <c:pt idx="16">
                  <c:v>0</c:v>
                </c:pt>
                <c:pt idx="17">
                  <c:v>0</c:v>
                </c:pt>
                <c:pt idx="18">
                  <c:v>0</c:v>
                </c:pt>
                <c:pt idx="19">
                  <c:v>0.02</c:v>
                </c:pt>
                <c:pt idx="20">
                  <c:v>0.01</c:v>
                </c:pt>
                <c:pt idx="21">
                  <c:v>0</c:v>
                </c:pt>
                <c:pt idx="22">
                  <c:v>0.01</c:v>
                </c:pt>
                <c:pt idx="23">
                  <c:v>0.02</c:v>
                </c:pt>
                <c:pt idx="24">
                  <c:v>0.01</c:v>
                </c:pt>
                <c:pt idx="25">
                  <c:v>0</c:v>
                </c:pt>
                <c:pt idx="26">
                  <c:v>0.01</c:v>
                </c:pt>
                <c:pt idx="27">
                  <c:v>0.03</c:v>
                </c:pt>
                <c:pt idx="28">
                  <c:v>0.01</c:v>
                </c:pt>
                <c:pt idx="29">
                  <c:v>0</c:v>
                </c:pt>
                <c:pt idx="30">
                  <c:v>0.02</c:v>
                </c:pt>
              </c:numCache>
            </c:numRef>
          </c:val>
          <c:extLst>
            <c:ext xmlns:c16="http://schemas.microsoft.com/office/drawing/2014/chart" uri="{C3380CC4-5D6E-409C-BE32-E72D297353CC}">
              <c16:uniqueId val="{00000004-4DBF-499F-837D-79AD55BDDAA7}"/>
            </c:ext>
          </c:extLst>
        </c:ser>
        <c:dLbls>
          <c:showLegendKey val="0"/>
          <c:showVal val="0"/>
          <c:showCatName val="0"/>
          <c:showSerName val="0"/>
          <c:showPercent val="0"/>
          <c:showBubbleSize val="0"/>
        </c:dLbls>
        <c:gapWidth val="150"/>
        <c:overlap val="100"/>
        <c:axId val="744346207"/>
        <c:axId val="634479663"/>
      </c:barChart>
      <c:catAx>
        <c:axId val="74434620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634479663"/>
        <c:crosses val="autoZero"/>
        <c:auto val="1"/>
        <c:lblAlgn val="ctr"/>
        <c:lblOffset val="100"/>
        <c:noMultiLvlLbl val="0"/>
      </c:catAx>
      <c:valAx>
        <c:axId val="634479663"/>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74434620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AprenLectura!$I$13</c:f>
              <c:strCache>
                <c:ptCount val="1"/>
                <c:pt idx="0">
                  <c:v>Identifica y entiende los contenidos locales que conforman un texto.
(25% de las preguntas)</c:v>
                </c:pt>
              </c:strCache>
            </c:strRef>
          </c:tx>
          <c:spPr>
            <a:ln w="28575" cap="rnd">
              <a:solidFill>
                <a:schemeClr val="accent1"/>
              </a:solidFill>
              <a:round/>
            </a:ln>
            <a:effectLst/>
          </c:spPr>
          <c:marker>
            <c:symbol val="none"/>
          </c:marker>
          <c:dLbls>
            <c:spPr>
              <a:noFill/>
              <a:ln>
                <a:noFill/>
              </a:ln>
              <a:effectLst/>
            </c:spPr>
            <c:txPr>
              <a:bodyPr rot="0" spcFirstLastPara="1" vertOverflow="ellipsis" vert="horz" wrap="square" anchor="ctr" anchorCtr="1"/>
              <a:lstStyle/>
              <a:p>
                <a:pPr>
                  <a:defRPr sz="105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AprenLectura!$H$15:$H$22</c:f>
              <c:numCache>
                <c:formatCode>General</c:formatCode>
                <c:ptCount val="8"/>
                <c:pt idx="0">
                  <c:v>2016</c:v>
                </c:pt>
                <c:pt idx="1">
                  <c:v>2017</c:v>
                </c:pt>
                <c:pt idx="2">
                  <c:v>2018</c:v>
                </c:pt>
                <c:pt idx="3">
                  <c:v>2019</c:v>
                </c:pt>
                <c:pt idx="4">
                  <c:v>2020</c:v>
                </c:pt>
                <c:pt idx="5">
                  <c:v>2021</c:v>
                </c:pt>
                <c:pt idx="6">
                  <c:v>2022</c:v>
                </c:pt>
                <c:pt idx="7">
                  <c:v>2023</c:v>
                </c:pt>
              </c:numCache>
            </c:numRef>
          </c:cat>
          <c:val>
            <c:numRef>
              <c:f>AprenLectura!$I$15:$I$22</c:f>
              <c:numCache>
                <c:formatCode>0%</c:formatCode>
                <c:ptCount val="8"/>
                <c:pt idx="0">
                  <c:v>0.51</c:v>
                </c:pt>
                <c:pt idx="1">
                  <c:v>0.43</c:v>
                </c:pt>
                <c:pt idx="2">
                  <c:v>0.52</c:v>
                </c:pt>
                <c:pt idx="3">
                  <c:v>0.36</c:v>
                </c:pt>
                <c:pt idx="4">
                  <c:v>0.45</c:v>
                </c:pt>
                <c:pt idx="5">
                  <c:v>0.36</c:v>
                </c:pt>
                <c:pt idx="6">
                  <c:v>0.34</c:v>
                </c:pt>
                <c:pt idx="7">
                  <c:v>0.37</c:v>
                </c:pt>
              </c:numCache>
            </c:numRef>
          </c:val>
          <c:smooth val="0"/>
          <c:extLst xmlns:c15="http://schemas.microsoft.com/office/drawing/2012/chart">
            <c:ext xmlns:c16="http://schemas.microsoft.com/office/drawing/2014/chart" uri="{C3380CC4-5D6E-409C-BE32-E72D297353CC}">
              <c16:uniqueId val="{00000001-18C9-431E-AA7B-F13BAAF7FBC8}"/>
            </c:ext>
          </c:extLst>
        </c:ser>
        <c:ser>
          <c:idx val="1"/>
          <c:order val="1"/>
          <c:tx>
            <c:strRef>
              <c:f>AprenLectura!$J$13</c:f>
              <c:strCache>
                <c:ptCount val="1"/>
                <c:pt idx="0">
                  <c:v>Comprende cómo se articulan las partes de un texto para darle un sentido global.
(42% de las preguntas)</c:v>
                </c:pt>
              </c:strCache>
            </c:strRef>
          </c:tx>
          <c:spPr>
            <a:ln w="28575" cap="rnd">
              <a:solidFill>
                <a:schemeClr val="accent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ysClr val="windowText" lastClr="000000"/>
                    </a:solidFill>
                    <a:latin typeface="+mn-lt"/>
                    <a:ea typeface="+mn-ea"/>
                    <a:cs typeface="+mn-cs"/>
                  </a:defRPr>
                </a:pPr>
                <a:endParaRPr lang="es-CO"/>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AprenLectura!$H$15:$H$22</c:f>
              <c:numCache>
                <c:formatCode>General</c:formatCode>
                <c:ptCount val="8"/>
                <c:pt idx="0">
                  <c:v>2016</c:v>
                </c:pt>
                <c:pt idx="1">
                  <c:v>2017</c:v>
                </c:pt>
                <c:pt idx="2">
                  <c:v>2018</c:v>
                </c:pt>
                <c:pt idx="3">
                  <c:v>2019</c:v>
                </c:pt>
                <c:pt idx="4">
                  <c:v>2020</c:v>
                </c:pt>
                <c:pt idx="5">
                  <c:v>2021</c:v>
                </c:pt>
                <c:pt idx="6">
                  <c:v>2022</c:v>
                </c:pt>
                <c:pt idx="7">
                  <c:v>2023</c:v>
                </c:pt>
              </c:numCache>
            </c:numRef>
          </c:cat>
          <c:val>
            <c:numRef>
              <c:f>AprenLectura!$J$15:$J$22</c:f>
              <c:numCache>
                <c:formatCode>0%</c:formatCode>
                <c:ptCount val="8"/>
                <c:pt idx="0">
                  <c:v>0.5</c:v>
                </c:pt>
                <c:pt idx="1">
                  <c:v>0.49</c:v>
                </c:pt>
                <c:pt idx="2">
                  <c:v>0.46</c:v>
                </c:pt>
                <c:pt idx="3">
                  <c:v>0.45</c:v>
                </c:pt>
                <c:pt idx="4">
                  <c:v>0.47</c:v>
                </c:pt>
                <c:pt idx="5">
                  <c:v>0.48</c:v>
                </c:pt>
                <c:pt idx="6">
                  <c:v>0.47</c:v>
                </c:pt>
                <c:pt idx="7">
                  <c:v>0.51</c:v>
                </c:pt>
              </c:numCache>
            </c:numRef>
          </c:val>
          <c:smooth val="0"/>
          <c:extLst>
            <c:ext xmlns:c16="http://schemas.microsoft.com/office/drawing/2014/chart" uri="{C3380CC4-5D6E-409C-BE32-E72D297353CC}">
              <c16:uniqueId val="{00000000-F488-4893-9F84-D6C7887A7062}"/>
            </c:ext>
          </c:extLst>
        </c:ser>
        <c:ser>
          <c:idx val="2"/>
          <c:order val="2"/>
          <c:tx>
            <c:strRef>
              <c:f>AprenLectura!$K$13</c:f>
              <c:strCache>
                <c:ptCount val="1"/>
                <c:pt idx="0">
                  <c:v>Reflexiona a partir de un texto y evalúa su contenido.
(33% de las preguntas)</c:v>
                </c:pt>
              </c:strCache>
            </c:strRef>
          </c:tx>
          <c:spPr>
            <a:ln w="28575" cap="rnd">
              <a:solidFill>
                <a:schemeClr val="accent3"/>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ysClr val="windowText" lastClr="000000"/>
                    </a:solidFill>
                    <a:latin typeface="+mn-lt"/>
                    <a:ea typeface="+mn-ea"/>
                    <a:cs typeface="+mn-cs"/>
                  </a:defRPr>
                </a:pPr>
                <a:endParaRPr lang="es-CO"/>
              </a:p>
            </c:txPr>
            <c:dLblPos val="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AprenLectura!$H$15:$H$22</c:f>
              <c:numCache>
                <c:formatCode>General</c:formatCode>
                <c:ptCount val="8"/>
                <c:pt idx="0">
                  <c:v>2016</c:v>
                </c:pt>
                <c:pt idx="1">
                  <c:v>2017</c:v>
                </c:pt>
                <c:pt idx="2">
                  <c:v>2018</c:v>
                </c:pt>
                <c:pt idx="3">
                  <c:v>2019</c:v>
                </c:pt>
                <c:pt idx="4">
                  <c:v>2020</c:v>
                </c:pt>
                <c:pt idx="5">
                  <c:v>2021</c:v>
                </c:pt>
                <c:pt idx="6">
                  <c:v>2022</c:v>
                </c:pt>
                <c:pt idx="7">
                  <c:v>2023</c:v>
                </c:pt>
              </c:numCache>
            </c:numRef>
          </c:cat>
          <c:val>
            <c:numRef>
              <c:f>AprenLectura!$K$15:$K$22</c:f>
              <c:numCache>
                <c:formatCode>0%</c:formatCode>
                <c:ptCount val="8"/>
                <c:pt idx="0">
                  <c:v>0.5</c:v>
                </c:pt>
                <c:pt idx="1">
                  <c:v>0.47</c:v>
                </c:pt>
                <c:pt idx="2">
                  <c:v>0.53</c:v>
                </c:pt>
                <c:pt idx="3">
                  <c:v>0.42</c:v>
                </c:pt>
                <c:pt idx="4">
                  <c:v>0.38</c:v>
                </c:pt>
                <c:pt idx="5">
                  <c:v>0.56000000000000005</c:v>
                </c:pt>
                <c:pt idx="6">
                  <c:v>0.45</c:v>
                </c:pt>
                <c:pt idx="7">
                  <c:v>0.51</c:v>
                </c:pt>
              </c:numCache>
            </c:numRef>
          </c:val>
          <c:smooth val="0"/>
          <c:extLst>
            <c:ext xmlns:c16="http://schemas.microsoft.com/office/drawing/2014/chart" uri="{C3380CC4-5D6E-409C-BE32-E72D297353CC}">
              <c16:uniqueId val="{00000001-F488-4893-9F84-D6C7887A7062}"/>
            </c:ext>
          </c:extLst>
        </c:ser>
        <c:dLbls>
          <c:showLegendKey val="0"/>
          <c:showVal val="1"/>
          <c:showCatName val="0"/>
          <c:showSerName val="0"/>
          <c:showPercent val="0"/>
          <c:showBubbleSize val="0"/>
        </c:dLbls>
        <c:smooth val="0"/>
        <c:axId val="-2031620336"/>
        <c:axId val="-2031625232"/>
        <c:extLst/>
      </c:lineChart>
      <c:catAx>
        <c:axId val="-20316203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1" i="0" u="none" strike="noStrike" kern="1200" baseline="0">
                <a:solidFill>
                  <a:sysClr val="windowText" lastClr="000000"/>
                </a:solidFill>
                <a:latin typeface="+mn-lt"/>
                <a:ea typeface="+mn-ea"/>
                <a:cs typeface="+mn-cs"/>
              </a:defRPr>
            </a:pPr>
            <a:endParaRPr lang="es-CO"/>
          </a:p>
        </c:txPr>
        <c:crossAx val="-2031625232"/>
        <c:crosses val="autoZero"/>
        <c:auto val="1"/>
        <c:lblAlgn val="ctr"/>
        <c:lblOffset val="100"/>
        <c:noMultiLvlLbl val="0"/>
      </c:catAx>
      <c:valAx>
        <c:axId val="-2031625232"/>
        <c:scaling>
          <c:orientation val="minMax"/>
          <c:max val="1"/>
          <c:min val="0"/>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ysClr val="windowText" lastClr="000000"/>
                </a:solidFill>
                <a:latin typeface="+mn-lt"/>
                <a:ea typeface="+mn-ea"/>
                <a:cs typeface="+mn-cs"/>
              </a:defRPr>
            </a:pPr>
            <a:endParaRPr lang="es-CO"/>
          </a:p>
        </c:txPr>
        <c:crossAx val="-2031620336"/>
        <c:crosses val="autoZero"/>
        <c:crossBetween val="between"/>
        <c:majorUnit val="0.1"/>
      </c:valAx>
      <c:spPr>
        <a:noFill/>
        <a:ln>
          <a:noFill/>
        </a:ln>
        <a:effectLst/>
      </c:spPr>
    </c:plotArea>
    <c:legend>
      <c:legendPos val="b"/>
      <c:layout>
        <c:manualLayout>
          <c:xMode val="edge"/>
          <c:yMode val="edge"/>
          <c:x val="1.3319856838474666E-2"/>
          <c:y val="0.78436479588259078"/>
          <c:w val="0.95892584395900005"/>
          <c:h val="0.20058365255330216"/>
        </c:manualLayout>
      </c:layout>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legend>
    <c:plotVisOnly val="1"/>
    <c:dispBlanksAs val="gap"/>
    <c:showDLblsOverMax val="0"/>
  </c:chart>
  <c:spPr>
    <a:solidFill>
      <a:schemeClr val="bg1"/>
    </a:solidFill>
    <a:ln w="9525" cap="flat" cmpd="sng" algn="ctr">
      <a:solidFill>
        <a:schemeClr val="tx1"/>
      </a:solidFill>
      <a:round/>
    </a:ln>
    <a:effectLst/>
  </c:spPr>
  <c:txPr>
    <a:bodyPr/>
    <a:lstStyle/>
    <a:p>
      <a:pPr>
        <a:defRPr sz="1050" b="1">
          <a:solidFill>
            <a:sysClr val="windowText" lastClr="000000"/>
          </a:solidFill>
        </a:defRPr>
      </a:pPr>
      <a:endParaRPr lang="es-CO"/>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257835099610394E-2"/>
          <c:y val="3.0503583734818148E-2"/>
          <c:w val="0.88344462878190955"/>
          <c:h val="0.630119918130568"/>
        </c:manualLayout>
      </c:layout>
      <c:lineChart>
        <c:grouping val="standard"/>
        <c:varyColors val="0"/>
        <c:ser>
          <c:idx val="0"/>
          <c:order val="0"/>
          <c:tx>
            <c:strRef>
              <c:f>AprenMate!$J$13</c:f>
              <c:strCache>
                <c:ptCount val="1"/>
                <c:pt idx="0">
                  <c:v>Comprende y transforma la información cuantitativa y esquemática presentada en distintos formatos</c:v>
                </c:pt>
              </c:strCache>
            </c:strRef>
          </c:tx>
          <c:spPr>
            <a:ln w="28575" cap="rnd">
              <a:solidFill>
                <a:schemeClr val="accent1"/>
              </a:solidFill>
              <a:round/>
            </a:ln>
            <a:effectLst/>
          </c:spPr>
          <c:marker>
            <c:symbol val="none"/>
          </c:marker>
          <c:dLbls>
            <c:spPr>
              <a:noFill/>
              <a:ln>
                <a:noFill/>
              </a:ln>
              <a:effectLst/>
            </c:spPr>
            <c:txPr>
              <a:bodyPr rot="0" spcFirstLastPara="1" vertOverflow="ellipsis" vert="horz" wrap="square" anchor="ctr" anchorCtr="1"/>
              <a:lstStyle/>
              <a:p>
                <a:pPr>
                  <a:defRPr sz="105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AprenMate!$I$15:$I$22</c:f>
              <c:numCache>
                <c:formatCode>General</c:formatCode>
                <c:ptCount val="8"/>
                <c:pt idx="0">
                  <c:v>2016</c:v>
                </c:pt>
                <c:pt idx="1">
                  <c:v>2017</c:v>
                </c:pt>
                <c:pt idx="2">
                  <c:v>2018</c:v>
                </c:pt>
                <c:pt idx="3">
                  <c:v>2019</c:v>
                </c:pt>
                <c:pt idx="4">
                  <c:v>2020</c:v>
                </c:pt>
                <c:pt idx="5">
                  <c:v>2021</c:v>
                </c:pt>
                <c:pt idx="6">
                  <c:v>2022</c:v>
                </c:pt>
                <c:pt idx="7">
                  <c:v>2023</c:v>
                </c:pt>
              </c:numCache>
            </c:numRef>
          </c:cat>
          <c:val>
            <c:numRef>
              <c:f>AprenMate!$J$15:$J$22</c:f>
              <c:numCache>
                <c:formatCode>0%</c:formatCode>
                <c:ptCount val="8"/>
                <c:pt idx="0">
                  <c:v>0.51</c:v>
                </c:pt>
                <c:pt idx="1">
                  <c:v>0.35</c:v>
                </c:pt>
                <c:pt idx="2">
                  <c:v>0.4</c:v>
                </c:pt>
                <c:pt idx="3">
                  <c:v>0.3</c:v>
                </c:pt>
                <c:pt idx="4">
                  <c:v>0.24</c:v>
                </c:pt>
                <c:pt idx="5">
                  <c:v>0.31</c:v>
                </c:pt>
                <c:pt idx="6">
                  <c:v>0.32</c:v>
                </c:pt>
                <c:pt idx="7">
                  <c:v>0.33</c:v>
                </c:pt>
              </c:numCache>
            </c:numRef>
          </c:val>
          <c:smooth val="0"/>
          <c:extLst xmlns:c15="http://schemas.microsoft.com/office/drawing/2012/chart">
            <c:ext xmlns:c16="http://schemas.microsoft.com/office/drawing/2014/chart" uri="{C3380CC4-5D6E-409C-BE32-E72D297353CC}">
              <c16:uniqueId val="{00000001-5F44-49FB-8072-86A7C9DD1ADF}"/>
            </c:ext>
          </c:extLst>
        </c:ser>
        <c:ser>
          <c:idx val="1"/>
          <c:order val="1"/>
          <c:tx>
            <c:strRef>
              <c:f>AprenMate!$K$13</c:f>
              <c:strCache>
                <c:ptCount val="1"/>
                <c:pt idx="0">
                  <c:v>Frente a un problema que involucre información cuantitativa, plantea e implementa estrategias que lleven a soluciones adecuadas.</c:v>
                </c:pt>
              </c:strCache>
            </c:strRef>
          </c:tx>
          <c:spPr>
            <a:ln w="28575" cap="rnd">
              <a:solidFill>
                <a:schemeClr val="accent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ysClr val="windowText" lastClr="000000"/>
                    </a:solidFill>
                    <a:latin typeface="+mn-lt"/>
                    <a:ea typeface="+mn-ea"/>
                    <a:cs typeface="+mn-cs"/>
                  </a:defRPr>
                </a:pPr>
                <a:endParaRPr lang="es-CO"/>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AprenMate!$I$15:$I$22</c:f>
              <c:numCache>
                <c:formatCode>General</c:formatCode>
                <c:ptCount val="8"/>
                <c:pt idx="0">
                  <c:v>2016</c:v>
                </c:pt>
                <c:pt idx="1">
                  <c:v>2017</c:v>
                </c:pt>
                <c:pt idx="2">
                  <c:v>2018</c:v>
                </c:pt>
                <c:pt idx="3">
                  <c:v>2019</c:v>
                </c:pt>
                <c:pt idx="4">
                  <c:v>2020</c:v>
                </c:pt>
                <c:pt idx="5">
                  <c:v>2021</c:v>
                </c:pt>
                <c:pt idx="6">
                  <c:v>2022</c:v>
                </c:pt>
                <c:pt idx="7">
                  <c:v>2023</c:v>
                </c:pt>
              </c:numCache>
            </c:numRef>
          </c:cat>
          <c:val>
            <c:numRef>
              <c:f>AprenMate!$K$15:$K$22</c:f>
              <c:numCache>
                <c:formatCode>0%</c:formatCode>
                <c:ptCount val="8"/>
                <c:pt idx="0">
                  <c:v>0.56000000000000005</c:v>
                </c:pt>
                <c:pt idx="1">
                  <c:v>0.56999999999999995</c:v>
                </c:pt>
                <c:pt idx="2">
                  <c:v>0.51</c:v>
                </c:pt>
                <c:pt idx="3">
                  <c:v>0.55000000000000004</c:v>
                </c:pt>
                <c:pt idx="4">
                  <c:v>0.52</c:v>
                </c:pt>
                <c:pt idx="5">
                  <c:v>0.51</c:v>
                </c:pt>
                <c:pt idx="6">
                  <c:v>0.47</c:v>
                </c:pt>
                <c:pt idx="7">
                  <c:v>0.56000000000000005</c:v>
                </c:pt>
              </c:numCache>
            </c:numRef>
          </c:val>
          <c:smooth val="0"/>
          <c:extLst>
            <c:ext xmlns:c16="http://schemas.microsoft.com/office/drawing/2014/chart" uri="{C3380CC4-5D6E-409C-BE32-E72D297353CC}">
              <c16:uniqueId val="{00000000-F67B-47E1-882F-5130B5C37ADB}"/>
            </c:ext>
          </c:extLst>
        </c:ser>
        <c:ser>
          <c:idx val="2"/>
          <c:order val="2"/>
          <c:tx>
            <c:strRef>
              <c:f>AprenMate!$L$13</c:f>
              <c:strCache>
                <c:ptCount val="1"/>
                <c:pt idx="0">
                  <c:v>Valida procedimientos y  estrategias matemáticas utilizadas para dar solución a problemas.</c:v>
                </c:pt>
              </c:strCache>
            </c:strRef>
          </c:tx>
          <c:spPr>
            <a:ln w="28575" cap="rnd">
              <a:solidFill>
                <a:schemeClr val="accent3"/>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ysClr val="windowText" lastClr="000000"/>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AprenMate!$I$15:$I$22</c:f>
              <c:numCache>
                <c:formatCode>General</c:formatCode>
                <c:ptCount val="8"/>
                <c:pt idx="0">
                  <c:v>2016</c:v>
                </c:pt>
                <c:pt idx="1">
                  <c:v>2017</c:v>
                </c:pt>
                <c:pt idx="2">
                  <c:v>2018</c:v>
                </c:pt>
                <c:pt idx="3">
                  <c:v>2019</c:v>
                </c:pt>
                <c:pt idx="4">
                  <c:v>2020</c:v>
                </c:pt>
                <c:pt idx="5">
                  <c:v>2021</c:v>
                </c:pt>
                <c:pt idx="6">
                  <c:v>2022</c:v>
                </c:pt>
                <c:pt idx="7">
                  <c:v>2023</c:v>
                </c:pt>
              </c:numCache>
            </c:numRef>
          </c:cat>
          <c:val>
            <c:numRef>
              <c:f>AprenMate!$L$15:$L$22</c:f>
              <c:numCache>
                <c:formatCode>0%</c:formatCode>
                <c:ptCount val="8"/>
                <c:pt idx="0">
                  <c:v>0.37</c:v>
                </c:pt>
                <c:pt idx="1">
                  <c:v>0.5</c:v>
                </c:pt>
                <c:pt idx="2">
                  <c:v>0.56999999999999995</c:v>
                </c:pt>
                <c:pt idx="3">
                  <c:v>0.47</c:v>
                </c:pt>
                <c:pt idx="4">
                  <c:v>0.51</c:v>
                </c:pt>
                <c:pt idx="5">
                  <c:v>0.5</c:v>
                </c:pt>
                <c:pt idx="6">
                  <c:v>0.57999999999999996</c:v>
                </c:pt>
                <c:pt idx="7">
                  <c:v>0.6</c:v>
                </c:pt>
              </c:numCache>
            </c:numRef>
          </c:val>
          <c:smooth val="0"/>
          <c:extLst>
            <c:ext xmlns:c16="http://schemas.microsoft.com/office/drawing/2014/chart" uri="{C3380CC4-5D6E-409C-BE32-E72D297353CC}">
              <c16:uniqueId val="{00000001-F67B-47E1-882F-5130B5C37ADB}"/>
            </c:ext>
          </c:extLst>
        </c:ser>
        <c:dLbls>
          <c:showLegendKey val="0"/>
          <c:showVal val="1"/>
          <c:showCatName val="0"/>
          <c:showSerName val="0"/>
          <c:showPercent val="0"/>
          <c:showBubbleSize val="0"/>
        </c:dLbls>
        <c:smooth val="0"/>
        <c:axId val="-2031613264"/>
        <c:axId val="-2031612720"/>
        <c:extLst/>
      </c:lineChart>
      <c:catAx>
        <c:axId val="-20316132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1" i="0" u="none" strike="noStrike" kern="1200" baseline="0">
                <a:solidFill>
                  <a:sysClr val="windowText" lastClr="000000"/>
                </a:solidFill>
                <a:latin typeface="+mn-lt"/>
                <a:ea typeface="+mn-ea"/>
                <a:cs typeface="+mn-cs"/>
              </a:defRPr>
            </a:pPr>
            <a:endParaRPr lang="es-CO"/>
          </a:p>
        </c:txPr>
        <c:crossAx val="-2031612720"/>
        <c:crosses val="autoZero"/>
        <c:auto val="1"/>
        <c:lblAlgn val="ctr"/>
        <c:lblOffset val="100"/>
        <c:noMultiLvlLbl val="0"/>
      </c:catAx>
      <c:valAx>
        <c:axId val="-2031612720"/>
        <c:scaling>
          <c:orientation val="minMax"/>
          <c:max val="1"/>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ysClr val="windowText" lastClr="000000"/>
                </a:solidFill>
                <a:latin typeface="+mn-lt"/>
                <a:ea typeface="+mn-ea"/>
                <a:cs typeface="+mn-cs"/>
              </a:defRPr>
            </a:pPr>
            <a:endParaRPr lang="es-CO"/>
          </a:p>
        </c:txPr>
        <c:crossAx val="-2031613264"/>
        <c:crosses val="autoZero"/>
        <c:crossBetween val="between"/>
        <c:majorUnit val="0.2"/>
      </c:valAx>
      <c:spPr>
        <a:noFill/>
        <a:ln>
          <a:noFill/>
        </a:ln>
        <a:effectLst/>
      </c:spPr>
    </c:plotArea>
    <c:legend>
      <c:legendPos val="b"/>
      <c:layout>
        <c:manualLayout>
          <c:xMode val="edge"/>
          <c:yMode val="edge"/>
          <c:x val="5.9807983826773069E-2"/>
          <c:y val="0.74037588956594169"/>
          <c:w val="0.91406882206781082"/>
          <c:h val="0.25922855970036474"/>
        </c:manualLayout>
      </c:layout>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legend>
    <c:plotVisOnly val="1"/>
    <c:dispBlanksAs val="gap"/>
    <c:showDLblsOverMax val="0"/>
  </c:chart>
  <c:spPr>
    <a:solidFill>
      <a:schemeClr val="bg1"/>
    </a:solidFill>
    <a:ln w="9525" cap="flat" cmpd="sng" algn="ctr">
      <a:solidFill>
        <a:schemeClr val="tx1"/>
      </a:solidFill>
      <a:round/>
    </a:ln>
    <a:effectLst/>
  </c:spPr>
  <c:txPr>
    <a:bodyPr/>
    <a:lstStyle/>
    <a:p>
      <a:pPr>
        <a:defRPr sz="1050" b="1">
          <a:solidFill>
            <a:sysClr val="windowText" lastClr="000000"/>
          </a:solidFill>
        </a:defRPr>
      </a:pPr>
      <a:endParaRPr lang="es-CO"/>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875756764773159"/>
          <c:y val="5.1543602362086757E-2"/>
          <c:w val="0.84862851890460544"/>
          <c:h val="0.53799528253832041"/>
        </c:manualLayout>
      </c:layout>
      <c:lineChart>
        <c:grouping val="standard"/>
        <c:varyColors val="0"/>
        <c:ser>
          <c:idx val="0"/>
          <c:order val="0"/>
          <c:tx>
            <c:strRef>
              <c:f>AprenSyC!$D$13</c:f>
              <c:strCache>
                <c:ptCount val="1"/>
                <c:pt idx="0">
                  <c:v>Comprende modelos conceptuales, sus características y contextos de aplicación.</c:v>
                </c:pt>
              </c:strCache>
            </c:strRef>
          </c:tx>
          <c:spPr>
            <a:ln w="28575" cap="rnd">
              <a:solidFill>
                <a:schemeClr val="accent1"/>
              </a:solidFill>
              <a:round/>
            </a:ln>
            <a:effectLst/>
          </c:spPr>
          <c:marker>
            <c:symbol val="none"/>
          </c:marker>
          <c:dLbls>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AprenSyC!$C$15:$C$22</c:f>
              <c:numCache>
                <c:formatCode>General</c:formatCode>
                <c:ptCount val="8"/>
                <c:pt idx="0">
                  <c:v>2016</c:v>
                </c:pt>
                <c:pt idx="1">
                  <c:v>2017</c:v>
                </c:pt>
                <c:pt idx="2">
                  <c:v>2018</c:v>
                </c:pt>
                <c:pt idx="3">
                  <c:v>2019</c:v>
                </c:pt>
                <c:pt idx="4">
                  <c:v>2020</c:v>
                </c:pt>
                <c:pt idx="5">
                  <c:v>2021</c:v>
                </c:pt>
                <c:pt idx="6">
                  <c:v>2022</c:v>
                </c:pt>
                <c:pt idx="7">
                  <c:v>2023</c:v>
                </c:pt>
              </c:numCache>
            </c:numRef>
          </c:cat>
          <c:val>
            <c:numRef>
              <c:f>AprenSyC!$D$15:$D$22</c:f>
              <c:numCache>
                <c:formatCode>0%</c:formatCode>
                <c:ptCount val="8"/>
                <c:pt idx="0">
                  <c:v>0.43</c:v>
                </c:pt>
                <c:pt idx="1">
                  <c:v>0.44</c:v>
                </c:pt>
                <c:pt idx="2">
                  <c:v>0.48</c:v>
                </c:pt>
                <c:pt idx="3">
                  <c:v>0.49</c:v>
                </c:pt>
                <c:pt idx="4">
                  <c:v>0.45</c:v>
                </c:pt>
                <c:pt idx="5">
                  <c:v>0.44</c:v>
                </c:pt>
                <c:pt idx="6">
                  <c:v>0.49</c:v>
                </c:pt>
                <c:pt idx="7">
                  <c:v>0.36</c:v>
                </c:pt>
              </c:numCache>
            </c:numRef>
          </c:val>
          <c:smooth val="0"/>
          <c:extLst>
            <c:ext xmlns:c16="http://schemas.microsoft.com/office/drawing/2014/chart" uri="{C3380CC4-5D6E-409C-BE32-E72D297353CC}">
              <c16:uniqueId val="{00000001-6C4C-4FB4-98EE-2A6883D7E8AF}"/>
            </c:ext>
          </c:extLst>
        </c:ser>
        <c:ser>
          <c:idx val="1"/>
          <c:order val="1"/>
          <c:tx>
            <c:strRef>
              <c:f>AprenSyC!$E$13</c:f>
              <c:strCache>
                <c:ptCount val="1"/>
                <c:pt idx="0">
                  <c:v>Comprende dimensiones espaciales y temporales de eventos, problemáticas y prácticas sociales.</c:v>
                </c:pt>
              </c:strCache>
            </c:strRef>
          </c:tx>
          <c:spPr>
            <a:ln w="28575" cap="rnd">
              <a:solidFill>
                <a:schemeClr val="accent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AprenSyC!$C$15:$C$22</c:f>
              <c:numCache>
                <c:formatCode>General</c:formatCode>
                <c:ptCount val="8"/>
                <c:pt idx="0">
                  <c:v>2016</c:v>
                </c:pt>
                <c:pt idx="1">
                  <c:v>2017</c:v>
                </c:pt>
                <c:pt idx="2">
                  <c:v>2018</c:v>
                </c:pt>
                <c:pt idx="3">
                  <c:v>2019</c:v>
                </c:pt>
                <c:pt idx="4">
                  <c:v>2020</c:v>
                </c:pt>
                <c:pt idx="5">
                  <c:v>2021</c:v>
                </c:pt>
                <c:pt idx="6">
                  <c:v>2022</c:v>
                </c:pt>
                <c:pt idx="7">
                  <c:v>2023</c:v>
                </c:pt>
              </c:numCache>
            </c:numRef>
          </c:cat>
          <c:val>
            <c:numRef>
              <c:f>AprenSyC!$E$15:$E$22</c:f>
              <c:numCache>
                <c:formatCode>0%</c:formatCode>
                <c:ptCount val="8"/>
                <c:pt idx="0">
                  <c:v>0.43</c:v>
                </c:pt>
                <c:pt idx="1">
                  <c:v>0.51</c:v>
                </c:pt>
                <c:pt idx="2">
                  <c:v>0.62</c:v>
                </c:pt>
                <c:pt idx="3">
                  <c:v>0.5</c:v>
                </c:pt>
                <c:pt idx="4">
                  <c:v>0.5</c:v>
                </c:pt>
                <c:pt idx="5">
                  <c:v>0.61</c:v>
                </c:pt>
                <c:pt idx="6">
                  <c:v>0.56000000000000005</c:v>
                </c:pt>
                <c:pt idx="7">
                  <c:v>0.65</c:v>
                </c:pt>
              </c:numCache>
            </c:numRef>
          </c:val>
          <c:smooth val="0"/>
          <c:extLst>
            <c:ext xmlns:c16="http://schemas.microsoft.com/office/drawing/2014/chart" uri="{C3380CC4-5D6E-409C-BE32-E72D297353CC}">
              <c16:uniqueId val="{00000000-B373-45BF-B07D-ED277193D878}"/>
            </c:ext>
          </c:extLst>
        </c:ser>
        <c:dLbls>
          <c:showLegendKey val="0"/>
          <c:showVal val="1"/>
          <c:showCatName val="0"/>
          <c:showSerName val="0"/>
          <c:showPercent val="0"/>
          <c:showBubbleSize val="0"/>
        </c:dLbls>
        <c:smooth val="0"/>
        <c:axId val="-2012189584"/>
        <c:axId val="-2012181968"/>
      </c:lineChart>
      <c:catAx>
        <c:axId val="-20121895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endParaRPr lang="es-CO"/>
          </a:p>
        </c:txPr>
        <c:crossAx val="-2012181968"/>
        <c:crosses val="autoZero"/>
        <c:auto val="1"/>
        <c:lblAlgn val="ctr"/>
        <c:lblOffset val="100"/>
        <c:noMultiLvlLbl val="0"/>
      </c:catAx>
      <c:valAx>
        <c:axId val="-2012181968"/>
        <c:scaling>
          <c:orientation val="minMax"/>
          <c:max val="1"/>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endParaRPr lang="es-CO"/>
          </a:p>
        </c:txPr>
        <c:crossAx val="-2012189584"/>
        <c:crosses val="autoZero"/>
        <c:crossBetween val="between"/>
        <c:majorUnit val="0.1"/>
      </c:valAx>
      <c:spPr>
        <a:noFill/>
        <a:ln>
          <a:noFill/>
        </a:ln>
        <a:effectLst/>
      </c:spPr>
    </c:plotArea>
    <c:legend>
      <c:legendPos val="b"/>
      <c:layout>
        <c:manualLayout>
          <c:xMode val="edge"/>
          <c:yMode val="edge"/>
          <c:x val="5.7334452747520435E-2"/>
          <c:y val="0.78542650719664597"/>
          <c:w val="0.91794482452228798"/>
          <c:h val="0.19174126592412988"/>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legend>
    <c:plotVisOnly val="1"/>
    <c:dispBlanksAs val="gap"/>
    <c:showDLblsOverMax val="0"/>
  </c:chart>
  <c:spPr>
    <a:solidFill>
      <a:schemeClr val="bg1"/>
    </a:solidFill>
    <a:ln w="9525" cap="flat" cmpd="sng" algn="ctr">
      <a:solidFill>
        <a:schemeClr val="tx1"/>
      </a:solidFill>
      <a:round/>
    </a:ln>
    <a:effectLst/>
  </c:spPr>
  <c:txPr>
    <a:bodyPr/>
    <a:lstStyle/>
    <a:p>
      <a:pPr>
        <a:defRPr sz="1400" b="1">
          <a:solidFill>
            <a:sysClr val="windowText" lastClr="000000"/>
          </a:solidFill>
        </a:defRPr>
      </a:pPr>
      <a:endParaRPr lang="es-CO"/>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7239072803803582E-2"/>
          <c:y val="9.0943013416734539E-2"/>
          <c:w val="0.95182643515955268"/>
          <c:h val="0.61093640000971028"/>
        </c:manualLayout>
      </c:layout>
      <c:lineChart>
        <c:grouping val="standard"/>
        <c:varyColors val="0"/>
        <c:ser>
          <c:idx val="0"/>
          <c:order val="0"/>
          <c:tx>
            <c:strRef>
              <c:f>AprenSyC!$H$13</c:f>
              <c:strCache>
                <c:ptCount val="1"/>
                <c:pt idx="0">
                  <c:v>Evalúa usos sociales de las ciencias sociales.</c:v>
                </c:pt>
              </c:strCache>
            </c:strRef>
          </c:tx>
          <c:spPr>
            <a:ln w="28575" cap="rnd">
              <a:solidFill>
                <a:schemeClr val="accent5"/>
              </a:solidFill>
              <a:round/>
            </a:ln>
            <a:effectLst/>
          </c:spPr>
          <c:marker>
            <c:symbol val="none"/>
          </c:marker>
          <c:dLbls>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AprenSyC!$C$15:$C$22</c:f>
              <c:numCache>
                <c:formatCode>General</c:formatCode>
                <c:ptCount val="8"/>
                <c:pt idx="0">
                  <c:v>2016</c:v>
                </c:pt>
                <c:pt idx="1">
                  <c:v>2017</c:v>
                </c:pt>
                <c:pt idx="2">
                  <c:v>2018</c:v>
                </c:pt>
                <c:pt idx="3">
                  <c:v>2019</c:v>
                </c:pt>
                <c:pt idx="4">
                  <c:v>2020</c:v>
                </c:pt>
                <c:pt idx="5">
                  <c:v>2021</c:v>
                </c:pt>
                <c:pt idx="6">
                  <c:v>2022</c:v>
                </c:pt>
                <c:pt idx="7">
                  <c:v>2023</c:v>
                </c:pt>
              </c:numCache>
            </c:numRef>
          </c:cat>
          <c:val>
            <c:numRef>
              <c:f>AprenSyC!$H$15:$H$22</c:f>
              <c:numCache>
                <c:formatCode>0%</c:formatCode>
                <c:ptCount val="8"/>
                <c:pt idx="0">
                  <c:v>0.6</c:v>
                </c:pt>
                <c:pt idx="1">
                  <c:v>0.54</c:v>
                </c:pt>
                <c:pt idx="2">
                  <c:v>0.55000000000000004</c:v>
                </c:pt>
                <c:pt idx="3">
                  <c:v>0.59</c:v>
                </c:pt>
                <c:pt idx="4">
                  <c:v>0.61</c:v>
                </c:pt>
                <c:pt idx="5">
                  <c:v>0.5</c:v>
                </c:pt>
                <c:pt idx="6">
                  <c:v>0.64</c:v>
                </c:pt>
                <c:pt idx="7">
                  <c:v>0.57999999999999996</c:v>
                </c:pt>
              </c:numCache>
            </c:numRef>
          </c:val>
          <c:smooth val="0"/>
          <c:extLst>
            <c:ext xmlns:c16="http://schemas.microsoft.com/office/drawing/2014/chart" uri="{C3380CC4-5D6E-409C-BE32-E72D297353CC}">
              <c16:uniqueId val="{00000001-BAFE-421F-B084-FECEFF804D71}"/>
            </c:ext>
          </c:extLst>
        </c:ser>
        <c:ser>
          <c:idx val="1"/>
          <c:order val="1"/>
          <c:tx>
            <c:strRef>
              <c:f>AprenSyC!$I$13</c:f>
              <c:strCache>
                <c:ptCount val="1"/>
                <c:pt idx="0">
                  <c:v>Comprende que los problemas y sus soluciones involucran distintas dimensiones y reconoce relaciones entre estas.</c:v>
                </c:pt>
              </c:strCache>
            </c:strRef>
          </c:tx>
          <c:spPr>
            <a:ln w="28575" cap="rnd">
              <a:solidFill>
                <a:schemeClr val="accent6"/>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AprenSyC!$C$15:$C$22</c:f>
              <c:numCache>
                <c:formatCode>General</c:formatCode>
                <c:ptCount val="8"/>
                <c:pt idx="0">
                  <c:v>2016</c:v>
                </c:pt>
                <c:pt idx="1">
                  <c:v>2017</c:v>
                </c:pt>
                <c:pt idx="2">
                  <c:v>2018</c:v>
                </c:pt>
                <c:pt idx="3">
                  <c:v>2019</c:v>
                </c:pt>
                <c:pt idx="4">
                  <c:v>2020</c:v>
                </c:pt>
                <c:pt idx="5">
                  <c:v>2021</c:v>
                </c:pt>
                <c:pt idx="6">
                  <c:v>2022</c:v>
                </c:pt>
                <c:pt idx="7">
                  <c:v>2023</c:v>
                </c:pt>
              </c:numCache>
            </c:numRef>
          </c:cat>
          <c:val>
            <c:numRef>
              <c:f>AprenSyC!$I$15:$I$22</c:f>
              <c:numCache>
                <c:formatCode>0%</c:formatCode>
                <c:ptCount val="8"/>
                <c:pt idx="0">
                  <c:v>0.33</c:v>
                </c:pt>
                <c:pt idx="1">
                  <c:v>0.48</c:v>
                </c:pt>
                <c:pt idx="2">
                  <c:v>0.45</c:v>
                </c:pt>
                <c:pt idx="3">
                  <c:v>0.5</c:v>
                </c:pt>
                <c:pt idx="4">
                  <c:v>0.48</c:v>
                </c:pt>
                <c:pt idx="5">
                  <c:v>0.48</c:v>
                </c:pt>
                <c:pt idx="6">
                  <c:v>0.44</c:v>
                </c:pt>
                <c:pt idx="7">
                  <c:v>0.65</c:v>
                </c:pt>
              </c:numCache>
            </c:numRef>
          </c:val>
          <c:smooth val="0"/>
          <c:extLst>
            <c:ext xmlns:c16="http://schemas.microsoft.com/office/drawing/2014/chart" uri="{C3380CC4-5D6E-409C-BE32-E72D297353CC}">
              <c16:uniqueId val="{00000000-19E6-4E8E-8919-037C7C9F5B02}"/>
            </c:ext>
          </c:extLst>
        </c:ser>
        <c:dLbls>
          <c:showLegendKey val="0"/>
          <c:showVal val="1"/>
          <c:showCatName val="0"/>
          <c:showSerName val="0"/>
          <c:showPercent val="0"/>
          <c:showBubbleSize val="0"/>
        </c:dLbls>
        <c:smooth val="0"/>
        <c:axId val="-2012183056"/>
        <c:axId val="-2012184144"/>
      </c:lineChart>
      <c:catAx>
        <c:axId val="-20121830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mn-lt"/>
                <a:ea typeface="+mn-ea"/>
                <a:cs typeface="+mn-cs"/>
              </a:defRPr>
            </a:pPr>
            <a:endParaRPr lang="es-CO"/>
          </a:p>
        </c:txPr>
        <c:crossAx val="-2012184144"/>
        <c:crosses val="autoZero"/>
        <c:auto val="1"/>
        <c:lblAlgn val="ctr"/>
        <c:lblOffset val="100"/>
        <c:noMultiLvlLbl val="0"/>
      </c:catAx>
      <c:valAx>
        <c:axId val="-2012184144"/>
        <c:scaling>
          <c:orientation val="minMax"/>
          <c:max val="1"/>
          <c:min val="0"/>
        </c:scaling>
        <c:delete val="0"/>
        <c:axPos val="l"/>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endParaRPr lang="es-CO"/>
          </a:p>
        </c:txPr>
        <c:crossAx val="-2012183056"/>
        <c:crosses val="autoZero"/>
        <c:crossBetween val="between"/>
      </c:valAx>
      <c:spPr>
        <a:noFill/>
        <a:ln>
          <a:noFill/>
        </a:ln>
        <a:effectLst/>
      </c:spPr>
    </c:plotArea>
    <c:legend>
      <c:legendPos val="b"/>
      <c:layout>
        <c:manualLayout>
          <c:xMode val="edge"/>
          <c:yMode val="edge"/>
          <c:x val="9.1740918682274075E-2"/>
          <c:y val="0.80424093544783626"/>
          <c:w val="0.86674198719338102"/>
          <c:h val="0.16233893537152264"/>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legend>
    <c:plotVisOnly val="1"/>
    <c:dispBlanksAs val="gap"/>
    <c:showDLblsOverMax val="0"/>
  </c:chart>
  <c:spPr>
    <a:solidFill>
      <a:schemeClr val="bg1"/>
    </a:solidFill>
    <a:ln w="9525" cap="flat" cmpd="sng" algn="ctr">
      <a:solidFill>
        <a:schemeClr val="tx1"/>
      </a:solidFill>
      <a:round/>
    </a:ln>
    <a:effectLst/>
  </c:spPr>
  <c:txPr>
    <a:bodyPr/>
    <a:lstStyle/>
    <a:p>
      <a:pPr>
        <a:defRPr sz="1600" b="1">
          <a:solidFill>
            <a:sysClr val="windowText" lastClr="000000"/>
          </a:solidFill>
        </a:defRPr>
      </a:pPr>
      <a:endParaRPr lang="es-CO"/>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1527947583883005E-2"/>
          <c:y val="4.4393638858479516E-2"/>
          <c:w val="0.91979006425060261"/>
          <c:h val="0.65704306874723128"/>
        </c:manualLayout>
      </c:layout>
      <c:lineChart>
        <c:grouping val="standard"/>
        <c:varyColors val="0"/>
        <c:ser>
          <c:idx val="0"/>
          <c:order val="0"/>
          <c:tx>
            <c:strRef>
              <c:f>AprenSyC!$F$13</c:f>
              <c:strCache>
                <c:ptCount val="1"/>
                <c:pt idx="0">
                  <c:v>Contextualiza y evalúa usos de fuentes y argumentos.</c:v>
                </c:pt>
              </c:strCache>
            </c:strRef>
          </c:tx>
          <c:spPr>
            <a:ln w="28575" cap="rnd">
              <a:solidFill>
                <a:schemeClr val="accent3"/>
              </a:solidFill>
              <a:round/>
            </a:ln>
            <a:effectLst/>
          </c:spPr>
          <c:marker>
            <c:symbol val="none"/>
          </c:marker>
          <c:dLbls>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AprenSyC!$C$15:$C$22</c:f>
              <c:numCache>
                <c:formatCode>General</c:formatCode>
                <c:ptCount val="8"/>
                <c:pt idx="0">
                  <c:v>2016</c:v>
                </c:pt>
                <c:pt idx="1">
                  <c:v>2017</c:v>
                </c:pt>
                <c:pt idx="2">
                  <c:v>2018</c:v>
                </c:pt>
                <c:pt idx="3">
                  <c:v>2019</c:v>
                </c:pt>
                <c:pt idx="4">
                  <c:v>2020</c:v>
                </c:pt>
                <c:pt idx="5">
                  <c:v>2021</c:v>
                </c:pt>
                <c:pt idx="6">
                  <c:v>2022</c:v>
                </c:pt>
                <c:pt idx="7">
                  <c:v>2023</c:v>
                </c:pt>
              </c:numCache>
            </c:numRef>
          </c:cat>
          <c:val>
            <c:numRef>
              <c:f>AprenSyC!$F$15:$F$22</c:f>
              <c:numCache>
                <c:formatCode>0%</c:formatCode>
                <c:ptCount val="8"/>
                <c:pt idx="0">
                  <c:v>0.54</c:v>
                </c:pt>
                <c:pt idx="1">
                  <c:v>0.42</c:v>
                </c:pt>
                <c:pt idx="2">
                  <c:v>0.54</c:v>
                </c:pt>
                <c:pt idx="3">
                  <c:v>0.48</c:v>
                </c:pt>
                <c:pt idx="4">
                  <c:v>0.51</c:v>
                </c:pt>
                <c:pt idx="5">
                  <c:v>0.48</c:v>
                </c:pt>
                <c:pt idx="6">
                  <c:v>0.56999999999999995</c:v>
                </c:pt>
                <c:pt idx="7">
                  <c:v>0.59</c:v>
                </c:pt>
              </c:numCache>
            </c:numRef>
          </c:val>
          <c:smooth val="0"/>
          <c:extLst>
            <c:ext xmlns:c16="http://schemas.microsoft.com/office/drawing/2014/chart" uri="{C3380CC4-5D6E-409C-BE32-E72D297353CC}">
              <c16:uniqueId val="{00000000-D184-43D1-AAAE-1AE7F022B472}"/>
            </c:ext>
          </c:extLst>
        </c:ser>
        <c:ser>
          <c:idx val="1"/>
          <c:order val="1"/>
          <c:tx>
            <c:strRef>
              <c:f>AprenSyC!$G$13</c:f>
              <c:strCache>
                <c:ptCount val="1"/>
                <c:pt idx="0">
                  <c:v>Comprende perspectivas de distintos actores y grupos sociales.</c:v>
                </c:pt>
              </c:strCache>
            </c:strRef>
          </c:tx>
          <c:spPr>
            <a:ln w="28575" cap="rnd">
              <a:solidFill>
                <a:schemeClr val="accent4"/>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AprenSyC!$C$15:$C$22</c:f>
              <c:numCache>
                <c:formatCode>General</c:formatCode>
                <c:ptCount val="8"/>
                <c:pt idx="0">
                  <c:v>2016</c:v>
                </c:pt>
                <c:pt idx="1">
                  <c:v>2017</c:v>
                </c:pt>
                <c:pt idx="2">
                  <c:v>2018</c:v>
                </c:pt>
                <c:pt idx="3">
                  <c:v>2019</c:v>
                </c:pt>
                <c:pt idx="4">
                  <c:v>2020</c:v>
                </c:pt>
                <c:pt idx="5">
                  <c:v>2021</c:v>
                </c:pt>
                <c:pt idx="6">
                  <c:v>2022</c:v>
                </c:pt>
                <c:pt idx="7">
                  <c:v>2023</c:v>
                </c:pt>
              </c:numCache>
            </c:numRef>
          </c:cat>
          <c:val>
            <c:numRef>
              <c:f>AprenSyC!$G$15:$G$22</c:f>
              <c:numCache>
                <c:formatCode>0%</c:formatCode>
                <c:ptCount val="8"/>
                <c:pt idx="0">
                  <c:v>0.48</c:v>
                </c:pt>
                <c:pt idx="1">
                  <c:v>0.51</c:v>
                </c:pt>
                <c:pt idx="2">
                  <c:v>0.51</c:v>
                </c:pt>
                <c:pt idx="3">
                  <c:v>0.52</c:v>
                </c:pt>
                <c:pt idx="4">
                  <c:v>0.45</c:v>
                </c:pt>
                <c:pt idx="5">
                  <c:v>0.55000000000000004</c:v>
                </c:pt>
                <c:pt idx="6">
                  <c:v>0.4</c:v>
                </c:pt>
                <c:pt idx="7">
                  <c:v>0.56999999999999995</c:v>
                </c:pt>
              </c:numCache>
            </c:numRef>
          </c:val>
          <c:smooth val="0"/>
          <c:extLst>
            <c:ext xmlns:c16="http://schemas.microsoft.com/office/drawing/2014/chart" uri="{C3380CC4-5D6E-409C-BE32-E72D297353CC}">
              <c16:uniqueId val="{00000001-D184-43D1-AAAE-1AE7F022B472}"/>
            </c:ext>
          </c:extLst>
        </c:ser>
        <c:dLbls>
          <c:showLegendKey val="0"/>
          <c:showVal val="1"/>
          <c:showCatName val="0"/>
          <c:showSerName val="0"/>
          <c:showPercent val="0"/>
          <c:showBubbleSize val="0"/>
        </c:dLbls>
        <c:smooth val="0"/>
        <c:axId val="-2012185232"/>
        <c:axId val="-2012195024"/>
      </c:lineChart>
      <c:catAx>
        <c:axId val="-20121852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endParaRPr lang="es-CO"/>
          </a:p>
        </c:txPr>
        <c:crossAx val="-2012195024"/>
        <c:crosses val="autoZero"/>
        <c:auto val="1"/>
        <c:lblAlgn val="ctr"/>
        <c:lblOffset val="100"/>
        <c:noMultiLvlLbl val="0"/>
      </c:catAx>
      <c:valAx>
        <c:axId val="-2012195024"/>
        <c:scaling>
          <c:orientation val="minMax"/>
          <c:max val="1"/>
        </c:scaling>
        <c:delete val="0"/>
        <c:axPos val="l"/>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endParaRPr lang="es-CO"/>
          </a:p>
        </c:txPr>
        <c:crossAx val="-2012185232"/>
        <c:crosses val="autoZero"/>
        <c:crossBetween val="between"/>
        <c:majorUnit val="0.1"/>
      </c:valAx>
      <c:spPr>
        <a:noFill/>
        <a:ln>
          <a:noFill/>
        </a:ln>
        <a:effectLst/>
      </c:spPr>
    </c:plotArea>
    <c:legend>
      <c:legendPos val="b"/>
      <c:layout>
        <c:manualLayout>
          <c:xMode val="edge"/>
          <c:yMode val="edge"/>
          <c:x val="7.5608434701634905E-2"/>
          <c:y val="0.81288300968643867"/>
          <c:w val="0.8103415254997175"/>
          <c:h val="0.1355800849084671"/>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legend>
    <c:plotVisOnly val="1"/>
    <c:dispBlanksAs val="gap"/>
    <c:showDLblsOverMax val="0"/>
  </c:chart>
  <c:spPr>
    <a:solidFill>
      <a:schemeClr val="bg1"/>
    </a:solidFill>
    <a:ln w="9525" cap="flat" cmpd="sng" algn="ctr">
      <a:solidFill>
        <a:schemeClr val="tx1"/>
      </a:solidFill>
      <a:round/>
    </a:ln>
    <a:effectLst/>
  </c:spPr>
  <c:txPr>
    <a:bodyPr/>
    <a:lstStyle/>
    <a:p>
      <a:pPr>
        <a:defRPr sz="1400" b="1">
          <a:solidFill>
            <a:sysClr val="windowText" lastClr="000000"/>
          </a:solidFill>
        </a:defRPr>
      </a:pPr>
      <a:endParaRPr lang="es-CO"/>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195560464589006"/>
          <c:y val="5.4675121629348566E-2"/>
          <c:w val="0.79682451085615236"/>
          <c:h val="0.61562709581368957"/>
        </c:manualLayout>
      </c:layout>
      <c:lineChart>
        <c:grouping val="standard"/>
        <c:varyColors val="0"/>
        <c:ser>
          <c:idx val="0"/>
          <c:order val="0"/>
          <c:tx>
            <c:strRef>
              <c:f>AprenCNProVivos!$C$14</c:f>
              <c:strCache>
                <c:ptCount val="1"/>
                <c:pt idx="0">
                  <c:v>Modelar fenómenos de la naturaleza basado en el análisis de variables, la relación entre dos o más conceptos del conocimiento científico y de la evidencia derivada de investigaciones científicas. - Procesos vivos</c:v>
                </c:pt>
              </c:strCache>
            </c:strRef>
          </c:tx>
          <c:spPr>
            <a:ln w="28575" cap="rnd">
              <a:solidFill>
                <a:schemeClr val="accent1"/>
              </a:solidFill>
              <a:round/>
            </a:ln>
            <a:effectLst/>
          </c:spPr>
          <c:marker>
            <c:symbol val="none"/>
          </c:marker>
          <c:dLbls>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AprenCNProVivos!$B$16:$B$23</c:f>
              <c:numCache>
                <c:formatCode>General</c:formatCode>
                <c:ptCount val="8"/>
                <c:pt idx="0">
                  <c:v>2016</c:v>
                </c:pt>
                <c:pt idx="1">
                  <c:v>2017</c:v>
                </c:pt>
                <c:pt idx="2">
                  <c:v>2018</c:v>
                </c:pt>
                <c:pt idx="3">
                  <c:v>2019</c:v>
                </c:pt>
                <c:pt idx="4">
                  <c:v>2020</c:v>
                </c:pt>
                <c:pt idx="5">
                  <c:v>2021</c:v>
                </c:pt>
                <c:pt idx="6">
                  <c:v>2022</c:v>
                </c:pt>
                <c:pt idx="7">
                  <c:v>2023</c:v>
                </c:pt>
              </c:numCache>
            </c:numRef>
          </c:cat>
          <c:val>
            <c:numRef>
              <c:f>AprenCNProVivos!$C$16:$C$23</c:f>
              <c:numCache>
                <c:formatCode>0%</c:formatCode>
                <c:ptCount val="8"/>
                <c:pt idx="0">
                  <c:v>0.34</c:v>
                </c:pt>
                <c:pt idx="1">
                  <c:v>0.3</c:v>
                </c:pt>
                <c:pt idx="2">
                  <c:v>0.47</c:v>
                </c:pt>
                <c:pt idx="3">
                  <c:v>0.57999999999999996</c:v>
                </c:pt>
                <c:pt idx="4">
                  <c:v>0.49</c:v>
                </c:pt>
                <c:pt idx="5">
                  <c:v>0.46</c:v>
                </c:pt>
                <c:pt idx="6">
                  <c:v>0.38</c:v>
                </c:pt>
                <c:pt idx="7">
                  <c:v>0.62</c:v>
                </c:pt>
              </c:numCache>
            </c:numRef>
          </c:val>
          <c:smooth val="0"/>
          <c:extLst xmlns:c15="http://schemas.microsoft.com/office/drawing/2012/chart">
            <c:ext xmlns:c16="http://schemas.microsoft.com/office/drawing/2014/chart" uri="{C3380CC4-5D6E-409C-BE32-E72D297353CC}">
              <c16:uniqueId val="{00000002-B0BA-4C3F-837D-EA94EC7A71CB}"/>
            </c:ext>
          </c:extLst>
        </c:ser>
        <c:ser>
          <c:idx val="1"/>
          <c:order val="1"/>
          <c:tx>
            <c:strRef>
              <c:f>AprenCNProVivos!$D$14</c:f>
              <c:strCache>
                <c:ptCount val="1"/>
                <c:pt idx="0">
                  <c:v>Explicar cómo ocurren algunos fenómenos de la naturaleza basado en observaciones, en patrones y  en conceptos propios del conocimiento científico. - Procesos vivos</c:v>
                </c:pt>
              </c:strCache>
            </c:strRef>
          </c:tx>
          <c:spPr>
            <a:ln w="28575" cap="rnd">
              <a:solidFill>
                <a:schemeClr val="accent2"/>
              </a:solidFill>
              <a:round/>
            </a:ln>
            <a:effectLst/>
          </c:spPr>
          <c:marker>
            <c:symbol val="none"/>
          </c:marker>
          <c:dLbls>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AprenCNProVivos!$B$16:$B$23</c:f>
              <c:numCache>
                <c:formatCode>General</c:formatCode>
                <c:ptCount val="8"/>
                <c:pt idx="0">
                  <c:v>2016</c:v>
                </c:pt>
                <c:pt idx="1">
                  <c:v>2017</c:v>
                </c:pt>
                <c:pt idx="2">
                  <c:v>2018</c:v>
                </c:pt>
                <c:pt idx="3">
                  <c:v>2019</c:v>
                </c:pt>
                <c:pt idx="4">
                  <c:v>2020</c:v>
                </c:pt>
                <c:pt idx="5">
                  <c:v>2021</c:v>
                </c:pt>
                <c:pt idx="6">
                  <c:v>2022</c:v>
                </c:pt>
                <c:pt idx="7">
                  <c:v>2023</c:v>
                </c:pt>
              </c:numCache>
            </c:numRef>
          </c:cat>
          <c:val>
            <c:numRef>
              <c:f>AprenCNProVivos!$D$16:$D$23</c:f>
              <c:numCache>
                <c:formatCode>0%</c:formatCode>
                <c:ptCount val="8"/>
                <c:pt idx="0">
                  <c:v>0.28999999999999998</c:v>
                </c:pt>
                <c:pt idx="1">
                  <c:v>0.52</c:v>
                </c:pt>
                <c:pt idx="2">
                  <c:v>0.38</c:v>
                </c:pt>
                <c:pt idx="3">
                  <c:v>0.49</c:v>
                </c:pt>
                <c:pt idx="4">
                  <c:v>0.67</c:v>
                </c:pt>
                <c:pt idx="5">
                  <c:v>0.5</c:v>
                </c:pt>
                <c:pt idx="6">
                  <c:v>0.59</c:v>
                </c:pt>
                <c:pt idx="7">
                  <c:v>0.6</c:v>
                </c:pt>
              </c:numCache>
            </c:numRef>
          </c:val>
          <c:smooth val="0"/>
          <c:extLst>
            <c:ext xmlns:c16="http://schemas.microsoft.com/office/drawing/2014/chart" uri="{C3380CC4-5D6E-409C-BE32-E72D297353CC}">
              <c16:uniqueId val="{00000000-B0BA-4C3F-837D-EA94EC7A71CB}"/>
            </c:ext>
          </c:extLst>
        </c:ser>
        <c:dLbls>
          <c:showLegendKey val="0"/>
          <c:showVal val="1"/>
          <c:showCatName val="0"/>
          <c:showSerName val="0"/>
          <c:showPercent val="0"/>
          <c:showBubbleSize val="0"/>
        </c:dLbls>
        <c:smooth val="0"/>
        <c:axId val="-2011121104"/>
        <c:axId val="-2011130352"/>
        <c:extLst/>
      </c:lineChart>
      <c:catAx>
        <c:axId val="-20111211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crossAx val="-2011130352"/>
        <c:crosses val="autoZero"/>
        <c:auto val="1"/>
        <c:lblAlgn val="ctr"/>
        <c:lblOffset val="100"/>
        <c:noMultiLvlLbl val="0"/>
      </c:catAx>
      <c:valAx>
        <c:axId val="-2011130352"/>
        <c:scaling>
          <c:orientation val="minMax"/>
          <c:max val="1"/>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crossAx val="-2011121104"/>
        <c:crosses val="autoZero"/>
        <c:crossBetween val="between"/>
      </c:valAx>
      <c:spPr>
        <a:noFill/>
        <a:ln>
          <a:noFill/>
        </a:ln>
        <a:effectLst/>
      </c:spPr>
    </c:plotArea>
    <c:legend>
      <c:legendPos val="b"/>
      <c:layout>
        <c:manualLayout>
          <c:xMode val="edge"/>
          <c:yMode val="edge"/>
          <c:x val="7.0251166131395468E-2"/>
          <c:y val="0.75527361667434689"/>
          <c:w val="0.89444671813817667"/>
          <c:h val="0.20852830112950321"/>
        </c:manualLayout>
      </c:layout>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legend>
    <c:plotVisOnly val="1"/>
    <c:dispBlanksAs val="gap"/>
    <c:showDLblsOverMax val="0"/>
  </c:chart>
  <c:spPr>
    <a:solidFill>
      <a:schemeClr val="bg1"/>
    </a:solidFill>
    <a:ln w="9525" cap="flat" cmpd="sng" algn="ctr">
      <a:solidFill>
        <a:schemeClr val="tx1"/>
      </a:solidFill>
      <a:round/>
    </a:ln>
    <a:effectLst/>
  </c:spPr>
  <c:txPr>
    <a:bodyPr/>
    <a:lstStyle/>
    <a:p>
      <a:pPr>
        <a:defRPr sz="1400" b="1">
          <a:solidFill>
            <a:sysClr val="windowText" lastClr="000000"/>
          </a:solidFill>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4"/>
          <c:order val="0"/>
          <c:tx>
            <c:strRef>
              <c:f>AprenCNProVivos!$E$14</c:f>
              <c:strCache>
                <c:ptCount val="1"/>
                <c:pt idx="0">
                  <c:v>Comprender que a partir de la investigación científica se construyen explicaciones sobre el mundo natural. - Procesos vivos</c:v>
                </c:pt>
              </c:strCache>
            </c:strRef>
          </c:tx>
          <c:marker>
            <c:symbol val="none"/>
          </c:marker>
          <c:dLbls>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AprenCNProVivos!$B$16:$B$23</c:f>
              <c:numCache>
                <c:formatCode>General</c:formatCode>
                <c:ptCount val="8"/>
                <c:pt idx="0">
                  <c:v>2016</c:v>
                </c:pt>
                <c:pt idx="1">
                  <c:v>2017</c:v>
                </c:pt>
                <c:pt idx="2">
                  <c:v>2018</c:v>
                </c:pt>
                <c:pt idx="3">
                  <c:v>2019</c:v>
                </c:pt>
                <c:pt idx="4">
                  <c:v>2020</c:v>
                </c:pt>
                <c:pt idx="5">
                  <c:v>2021</c:v>
                </c:pt>
                <c:pt idx="6">
                  <c:v>2022</c:v>
                </c:pt>
                <c:pt idx="7">
                  <c:v>2023</c:v>
                </c:pt>
              </c:numCache>
            </c:numRef>
          </c:cat>
          <c:val>
            <c:numRef>
              <c:f>AprenCNProVivos!$E$16:$E$23</c:f>
              <c:numCache>
                <c:formatCode>0%</c:formatCode>
                <c:ptCount val="8"/>
                <c:pt idx="0">
                  <c:v>0.66</c:v>
                </c:pt>
                <c:pt idx="1">
                  <c:v>0.55000000000000004</c:v>
                </c:pt>
                <c:pt idx="2">
                  <c:v>0.64</c:v>
                </c:pt>
                <c:pt idx="3">
                  <c:v>0.52</c:v>
                </c:pt>
                <c:pt idx="4">
                  <c:v>0.52</c:v>
                </c:pt>
                <c:pt idx="5">
                  <c:v>0.46</c:v>
                </c:pt>
                <c:pt idx="6">
                  <c:v>0</c:v>
                </c:pt>
                <c:pt idx="7">
                  <c:v>0.37</c:v>
                </c:pt>
              </c:numCache>
            </c:numRef>
          </c:val>
          <c:smooth val="0"/>
          <c:extLst>
            <c:ext xmlns:c16="http://schemas.microsoft.com/office/drawing/2014/chart" uri="{C3380CC4-5D6E-409C-BE32-E72D297353CC}">
              <c16:uniqueId val="{00000000-CA9D-40E9-93A4-D9E1955F4A0E}"/>
            </c:ext>
          </c:extLst>
        </c:ser>
        <c:ser>
          <c:idx val="5"/>
          <c:order val="1"/>
          <c:tx>
            <c:strRef>
              <c:f>AprenCNProVivos!$F$14</c:f>
              <c:strCache>
                <c:ptCount val="1"/>
                <c:pt idx="0">
                  <c:v>Derivar conclusiones para algunos fenómenos de la naturaleza basándose en conocimientos científicos y en la evidencia de su propia investigación y de la de otros. - Procesos vivos</c:v>
                </c:pt>
              </c:strCache>
            </c:strRef>
          </c:tx>
          <c:marker>
            <c:symbol val="none"/>
          </c:marker>
          <c:dLbls>
            <c:spPr>
              <a:noFill/>
              <a:ln>
                <a:noFill/>
              </a:ln>
              <a:effectLst/>
            </c:spPr>
            <c:dLblPos val="l"/>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AprenCNProVivos!$B$16:$B$23</c:f>
              <c:numCache>
                <c:formatCode>General</c:formatCode>
                <c:ptCount val="8"/>
                <c:pt idx="0">
                  <c:v>2016</c:v>
                </c:pt>
                <c:pt idx="1">
                  <c:v>2017</c:v>
                </c:pt>
                <c:pt idx="2">
                  <c:v>2018</c:v>
                </c:pt>
                <c:pt idx="3">
                  <c:v>2019</c:v>
                </c:pt>
                <c:pt idx="4">
                  <c:v>2020</c:v>
                </c:pt>
                <c:pt idx="5">
                  <c:v>2021</c:v>
                </c:pt>
                <c:pt idx="6">
                  <c:v>2022</c:v>
                </c:pt>
                <c:pt idx="7">
                  <c:v>2023</c:v>
                </c:pt>
              </c:numCache>
            </c:numRef>
          </c:cat>
          <c:val>
            <c:numRef>
              <c:f>AprenCNProVivos!$F$16:$F$23</c:f>
              <c:numCache>
                <c:formatCode>0%</c:formatCode>
                <c:ptCount val="8"/>
                <c:pt idx="0">
                  <c:v>0.21</c:v>
                </c:pt>
                <c:pt idx="1">
                  <c:v>0.43</c:v>
                </c:pt>
                <c:pt idx="2">
                  <c:v>0.32</c:v>
                </c:pt>
                <c:pt idx="3">
                  <c:v>0.37</c:v>
                </c:pt>
                <c:pt idx="4">
                  <c:v>0.42</c:v>
                </c:pt>
                <c:pt idx="5">
                  <c:v>0.56000000000000005</c:v>
                </c:pt>
                <c:pt idx="6">
                  <c:v>0.5</c:v>
                </c:pt>
                <c:pt idx="7">
                  <c:v>0.54</c:v>
                </c:pt>
              </c:numCache>
            </c:numRef>
          </c:val>
          <c:smooth val="0"/>
          <c:extLst>
            <c:ext xmlns:c16="http://schemas.microsoft.com/office/drawing/2014/chart" uri="{C3380CC4-5D6E-409C-BE32-E72D297353CC}">
              <c16:uniqueId val="{00000001-CA9D-40E9-93A4-D9E1955F4A0E}"/>
            </c:ext>
          </c:extLst>
        </c:ser>
        <c:dLbls>
          <c:dLblPos val="r"/>
          <c:showLegendKey val="0"/>
          <c:showVal val="1"/>
          <c:showCatName val="0"/>
          <c:showSerName val="0"/>
          <c:showPercent val="0"/>
          <c:showBubbleSize val="0"/>
        </c:dLbls>
        <c:smooth val="0"/>
        <c:axId val="-2011125456"/>
        <c:axId val="-2011126544"/>
        <c:extLst/>
      </c:lineChart>
      <c:catAx>
        <c:axId val="-20111254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vert="horz"/>
          <a:lstStyle/>
          <a:p>
            <a:pPr>
              <a:defRPr/>
            </a:pPr>
            <a:endParaRPr lang="es-CO"/>
          </a:p>
        </c:txPr>
        <c:crossAx val="-2011126544"/>
        <c:crosses val="autoZero"/>
        <c:auto val="1"/>
        <c:lblAlgn val="ctr"/>
        <c:lblOffset val="100"/>
        <c:noMultiLvlLbl val="0"/>
      </c:catAx>
      <c:valAx>
        <c:axId val="-2011126544"/>
        <c:scaling>
          <c:orientation val="minMax"/>
          <c:max val="1"/>
        </c:scaling>
        <c:delete val="0"/>
        <c:axPos val="l"/>
        <c:numFmt formatCode="0%" sourceLinked="1"/>
        <c:majorTickMark val="none"/>
        <c:minorTickMark val="none"/>
        <c:tickLblPos val="nextTo"/>
        <c:spPr>
          <a:noFill/>
          <a:ln>
            <a:noFill/>
          </a:ln>
          <a:effectLst/>
        </c:spPr>
        <c:txPr>
          <a:bodyPr rot="-60000000" vert="horz"/>
          <a:lstStyle/>
          <a:p>
            <a:pPr>
              <a:defRPr/>
            </a:pPr>
            <a:endParaRPr lang="es-CO"/>
          </a:p>
        </c:txPr>
        <c:crossAx val="-2011125456"/>
        <c:crosses val="autoZero"/>
        <c:crossBetween val="between"/>
      </c:valAx>
    </c:plotArea>
    <c:legend>
      <c:legendPos val="r"/>
      <c:overlay val="0"/>
      <c:spPr>
        <a:noFill/>
        <a:ln>
          <a:noFill/>
        </a:ln>
        <a:effectLst/>
      </c:spPr>
      <c:txPr>
        <a:bodyPr rot="0" vert="horz"/>
        <a:lstStyle/>
        <a:p>
          <a:pPr>
            <a:defRPr sz="1100"/>
          </a:pPr>
          <a:endParaRPr lang="es-CO"/>
        </a:p>
      </c:txPr>
    </c:legend>
    <c:plotVisOnly val="1"/>
    <c:dispBlanksAs val="gap"/>
    <c:showDLblsOverMax val="0"/>
  </c:chart>
  <c:spPr>
    <a:solidFill>
      <a:schemeClr val="bg1"/>
    </a:solidFill>
    <a:ln w="9525" cap="flat" cmpd="sng" algn="ctr">
      <a:solidFill>
        <a:schemeClr val="tx1"/>
      </a:solidFill>
      <a:round/>
    </a:ln>
    <a:effectLst/>
  </c:spPr>
  <c:txPr>
    <a:bodyPr/>
    <a:lstStyle/>
    <a:p>
      <a:pPr>
        <a:defRPr sz="1400" b="1">
          <a:solidFill>
            <a:sysClr val="windowText" lastClr="000000"/>
          </a:solidFill>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802965466749243"/>
          <c:y val="5.7925814946674183E-2"/>
          <c:w val="0.79963138728663807"/>
          <c:h val="0.5859803686856595"/>
        </c:manualLayout>
      </c:layout>
      <c:lineChart>
        <c:grouping val="standard"/>
        <c:varyColors val="0"/>
        <c:ser>
          <c:idx val="0"/>
          <c:order val="0"/>
          <c:tx>
            <c:strRef>
              <c:f>AprenCNProVivos!$I$14</c:f>
              <c:strCache>
                <c:ptCount val="1"/>
                <c:pt idx="0">
                  <c:v>Asociar fenómenos naturales con conceptos propios del conocimiento científico. - Procesos vivos</c:v>
                </c:pt>
              </c:strCache>
            </c:strRef>
          </c:tx>
          <c:spPr>
            <a:ln w="28575" cap="rnd">
              <a:solidFill>
                <a:schemeClr val="accent1"/>
              </a:solidFill>
              <a:round/>
            </a:ln>
            <a:effectLst/>
          </c:spPr>
          <c:marker>
            <c:symbol val="none"/>
          </c:marker>
          <c:dLbls>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AprenCNProVivos!$B$16:$B$23</c:f>
              <c:numCache>
                <c:formatCode>General</c:formatCode>
                <c:ptCount val="8"/>
                <c:pt idx="0">
                  <c:v>2016</c:v>
                </c:pt>
                <c:pt idx="1">
                  <c:v>2017</c:v>
                </c:pt>
                <c:pt idx="2">
                  <c:v>2018</c:v>
                </c:pt>
                <c:pt idx="3">
                  <c:v>2019</c:v>
                </c:pt>
                <c:pt idx="4">
                  <c:v>2020</c:v>
                </c:pt>
                <c:pt idx="5">
                  <c:v>2021</c:v>
                </c:pt>
                <c:pt idx="6">
                  <c:v>2022</c:v>
                </c:pt>
                <c:pt idx="7">
                  <c:v>2023</c:v>
                </c:pt>
              </c:numCache>
            </c:numRef>
          </c:cat>
          <c:val>
            <c:numRef>
              <c:f>AprenCNProVivos!$I$16:$I$23</c:f>
              <c:numCache>
                <c:formatCode>0%</c:formatCode>
                <c:ptCount val="8"/>
                <c:pt idx="0">
                  <c:v>0.28999999999999998</c:v>
                </c:pt>
                <c:pt idx="1">
                  <c:v>0.5</c:v>
                </c:pt>
                <c:pt idx="2">
                  <c:v>0.48</c:v>
                </c:pt>
                <c:pt idx="3">
                  <c:v>0.57999999999999996</c:v>
                </c:pt>
                <c:pt idx="4">
                  <c:v>0.5</c:v>
                </c:pt>
                <c:pt idx="5">
                  <c:v>0.51</c:v>
                </c:pt>
                <c:pt idx="6">
                  <c:v>0.44</c:v>
                </c:pt>
                <c:pt idx="7">
                  <c:v>0.45</c:v>
                </c:pt>
              </c:numCache>
            </c:numRef>
          </c:val>
          <c:smooth val="0"/>
          <c:extLst>
            <c:ext xmlns:c16="http://schemas.microsoft.com/office/drawing/2014/chart" uri="{C3380CC4-5D6E-409C-BE32-E72D297353CC}">
              <c16:uniqueId val="{00000000-C8CB-4157-B892-A9B109E0B5F5}"/>
            </c:ext>
          </c:extLst>
        </c:ser>
        <c:ser>
          <c:idx val="1"/>
          <c:order val="1"/>
          <c:tx>
            <c:strRef>
              <c:f>AprenCNProVivos!$J$14</c:f>
              <c:strCache>
                <c:ptCount val="1"/>
                <c:pt idx="0">
                  <c:v>Identificar las características  de algunos fenómenos de la naturaleza basado en el análisis de información  y  conceptos propios del conocimiento científico. - Procesos vivos</c:v>
                </c:pt>
              </c:strCache>
            </c:strRef>
          </c:tx>
          <c:spPr>
            <a:ln w="28575" cap="rnd">
              <a:solidFill>
                <a:schemeClr val="accent2"/>
              </a:solidFill>
              <a:round/>
            </a:ln>
            <a:effectLst/>
          </c:spPr>
          <c:marker>
            <c:symbol val="none"/>
          </c:marker>
          <c:dLbls>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AprenCNProVivos!$B$16:$B$23</c:f>
              <c:numCache>
                <c:formatCode>General</c:formatCode>
                <c:ptCount val="8"/>
                <c:pt idx="0">
                  <c:v>2016</c:v>
                </c:pt>
                <c:pt idx="1">
                  <c:v>2017</c:v>
                </c:pt>
                <c:pt idx="2">
                  <c:v>2018</c:v>
                </c:pt>
                <c:pt idx="3">
                  <c:v>2019</c:v>
                </c:pt>
                <c:pt idx="4">
                  <c:v>2020</c:v>
                </c:pt>
                <c:pt idx="5">
                  <c:v>2021</c:v>
                </c:pt>
                <c:pt idx="6">
                  <c:v>2022</c:v>
                </c:pt>
                <c:pt idx="7">
                  <c:v>2023</c:v>
                </c:pt>
              </c:numCache>
            </c:numRef>
          </c:cat>
          <c:val>
            <c:numRef>
              <c:f>AprenCNProVivos!$J$16:$J$23</c:f>
              <c:numCache>
                <c:formatCode>0%</c:formatCode>
                <c:ptCount val="8"/>
                <c:pt idx="0">
                  <c:v>0.41</c:v>
                </c:pt>
                <c:pt idx="1">
                  <c:v>0.48</c:v>
                </c:pt>
                <c:pt idx="2">
                  <c:v>0.46</c:v>
                </c:pt>
                <c:pt idx="3">
                  <c:v>0.44</c:v>
                </c:pt>
                <c:pt idx="4">
                  <c:v>0.59</c:v>
                </c:pt>
                <c:pt idx="5">
                  <c:v>0.34</c:v>
                </c:pt>
                <c:pt idx="6">
                  <c:v>0.65</c:v>
                </c:pt>
                <c:pt idx="7">
                  <c:v>0.42</c:v>
                </c:pt>
              </c:numCache>
            </c:numRef>
          </c:val>
          <c:smooth val="0"/>
          <c:extLst>
            <c:ext xmlns:c16="http://schemas.microsoft.com/office/drawing/2014/chart" uri="{C3380CC4-5D6E-409C-BE32-E72D297353CC}">
              <c16:uniqueId val="{00000001-C8CB-4157-B892-A9B109E0B5F5}"/>
            </c:ext>
          </c:extLst>
        </c:ser>
        <c:dLbls>
          <c:showLegendKey val="0"/>
          <c:showVal val="1"/>
          <c:showCatName val="0"/>
          <c:showSerName val="0"/>
          <c:showPercent val="0"/>
          <c:showBubbleSize val="0"/>
        </c:dLbls>
        <c:smooth val="0"/>
        <c:axId val="-2022824784"/>
        <c:axId val="-2022817712"/>
      </c:lineChart>
      <c:catAx>
        <c:axId val="-20228247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crossAx val="-2022817712"/>
        <c:crosses val="autoZero"/>
        <c:auto val="1"/>
        <c:lblAlgn val="ctr"/>
        <c:lblOffset val="100"/>
        <c:noMultiLvlLbl val="0"/>
      </c:catAx>
      <c:valAx>
        <c:axId val="-2022817712"/>
        <c:scaling>
          <c:orientation val="minMax"/>
          <c:max val="1"/>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crossAx val="-2022824784"/>
        <c:crosses val="autoZero"/>
        <c:crossBetween val="between"/>
      </c:valAx>
      <c:spPr>
        <a:noFill/>
        <a:ln>
          <a:noFill/>
        </a:ln>
        <a:effectLst/>
      </c:spPr>
    </c:plotArea>
    <c:legend>
      <c:legendPos val="b"/>
      <c:layout>
        <c:manualLayout>
          <c:xMode val="edge"/>
          <c:yMode val="edge"/>
          <c:x val="7.6436000342970933E-2"/>
          <c:y val="0.76804096164093694"/>
          <c:w val="0.85851702193350932"/>
          <c:h val="0.16986827185275427"/>
        </c:manualLayout>
      </c:layout>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legend>
    <c:plotVisOnly val="1"/>
    <c:dispBlanksAs val="gap"/>
    <c:showDLblsOverMax val="0"/>
  </c:chart>
  <c:spPr>
    <a:solidFill>
      <a:schemeClr val="bg1"/>
    </a:solidFill>
    <a:ln w="9525" cap="flat" cmpd="sng" algn="ctr">
      <a:solidFill>
        <a:schemeClr val="tx1"/>
      </a:solidFill>
      <a:round/>
    </a:ln>
    <a:effectLst/>
  </c:spPr>
  <c:txPr>
    <a:bodyPr/>
    <a:lstStyle/>
    <a:p>
      <a:pPr>
        <a:defRPr sz="1600" b="1">
          <a:solidFill>
            <a:sysClr val="windowText" lastClr="000000"/>
          </a:solidFill>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4"/>
          <c:order val="0"/>
          <c:tx>
            <c:strRef>
              <c:f>AprenCNProVivos!$G$14</c:f>
              <c:strCache>
                <c:ptCount val="1"/>
                <c:pt idx="0">
                  <c:v>Observar y relacionar patrones en los datos para evaluar las predicciones. - Procesos vivos</c:v>
                </c:pt>
              </c:strCache>
            </c:strRef>
          </c:tx>
          <c:marker>
            <c:symbol val="none"/>
          </c:marker>
          <c:dLbls>
            <c:spPr>
              <a:noFill/>
              <a:ln>
                <a:noFill/>
              </a:ln>
              <a:effectLst/>
            </c:sp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ext>
            </c:extLst>
          </c:dLbls>
          <c:cat>
            <c:numRef>
              <c:f>AprenCNProVivos!$B$16:$B$23</c:f>
              <c:numCache>
                <c:formatCode>General</c:formatCode>
                <c:ptCount val="8"/>
                <c:pt idx="0">
                  <c:v>2016</c:v>
                </c:pt>
                <c:pt idx="1">
                  <c:v>2017</c:v>
                </c:pt>
                <c:pt idx="2">
                  <c:v>2018</c:v>
                </c:pt>
                <c:pt idx="3">
                  <c:v>2019</c:v>
                </c:pt>
                <c:pt idx="4">
                  <c:v>2020</c:v>
                </c:pt>
                <c:pt idx="5">
                  <c:v>2021</c:v>
                </c:pt>
                <c:pt idx="6">
                  <c:v>2022</c:v>
                </c:pt>
                <c:pt idx="7">
                  <c:v>2023</c:v>
                </c:pt>
              </c:numCache>
            </c:numRef>
          </c:cat>
          <c:val>
            <c:numRef>
              <c:f>AprenCNProVivos!$G$16:$G$23</c:f>
              <c:numCache>
                <c:formatCode>0%</c:formatCode>
                <c:ptCount val="8"/>
                <c:pt idx="0">
                  <c:v>0.32</c:v>
                </c:pt>
                <c:pt idx="1">
                  <c:v>0.53</c:v>
                </c:pt>
                <c:pt idx="2">
                  <c:v>0.34</c:v>
                </c:pt>
                <c:pt idx="3">
                  <c:v>0.3</c:v>
                </c:pt>
                <c:pt idx="4">
                  <c:v>0.49</c:v>
                </c:pt>
                <c:pt idx="5">
                  <c:v>0.5</c:v>
                </c:pt>
                <c:pt idx="6">
                  <c:v>0.54</c:v>
                </c:pt>
                <c:pt idx="7">
                  <c:v>0.42</c:v>
                </c:pt>
              </c:numCache>
            </c:numRef>
          </c:val>
          <c:smooth val="0"/>
          <c:extLst xmlns:c15="http://schemas.microsoft.com/office/drawing/2012/chart">
            <c:ext xmlns:c16="http://schemas.microsoft.com/office/drawing/2014/chart" uri="{C3380CC4-5D6E-409C-BE32-E72D297353CC}">
              <c16:uniqueId val="{00000002-1940-455C-9FA7-58440C4F0D88}"/>
            </c:ext>
          </c:extLst>
        </c:ser>
        <c:ser>
          <c:idx val="5"/>
          <c:order val="1"/>
          <c:tx>
            <c:strRef>
              <c:f>AprenCNProVivos!$H$14</c:f>
              <c:strCache>
                <c:ptCount val="1"/>
                <c:pt idx="0">
                  <c:v>Utilizar algunas habilidades de pensamiento y de procedimiento para  evaluar predicciones - Procesos vivos</c:v>
                </c:pt>
              </c:strCache>
            </c:strRef>
          </c:tx>
          <c:marker>
            <c:symbol val="none"/>
          </c:marker>
          <c:dLbls>
            <c:spPr>
              <a:noFill/>
              <a:ln>
                <a:noFill/>
              </a:ln>
              <a:effectLst/>
            </c:sp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ext>
            </c:extLst>
          </c:dLbls>
          <c:cat>
            <c:numRef>
              <c:f>AprenCNProVivos!$B$16:$B$23</c:f>
              <c:numCache>
                <c:formatCode>General</c:formatCode>
                <c:ptCount val="8"/>
                <c:pt idx="0">
                  <c:v>2016</c:v>
                </c:pt>
                <c:pt idx="1">
                  <c:v>2017</c:v>
                </c:pt>
                <c:pt idx="2">
                  <c:v>2018</c:v>
                </c:pt>
                <c:pt idx="3">
                  <c:v>2019</c:v>
                </c:pt>
                <c:pt idx="4">
                  <c:v>2020</c:v>
                </c:pt>
                <c:pt idx="5">
                  <c:v>2021</c:v>
                </c:pt>
                <c:pt idx="6">
                  <c:v>2022</c:v>
                </c:pt>
                <c:pt idx="7">
                  <c:v>2023</c:v>
                </c:pt>
              </c:numCache>
            </c:numRef>
          </c:cat>
          <c:val>
            <c:numRef>
              <c:f>AprenCNProVivos!$H$16:$H$23</c:f>
              <c:numCache>
                <c:formatCode>0%</c:formatCode>
                <c:ptCount val="8"/>
                <c:pt idx="0">
                  <c:v>0.56000000000000005</c:v>
                </c:pt>
                <c:pt idx="1">
                  <c:v>0</c:v>
                </c:pt>
                <c:pt idx="2">
                  <c:v>0.52</c:v>
                </c:pt>
                <c:pt idx="3">
                  <c:v>0.53</c:v>
                </c:pt>
                <c:pt idx="4">
                  <c:v>0</c:v>
                </c:pt>
                <c:pt idx="5">
                  <c:v>0.62</c:v>
                </c:pt>
                <c:pt idx="6">
                  <c:v>0.51</c:v>
                </c:pt>
                <c:pt idx="7">
                  <c:v>0.56000000000000005</c:v>
                </c:pt>
              </c:numCache>
            </c:numRef>
          </c:val>
          <c:smooth val="0"/>
          <c:extLst xmlns:c15="http://schemas.microsoft.com/office/drawing/2012/chart">
            <c:ext xmlns:c16="http://schemas.microsoft.com/office/drawing/2014/chart" uri="{C3380CC4-5D6E-409C-BE32-E72D297353CC}">
              <c16:uniqueId val="{00000003-1940-455C-9FA7-58440C4F0D88}"/>
            </c:ext>
          </c:extLst>
        </c:ser>
        <c:dLbls>
          <c:showLegendKey val="0"/>
          <c:showVal val="1"/>
          <c:showCatName val="0"/>
          <c:showSerName val="0"/>
          <c:showPercent val="0"/>
          <c:showBubbleSize val="0"/>
        </c:dLbls>
        <c:smooth val="0"/>
        <c:axId val="-2011125456"/>
        <c:axId val="-2011126544"/>
        <c:extLst/>
      </c:lineChart>
      <c:catAx>
        <c:axId val="-20111254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vert="horz"/>
          <a:lstStyle/>
          <a:p>
            <a:pPr>
              <a:defRPr/>
            </a:pPr>
            <a:endParaRPr lang="es-CO"/>
          </a:p>
        </c:txPr>
        <c:crossAx val="-2011126544"/>
        <c:crosses val="autoZero"/>
        <c:auto val="1"/>
        <c:lblAlgn val="ctr"/>
        <c:lblOffset val="100"/>
        <c:noMultiLvlLbl val="0"/>
      </c:catAx>
      <c:valAx>
        <c:axId val="-2011126544"/>
        <c:scaling>
          <c:orientation val="minMax"/>
          <c:max val="1"/>
        </c:scaling>
        <c:delete val="0"/>
        <c:axPos val="l"/>
        <c:numFmt formatCode="0%" sourceLinked="1"/>
        <c:majorTickMark val="none"/>
        <c:minorTickMark val="none"/>
        <c:tickLblPos val="nextTo"/>
        <c:spPr>
          <a:noFill/>
          <a:ln>
            <a:noFill/>
          </a:ln>
          <a:effectLst/>
        </c:spPr>
        <c:txPr>
          <a:bodyPr rot="-60000000" vert="horz"/>
          <a:lstStyle/>
          <a:p>
            <a:pPr>
              <a:defRPr/>
            </a:pPr>
            <a:endParaRPr lang="es-CO"/>
          </a:p>
        </c:txPr>
        <c:crossAx val="-2011125456"/>
        <c:crosses val="autoZero"/>
        <c:crossBetween val="between"/>
      </c:valAx>
    </c:plotArea>
    <c:legend>
      <c:legendPos val="r"/>
      <c:layout>
        <c:manualLayout>
          <c:xMode val="edge"/>
          <c:yMode val="edge"/>
          <c:x val="0.67514699642061504"/>
          <c:y val="0.43499696889587025"/>
          <c:w val="0.32485300357938496"/>
          <c:h val="0.26960723156041683"/>
        </c:manualLayout>
      </c:layout>
      <c:overlay val="0"/>
      <c:spPr>
        <a:noFill/>
        <a:ln>
          <a:noFill/>
        </a:ln>
        <a:effectLst/>
      </c:spPr>
      <c:txPr>
        <a:bodyPr rot="0" vert="horz"/>
        <a:lstStyle/>
        <a:p>
          <a:pPr>
            <a:defRPr sz="1100"/>
          </a:pPr>
          <a:endParaRPr lang="es-CO"/>
        </a:p>
      </c:txPr>
    </c:legend>
    <c:plotVisOnly val="1"/>
    <c:dispBlanksAs val="gap"/>
    <c:showDLblsOverMax val="0"/>
  </c:chart>
  <c:spPr>
    <a:solidFill>
      <a:schemeClr val="bg1"/>
    </a:solidFill>
    <a:ln w="9525" cap="flat" cmpd="sng" algn="ctr">
      <a:solidFill>
        <a:schemeClr val="tx1"/>
      </a:solidFill>
      <a:round/>
    </a:ln>
    <a:effectLst/>
  </c:spPr>
  <c:txPr>
    <a:bodyPr/>
    <a:lstStyle/>
    <a:p>
      <a:pPr>
        <a:defRPr sz="1400" b="1">
          <a:solidFill>
            <a:sysClr val="windowText" lastClr="000000"/>
          </a:solidFill>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Promedio por Prueba y Sector Instituciones Oficiales </a:t>
            </a:r>
          </a:p>
          <a:p>
            <a:pPr>
              <a:defRPr/>
            </a:pPr>
            <a:r>
              <a:rPr lang="es-CO"/>
              <a:t>2016-2022</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radarChart>
        <c:radarStyle val="marker"/>
        <c:varyColors val="0"/>
        <c:ser>
          <c:idx val="0"/>
          <c:order val="0"/>
          <c:tx>
            <c:strRef>
              <c:f>PGLOBAL!$G$360</c:f>
              <c:strCache>
                <c:ptCount val="1"/>
                <c:pt idx="0">
                  <c:v>2016</c:v>
                </c:pt>
              </c:strCache>
            </c:strRef>
          </c:tx>
          <c:spPr>
            <a:ln w="28575" cap="rnd">
              <a:solidFill>
                <a:schemeClr val="accent1"/>
              </a:solidFill>
              <a:round/>
            </a:ln>
            <a:effectLst/>
          </c:spPr>
          <c:marker>
            <c:symbol val="none"/>
          </c:marker>
          <c:cat>
            <c:strRef>
              <c:f>PGLOBAL!$F$361:$F$365</c:f>
              <c:strCache>
                <c:ptCount val="5"/>
                <c:pt idx="0">
                  <c:v>LECTURA CRÍTICA</c:v>
                </c:pt>
                <c:pt idx="1">
                  <c:v>MATEMÁTICAS</c:v>
                </c:pt>
                <c:pt idx="2">
                  <c:v>SOCIALES Y CIUDADANAS</c:v>
                </c:pt>
                <c:pt idx="3">
                  <c:v>CIENCIAS NATURALES</c:v>
                </c:pt>
                <c:pt idx="4">
                  <c:v>INGLES</c:v>
                </c:pt>
              </c:strCache>
            </c:strRef>
          </c:cat>
          <c:val>
            <c:numRef>
              <c:f>PGLOBAL!$G$361:$G$365</c:f>
              <c:numCache>
                <c:formatCode>General</c:formatCode>
                <c:ptCount val="5"/>
                <c:pt idx="0">
                  <c:v>53</c:v>
                </c:pt>
                <c:pt idx="1">
                  <c:v>51</c:v>
                </c:pt>
                <c:pt idx="2">
                  <c:v>51</c:v>
                </c:pt>
                <c:pt idx="3">
                  <c:v>53</c:v>
                </c:pt>
                <c:pt idx="4">
                  <c:v>52</c:v>
                </c:pt>
              </c:numCache>
            </c:numRef>
          </c:val>
          <c:extLst>
            <c:ext xmlns:c16="http://schemas.microsoft.com/office/drawing/2014/chart" uri="{C3380CC4-5D6E-409C-BE32-E72D297353CC}">
              <c16:uniqueId val="{00000000-8781-49DC-AFDA-ADB706527C94}"/>
            </c:ext>
          </c:extLst>
        </c:ser>
        <c:ser>
          <c:idx val="1"/>
          <c:order val="1"/>
          <c:tx>
            <c:strRef>
              <c:f>PGLOBAL!$H$360</c:f>
              <c:strCache>
                <c:ptCount val="1"/>
                <c:pt idx="0">
                  <c:v>2017</c:v>
                </c:pt>
              </c:strCache>
            </c:strRef>
          </c:tx>
          <c:spPr>
            <a:ln w="28575" cap="rnd">
              <a:solidFill>
                <a:schemeClr val="accent2"/>
              </a:solidFill>
              <a:round/>
            </a:ln>
            <a:effectLst/>
          </c:spPr>
          <c:marker>
            <c:symbol val="none"/>
          </c:marker>
          <c:cat>
            <c:strRef>
              <c:f>PGLOBAL!$F$361:$F$365</c:f>
              <c:strCache>
                <c:ptCount val="5"/>
                <c:pt idx="0">
                  <c:v>LECTURA CRÍTICA</c:v>
                </c:pt>
                <c:pt idx="1">
                  <c:v>MATEMÁTICAS</c:v>
                </c:pt>
                <c:pt idx="2">
                  <c:v>SOCIALES Y CIUDADANAS</c:v>
                </c:pt>
                <c:pt idx="3">
                  <c:v>CIENCIAS NATURALES</c:v>
                </c:pt>
                <c:pt idx="4">
                  <c:v>INGLES</c:v>
                </c:pt>
              </c:strCache>
            </c:strRef>
          </c:cat>
          <c:val>
            <c:numRef>
              <c:f>PGLOBAL!$H$361:$H$365</c:f>
              <c:numCache>
                <c:formatCode>General</c:formatCode>
                <c:ptCount val="5"/>
                <c:pt idx="0">
                  <c:v>54</c:v>
                </c:pt>
                <c:pt idx="1">
                  <c:v>51</c:v>
                </c:pt>
                <c:pt idx="2">
                  <c:v>50</c:v>
                </c:pt>
                <c:pt idx="3">
                  <c:v>52</c:v>
                </c:pt>
                <c:pt idx="4">
                  <c:v>49</c:v>
                </c:pt>
              </c:numCache>
            </c:numRef>
          </c:val>
          <c:extLst>
            <c:ext xmlns:c16="http://schemas.microsoft.com/office/drawing/2014/chart" uri="{C3380CC4-5D6E-409C-BE32-E72D297353CC}">
              <c16:uniqueId val="{00000001-8781-49DC-AFDA-ADB706527C94}"/>
            </c:ext>
          </c:extLst>
        </c:ser>
        <c:ser>
          <c:idx val="2"/>
          <c:order val="2"/>
          <c:tx>
            <c:strRef>
              <c:f>PGLOBAL!$I$360</c:f>
              <c:strCache>
                <c:ptCount val="1"/>
                <c:pt idx="0">
                  <c:v>2018</c:v>
                </c:pt>
              </c:strCache>
            </c:strRef>
          </c:tx>
          <c:spPr>
            <a:ln w="28575" cap="rnd">
              <a:solidFill>
                <a:schemeClr val="accent3"/>
              </a:solidFill>
              <a:round/>
            </a:ln>
            <a:effectLst/>
          </c:spPr>
          <c:marker>
            <c:symbol val="none"/>
          </c:marker>
          <c:cat>
            <c:strRef>
              <c:f>PGLOBAL!$F$361:$F$365</c:f>
              <c:strCache>
                <c:ptCount val="5"/>
                <c:pt idx="0">
                  <c:v>LECTURA CRÍTICA</c:v>
                </c:pt>
                <c:pt idx="1">
                  <c:v>MATEMÁTICAS</c:v>
                </c:pt>
                <c:pt idx="2">
                  <c:v>SOCIALES Y CIUDADANAS</c:v>
                </c:pt>
                <c:pt idx="3">
                  <c:v>CIENCIAS NATURALES</c:v>
                </c:pt>
                <c:pt idx="4">
                  <c:v>INGLES</c:v>
                </c:pt>
              </c:strCache>
            </c:strRef>
          </c:cat>
          <c:val>
            <c:numRef>
              <c:f>PGLOBAL!$I$361:$I$365</c:f>
              <c:numCache>
                <c:formatCode>General</c:formatCode>
                <c:ptCount val="5"/>
                <c:pt idx="0">
                  <c:v>53</c:v>
                </c:pt>
                <c:pt idx="1">
                  <c:v>51</c:v>
                </c:pt>
                <c:pt idx="2">
                  <c:v>48</c:v>
                </c:pt>
                <c:pt idx="3">
                  <c:v>50</c:v>
                </c:pt>
                <c:pt idx="4">
                  <c:v>50</c:v>
                </c:pt>
              </c:numCache>
            </c:numRef>
          </c:val>
          <c:extLst>
            <c:ext xmlns:c16="http://schemas.microsoft.com/office/drawing/2014/chart" uri="{C3380CC4-5D6E-409C-BE32-E72D297353CC}">
              <c16:uniqueId val="{00000002-8781-49DC-AFDA-ADB706527C94}"/>
            </c:ext>
          </c:extLst>
        </c:ser>
        <c:ser>
          <c:idx val="3"/>
          <c:order val="3"/>
          <c:tx>
            <c:strRef>
              <c:f>PGLOBAL!$J$360</c:f>
              <c:strCache>
                <c:ptCount val="1"/>
                <c:pt idx="0">
                  <c:v>2019</c:v>
                </c:pt>
              </c:strCache>
            </c:strRef>
          </c:tx>
          <c:spPr>
            <a:ln w="28575" cap="rnd">
              <a:solidFill>
                <a:schemeClr val="accent4"/>
              </a:solidFill>
              <a:round/>
            </a:ln>
            <a:effectLst/>
          </c:spPr>
          <c:marker>
            <c:symbol val="none"/>
          </c:marker>
          <c:cat>
            <c:strRef>
              <c:f>PGLOBAL!$F$361:$F$365</c:f>
              <c:strCache>
                <c:ptCount val="5"/>
                <c:pt idx="0">
                  <c:v>LECTURA CRÍTICA</c:v>
                </c:pt>
                <c:pt idx="1">
                  <c:v>MATEMÁTICAS</c:v>
                </c:pt>
                <c:pt idx="2">
                  <c:v>SOCIALES Y CIUDADANAS</c:v>
                </c:pt>
                <c:pt idx="3">
                  <c:v>CIENCIAS NATURALES</c:v>
                </c:pt>
                <c:pt idx="4">
                  <c:v>INGLES</c:v>
                </c:pt>
              </c:strCache>
            </c:strRef>
          </c:cat>
          <c:val>
            <c:numRef>
              <c:f>PGLOBAL!$J$361:$J$365</c:f>
              <c:numCache>
                <c:formatCode>General</c:formatCode>
                <c:ptCount val="5"/>
                <c:pt idx="0">
                  <c:v>53</c:v>
                </c:pt>
                <c:pt idx="1">
                  <c:v>51</c:v>
                </c:pt>
                <c:pt idx="2">
                  <c:v>47</c:v>
                </c:pt>
                <c:pt idx="3">
                  <c:v>49</c:v>
                </c:pt>
                <c:pt idx="4">
                  <c:v>49</c:v>
                </c:pt>
              </c:numCache>
            </c:numRef>
          </c:val>
          <c:extLst>
            <c:ext xmlns:c16="http://schemas.microsoft.com/office/drawing/2014/chart" uri="{C3380CC4-5D6E-409C-BE32-E72D297353CC}">
              <c16:uniqueId val="{00000003-8781-49DC-AFDA-ADB706527C94}"/>
            </c:ext>
          </c:extLst>
        </c:ser>
        <c:ser>
          <c:idx val="4"/>
          <c:order val="4"/>
          <c:tx>
            <c:strRef>
              <c:f>PGLOBAL!$K$360</c:f>
              <c:strCache>
                <c:ptCount val="1"/>
                <c:pt idx="0">
                  <c:v>2020</c:v>
                </c:pt>
              </c:strCache>
            </c:strRef>
          </c:tx>
          <c:spPr>
            <a:ln w="28575" cap="rnd">
              <a:solidFill>
                <a:schemeClr val="accent5"/>
              </a:solidFill>
              <a:round/>
            </a:ln>
            <a:effectLst/>
          </c:spPr>
          <c:marker>
            <c:symbol val="none"/>
          </c:marker>
          <c:cat>
            <c:strRef>
              <c:f>PGLOBAL!$F$361:$F$365</c:f>
              <c:strCache>
                <c:ptCount val="5"/>
                <c:pt idx="0">
                  <c:v>LECTURA CRÍTICA</c:v>
                </c:pt>
                <c:pt idx="1">
                  <c:v>MATEMÁTICAS</c:v>
                </c:pt>
                <c:pt idx="2">
                  <c:v>SOCIALES Y CIUDADANAS</c:v>
                </c:pt>
                <c:pt idx="3">
                  <c:v>CIENCIAS NATURALES</c:v>
                </c:pt>
                <c:pt idx="4">
                  <c:v>INGLES</c:v>
                </c:pt>
              </c:strCache>
            </c:strRef>
          </c:cat>
          <c:val>
            <c:numRef>
              <c:f>PGLOBAL!$K$361:$K$365</c:f>
              <c:numCache>
                <c:formatCode>General</c:formatCode>
                <c:ptCount val="5"/>
                <c:pt idx="0">
                  <c:v>53</c:v>
                </c:pt>
                <c:pt idx="1">
                  <c:v>52</c:v>
                </c:pt>
                <c:pt idx="2">
                  <c:v>49</c:v>
                </c:pt>
                <c:pt idx="3">
                  <c:v>49</c:v>
                </c:pt>
                <c:pt idx="4">
                  <c:v>46</c:v>
                </c:pt>
              </c:numCache>
            </c:numRef>
          </c:val>
          <c:extLst>
            <c:ext xmlns:c16="http://schemas.microsoft.com/office/drawing/2014/chart" uri="{C3380CC4-5D6E-409C-BE32-E72D297353CC}">
              <c16:uniqueId val="{00000004-8781-49DC-AFDA-ADB706527C94}"/>
            </c:ext>
          </c:extLst>
        </c:ser>
        <c:ser>
          <c:idx val="5"/>
          <c:order val="5"/>
          <c:tx>
            <c:strRef>
              <c:f>PGLOBAL!$L$360</c:f>
              <c:strCache>
                <c:ptCount val="1"/>
                <c:pt idx="0">
                  <c:v>2021</c:v>
                </c:pt>
              </c:strCache>
            </c:strRef>
          </c:tx>
          <c:spPr>
            <a:ln w="28575" cap="rnd">
              <a:solidFill>
                <a:schemeClr val="accent6"/>
              </a:solidFill>
              <a:round/>
            </a:ln>
            <a:effectLst/>
          </c:spPr>
          <c:marker>
            <c:symbol val="none"/>
          </c:marker>
          <c:cat>
            <c:strRef>
              <c:f>PGLOBAL!$F$361:$F$365</c:f>
              <c:strCache>
                <c:ptCount val="5"/>
                <c:pt idx="0">
                  <c:v>LECTURA CRÍTICA</c:v>
                </c:pt>
                <c:pt idx="1">
                  <c:v>MATEMÁTICAS</c:v>
                </c:pt>
                <c:pt idx="2">
                  <c:v>SOCIALES Y CIUDADANAS</c:v>
                </c:pt>
                <c:pt idx="3">
                  <c:v>CIENCIAS NATURALES</c:v>
                </c:pt>
                <c:pt idx="4">
                  <c:v>INGLES</c:v>
                </c:pt>
              </c:strCache>
            </c:strRef>
          </c:cat>
          <c:val>
            <c:numRef>
              <c:f>PGLOBAL!$L$361:$L$365</c:f>
              <c:numCache>
                <c:formatCode>General</c:formatCode>
                <c:ptCount val="5"/>
                <c:pt idx="0">
                  <c:v>53</c:v>
                </c:pt>
                <c:pt idx="1">
                  <c:v>50</c:v>
                </c:pt>
                <c:pt idx="2">
                  <c:v>47</c:v>
                </c:pt>
                <c:pt idx="3">
                  <c:v>48</c:v>
                </c:pt>
                <c:pt idx="4">
                  <c:v>49</c:v>
                </c:pt>
              </c:numCache>
            </c:numRef>
          </c:val>
          <c:extLst>
            <c:ext xmlns:c16="http://schemas.microsoft.com/office/drawing/2014/chart" uri="{C3380CC4-5D6E-409C-BE32-E72D297353CC}">
              <c16:uniqueId val="{00000005-8781-49DC-AFDA-ADB706527C94}"/>
            </c:ext>
          </c:extLst>
        </c:ser>
        <c:ser>
          <c:idx val="6"/>
          <c:order val="6"/>
          <c:tx>
            <c:strRef>
              <c:f>PGLOBAL!$M$360</c:f>
              <c:strCache>
                <c:ptCount val="1"/>
                <c:pt idx="0">
                  <c:v>2022</c:v>
                </c:pt>
              </c:strCache>
            </c:strRef>
          </c:tx>
          <c:spPr>
            <a:ln w="28575" cap="rnd">
              <a:solidFill>
                <a:schemeClr val="accent1">
                  <a:lumMod val="60000"/>
                </a:schemeClr>
              </a:solidFill>
              <a:round/>
            </a:ln>
            <a:effectLst/>
          </c:spPr>
          <c:marker>
            <c:symbol val="circle"/>
            <c:size val="5"/>
            <c:spPr>
              <a:solidFill>
                <a:schemeClr val="accent1">
                  <a:lumMod val="60000"/>
                </a:schemeClr>
              </a:solidFill>
              <a:ln w="9525">
                <a:solidFill>
                  <a:schemeClr val="accent1">
                    <a:lumMod val="60000"/>
                  </a:schemeClr>
                </a:solidFill>
              </a:ln>
              <a:effectLst/>
            </c:spPr>
          </c:marker>
          <c:dLbls>
            <c:dLbl>
              <c:idx val="0"/>
              <c:layout>
                <c:manualLayout>
                  <c:x val="4.6507752970591171E-3"/>
                  <c:y val="2.1813055003004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8781-49DC-AFDA-ADB706527C9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PGLOBAL!$F$361:$F$365</c:f>
              <c:strCache>
                <c:ptCount val="5"/>
                <c:pt idx="0">
                  <c:v>LECTURA CRÍTICA</c:v>
                </c:pt>
                <c:pt idx="1">
                  <c:v>MATEMÁTICAS</c:v>
                </c:pt>
                <c:pt idx="2">
                  <c:v>SOCIALES Y CIUDADANAS</c:v>
                </c:pt>
                <c:pt idx="3">
                  <c:v>CIENCIAS NATURALES</c:v>
                </c:pt>
                <c:pt idx="4">
                  <c:v>INGLES</c:v>
                </c:pt>
              </c:strCache>
            </c:strRef>
          </c:cat>
          <c:val>
            <c:numRef>
              <c:f>PGLOBAL!$M$361:$M$365</c:f>
              <c:numCache>
                <c:formatCode>General</c:formatCode>
                <c:ptCount val="5"/>
                <c:pt idx="0">
                  <c:v>53</c:v>
                </c:pt>
                <c:pt idx="1">
                  <c:v>51</c:v>
                </c:pt>
                <c:pt idx="2">
                  <c:v>48</c:v>
                </c:pt>
                <c:pt idx="3">
                  <c:v>49</c:v>
                </c:pt>
                <c:pt idx="4">
                  <c:v>51</c:v>
                </c:pt>
              </c:numCache>
            </c:numRef>
          </c:val>
          <c:extLst>
            <c:ext xmlns:c16="http://schemas.microsoft.com/office/drawing/2014/chart" uri="{C3380CC4-5D6E-409C-BE32-E72D297353CC}">
              <c16:uniqueId val="{00000006-8781-49DC-AFDA-ADB706527C94}"/>
            </c:ext>
          </c:extLst>
        </c:ser>
        <c:dLbls>
          <c:showLegendKey val="0"/>
          <c:showVal val="0"/>
          <c:showCatName val="0"/>
          <c:showSerName val="0"/>
          <c:showPercent val="0"/>
          <c:showBubbleSize val="0"/>
        </c:dLbls>
        <c:axId val="256971231"/>
        <c:axId val="186988671"/>
      </c:radarChart>
      <c:catAx>
        <c:axId val="25697123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86988671"/>
        <c:crosses val="autoZero"/>
        <c:auto val="1"/>
        <c:lblAlgn val="ctr"/>
        <c:lblOffset val="100"/>
        <c:noMultiLvlLbl val="0"/>
      </c:catAx>
      <c:valAx>
        <c:axId val="186988671"/>
        <c:scaling>
          <c:orientation val="minMax"/>
          <c:max val="55"/>
          <c:min val="43"/>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56971231"/>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7934010750435009E-2"/>
          <c:y val="4.5398631820608625E-2"/>
          <c:w val="0.90274871962543546"/>
          <c:h val="0.62226773847140882"/>
        </c:manualLayout>
      </c:layout>
      <c:lineChart>
        <c:grouping val="standard"/>
        <c:varyColors val="0"/>
        <c:ser>
          <c:idx val="0"/>
          <c:order val="0"/>
          <c:tx>
            <c:strRef>
              <c:f>AprenCNProQuímicos!$C$13</c:f>
              <c:strCache>
                <c:ptCount val="1"/>
                <c:pt idx="0">
                  <c:v>Modelar fenómenos de la naturaleza basado en el análisis de variables, la relación entre dos o más conceptos del conocimiento científico y de la evidencia derivada de investigaciones científicas. - Procesos químicos</c:v>
                </c:pt>
              </c:strCache>
            </c:strRef>
          </c:tx>
          <c:spPr>
            <a:ln w="28575" cap="rnd">
              <a:solidFill>
                <a:schemeClr val="accent1"/>
              </a:solidFill>
              <a:round/>
            </a:ln>
            <a:effectLst/>
          </c:spPr>
          <c:marker>
            <c:symbol val="none"/>
          </c:marker>
          <c:dLbls>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AprenCNProQuímicos!$B$15:$B$22</c:f>
              <c:numCache>
                <c:formatCode>General</c:formatCode>
                <c:ptCount val="8"/>
                <c:pt idx="0">
                  <c:v>2016</c:v>
                </c:pt>
                <c:pt idx="1">
                  <c:v>2017</c:v>
                </c:pt>
                <c:pt idx="2">
                  <c:v>2018</c:v>
                </c:pt>
                <c:pt idx="3">
                  <c:v>2019</c:v>
                </c:pt>
                <c:pt idx="4">
                  <c:v>2020</c:v>
                </c:pt>
                <c:pt idx="5">
                  <c:v>2021</c:v>
                </c:pt>
                <c:pt idx="6">
                  <c:v>2022</c:v>
                </c:pt>
                <c:pt idx="7">
                  <c:v>2023</c:v>
                </c:pt>
              </c:numCache>
            </c:numRef>
          </c:cat>
          <c:val>
            <c:numRef>
              <c:f>AprenCNProQuímicos!$C$15:$C$22</c:f>
              <c:numCache>
                <c:formatCode>0%</c:formatCode>
                <c:ptCount val="8"/>
                <c:pt idx="0">
                  <c:v>0.55000000000000004</c:v>
                </c:pt>
                <c:pt idx="1">
                  <c:v>0.56999999999999995</c:v>
                </c:pt>
                <c:pt idx="2">
                  <c:v>0.75</c:v>
                </c:pt>
                <c:pt idx="3">
                  <c:v>0</c:v>
                </c:pt>
                <c:pt idx="4">
                  <c:v>0</c:v>
                </c:pt>
                <c:pt idx="5">
                  <c:v>0.61</c:v>
                </c:pt>
                <c:pt idx="6">
                  <c:v>0.59</c:v>
                </c:pt>
                <c:pt idx="7">
                  <c:v>0.57999999999999996</c:v>
                </c:pt>
              </c:numCache>
            </c:numRef>
          </c:val>
          <c:smooth val="0"/>
          <c:extLst>
            <c:ext xmlns:c16="http://schemas.microsoft.com/office/drawing/2014/chart" uri="{C3380CC4-5D6E-409C-BE32-E72D297353CC}">
              <c16:uniqueId val="{00000001-40E8-4211-B987-BCDAB507B584}"/>
            </c:ext>
          </c:extLst>
        </c:ser>
        <c:ser>
          <c:idx val="1"/>
          <c:order val="1"/>
          <c:tx>
            <c:strRef>
              <c:f>AprenCNProQuímicos!$D$13</c:f>
              <c:strCache>
                <c:ptCount val="1"/>
                <c:pt idx="0">
                  <c:v>Explicar cómo ocurren algunos fenómenos de la naturaleza basado en observaciones, en patrones y  en conceptos propios del conocimiento científico. - Procesos químicos</c:v>
                </c:pt>
              </c:strCache>
            </c:strRef>
          </c:tx>
          <c:spPr>
            <a:ln w="28575" cap="rnd">
              <a:solidFill>
                <a:schemeClr val="accent2"/>
              </a:solidFill>
              <a:round/>
            </a:ln>
            <a:effectLst/>
          </c:spPr>
          <c:marker>
            <c:symbol val="none"/>
          </c:marker>
          <c:dLbls>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AprenCNProQuímicos!$B$15:$B$22</c:f>
              <c:numCache>
                <c:formatCode>General</c:formatCode>
                <c:ptCount val="8"/>
                <c:pt idx="0">
                  <c:v>2016</c:v>
                </c:pt>
                <c:pt idx="1">
                  <c:v>2017</c:v>
                </c:pt>
                <c:pt idx="2">
                  <c:v>2018</c:v>
                </c:pt>
                <c:pt idx="3">
                  <c:v>2019</c:v>
                </c:pt>
                <c:pt idx="4">
                  <c:v>2020</c:v>
                </c:pt>
                <c:pt idx="5">
                  <c:v>2021</c:v>
                </c:pt>
                <c:pt idx="6">
                  <c:v>2022</c:v>
                </c:pt>
                <c:pt idx="7">
                  <c:v>2023</c:v>
                </c:pt>
              </c:numCache>
            </c:numRef>
          </c:cat>
          <c:val>
            <c:numRef>
              <c:f>AprenCNProQuímicos!$D$15:$D$22</c:f>
              <c:numCache>
                <c:formatCode>0%</c:formatCode>
                <c:ptCount val="8"/>
                <c:pt idx="0">
                  <c:v>0.52</c:v>
                </c:pt>
                <c:pt idx="1">
                  <c:v>0.64</c:v>
                </c:pt>
                <c:pt idx="2">
                  <c:v>0.59</c:v>
                </c:pt>
                <c:pt idx="3">
                  <c:v>0.64</c:v>
                </c:pt>
                <c:pt idx="4">
                  <c:v>0.61</c:v>
                </c:pt>
                <c:pt idx="5">
                  <c:v>0.65</c:v>
                </c:pt>
                <c:pt idx="6">
                  <c:v>0.61</c:v>
                </c:pt>
                <c:pt idx="7">
                  <c:v>0.68</c:v>
                </c:pt>
              </c:numCache>
            </c:numRef>
          </c:val>
          <c:smooth val="0"/>
          <c:extLst>
            <c:ext xmlns:c16="http://schemas.microsoft.com/office/drawing/2014/chart" uri="{C3380CC4-5D6E-409C-BE32-E72D297353CC}">
              <c16:uniqueId val="{00000000-7F2E-48C1-906C-D45DBF92F648}"/>
            </c:ext>
          </c:extLst>
        </c:ser>
        <c:dLbls>
          <c:showLegendKey val="0"/>
          <c:showVal val="1"/>
          <c:showCatName val="0"/>
          <c:showSerName val="0"/>
          <c:showPercent val="0"/>
          <c:showBubbleSize val="0"/>
        </c:dLbls>
        <c:smooth val="0"/>
        <c:axId val="-2022810096"/>
        <c:axId val="-2022809552"/>
      </c:lineChart>
      <c:catAx>
        <c:axId val="-20228100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crossAx val="-2022809552"/>
        <c:crosses val="autoZero"/>
        <c:auto val="1"/>
        <c:lblAlgn val="ctr"/>
        <c:lblOffset val="100"/>
        <c:noMultiLvlLbl val="0"/>
      </c:catAx>
      <c:valAx>
        <c:axId val="-2022809552"/>
        <c:scaling>
          <c:orientation val="minMax"/>
          <c:max val="1"/>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crossAx val="-2022810096"/>
        <c:crosses val="autoZero"/>
        <c:crossBetween val="between"/>
      </c:valAx>
      <c:spPr>
        <a:noFill/>
        <a:ln>
          <a:noFill/>
        </a:ln>
        <a:effectLst/>
      </c:spPr>
    </c:plotArea>
    <c:legend>
      <c:legendPos val="b"/>
      <c:layout>
        <c:manualLayout>
          <c:xMode val="edge"/>
          <c:yMode val="edge"/>
          <c:x val="6.0322223445232491E-2"/>
          <c:y val="0.78084242712627694"/>
          <c:w val="0.87091356819489851"/>
          <c:h val="0.15456219121896653"/>
        </c:manualLayout>
      </c:layout>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legend>
    <c:plotVisOnly val="1"/>
    <c:dispBlanksAs val="gap"/>
    <c:showDLblsOverMax val="0"/>
  </c:chart>
  <c:spPr>
    <a:solidFill>
      <a:schemeClr val="bg1"/>
    </a:solidFill>
    <a:ln w="9525" cap="flat" cmpd="sng" algn="ctr">
      <a:solidFill>
        <a:schemeClr val="tx1"/>
      </a:solidFill>
      <a:round/>
    </a:ln>
    <a:effectLst/>
  </c:spPr>
  <c:txPr>
    <a:bodyPr/>
    <a:lstStyle/>
    <a:p>
      <a:pPr>
        <a:defRPr sz="1400" b="1">
          <a:solidFill>
            <a:sysClr val="windowText" lastClr="000000"/>
          </a:solidFill>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3755861270728057E-2"/>
          <c:y val="4.6640984720434986E-2"/>
          <c:w val="0.90743566842409851"/>
          <c:h val="0.58438357635200322"/>
        </c:manualLayout>
      </c:layout>
      <c:lineChart>
        <c:grouping val="standard"/>
        <c:varyColors val="0"/>
        <c:ser>
          <c:idx val="0"/>
          <c:order val="0"/>
          <c:tx>
            <c:strRef>
              <c:f>AprenCNProQuímicos!$I$13</c:f>
              <c:strCache>
                <c:ptCount val="1"/>
                <c:pt idx="0">
                  <c:v>Asociar fenómenos naturales con conceptos propios del conocimiento científico. - Procesos químicos</c:v>
                </c:pt>
              </c:strCache>
            </c:strRef>
          </c:tx>
          <c:spPr>
            <a:ln w="28575" cap="rnd">
              <a:solidFill>
                <a:schemeClr val="accent1"/>
              </a:solidFill>
              <a:round/>
            </a:ln>
            <a:effectLst/>
          </c:spPr>
          <c:marker>
            <c:symbol val="none"/>
          </c:marker>
          <c:dLbls>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AprenCNProQuímicos!$B$15:$B$22</c:f>
              <c:numCache>
                <c:formatCode>General</c:formatCode>
                <c:ptCount val="8"/>
                <c:pt idx="0">
                  <c:v>2016</c:v>
                </c:pt>
                <c:pt idx="1">
                  <c:v>2017</c:v>
                </c:pt>
                <c:pt idx="2">
                  <c:v>2018</c:v>
                </c:pt>
                <c:pt idx="3">
                  <c:v>2019</c:v>
                </c:pt>
                <c:pt idx="4">
                  <c:v>2020</c:v>
                </c:pt>
                <c:pt idx="5">
                  <c:v>2021</c:v>
                </c:pt>
                <c:pt idx="6">
                  <c:v>2022</c:v>
                </c:pt>
                <c:pt idx="7">
                  <c:v>2023</c:v>
                </c:pt>
              </c:numCache>
            </c:numRef>
          </c:cat>
          <c:val>
            <c:numRef>
              <c:f>AprenCNProQuímicos!$I$15:$I$22</c:f>
              <c:numCache>
                <c:formatCode>0%</c:formatCode>
                <c:ptCount val="8"/>
                <c:pt idx="0">
                  <c:v>0.53</c:v>
                </c:pt>
                <c:pt idx="1">
                  <c:v>0.46</c:v>
                </c:pt>
                <c:pt idx="2">
                  <c:v>0.54</c:v>
                </c:pt>
                <c:pt idx="3">
                  <c:v>0.56999999999999995</c:v>
                </c:pt>
                <c:pt idx="4">
                  <c:v>0.54</c:v>
                </c:pt>
                <c:pt idx="5">
                  <c:v>0.57999999999999996</c:v>
                </c:pt>
                <c:pt idx="6">
                  <c:v>0.52</c:v>
                </c:pt>
                <c:pt idx="7">
                  <c:v>0.56999999999999995</c:v>
                </c:pt>
              </c:numCache>
            </c:numRef>
          </c:val>
          <c:smooth val="0"/>
          <c:extLst>
            <c:ext xmlns:c16="http://schemas.microsoft.com/office/drawing/2014/chart" uri="{C3380CC4-5D6E-409C-BE32-E72D297353CC}">
              <c16:uniqueId val="{00000001-00DF-48BC-9C13-65D4DC5E4F02}"/>
            </c:ext>
          </c:extLst>
        </c:ser>
        <c:ser>
          <c:idx val="1"/>
          <c:order val="1"/>
          <c:tx>
            <c:strRef>
              <c:f>AprenCNProQuímicos!$J$13</c:f>
              <c:strCache>
                <c:ptCount val="1"/>
                <c:pt idx="0">
                  <c:v>Identificar las características  de algunos fenómenos de la naturaleza basado en el análisis de información  y  conceptos propios del conocimiento científico. - Procesos químicos</c:v>
                </c:pt>
              </c:strCache>
            </c:strRef>
          </c:tx>
          <c:spPr>
            <a:ln w="28575" cap="rnd">
              <a:solidFill>
                <a:schemeClr val="accent2"/>
              </a:solidFill>
              <a:round/>
            </a:ln>
            <a:effectLst/>
          </c:spPr>
          <c:marker>
            <c:symbol val="none"/>
          </c:marker>
          <c:dLbls>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AprenCNProQuímicos!$B$15:$B$22</c:f>
              <c:numCache>
                <c:formatCode>General</c:formatCode>
                <c:ptCount val="8"/>
                <c:pt idx="0">
                  <c:v>2016</c:v>
                </c:pt>
                <c:pt idx="1">
                  <c:v>2017</c:v>
                </c:pt>
                <c:pt idx="2">
                  <c:v>2018</c:v>
                </c:pt>
                <c:pt idx="3">
                  <c:v>2019</c:v>
                </c:pt>
                <c:pt idx="4">
                  <c:v>2020</c:v>
                </c:pt>
                <c:pt idx="5">
                  <c:v>2021</c:v>
                </c:pt>
                <c:pt idx="6">
                  <c:v>2022</c:v>
                </c:pt>
                <c:pt idx="7">
                  <c:v>2023</c:v>
                </c:pt>
              </c:numCache>
            </c:numRef>
          </c:cat>
          <c:val>
            <c:numRef>
              <c:f>AprenCNProQuímicos!$J$15:$J$22</c:f>
              <c:numCache>
                <c:formatCode>0%</c:formatCode>
                <c:ptCount val="8"/>
                <c:pt idx="0">
                  <c:v>0.49</c:v>
                </c:pt>
                <c:pt idx="1">
                  <c:v>0.66</c:v>
                </c:pt>
                <c:pt idx="2">
                  <c:v>0.49</c:v>
                </c:pt>
                <c:pt idx="3">
                  <c:v>0.4</c:v>
                </c:pt>
                <c:pt idx="4">
                  <c:v>0.57999999999999996</c:v>
                </c:pt>
                <c:pt idx="5">
                  <c:v>0.44</c:v>
                </c:pt>
                <c:pt idx="6">
                  <c:v>0.47</c:v>
                </c:pt>
                <c:pt idx="7">
                  <c:v>0.47</c:v>
                </c:pt>
              </c:numCache>
            </c:numRef>
          </c:val>
          <c:smooth val="0"/>
          <c:extLst>
            <c:ext xmlns:c16="http://schemas.microsoft.com/office/drawing/2014/chart" uri="{C3380CC4-5D6E-409C-BE32-E72D297353CC}">
              <c16:uniqueId val="{00000000-B15E-4CF6-A30E-241188E59C0F}"/>
            </c:ext>
          </c:extLst>
        </c:ser>
        <c:dLbls>
          <c:showLegendKey val="0"/>
          <c:showVal val="1"/>
          <c:showCatName val="0"/>
          <c:showSerName val="0"/>
          <c:showPercent val="0"/>
          <c:showBubbleSize val="0"/>
        </c:dLbls>
        <c:smooth val="0"/>
        <c:axId val="-2022820432"/>
        <c:axId val="-2022816624"/>
      </c:lineChart>
      <c:catAx>
        <c:axId val="-20228204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crossAx val="-2022816624"/>
        <c:crosses val="autoZero"/>
        <c:auto val="1"/>
        <c:lblAlgn val="ctr"/>
        <c:lblOffset val="100"/>
        <c:noMultiLvlLbl val="0"/>
      </c:catAx>
      <c:valAx>
        <c:axId val="-2022816624"/>
        <c:scaling>
          <c:orientation val="minMax"/>
          <c:max val="1"/>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crossAx val="-2022820432"/>
        <c:crosses val="autoZero"/>
        <c:crossBetween val="between"/>
      </c:valAx>
      <c:spPr>
        <a:noFill/>
        <a:ln>
          <a:noFill/>
        </a:ln>
        <a:effectLst/>
      </c:spPr>
    </c:plotArea>
    <c:legend>
      <c:legendPos val="b"/>
      <c:layout>
        <c:manualLayout>
          <c:xMode val="edge"/>
          <c:yMode val="edge"/>
          <c:x val="5.6523497486887606E-2"/>
          <c:y val="0.74729772891556134"/>
          <c:w val="0.85818153001167363"/>
          <c:h val="0.1306519299577322"/>
        </c:manualLayout>
      </c:layout>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legend>
    <c:plotVisOnly val="1"/>
    <c:dispBlanksAs val="gap"/>
    <c:showDLblsOverMax val="0"/>
  </c:chart>
  <c:spPr>
    <a:solidFill>
      <a:schemeClr val="bg1"/>
    </a:solidFill>
    <a:ln w="9525" cap="flat" cmpd="sng" algn="ctr">
      <a:solidFill>
        <a:schemeClr val="tx1"/>
      </a:solidFill>
      <a:round/>
    </a:ln>
    <a:effectLst/>
  </c:spPr>
  <c:txPr>
    <a:bodyPr/>
    <a:lstStyle/>
    <a:p>
      <a:pPr>
        <a:defRPr sz="1400" b="1">
          <a:solidFill>
            <a:sysClr val="windowText" lastClr="000000"/>
          </a:solidFill>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5921787047822362E-2"/>
          <c:y val="3.6258228242976351E-2"/>
          <c:w val="0.89429236266172452"/>
          <c:h val="0.65281209359382675"/>
        </c:manualLayout>
      </c:layout>
      <c:lineChart>
        <c:grouping val="standard"/>
        <c:varyColors val="0"/>
        <c:ser>
          <c:idx val="0"/>
          <c:order val="0"/>
          <c:tx>
            <c:strRef>
              <c:f>AprenCNProQuímicos!$E$13</c:f>
              <c:strCache>
                <c:ptCount val="1"/>
                <c:pt idx="0">
                  <c:v>Comprender que a partir de la investigación científica se construyen explicaciones sobre el mundo natural. - Procesos químicos</c:v>
                </c:pt>
              </c:strCache>
            </c:strRef>
          </c:tx>
          <c:spPr>
            <a:ln w="28575" cap="rnd">
              <a:solidFill>
                <a:schemeClr val="accent1"/>
              </a:solidFill>
              <a:round/>
            </a:ln>
            <a:effectLst/>
          </c:spPr>
          <c:marker>
            <c:symbol val="none"/>
          </c:marker>
          <c:dLbls>
            <c:spPr>
              <a:noFill/>
              <a:ln>
                <a:noFill/>
              </a:ln>
              <a:effectLst/>
            </c:spPr>
            <c:txPr>
              <a:bodyPr rot="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AprenCNProQuímicos!$B$15:$B$22</c:f>
              <c:numCache>
                <c:formatCode>General</c:formatCode>
                <c:ptCount val="8"/>
                <c:pt idx="0">
                  <c:v>2016</c:v>
                </c:pt>
                <c:pt idx="1">
                  <c:v>2017</c:v>
                </c:pt>
                <c:pt idx="2">
                  <c:v>2018</c:v>
                </c:pt>
                <c:pt idx="3">
                  <c:v>2019</c:v>
                </c:pt>
                <c:pt idx="4">
                  <c:v>2020</c:v>
                </c:pt>
                <c:pt idx="5">
                  <c:v>2021</c:v>
                </c:pt>
                <c:pt idx="6">
                  <c:v>2022</c:v>
                </c:pt>
                <c:pt idx="7">
                  <c:v>2023</c:v>
                </c:pt>
              </c:numCache>
            </c:numRef>
          </c:cat>
          <c:val>
            <c:numRef>
              <c:f>AprenCNProQuímicos!$E$15:$E$22</c:f>
              <c:numCache>
                <c:formatCode>0%</c:formatCode>
                <c:ptCount val="8"/>
                <c:pt idx="0">
                  <c:v>0.41</c:v>
                </c:pt>
                <c:pt idx="1">
                  <c:v>0.36</c:v>
                </c:pt>
                <c:pt idx="2">
                  <c:v>0.4</c:v>
                </c:pt>
                <c:pt idx="3">
                  <c:v>0.54</c:v>
                </c:pt>
                <c:pt idx="4">
                  <c:v>0.4</c:v>
                </c:pt>
                <c:pt idx="5">
                  <c:v>0.48</c:v>
                </c:pt>
                <c:pt idx="6">
                  <c:v>0.52</c:v>
                </c:pt>
                <c:pt idx="7">
                  <c:v>0.31</c:v>
                </c:pt>
              </c:numCache>
            </c:numRef>
          </c:val>
          <c:smooth val="0"/>
          <c:extLst>
            <c:ext xmlns:c16="http://schemas.microsoft.com/office/drawing/2014/chart" uri="{C3380CC4-5D6E-409C-BE32-E72D297353CC}">
              <c16:uniqueId val="{00000001-6F7D-407D-884D-2671FCFDC509}"/>
            </c:ext>
          </c:extLst>
        </c:ser>
        <c:ser>
          <c:idx val="1"/>
          <c:order val="1"/>
          <c:tx>
            <c:strRef>
              <c:f>AprenCNProQuímicos!$F$13</c:f>
              <c:strCache>
                <c:ptCount val="1"/>
                <c:pt idx="0">
                  <c:v>Derivar conclusiones para algunos fenómenos de la naturaleza basándose en conocimientos científicos y en la evidencia de su propia investigación y de la de otros. - Procesos químicos</c:v>
                </c:pt>
              </c:strCache>
            </c:strRef>
          </c:tx>
          <c:spPr>
            <a:ln w="28575" cap="rnd">
              <a:solidFill>
                <a:schemeClr val="accent2"/>
              </a:solidFill>
              <a:round/>
            </a:ln>
            <a:effectLst/>
          </c:spPr>
          <c:marker>
            <c:symbol val="none"/>
          </c:marker>
          <c:dLbls>
            <c:spPr>
              <a:noFill/>
              <a:ln>
                <a:noFill/>
              </a:ln>
              <a:effectLst/>
            </c:spPr>
            <c:txPr>
              <a:bodyPr rot="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AprenCNProQuímicos!$B$15:$B$22</c:f>
              <c:numCache>
                <c:formatCode>General</c:formatCode>
                <c:ptCount val="8"/>
                <c:pt idx="0">
                  <c:v>2016</c:v>
                </c:pt>
                <c:pt idx="1">
                  <c:v>2017</c:v>
                </c:pt>
                <c:pt idx="2">
                  <c:v>2018</c:v>
                </c:pt>
                <c:pt idx="3">
                  <c:v>2019</c:v>
                </c:pt>
                <c:pt idx="4">
                  <c:v>2020</c:v>
                </c:pt>
                <c:pt idx="5">
                  <c:v>2021</c:v>
                </c:pt>
                <c:pt idx="6">
                  <c:v>2022</c:v>
                </c:pt>
                <c:pt idx="7">
                  <c:v>2023</c:v>
                </c:pt>
              </c:numCache>
            </c:numRef>
          </c:cat>
          <c:val>
            <c:numRef>
              <c:f>AprenCNProQuímicos!$F$15:$F$22</c:f>
              <c:numCache>
                <c:formatCode>0%</c:formatCode>
                <c:ptCount val="8"/>
                <c:pt idx="0">
                  <c:v>0.61</c:v>
                </c:pt>
                <c:pt idx="1">
                  <c:v>0.57999999999999996</c:v>
                </c:pt>
                <c:pt idx="2">
                  <c:v>0.33</c:v>
                </c:pt>
                <c:pt idx="3">
                  <c:v>0.31</c:v>
                </c:pt>
                <c:pt idx="4">
                  <c:v>0.31</c:v>
                </c:pt>
                <c:pt idx="5">
                  <c:v>0.36</c:v>
                </c:pt>
                <c:pt idx="6">
                  <c:v>0.51</c:v>
                </c:pt>
                <c:pt idx="7">
                  <c:v>0.31</c:v>
                </c:pt>
              </c:numCache>
            </c:numRef>
          </c:val>
          <c:smooth val="0"/>
          <c:extLst>
            <c:ext xmlns:c16="http://schemas.microsoft.com/office/drawing/2014/chart" uri="{C3380CC4-5D6E-409C-BE32-E72D297353CC}">
              <c16:uniqueId val="{00000000-35A4-4B78-85AC-3CB602EEB951}"/>
            </c:ext>
          </c:extLst>
        </c:ser>
        <c:dLbls>
          <c:showLegendKey val="0"/>
          <c:showVal val="1"/>
          <c:showCatName val="0"/>
          <c:showSerName val="0"/>
          <c:showPercent val="0"/>
          <c:showBubbleSize val="0"/>
        </c:dLbls>
        <c:smooth val="0"/>
        <c:axId val="-2022813904"/>
        <c:axId val="-2022812816"/>
      </c:lineChart>
      <c:catAx>
        <c:axId val="-20228139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crossAx val="-2022812816"/>
        <c:crosses val="autoZero"/>
        <c:auto val="1"/>
        <c:lblAlgn val="ctr"/>
        <c:lblOffset val="100"/>
        <c:noMultiLvlLbl val="0"/>
      </c:catAx>
      <c:valAx>
        <c:axId val="-2022812816"/>
        <c:scaling>
          <c:orientation val="minMax"/>
          <c:max val="1"/>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crossAx val="-2022813904"/>
        <c:crosses val="autoZero"/>
        <c:crossBetween val="between"/>
        <c:majorUnit val="0.2"/>
      </c:valAx>
      <c:spPr>
        <a:noFill/>
        <a:ln>
          <a:noFill/>
        </a:ln>
        <a:effectLst/>
      </c:spPr>
    </c:plotArea>
    <c:legend>
      <c:legendPos val="b"/>
      <c:layout>
        <c:manualLayout>
          <c:xMode val="edge"/>
          <c:yMode val="edge"/>
          <c:x val="6.5448777191168525E-2"/>
          <c:y val="0.81693621649421522"/>
          <c:w val="0.87967531618111483"/>
          <c:h val="0.12282496619763462"/>
        </c:manualLayout>
      </c:layout>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legend>
    <c:plotVisOnly val="1"/>
    <c:dispBlanksAs val="gap"/>
    <c:showDLblsOverMax val="0"/>
  </c:chart>
  <c:spPr>
    <a:solidFill>
      <a:schemeClr val="bg1"/>
    </a:solidFill>
    <a:ln w="9525" cap="flat" cmpd="sng" algn="ctr">
      <a:solidFill>
        <a:schemeClr val="tx1"/>
      </a:solidFill>
      <a:round/>
    </a:ln>
    <a:effectLst/>
  </c:spPr>
  <c:txPr>
    <a:bodyPr/>
    <a:lstStyle/>
    <a:p>
      <a:pPr>
        <a:defRPr sz="1600" b="1">
          <a:solidFill>
            <a:sysClr val="windowText" lastClr="000000"/>
          </a:solidFill>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AprenCNProQuímicos!$G$13</c:f>
              <c:strCache>
                <c:ptCount val="1"/>
                <c:pt idx="0">
                  <c:v>Observar y relacionar patrones en los datos para evaluar las predicciones. - Procesos químicos</c:v>
                </c:pt>
              </c:strCache>
            </c:strRef>
          </c:tx>
          <c:spPr>
            <a:ln w="28575" cap="rnd">
              <a:solidFill>
                <a:schemeClr val="accent1"/>
              </a:solidFill>
              <a:round/>
            </a:ln>
            <a:effectLst/>
          </c:spPr>
          <c:marker>
            <c:symbol val="none"/>
          </c:marker>
          <c:dLbls>
            <c:spPr>
              <a:noFill/>
              <a:ln>
                <a:noFill/>
              </a:ln>
              <a:effectLst/>
            </c:spPr>
            <c:txPr>
              <a:bodyPr rot="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AprenCNProQuímicos!$B$15:$B$22</c:f>
              <c:numCache>
                <c:formatCode>General</c:formatCode>
                <c:ptCount val="8"/>
                <c:pt idx="0">
                  <c:v>2016</c:v>
                </c:pt>
                <c:pt idx="1">
                  <c:v>2017</c:v>
                </c:pt>
                <c:pt idx="2">
                  <c:v>2018</c:v>
                </c:pt>
                <c:pt idx="3">
                  <c:v>2019</c:v>
                </c:pt>
                <c:pt idx="4">
                  <c:v>2020</c:v>
                </c:pt>
                <c:pt idx="5">
                  <c:v>2021</c:v>
                </c:pt>
                <c:pt idx="6">
                  <c:v>2022</c:v>
                </c:pt>
                <c:pt idx="7">
                  <c:v>2023</c:v>
                </c:pt>
              </c:numCache>
            </c:numRef>
          </c:cat>
          <c:val>
            <c:numRef>
              <c:f>AprenCNProQuímicos!$G$15:$G$22</c:f>
              <c:numCache>
                <c:formatCode>0%</c:formatCode>
                <c:ptCount val="8"/>
                <c:pt idx="0">
                  <c:v>7.0000000000000007E-2</c:v>
                </c:pt>
                <c:pt idx="1">
                  <c:v>0.28000000000000003</c:v>
                </c:pt>
                <c:pt idx="2">
                  <c:v>0.18</c:v>
                </c:pt>
                <c:pt idx="3">
                  <c:v>0.56999999999999995</c:v>
                </c:pt>
                <c:pt idx="4">
                  <c:v>0.65</c:v>
                </c:pt>
                <c:pt idx="5">
                  <c:v>0.41</c:v>
                </c:pt>
                <c:pt idx="6">
                  <c:v>0.31</c:v>
                </c:pt>
                <c:pt idx="7">
                  <c:v>0.33</c:v>
                </c:pt>
              </c:numCache>
            </c:numRef>
          </c:val>
          <c:smooth val="0"/>
          <c:extLst>
            <c:ext xmlns:c16="http://schemas.microsoft.com/office/drawing/2014/chart" uri="{C3380CC4-5D6E-409C-BE32-E72D297353CC}">
              <c16:uniqueId val="{00000001-3A58-4A56-87F3-4BBA44ED23CD}"/>
            </c:ext>
          </c:extLst>
        </c:ser>
        <c:ser>
          <c:idx val="1"/>
          <c:order val="1"/>
          <c:tx>
            <c:strRef>
              <c:f>AprenCNProQuímicos!$H$13</c:f>
              <c:strCache>
                <c:ptCount val="1"/>
                <c:pt idx="0">
                  <c:v>Utilizar algunas habilidades de pensamiento y de procedimiento para  evaluar predicciones - Procesos químicos</c:v>
                </c:pt>
              </c:strCache>
            </c:strRef>
          </c:tx>
          <c:spPr>
            <a:ln w="28575" cap="rnd">
              <a:solidFill>
                <a:schemeClr val="accent2"/>
              </a:solidFill>
              <a:round/>
            </a:ln>
            <a:effectLst/>
          </c:spPr>
          <c:marker>
            <c:symbol val="none"/>
          </c:marker>
          <c:dLbls>
            <c:spPr>
              <a:noFill/>
              <a:ln>
                <a:noFill/>
              </a:ln>
              <a:effectLst/>
            </c:spPr>
            <c:txPr>
              <a:bodyPr rot="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AprenCNProQuímicos!$B$15:$B$22</c:f>
              <c:numCache>
                <c:formatCode>General</c:formatCode>
                <c:ptCount val="8"/>
                <c:pt idx="0">
                  <c:v>2016</c:v>
                </c:pt>
                <c:pt idx="1">
                  <c:v>2017</c:v>
                </c:pt>
                <c:pt idx="2">
                  <c:v>2018</c:v>
                </c:pt>
                <c:pt idx="3">
                  <c:v>2019</c:v>
                </c:pt>
                <c:pt idx="4">
                  <c:v>2020</c:v>
                </c:pt>
                <c:pt idx="5">
                  <c:v>2021</c:v>
                </c:pt>
                <c:pt idx="6">
                  <c:v>2022</c:v>
                </c:pt>
                <c:pt idx="7">
                  <c:v>2023</c:v>
                </c:pt>
              </c:numCache>
            </c:numRef>
          </c:cat>
          <c:val>
            <c:numRef>
              <c:f>AprenCNProQuímicos!$H$15:$H$22</c:f>
              <c:numCache>
                <c:formatCode>0%</c:formatCode>
                <c:ptCount val="8"/>
                <c:pt idx="0">
                  <c:v>0.08</c:v>
                </c:pt>
                <c:pt idx="1">
                  <c:v>0.24</c:v>
                </c:pt>
                <c:pt idx="2">
                  <c:v>0.67</c:v>
                </c:pt>
                <c:pt idx="3">
                  <c:v>0.21</c:v>
                </c:pt>
                <c:pt idx="4">
                  <c:v>0.2</c:v>
                </c:pt>
                <c:pt idx="5">
                  <c:v>0.43</c:v>
                </c:pt>
                <c:pt idx="6">
                  <c:v>0.48</c:v>
                </c:pt>
                <c:pt idx="7">
                  <c:v>0.54</c:v>
                </c:pt>
              </c:numCache>
            </c:numRef>
          </c:val>
          <c:smooth val="0"/>
          <c:extLst>
            <c:ext xmlns:c16="http://schemas.microsoft.com/office/drawing/2014/chart" uri="{C3380CC4-5D6E-409C-BE32-E72D297353CC}">
              <c16:uniqueId val="{00000000-FC13-493E-96F6-345903081151}"/>
            </c:ext>
          </c:extLst>
        </c:ser>
        <c:dLbls>
          <c:showLegendKey val="0"/>
          <c:showVal val="1"/>
          <c:showCatName val="0"/>
          <c:showSerName val="0"/>
          <c:showPercent val="0"/>
          <c:showBubbleSize val="0"/>
        </c:dLbls>
        <c:smooth val="0"/>
        <c:axId val="-2022811728"/>
        <c:axId val="-2009386352"/>
      </c:lineChart>
      <c:catAx>
        <c:axId val="-20228117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crossAx val="-2009386352"/>
        <c:crosses val="autoZero"/>
        <c:auto val="1"/>
        <c:lblAlgn val="ctr"/>
        <c:lblOffset val="100"/>
        <c:noMultiLvlLbl val="0"/>
      </c:catAx>
      <c:valAx>
        <c:axId val="-2009386352"/>
        <c:scaling>
          <c:orientation val="minMax"/>
          <c:max val="1"/>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crossAx val="-202281172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legend>
    <c:plotVisOnly val="1"/>
    <c:dispBlanksAs val="gap"/>
    <c:showDLblsOverMax val="0"/>
  </c:chart>
  <c:spPr>
    <a:solidFill>
      <a:schemeClr val="bg1"/>
    </a:solidFill>
    <a:ln w="9525" cap="flat" cmpd="sng" algn="ctr">
      <a:solidFill>
        <a:schemeClr val="tx1"/>
      </a:solidFill>
      <a:round/>
    </a:ln>
    <a:effectLst/>
  </c:spPr>
  <c:txPr>
    <a:bodyPr/>
    <a:lstStyle/>
    <a:p>
      <a:pPr>
        <a:defRPr sz="1600" b="1">
          <a:solidFill>
            <a:sysClr val="windowText" lastClr="000000"/>
          </a:solidFill>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2808999883604744E-2"/>
          <c:y val="4.8991077877190946E-2"/>
          <c:w val="0.89148520908692708"/>
          <c:h val="0.57534221216698689"/>
        </c:manualLayout>
      </c:layout>
      <c:lineChart>
        <c:grouping val="standard"/>
        <c:varyColors val="0"/>
        <c:ser>
          <c:idx val="0"/>
          <c:order val="0"/>
          <c:tx>
            <c:strRef>
              <c:f>AprenCNProFísicos!$C$14</c:f>
              <c:strCache>
                <c:ptCount val="1"/>
                <c:pt idx="0">
                  <c:v>Modelar fenómenos de la naturaleza basado en el análisis de variables, la relación entre dos o más conceptos del conocimiento científico y de la evidencia derivada de investigaciones científicas. - Procesos físicos</c:v>
                </c:pt>
              </c:strCache>
            </c:strRef>
          </c:tx>
          <c:spPr>
            <a:ln w="28575" cap="rnd">
              <a:solidFill>
                <a:schemeClr val="accent1"/>
              </a:solidFill>
              <a:round/>
            </a:ln>
            <a:effectLst/>
          </c:spPr>
          <c:marker>
            <c:symbol val="none"/>
          </c:marker>
          <c:dLbls>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AprenCNProFísicos!$B$16:$B$23</c:f>
              <c:numCache>
                <c:formatCode>General</c:formatCode>
                <c:ptCount val="8"/>
                <c:pt idx="0">
                  <c:v>2016</c:v>
                </c:pt>
                <c:pt idx="1">
                  <c:v>2017</c:v>
                </c:pt>
                <c:pt idx="2">
                  <c:v>2018</c:v>
                </c:pt>
                <c:pt idx="3">
                  <c:v>2019</c:v>
                </c:pt>
                <c:pt idx="4">
                  <c:v>2020</c:v>
                </c:pt>
                <c:pt idx="5">
                  <c:v>2021</c:v>
                </c:pt>
                <c:pt idx="6">
                  <c:v>2022</c:v>
                </c:pt>
                <c:pt idx="7">
                  <c:v>2023</c:v>
                </c:pt>
              </c:numCache>
            </c:numRef>
          </c:cat>
          <c:val>
            <c:numRef>
              <c:f>AprenCNProFísicos!$C$16:$C$23</c:f>
              <c:numCache>
                <c:formatCode>0%</c:formatCode>
                <c:ptCount val="8"/>
                <c:pt idx="0">
                  <c:v>1</c:v>
                </c:pt>
                <c:pt idx="1">
                  <c:v>0.65</c:v>
                </c:pt>
                <c:pt idx="2">
                  <c:v>0.62</c:v>
                </c:pt>
                <c:pt idx="3">
                  <c:v>0.54</c:v>
                </c:pt>
                <c:pt idx="4">
                  <c:v>0.68</c:v>
                </c:pt>
                <c:pt idx="5">
                  <c:v>0.62</c:v>
                </c:pt>
                <c:pt idx="6">
                  <c:v>0.56999999999999995</c:v>
                </c:pt>
                <c:pt idx="7">
                  <c:v>0.7</c:v>
                </c:pt>
              </c:numCache>
            </c:numRef>
          </c:val>
          <c:smooth val="0"/>
          <c:extLst>
            <c:ext xmlns:c16="http://schemas.microsoft.com/office/drawing/2014/chart" uri="{C3380CC4-5D6E-409C-BE32-E72D297353CC}">
              <c16:uniqueId val="{00000001-063A-4B16-8D93-4BCF9B3E8BCD}"/>
            </c:ext>
          </c:extLst>
        </c:ser>
        <c:ser>
          <c:idx val="1"/>
          <c:order val="1"/>
          <c:tx>
            <c:strRef>
              <c:f>AprenCNProFísicos!$D$14</c:f>
              <c:strCache>
                <c:ptCount val="1"/>
                <c:pt idx="0">
                  <c:v>Explicar cómo ocurren algunos fenómenos de la naturaleza basado en observaciones, en patrones y  en conceptos propios del conocimiento científico. - Procesos físicos</c:v>
                </c:pt>
              </c:strCache>
            </c:strRef>
          </c:tx>
          <c:spPr>
            <a:ln w="28575" cap="rnd">
              <a:solidFill>
                <a:schemeClr val="accent2"/>
              </a:solidFill>
              <a:round/>
            </a:ln>
            <a:effectLst/>
          </c:spPr>
          <c:marker>
            <c:symbol val="none"/>
          </c:marker>
          <c:dLbls>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AprenCNProFísicos!$B$16:$B$23</c:f>
              <c:numCache>
                <c:formatCode>General</c:formatCode>
                <c:ptCount val="8"/>
                <c:pt idx="0">
                  <c:v>2016</c:v>
                </c:pt>
                <c:pt idx="1">
                  <c:v>2017</c:v>
                </c:pt>
                <c:pt idx="2">
                  <c:v>2018</c:v>
                </c:pt>
                <c:pt idx="3">
                  <c:v>2019</c:v>
                </c:pt>
                <c:pt idx="4">
                  <c:v>2020</c:v>
                </c:pt>
                <c:pt idx="5">
                  <c:v>2021</c:v>
                </c:pt>
                <c:pt idx="6">
                  <c:v>2022</c:v>
                </c:pt>
                <c:pt idx="7">
                  <c:v>2023</c:v>
                </c:pt>
              </c:numCache>
            </c:numRef>
          </c:cat>
          <c:val>
            <c:numRef>
              <c:f>AprenCNProFísicos!$D$16:$D$23</c:f>
              <c:numCache>
                <c:formatCode>0%</c:formatCode>
                <c:ptCount val="8"/>
                <c:pt idx="0">
                  <c:v>7.0000000000000007E-2</c:v>
                </c:pt>
                <c:pt idx="1">
                  <c:v>0.38</c:v>
                </c:pt>
                <c:pt idx="2">
                  <c:v>0.6</c:v>
                </c:pt>
                <c:pt idx="3">
                  <c:v>0.62</c:v>
                </c:pt>
                <c:pt idx="4">
                  <c:v>0.56999999999999995</c:v>
                </c:pt>
                <c:pt idx="5">
                  <c:v>0.53</c:v>
                </c:pt>
                <c:pt idx="6">
                  <c:v>0.64</c:v>
                </c:pt>
                <c:pt idx="7">
                  <c:v>0.55000000000000004</c:v>
                </c:pt>
              </c:numCache>
            </c:numRef>
          </c:val>
          <c:smooth val="0"/>
          <c:extLst>
            <c:ext xmlns:c16="http://schemas.microsoft.com/office/drawing/2014/chart" uri="{C3380CC4-5D6E-409C-BE32-E72D297353CC}">
              <c16:uniqueId val="{00000000-5468-42CC-9E33-A1E62548E5D7}"/>
            </c:ext>
          </c:extLst>
        </c:ser>
        <c:dLbls>
          <c:showLegendKey val="0"/>
          <c:showVal val="1"/>
          <c:showCatName val="0"/>
          <c:showSerName val="0"/>
          <c:showPercent val="0"/>
          <c:showBubbleSize val="0"/>
        </c:dLbls>
        <c:smooth val="0"/>
        <c:axId val="-2009538192"/>
        <c:axId val="-2009545264"/>
      </c:lineChart>
      <c:catAx>
        <c:axId val="-20095381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crossAx val="-2009545264"/>
        <c:crosses val="autoZero"/>
        <c:auto val="1"/>
        <c:lblAlgn val="ctr"/>
        <c:lblOffset val="100"/>
        <c:noMultiLvlLbl val="0"/>
      </c:catAx>
      <c:valAx>
        <c:axId val="-2009545264"/>
        <c:scaling>
          <c:orientation val="minMax"/>
          <c:max val="1"/>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crossAx val="-2009538192"/>
        <c:crosses val="autoZero"/>
        <c:crossBetween val="between"/>
        <c:majorUnit val="0.2"/>
      </c:valAx>
      <c:spPr>
        <a:noFill/>
        <a:ln>
          <a:noFill/>
        </a:ln>
        <a:effectLst/>
      </c:spPr>
    </c:plotArea>
    <c:legend>
      <c:legendPos val="b"/>
      <c:layout>
        <c:manualLayout>
          <c:xMode val="edge"/>
          <c:yMode val="edge"/>
          <c:x val="7.9430371739456815E-2"/>
          <c:y val="0.74541562146139628"/>
          <c:w val="0.89385382442759675"/>
          <c:h val="0.16999907725747251"/>
        </c:manualLayout>
      </c:layout>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legend>
    <c:plotVisOnly val="1"/>
    <c:dispBlanksAs val="gap"/>
    <c:showDLblsOverMax val="0"/>
  </c:chart>
  <c:spPr>
    <a:solidFill>
      <a:schemeClr val="bg1"/>
    </a:solidFill>
    <a:ln w="9525" cap="flat" cmpd="sng" algn="ctr">
      <a:solidFill>
        <a:schemeClr val="tx1"/>
      </a:solidFill>
      <a:round/>
    </a:ln>
    <a:effectLst/>
  </c:spPr>
  <c:txPr>
    <a:bodyPr/>
    <a:lstStyle/>
    <a:p>
      <a:pPr>
        <a:defRPr sz="1400" b="1">
          <a:solidFill>
            <a:sysClr val="windowText" lastClr="000000"/>
          </a:solidFill>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2032780371309497E-2"/>
          <c:y val="3.9401653567979714E-2"/>
          <c:w val="0.87130138753243036"/>
          <c:h val="0.63519232989267571"/>
        </c:manualLayout>
      </c:layout>
      <c:lineChart>
        <c:grouping val="standard"/>
        <c:varyColors val="0"/>
        <c:ser>
          <c:idx val="0"/>
          <c:order val="0"/>
          <c:tx>
            <c:strRef>
              <c:f>AprenCNProFísicos!$E$14</c:f>
              <c:strCache>
                <c:ptCount val="1"/>
                <c:pt idx="0">
                  <c:v>Comprender que a partir de la investigación científica se construyen explicaciones sobre el mundo natural. - Procesos físicos</c:v>
                </c:pt>
              </c:strCache>
            </c:strRef>
          </c:tx>
          <c:spPr>
            <a:ln w="28575" cap="rnd">
              <a:solidFill>
                <a:schemeClr val="accent1"/>
              </a:solidFill>
              <a:round/>
            </a:ln>
            <a:effectLst/>
          </c:spPr>
          <c:marker>
            <c:symbol val="none"/>
          </c:marker>
          <c:dLbls>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AprenCNProFísicos!$B$16:$B$23</c:f>
              <c:numCache>
                <c:formatCode>General</c:formatCode>
                <c:ptCount val="8"/>
                <c:pt idx="0">
                  <c:v>2016</c:v>
                </c:pt>
                <c:pt idx="1">
                  <c:v>2017</c:v>
                </c:pt>
                <c:pt idx="2">
                  <c:v>2018</c:v>
                </c:pt>
                <c:pt idx="3">
                  <c:v>2019</c:v>
                </c:pt>
                <c:pt idx="4">
                  <c:v>2020</c:v>
                </c:pt>
                <c:pt idx="5">
                  <c:v>2021</c:v>
                </c:pt>
                <c:pt idx="6">
                  <c:v>2022</c:v>
                </c:pt>
                <c:pt idx="7">
                  <c:v>2023</c:v>
                </c:pt>
              </c:numCache>
            </c:numRef>
          </c:cat>
          <c:val>
            <c:numRef>
              <c:f>AprenCNProFísicos!$E$16:$E$23</c:f>
              <c:numCache>
                <c:formatCode>0%</c:formatCode>
                <c:ptCount val="8"/>
                <c:pt idx="0">
                  <c:v>0.42</c:v>
                </c:pt>
                <c:pt idx="1">
                  <c:v>0.54</c:v>
                </c:pt>
                <c:pt idx="2">
                  <c:v>0.43</c:v>
                </c:pt>
                <c:pt idx="3">
                  <c:v>0.42</c:v>
                </c:pt>
                <c:pt idx="4">
                  <c:v>0.46</c:v>
                </c:pt>
                <c:pt idx="5">
                  <c:v>0.28000000000000003</c:v>
                </c:pt>
                <c:pt idx="6">
                  <c:v>0</c:v>
                </c:pt>
                <c:pt idx="7">
                  <c:v>0</c:v>
                </c:pt>
              </c:numCache>
            </c:numRef>
          </c:val>
          <c:smooth val="0"/>
          <c:extLst>
            <c:ext xmlns:c16="http://schemas.microsoft.com/office/drawing/2014/chart" uri="{C3380CC4-5D6E-409C-BE32-E72D297353CC}">
              <c16:uniqueId val="{00000001-1B62-4A05-AEDE-4E887618E87B}"/>
            </c:ext>
          </c:extLst>
        </c:ser>
        <c:ser>
          <c:idx val="1"/>
          <c:order val="1"/>
          <c:tx>
            <c:strRef>
              <c:f>AprenCNProFísicos!$F$14</c:f>
              <c:strCache>
                <c:ptCount val="1"/>
                <c:pt idx="0">
                  <c:v>Derivar conclusiones para algunos fenómenos de la naturaleza basándose en conocimientos científicos y en la evidencia de su propia investigación y de la de otros. - Procesos físicos</c:v>
                </c:pt>
              </c:strCache>
            </c:strRef>
          </c:tx>
          <c:spPr>
            <a:ln w="28575" cap="rnd">
              <a:solidFill>
                <a:schemeClr val="accent2"/>
              </a:solidFill>
              <a:round/>
            </a:ln>
            <a:effectLst/>
          </c:spPr>
          <c:marker>
            <c:symbol val="none"/>
          </c:marker>
          <c:dLbls>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AprenCNProFísicos!$B$16:$B$23</c:f>
              <c:numCache>
                <c:formatCode>General</c:formatCode>
                <c:ptCount val="8"/>
                <c:pt idx="0">
                  <c:v>2016</c:v>
                </c:pt>
                <c:pt idx="1">
                  <c:v>2017</c:v>
                </c:pt>
                <c:pt idx="2">
                  <c:v>2018</c:v>
                </c:pt>
                <c:pt idx="3">
                  <c:v>2019</c:v>
                </c:pt>
                <c:pt idx="4">
                  <c:v>2020</c:v>
                </c:pt>
                <c:pt idx="5">
                  <c:v>2021</c:v>
                </c:pt>
                <c:pt idx="6">
                  <c:v>2022</c:v>
                </c:pt>
                <c:pt idx="7">
                  <c:v>2023</c:v>
                </c:pt>
              </c:numCache>
            </c:numRef>
          </c:cat>
          <c:val>
            <c:numRef>
              <c:f>AprenCNProFísicos!$F$16:$F$23</c:f>
              <c:numCache>
                <c:formatCode>0%</c:formatCode>
                <c:ptCount val="8"/>
                <c:pt idx="0">
                  <c:v>0</c:v>
                </c:pt>
                <c:pt idx="1">
                  <c:v>0.53</c:v>
                </c:pt>
                <c:pt idx="2">
                  <c:v>0.4</c:v>
                </c:pt>
                <c:pt idx="3">
                  <c:v>0.3</c:v>
                </c:pt>
                <c:pt idx="4">
                  <c:v>0.46</c:v>
                </c:pt>
                <c:pt idx="5">
                  <c:v>0.67</c:v>
                </c:pt>
                <c:pt idx="6">
                  <c:v>0.46</c:v>
                </c:pt>
                <c:pt idx="7">
                  <c:v>0.48</c:v>
                </c:pt>
              </c:numCache>
            </c:numRef>
          </c:val>
          <c:smooth val="0"/>
          <c:extLst>
            <c:ext xmlns:c16="http://schemas.microsoft.com/office/drawing/2014/chart" uri="{C3380CC4-5D6E-409C-BE32-E72D297353CC}">
              <c16:uniqueId val="{00000000-2E29-482F-BA21-46049744E204}"/>
            </c:ext>
          </c:extLst>
        </c:ser>
        <c:dLbls>
          <c:showLegendKey val="0"/>
          <c:showVal val="1"/>
          <c:showCatName val="0"/>
          <c:showSerName val="0"/>
          <c:showPercent val="0"/>
          <c:showBubbleSize val="0"/>
        </c:dLbls>
        <c:smooth val="0"/>
        <c:axId val="-2009540368"/>
        <c:axId val="-2009544720"/>
      </c:lineChart>
      <c:catAx>
        <c:axId val="-20095403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crossAx val="-2009544720"/>
        <c:crosses val="autoZero"/>
        <c:auto val="1"/>
        <c:lblAlgn val="ctr"/>
        <c:lblOffset val="100"/>
        <c:noMultiLvlLbl val="0"/>
      </c:catAx>
      <c:valAx>
        <c:axId val="-2009544720"/>
        <c:scaling>
          <c:orientation val="minMax"/>
          <c:max val="1"/>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crossAx val="-2009540368"/>
        <c:crosses val="autoZero"/>
        <c:crossBetween val="between"/>
      </c:valAx>
      <c:spPr>
        <a:noFill/>
        <a:ln>
          <a:noFill/>
        </a:ln>
        <a:effectLst/>
      </c:spPr>
    </c:plotArea>
    <c:legend>
      <c:legendPos val="b"/>
      <c:layout>
        <c:manualLayout>
          <c:xMode val="edge"/>
          <c:yMode val="edge"/>
          <c:x val="6.2328851825403146E-2"/>
          <c:y val="0.78652064486219353"/>
          <c:w val="0.89089245586168098"/>
          <c:h val="0.14472260125512421"/>
        </c:manualLayout>
      </c:layout>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legend>
    <c:plotVisOnly val="1"/>
    <c:dispBlanksAs val="gap"/>
    <c:showDLblsOverMax val="0"/>
  </c:chart>
  <c:spPr>
    <a:solidFill>
      <a:schemeClr val="bg1"/>
    </a:solidFill>
    <a:ln w="9525" cap="flat" cmpd="sng" algn="ctr">
      <a:solidFill>
        <a:schemeClr val="tx1"/>
      </a:solidFill>
      <a:round/>
    </a:ln>
    <a:effectLst/>
  </c:spPr>
  <c:txPr>
    <a:bodyPr/>
    <a:lstStyle/>
    <a:p>
      <a:pPr>
        <a:defRPr sz="1400" b="1">
          <a:solidFill>
            <a:sysClr val="windowText" lastClr="000000"/>
          </a:solidFill>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4939575593273855E-2"/>
          <c:y val="4.7194984773244811E-2"/>
          <c:w val="0.8853697408831519"/>
          <c:h val="0.65465883837691019"/>
        </c:manualLayout>
      </c:layout>
      <c:lineChart>
        <c:grouping val="standard"/>
        <c:varyColors val="0"/>
        <c:ser>
          <c:idx val="0"/>
          <c:order val="0"/>
          <c:tx>
            <c:strRef>
              <c:f>AprenCNProFísicos!$G$14</c:f>
              <c:strCache>
                <c:ptCount val="1"/>
                <c:pt idx="0">
                  <c:v>Observar y relacionar patrones en los datos para evaluar las predicciones. - Procesos físicos</c:v>
                </c:pt>
              </c:strCache>
            </c:strRef>
          </c:tx>
          <c:spPr>
            <a:ln w="28575" cap="rnd">
              <a:solidFill>
                <a:schemeClr val="accent1"/>
              </a:solidFill>
              <a:round/>
            </a:ln>
            <a:effectLst/>
          </c:spPr>
          <c:marker>
            <c:symbol val="none"/>
          </c:marker>
          <c:dLbls>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AprenCNProFísicos!$B$16:$B$23</c:f>
              <c:numCache>
                <c:formatCode>General</c:formatCode>
                <c:ptCount val="8"/>
                <c:pt idx="0">
                  <c:v>2016</c:v>
                </c:pt>
                <c:pt idx="1">
                  <c:v>2017</c:v>
                </c:pt>
                <c:pt idx="2">
                  <c:v>2018</c:v>
                </c:pt>
                <c:pt idx="3">
                  <c:v>2019</c:v>
                </c:pt>
                <c:pt idx="4">
                  <c:v>2020</c:v>
                </c:pt>
                <c:pt idx="5">
                  <c:v>2021</c:v>
                </c:pt>
                <c:pt idx="6">
                  <c:v>2022</c:v>
                </c:pt>
                <c:pt idx="7">
                  <c:v>2023</c:v>
                </c:pt>
              </c:numCache>
            </c:numRef>
          </c:cat>
          <c:val>
            <c:numRef>
              <c:f>AprenCNProFísicos!$G$16:$G$23</c:f>
              <c:numCache>
                <c:formatCode>0%</c:formatCode>
                <c:ptCount val="8"/>
                <c:pt idx="0">
                  <c:v>0.16</c:v>
                </c:pt>
                <c:pt idx="1">
                  <c:v>0.53</c:v>
                </c:pt>
                <c:pt idx="2">
                  <c:v>0.61</c:v>
                </c:pt>
                <c:pt idx="3">
                  <c:v>0.46</c:v>
                </c:pt>
                <c:pt idx="4">
                  <c:v>0.49</c:v>
                </c:pt>
                <c:pt idx="5">
                  <c:v>0.56999999999999995</c:v>
                </c:pt>
                <c:pt idx="6">
                  <c:v>0.45</c:v>
                </c:pt>
                <c:pt idx="7">
                  <c:v>0.61</c:v>
                </c:pt>
              </c:numCache>
            </c:numRef>
          </c:val>
          <c:smooth val="0"/>
          <c:extLst>
            <c:ext xmlns:c16="http://schemas.microsoft.com/office/drawing/2014/chart" uri="{C3380CC4-5D6E-409C-BE32-E72D297353CC}">
              <c16:uniqueId val="{00000001-1A78-4CCF-AAAF-2AF887F2B7C2}"/>
            </c:ext>
          </c:extLst>
        </c:ser>
        <c:ser>
          <c:idx val="1"/>
          <c:order val="1"/>
          <c:tx>
            <c:strRef>
              <c:f>AprenCNProFísicos!$H$14</c:f>
              <c:strCache>
                <c:ptCount val="1"/>
                <c:pt idx="0">
                  <c:v>Utilizar algunas habilidades de pensamiento y de procedimiento para  evaluar predicciones - Procesos físicos</c:v>
                </c:pt>
              </c:strCache>
            </c:strRef>
          </c:tx>
          <c:spPr>
            <a:ln w="28575" cap="rnd">
              <a:solidFill>
                <a:schemeClr val="accent2"/>
              </a:solidFill>
              <a:round/>
            </a:ln>
            <a:effectLst/>
          </c:spPr>
          <c:marker>
            <c:symbol val="none"/>
          </c:marker>
          <c:dLbls>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AprenCNProFísicos!$B$16:$B$23</c:f>
              <c:numCache>
                <c:formatCode>General</c:formatCode>
                <c:ptCount val="8"/>
                <c:pt idx="0">
                  <c:v>2016</c:v>
                </c:pt>
                <c:pt idx="1">
                  <c:v>2017</c:v>
                </c:pt>
                <c:pt idx="2">
                  <c:v>2018</c:v>
                </c:pt>
                <c:pt idx="3">
                  <c:v>2019</c:v>
                </c:pt>
                <c:pt idx="4">
                  <c:v>2020</c:v>
                </c:pt>
                <c:pt idx="5">
                  <c:v>2021</c:v>
                </c:pt>
                <c:pt idx="6">
                  <c:v>2022</c:v>
                </c:pt>
                <c:pt idx="7">
                  <c:v>2023</c:v>
                </c:pt>
              </c:numCache>
            </c:numRef>
          </c:cat>
          <c:val>
            <c:numRef>
              <c:f>AprenCNProFísicos!$H$16:$H$23</c:f>
              <c:numCache>
                <c:formatCode>0%</c:formatCode>
                <c:ptCount val="8"/>
                <c:pt idx="0">
                  <c:v>0.4</c:v>
                </c:pt>
                <c:pt idx="1">
                  <c:v>0.4</c:v>
                </c:pt>
                <c:pt idx="2">
                  <c:v>0.72</c:v>
                </c:pt>
                <c:pt idx="3">
                  <c:v>0.48</c:v>
                </c:pt>
                <c:pt idx="4">
                  <c:v>0.64</c:v>
                </c:pt>
                <c:pt idx="5">
                  <c:v>0.36</c:v>
                </c:pt>
                <c:pt idx="6">
                  <c:v>0.49</c:v>
                </c:pt>
                <c:pt idx="7">
                  <c:v>0.56000000000000005</c:v>
                </c:pt>
              </c:numCache>
            </c:numRef>
          </c:val>
          <c:smooth val="0"/>
          <c:extLst>
            <c:ext xmlns:c16="http://schemas.microsoft.com/office/drawing/2014/chart" uri="{C3380CC4-5D6E-409C-BE32-E72D297353CC}">
              <c16:uniqueId val="{00000000-7ACC-4DD5-8376-AC58D6C8FF14}"/>
            </c:ext>
          </c:extLst>
        </c:ser>
        <c:dLbls>
          <c:showLegendKey val="0"/>
          <c:showVal val="1"/>
          <c:showCatName val="0"/>
          <c:showSerName val="0"/>
          <c:showPercent val="0"/>
          <c:showBubbleSize val="0"/>
        </c:dLbls>
        <c:smooth val="0"/>
        <c:axId val="-2009549072"/>
        <c:axId val="-2009544176"/>
      </c:lineChart>
      <c:catAx>
        <c:axId val="-20095490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crossAx val="-2009544176"/>
        <c:crosses val="autoZero"/>
        <c:auto val="1"/>
        <c:lblAlgn val="ctr"/>
        <c:lblOffset val="100"/>
        <c:noMultiLvlLbl val="0"/>
      </c:catAx>
      <c:valAx>
        <c:axId val="-2009544176"/>
        <c:scaling>
          <c:orientation val="minMax"/>
          <c:max val="1"/>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crossAx val="-2009549072"/>
        <c:crosses val="autoZero"/>
        <c:crossBetween val="between"/>
      </c:valAx>
      <c:spPr>
        <a:noFill/>
        <a:ln>
          <a:noFill/>
        </a:ln>
        <a:effectLst/>
      </c:spPr>
    </c:plotArea>
    <c:legend>
      <c:legendPos val="b"/>
      <c:layout>
        <c:manualLayout>
          <c:xMode val="edge"/>
          <c:yMode val="edge"/>
          <c:x val="0.12643562046821916"/>
          <c:y val="0.78879333561565679"/>
          <c:w val="0.80972512349118919"/>
          <c:h val="0.18124089923542167"/>
        </c:manualLayout>
      </c:layout>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legend>
    <c:plotVisOnly val="1"/>
    <c:dispBlanksAs val="gap"/>
    <c:showDLblsOverMax val="0"/>
  </c:chart>
  <c:spPr>
    <a:solidFill>
      <a:schemeClr val="bg1"/>
    </a:solidFill>
    <a:ln w="9525" cap="flat" cmpd="sng" algn="ctr">
      <a:solidFill>
        <a:schemeClr val="tx1"/>
      </a:solidFill>
      <a:round/>
    </a:ln>
    <a:effectLst/>
  </c:spPr>
  <c:txPr>
    <a:bodyPr/>
    <a:lstStyle/>
    <a:p>
      <a:pPr>
        <a:defRPr sz="1100" b="0">
          <a:solidFill>
            <a:sysClr val="windowText" lastClr="000000"/>
          </a:solidFill>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4432266942892719E-2"/>
          <c:y val="4.5273986032574869E-2"/>
          <c:w val="0.88322559061138017"/>
          <c:h val="0.6142471947372784"/>
        </c:manualLayout>
      </c:layout>
      <c:lineChart>
        <c:grouping val="standard"/>
        <c:varyColors val="0"/>
        <c:ser>
          <c:idx val="0"/>
          <c:order val="0"/>
          <c:tx>
            <c:strRef>
              <c:f>AprenCNProFísicos!$I$14</c:f>
              <c:strCache>
                <c:ptCount val="1"/>
                <c:pt idx="0">
                  <c:v>Asociar fenómenos naturales con conceptos propios del conocimiento científico. - Procesos físicos</c:v>
                </c:pt>
              </c:strCache>
            </c:strRef>
          </c:tx>
          <c:spPr>
            <a:ln w="28575" cap="rnd">
              <a:solidFill>
                <a:schemeClr val="accent1"/>
              </a:solidFill>
              <a:round/>
            </a:ln>
            <a:effectLst/>
          </c:spPr>
          <c:marker>
            <c:symbol val="none"/>
          </c:marker>
          <c:dLbls>
            <c:spPr>
              <a:noFill/>
              <a:ln>
                <a:noFill/>
              </a:ln>
              <a:effectLst/>
            </c:spPr>
            <c:txPr>
              <a:bodyPr rot="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AprenCNProFísicos!$B$16:$B$23</c:f>
              <c:numCache>
                <c:formatCode>General</c:formatCode>
                <c:ptCount val="8"/>
                <c:pt idx="0">
                  <c:v>2016</c:v>
                </c:pt>
                <c:pt idx="1">
                  <c:v>2017</c:v>
                </c:pt>
                <c:pt idx="2">
                  <c:v>2018</c:v>
                </c:pt>
                <c:pt idx="3">
                  <c:v>2019</c:v>
                </c:pt>
                <c:pt idx="4">
                  <c:v>2020</c:v>
                </c:pt>
                <c:pt idx="5">
                  <c:v>2021</c:v>
                </c:pt>
                <c:pt idx="6">
                  <c:v>2022</c:v>
                </c:pt>
                <c:pt idx="7">
                  <c:v>2023</c:v>
                </c:pt>
              </c:numCache>
            </c:numRef>
          </c:cat>
          <c:val>
            <c:numRef>
              <c:f>AprenCNProFísicos!$I$16:$I$23</c:f>
              <c:numCache>
                <c:formatCode>0%</c:formatCode>
                <c:ptCount val="8"/>
                <c:pt idx="0">
                  <c:v>0.38</c:v>
                </c:pt>
                <c:pt idx="1">
                  <c:v>0.43</c:v>
                </c:pt>
                <c:pt idx="2">
                  <c:v>0.36</c:v>
                </c:pt>
                <c:pt idx="3">
                  <c:v>0.63</c:v>
                </c:pt>
                <c:pt idx="4">
                  <c:v>0.31</c:v>
                </c:pt>
                <c:pt idx="5">
                  <c:v>0.52</c:v>
                </c:pt>
                <c:pt idx="6">
                  <c:v>0.66</c:v>
                </c:pt>
                <c:pt idx="7">
                  <c:v>0.69</c:v>
                </c:pt>
              </c:numCache>
            </c:numRef>
          </c:val>
          <c:smooth val="0"/>
          <c:extLst>
            <c:ext xmlns:c16="http://schemas.microsoft.com/office/drawing/2014/chart" uri="{C3380CC4-5D6E-409C-BE32-E72D297353CC}">
              <c16:uniqueId val="{00000001-0605-47B6-8006-8F6D2E120AD3}"/>
            </c:ext>
          </c:extLst>
        </c:ser>
        <c:ser>
          <c:idx val="1"/>
          <c:order val="1"/>
          <c:tx>
            <c:strRef>
              <c:f>AprenCNProFísicos!$J$14</c:f>
              <c:strCache>
                <c:ptCount val="1"/>
                <c:pt idx="0">
                  <c:v>Identificar las características  de algunos fenómenos de la naturaleza basado en el análisis de información  y  conceptos propios del conocimiento científico. - Procesos físicos</c:v>
                </c:pt>
              </c:strCache>
            </c:strRef>
          </c:tx>
          <c:spPr>
            <a:ln w="28575" cap="rnd">
              <a:solidFill>
                <a:schemeClr val="accent2"/>
              </a:solidFill>
              <a:round/>
            </a:ln>
            <a:effectLst/>
          </c:spPr>
          <c:marker>
            <c:symbol val="none"/>
          </c:marker>
          <c:dLbls>
            <c:spPr>
              <a:noFill/>
              <a:ln>
                <a:noFill/>
              </a:ln>
              <a:effectLst/>
            </c:spPr>
            <c:txPr>
              <a:bodyPr rot="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AprenCNProFísicos!$B$16:$B$23</c:f>
              <c:numCache>
                <c:formatCode>General</c:formatCode>
                <c:ptCount val="8"/>
                <c:pt idx="0">
                  <c:v>2016</c:v>
                </c:pt>
                <c:pt idx="1">
                  <c:v>2017</c:v>
                </c:pt>
                <c:pt idx="2">
                  <c:v>2018</c:v>
                </c:pt>
                <c:pt idx="3">
                  <c:v>2019</c:v>
                </c:pt>
                <c:pt idx="4">
                  <c:v>2020</c:v>
                </c:pt>
                <c:pt idx="5">
                  <c:v>2021</c:v>
                </c:pt>
                <c:pt idx="6">
                  <c:v>2022</c:v>
                </c:pt>
                <c:pt idx="7">
                  <c:v>2023</c:v>
                </c:pt>
              </c:numCache>
            </c:numRef>
          </c:cat>
          <c:val>
            <c:numRef>
              <c:f>AprenCNProFísicos!$J$16:$J$23</c:f>
              <c:numCache>
                <c:formatCode>0%</c:formatCode>
                <c:ptCount val="8"/>
                <c:pt idx="0">
                  <c:v>0.6</c:v>
                </c:pt>
                <c:pt idx="1">
                  <c:v>0.38</c:v>
                </c:pt>
                <c:pt idx="2">
                  <c:v>0.55000000000000004</c:v>
                </c:pt>
                <c:pt idx="3">
                  <c:v>0.52</c:v>
                </c:pt>
                <c:pt idx="4">
                  <c:v>0.56999999999999995</c:v>
                </c:pt>
                <c:pt idx="5">
                  <c:v>0.68</c:v>
                </c:pt>
                <c:pt idx="6">
                  <c:v>0.7</c:v>
                </c:pt>
                <c:pt idx="7">
                  <c:v>0.67</c:v>
                </c:pt>
              </c:numCache>
            </c:numRef>
          </c:val>
          <c:smooth val="0"/>
          <c:extLst>
            <c:ext xmlns:c16="http://schemas.microsoft.com/office/drawing/2014/chart" uri="{C3380CC4-5D6E-409C-BE32-E72D297353CC}">
              <c16:uniqueId val="{00000000-FCE9-4D0E-BEBE-F858696F21C5}"/>
            </c:ext>
          </c:extLst>
        </c:ser>
        <c:dLbls>
          <c:showLegendKey val="0"/>
          <c:showVal val="1"/>
          <c:showCatName val="0"/>
          <c:showSerName val="0"/>
          <c:showPercent val="0"/>
          <c:showBubbleSize val="0"/>
        </c:dLbls>
        <c:smooth val="0"/>
        <c:axId val="-2031361936"/>
        <c:axId val="-2031348880"/>
      </c:lineChart>
      <c:catAx>
        <c:axId val="-20313619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crossAx val="-2031348880"/>
        <c:crosses val="autoZero"/>
        <c:auto val="1"/>
        <c:lblAlgn val="ctr"/>
        <c:lblOffset val="100"/>
        <c:noMultiLvlLbl val="0"/>
      </c:catAx>
      <c:valAx>
        <c:axId val="-2031348880"/>
        <c:scaling>
          <c:orientation val="minMax"/>
          <c:max val="1"/>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crossAx val="-2031361936"/>
        <c:crosses val="autoZero"/>
        <c:crossBetween val="between"/>
      </c:valAx>
      <c:spPr>
        <a:noFill/>
        <a:ln>
          <a:noFill/>
        </a:ln>
        <a:effectLst/>
      </c:spPr>
    </c:plotArea>
    <c:legend>
      <c:legendPos val="b"/>
      <c:layout>
        <c:manualLayout>
          <c:xMode val="edge"/>
          <c:yMode val="edge"/>
          <c:x val="5.4390856028668035E-2"/>
          <c:y val="0.77810164611382127"/>
          <c:w val="0.87253872942571642"/>
          <c:h val="0.13981011627947829"/>
        </c:manualLayout>
      </c:layout>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legend>
    <c:plotVisOnly val="1"/>
    <c:dispBlanksAs val="gap"/>
    <c:showDLblsOverMax val="0"/>
  </c:chart>
  <c:spPr>
    <a:solidFill>
      <a:schemeClr val="bg1"/>
    </a:solidFill>
    <a:ln w="9525" cap="flat" cmpd="sng" algn="ctr">
      <a:solidFill>
        <a:schemeClr val="tx1"/>
      </a:solidFill>
      <a:round/>
    </a:ln>
    <a:effectLst/>
  </c:spPr>
  <c:txPr>
    <a:bodyPr/>
    <a:lstStyle/>
    <a:p>
      <a:pPr>
        <a:defRPr sz="1600" b="1">
          <a:solidFill>
            <a:sysClr val="windowText" lastClr="000000"/>
          </a:solidFill>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12419766840708858"/>
          <c:y val="3.6117517766147238E-2"/>
        </c:manualLayout>
      </c:layout>
      <c:overlay val="0"/>
      <c:spPr>
        <a:noFill/>
        <a:ln>
          <a:noFill/>
        </a:ln>
        <a:effectLst/>
      </c:spPr>
      <c:txPr>
        <a:bodyPr rot="0" spcFirstLastPara="1" vertOverflow="ellipsis" vert="horz" wrap="square" anchor="ctr" anchorCtr="1"/>
        <a:lstStyle/>
        <a:p>
          <a:pPr>
            <a:defRPr sz="12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CO"/>
        </a:p>
      </c:txPr>
    </c:title>
    <c:autoTitleDeleted val="0"/>
    <c:plotArea>
      <c:layout/>
      <c:lineChart>
        <c:grouping val="standard"/>
        <c:varyColors val="0"/>
        <c:ser>
          <c:idx val="0"/>
          <c:order val="0"/>
          <c:tx>
            <c:strRef>
              <c:f>AprenCNCTS!$D$15</c:f>
              <c:strCache>
                <c:ptCount val="1"/>
                <c:pt idx="0">
                  <c:v>Identificar las características  de algunos fenómenos de la naturaleza basado en el análisis de información  y  conceptos propios del conocimiento científico. - CTS</c:v>
                </c:pt>
              </c:strCache>
            </c:strRef>
          </c:tx>
          <c:spPr>
            <a:ln w="28575" cap="rnd">
              <a:solidFill>
                <a:schemeClr val="accent1"/>
              </a:solidFill>
              <a:round/>
            </a:ln>
            <a:effectLst/>
          </c:spPr>
          <c:marker>
            <c:symbol val="none"/>
          </c:marker>
          <c:dLbls>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AprenCNCTS!$C$17:$C$24</c:f>
              <c:numCache>
                <c:formatCode>General</c:formatCode>
                <c:ptCount val="8"/>
                <c:pt idx="0">
                  <c:v>2016</c:v>
                </c:pt>
                <c:pt idx="1">
                  <c:v>2017</c:v>
                </c:pt>
                <c:pt idx="2">
                  <c:v>2018</c:v>
                </c:pt>
                <c:pt idx="3">
                  <c:v>2019</c:v>
                </c:pt>
                <c:pt idx="4">
                  <c:v>2020</c:v>
                </c:pt>
                <c:pt idx="5">
                  <c:v>2021</c:v>
                </c:pt>
                <c:pt idx="6">
                  <c:v>2022</c:v>
                </c:pt>
                <c:pt idx="7">
                  <c:v>2023</c:v>
                </c:pt>
              </c:numCache>
            </c:numRef>
          </c:cat>
          <c:val>
            <c:numRef>
              <c:f>AprenCNCTS!$D$17:$D$24</c:f>
              <c:numCache>
                <c:formatCode>0%</c:formatCode>
                <c:ptCount val="8"/>
                <c:pt idx="0">
                  <c:v>0</c:v>
                </c:pt>
                <c:pt idx="1">
                  <c:v>0.46</c:v>
                </c:pt>
                <c:pt idx="2">
                  <c:v>0.64</c:v>
                </c:pt>
                <c:pt idx="3">
                  <c:v>0.6</c:v>
                </c:pt>
                <c:pt idx="4">
                  <c:v>0.54</c:v>
                </c:pt>
                <c:pt idx="5">
                  <c:v>0.52</c:v>
                </c:pt>
                <c:pt idx="6">
                  <c:v>0.47</c:v>
                </c:pt>
                <c:pt idx="7">
                  <c:v>0.46</c:v>
                </c:pt>
              </c:numCache>
            </c:numRef>
          </c:val>
          <c:smooth val="0"/>
          <c:extLst>
            <c:ext xmlns:c16="http://schemas.microsoft.com/office/drawing/2014/chart" uri="{C3380CC4-5D6E-409C-BE32-E72D297353CC}">
              <c16:uniqueId val="{00000001-7AEB-47C5-8360-4A34E655C0FB}"/>
            </c:ext>
          </c:extLst>
        </c:ser>
        <c:dLbls>
          <c:showLegendKey val="0"/>
          <c:showVal val="1"/>
          <c:showCatName val="0"/>
          <c:showSerName val="0"/>
          <c:showPercent val="0"/>
          <c:showBubbleSize val="0"/>
        </c:dLbls>
        <c:smooth val="0"/>
        <c:axId val="-2031348336"/>
        <c:axId val="-2031347792"/>
      </c:lineChart>
      <c:catAx>
        <c:axId val="-20313483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crossAx val="-2031347792"/>
        <c:crosses val="autoZero"/>
        <c:auto val="1"/>
        <c:lblAlgn val="ctr"/>
        <c:lblOffset val="100"/>
        <c:noMultiLvlLbl val="0"/>
      </c:catAx>
      <c:valAx>
        <c:axId val="-2031347792"/>
        <c:scaling>
          <c:orientation val="minMax"/>
          <c:max val="1"/>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crossAx val="-2031348336"/>
        <c:crosses val="autoZero"/>
        <c:crossBetween val="between"/>
        <c:majorUnit val="0.2"/>
      </c:valAx>
      <c:spPr>
        <a:noFill/>
        <a:ln>
          <a:noFill/>
        </a:ln>
        <a:effectLst/>
      </c:spPr>
    </c:plotArea>
    <c:plotVisOnly val="1"/>
    <c:dispBlanksAs val="gap"/>
    <c:showDLblsOverMax val="0"/>
  </c:chart>
  <c:spPr>
    <a:solidFill>
      <a:schemeClr val="bg1"/>
    </a:solidFill>
    <a:ln w="9525" cap="flat" cmpd="sng" algn="ctr">
      <a:solidFill>
        <a:schemeClr val="tx1"/>
      </a:solidFill>
      <a:round/>
    </a:ln>
    <a:effectLst/>
  </c:spPr>
  <c:txPr>
    <a:bodyPr/>
    <a:lstStyle/>
    <a:p>
      <a:pPr>
        <a:defRPr sz="1400" b="1">
          <a:solidFill>
            <a:sysClr val="windowText" lastClr="000000"/>
          </a:solidFill>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13507367238344323"/>
          <c:y val="4.4592641331649918E-2"/>
        </c:manualLayout>
      </c:layout>
      <c:overlay val="0"/>
      <c:spPr>
        <a:noFill/>
        <a:ln>
          <a:noFill/>
        </a:ln>
        <a:effectLst/>
      </c:spPr>
      <c:txPr>
        <a:bodyPr rot="0" spcFirstLastPara="1" vertOverflow="ellipsis" vert="horz" wrap="square" anchor="ctr" anchorCtr="1"/>
        <a:lstStyle/>
        <a:p>
          <a:pPr>
            <a:defRPr sz="12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CO"/>
        </a:p>
      </c:txPr>
    </c:title>
    <c:autoTitleDeleted val="0"/>
    <c:plotArea>
      <c:layout/>
      <c:lineChart>
        <c:grouping val="standard"/>
        <c:varyColors val="0"/>
        <c:ser>
          <c:idx val="0"/>
          <c:order val="0"/>
          <c:tx>
            <c:strRef>
              <c:f>AprenCNCTS!$E$15</c:f>
              <c:strCache>
                <c:ptCount val="1"/>
                <c:pt idx="0">
                  <c:v>Analizar  el potencial del uso de recursos  naturales  o artefactos  y sus efectos sobre el entorno y la salud , así como las posibilidades de desarrollo para las comunidades. - CTS</c:v>
                </c:pt>
              </c:strCache>
            </c:strRef>
          </c:tx>
          <c:spPr>
            <a:ln w="28575" cap="rnd">
              <a:solidFill>
                <a:schemeClr val="accent2"/>
              </a:solidFill>
              <a:round/>
            </a:ln>
            <a:effectLst/>
          </c:spPr>
          <c:marker>
            <c:symbol val="none"/>
          </c:marker>
          <c:dLbls>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AprenCNCTS!$C$17:$C$24</c:f>
              <c:numCache>
                <c:formatCode>General</c:formatCode>
                <c:ptCount val="8"/>
                <c:pt idx="0">
                  <c:v>2016</c:v>
                </c:pt>
                <c:pt idx="1">
                  <c:v>2017</c:v>
                </c:pt>
                <c:pt idx="2">
                  <c:v>2018</c:v>
                </c:pt>
                <c:pt idx="3">
                  <c:v>2019</c:v>
                </c:pt>
                <c:pt idx="4">
                  <c:v>2020</c:v>
                </c:pt>
                <c:pt idx="5">
                  <c:v>2021</c:v>
                </c:pt>
                <c:pt idx="6">
                  <c:v>2022</c:v>
                </c:pt>
                <c:pt idx="7">
                  <c:v>2023</c:v>
                </c:pt>
              </c:numCache>
            </c:numRef>
          </c:cat>
          <c:val>
            <c:numRef>
              <c:f>AprenCNCTS!$E$17:$E$24</c:f>
              <c:numCache>
                <c:formatCode>0%</c:formatCode>
                <c:ptCount val="8"/>
                <c:pt idx="0">
                  <c:v>0.41</c:v>
                </c:pt>
                <c:pt idx="1">
                  <c:v>0.43</c:v>
                </c:pt>
                <c:pt idx="2">
                  <c:v>0.45</c:v>
                </c:pt>
                <c:pt idx="3">
                  <c:v>0.5</c:v>
                </c:pt>
                <c:pt idx="4">
                  <c:v>0.32</c:v>
                </c:pt>
                <c:pt idx="5">
                  <c:v>0.56999999999999995</c:v>
                </c:pt>
                <c:pt idx="6">
                  <c:v>0.5</c:v>
                </c:pt>
                <c:pt idx="7">
                  <c:v>0.38</c:v>
                </c:pt>
              </c:numCache>
            </c:numRef>
          </c:val>
          <c:smooth val="0"/>
          <c:extLst>
            <c:ext xmlns:c16="http://schemas.microsoft.com/office/drawing/2014/chart" uri="{C3380CC4-5D6E-409C-BE32-E72D297353CC}">
              <c16:uniqueId val="{00000001-933F-42B1-A744-254664DA681B}"/>
            </c:ext>
          </c:extLst>
        </c:ser>
        <c:dLbls>
          <c:showLegendKey val="0"/>
          <c:showVal val="1"/>
          <c:showCatName val="0"/>
          <c:showSerName val="0"/>
          <c:showPercent val="0"/>
          <c:showBubbleSize val="0"/>
        </c:dLbls>
        <c:smooth val="0"/>
        <c:axId val="-2031346704"/>
        <c:axId val="-2031361392"/>
      </c:lineChart>
      <c:catAx>
        <c:axId val="-20313467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crossAx val="-2031361392"/>
        <c:crosses val="autoZero"/>
        <c:auto val="1"/>
        <c:lblAlgn val="ctr"/>
        <c:lblOffset val="100"/>
        <c:noMultiLvlLbl val="0"/>
      </c:catAx>
      <c:valAx>
        <c:axId val="-2031361392"/>
        <c:scaling>
          <c:orientation val="minMax"/>
          <c:max val="1"/>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crossAx val="-2031346704"/>
        <c:crosses val="autoZero"/>
        <c:crossBetween val="between"/>
        <c:majorUnit val="0.2"/>
      </c:valAx>
      <c:spPr>
        <a:noFill/>
        <a:ln>
          <a:noFill/>
        </a:ln>
        <a:effectLst/>
      </c:spPr>
    </c:plotArea>
    <c:plotVisOnly val="1"/>
    <c:dispBlanksAs val="gap"/>
    <c:showDLblsOverMax val="0"/>
  </c:chart>
  <c:spPr>
    <a:solidFill>
      <a:schemeClr val="bg1"/>
    </a:solidFill>
    <a:ln w="9525" cap="flat" cmpd="sng" algn="ctr">
      <a:solidFill>
        <a:schemeClr val="tx1"/>
      </a:solidFill>
      <a:round/>
    </a:ln>
    <a:effectLst/>
  </c:spPr>
  <c:txPr>
    <a:bodyPr/>
    <a:lstStyle/>
    <a:p>
      <a:pPr>
        <a:defRPr sz="1400" b="1">
          <a:solidFill>
            <a:sysClr val="windowText" lastClr="000000"/>
          </a:solidFill>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r>
              <a:rPr lang="es-CO" sz="1100" b="0" i="0" baseline="0">
                <a:effectLst/>
              </a:rPr>
              <a:t>Promedio por Prueba y Sector Instituciones No Oficiales </a:t>
            </a:r>
          </a:p>
          <a:p>
            <a:pPr>
              <a:defRPr sz="1100"/>
            </a:pPr>
            <a:r>
              <a:rPr lang="es-CO" sz="1100" b="0" i="0" baseline="0">
                <a:effectLst/>
              </a:rPr>
              <a:t>2016-2022</a:t>
            </a:r>
            <a:endParaRPr lang="es-CO" sz="1100">
              <a:effectLst/>
            </a:endParaRPr>
          </a:p>
        </c:rich>
      </c:tx>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radarChart>
        <c:radarStyle val="marker"/>
        <c:varyColors val="0"/>
        <c:ser>
          <c:idx val="0"/>
          <c:order val="0"/>
          <c:tx>
            <c:strRef>
              <c:f>PGLOBAL!$P$360</c:f>
              <c:strCache>
                <c:ptCount val="1"/>
                <c:pt idx="0">
                  <c:v>2016</c:v>
                </c:pt>
              </c:strCache>
            </c:strRef>
          </c:tx>
          <c:spPr>
            <a:ln w="28575" cap="rnd">
              <a:solidFill>
                <a:schemeClr val="accent1"/>
              </a:solidFill>
              <a:round/>
            </a:ln>
            <a:effectLst/>
          </c:spPr>
          <c:marker>
            <c:symbol val="none"/>
          </c:marker>
          <c:cat>
            <c:strRef>
              <c:f>PGLOBAL!$O$361:$O$365</c:f>
              <c:strCache>
                <c:ptCount val="5"/>
                <c:pt idx="0">
                  <c:v>LECTURA CRÍTICA</c:v>
                </c:pt>
                <c:pt idx="1">
                  <c:v>MATEMÁTICAS</c:v>
                </c:pt>
                <c:pt idx="2">
                  <c:v>SOCIALES Y CIUDADANAS</c:v>
                </c:pt>
                <c:pt idx="3">
                  <c:v>CIENCIAS NATURALES</c:v>
                </c:pt>
                <c:pt idx="4">
                  <c:v>INGLÉS</c:v>
                </c:pt>
              </c:strCache>
            </c:strRef>
          </c:cat>
          <c:val>
            <c:numRef>
              <c:f>PGLOBAL!$P$361:$P$365</c:f>
              <c:numCache>
                <c:formatCode>0</c:formatCode>
                <c:ptCount val="5"/>
                <c:pt idx="0">
                  <c:v>55</c:v>
                </c:pt>
                <c:pt idx="1">
                  <c:v>54</c:v>
                </c:pt>
                <c:pt idx="2">
                  <c:v>53</c:v>
                </c:pt>
                <c:pt idx="3">
                  <c:v>55</c:v>
                </c:pt>
                <c:pt idx="4">
                  <c:v>56</c:v>
                </c:pt>
              </c:numCache>
            </c:numRef>
          </c:val>
          <c:extLst>
            <c:ext xmlns:c16="http://schemas.microsoft.com/office/drawing/2014/chart" uri="{C3380CC4-5D6E-409C-BE32-E72D297353CC}">
              <c16:uniqueId val="{00000000-3416-4D36-A2BF-75BF50D85281}"/>
            </c:ext>
          </c:extLst>
        </c:ser>
        <c:ser>
          <c:idx val="1"/>
          <c:order val="1"/>
          <c:tx>
            <c:strRef>
              <c:f>PGLOBAL!$Q$360</c:f>
              <c:strCache>
                <c:ptCount val="1"/>
                <c:pt idx="0">
                  <c:v>2017</c:v>
                </c:pt>
              </c:strCache>
            </c:strRef>
          </c:tx>
          <c:spPr>
            <a:ln w="28575" cap="rnd">
              <a:solidFill>
                <a:schemeClr val="accent2"/>
              </a:solidFill>
              <a:round/>
            </a:ln>
            <a:effectLst/>
          </c:spPr>
          <c:marker>
            <c:symbol val="none"/>
          </c:marker>
          <c:cat>
            <c:strRef>
              <c:f>PGLOBAL!$O$361:$O$365</c:f>
              <c:strCache>
                <c:ptCount val="5"/>
                <c:pt idx="0">
                  <c:v>LECTURA CRÍTICA</c:v>
                </c:pt>
                <c:pt idx="1">
                  <c:v>MATEMÁTICAS</c:v>
                </c:pt>
                <c:pt idx="2">
                  <c:v>SOCIALES Y CIUDADANAS</c:v>
                </c:pt>
                <c:pt idx="3">
                  <c:v>CIENCIAS NATURALES</c:v>
                </c:pt>
                <c:pt idx="4">
                  <c:v>INGLÉS</c:v>
                </c:pt>
              </c:strCache>
            </c:strRef>
          </c:cat>
          <c:val>
            <c:numRef>
              <c:f>PGLOBAL!$Q$361:$Q$365</c:f>
              <c:numCache>
                <c:formatCode>0</c:formatCode>
                <c:ptCount val="5"/>
                <c:pt idx="0">
                  <c:v>56</c:v>
                </c:pt>
                <c:pt idx="1">
                  <c:v>53</c:v>
                </c:pt>
                <c:pt idx="2">
                  <c:v>53</c:v>
                </c:pt>
                <c:pt idx="3">
                  <c:v>54</c:v>
                </c:pt>
                <c:pt idx="4">
                  <c:v>53</c:v>
                </c:pt>
              </c:numCache>
            </c:numRef>
          </c:val>
          <c:extLst>
            <c:ext xmlns:c16="http://schemas.microsoft.com/office/drawing/2014/chart" uri="{C3380CC4-5D6E-409C-BE32-E72D297353CC}">
              <c16:uniqueId val="{00000001-3416-4D36-A2BF-75BF50D85281}"/>
            </c:ext>
          </c:extLst>
        </c:ser>
        <c:ser>
          <c:idx val="2"/>
          <c:order val="2"/>
          <c:tx>
            <c:strRef>
              <c:f>PGLOBAL!$R$360</c:f>
              <c:strCache>
                <c:ptCount val="1"/>
                <c:pt idx="0">
                  <c:v>2018</c:v>
                </c:pt>
              </c:strCache>
            </c:strRef>
          </c:tx>
          <c:spPr>
            <a:ln w="28575" cap="rnd">
              <a:solidFill>
                <a:schemeClr val="accent3"/>
              </a:solidFill>
              <a:round/>
            </a:ln>
            <a:effectLst/>
          </c:spPr>
          <c:marker>
            <c:symbol val="none"/>
          </c:marker>
          <c:cat>
            <c:strRef>
              <c:f>PGLOBAL!$O$361:$O$365</c:f>
              <c:strCache>
                <c:ptCount val="5"/>
                <c:pt idx="0">
                  <c:v>LECTURA CRÍTICA</c:v>
                </c:pt>
                <c:pt idx="1">
                  <c:v>MATEMÁTICAS</c:v>
                </c:pt>
                <c:pt idx="2">
                  <c:v>SOCIALES Y CIUDADANAS</c:v>
                </c:pt>
                <c:pt idx="3">
                  <c:v>CIENCIAS NATURALES</c:v>
                </c:pt>
                <c:pt idx="4">
                  <c:v>INGLÉS</c:v>
                </c:pt>
              </c:strCache>
            </c:strRef>
          </c:cat>
          <c:val>
            <c:numRef>
              <c:f>PGLOBAL!$R$361:$R$365</c:f>
              <c:numCache>
                <c:formatCode>0</c:formatCode>
                <c:ptCount val="5"/>
                <c:pt idx="0">
                  <c:v>56</c:v>
                </c:pt>
                <c:pt idx="1">
                  <c:v>54</c:v>
                </c:pt>
                <c:pt idx="2">
                  <c:v>52</c:v>
                </c:pt>
                <c:pt idx="3">
                  <c:v>53</c:v>
                </c:pt>
                <c:pt idx="4">
                  <c:v>55</c:v>
                </c:pt>
              </c:numCache>
            </c:numRef>
          </c:val>
          <c:extLst>
            <c:ext xmlns:c16="http://schemas.microsoft.com/office/drawing/2014/chart" uri="{C3380CC4-5D6E-409C-BE32-E72D297353CC}">
              <c16:uniqueId val="{00000002-3416-4D36-A2BF-75BF50D85281}"/>
            </c:ext>
          </c:extLst>
        </c:ser>
        <c:ser>
          <c:idx val="3"/>
          <c:order val="3"/>
          <c:tx>
            <c:strRef>
              <c:f>PGLOBAL!$S$360</c:f>
              <c:strCache>
                <c:ptCount val="1"/>
                <c:pt idx="0">
                  <c:v>2019</c:v>
                </c:pt>
              </c:strCache>
            </c:strRef>
          </c:tx>
          <c:spPr>
            <a:ln w="28575" cap="rnd">
              <a:solidFill>
                <a:schemeClr val="accent4"/>
              </a:solidFill>
              <a:round/>
            </a:ln>
            <a:effectLst/>
          </c:spPr>
          <c:marker>
            <c:symbol val="none"/>
          </c:marker>
          <c:cat>
            <c:strRef>
              <c:f>PGLOBAL!$O$361:$O$365</c:f>
              <c:strCache>
                <c:ptCount val="5"/>
                <c:pt idx="0">
                  <c:v>LECTURA CRÍTICA</c:v>
                </c:pt>
                <c:pt idx="1">
                  <c:v>MATEMÁTICAS</c:v>
                </c:pt>
                <c:pt idx="2">
                  <c:v>SOCIALES Y CIUDADANAS</c:v>
                </c:pt>
                <c:pt idx="3">
                  <c:v>CIENCIAS NATURALES</c:v>
                </c:pt>
                <c:pt idx="4">
                  <c:v>INGLÉS</c:v>
                </c:pt>
              </c:strCache>
            </c:strRef>
          </c:cat>
          <c:val>
            <c:numRef>
              <c:f>PGLOBAL!$S$361:$S$365</c:f>
              <c:numCache>
                <c:formatCode>0</c:formatCode>
                <c:ptCount val="5"/>
                <c:pt idx="0">
                  <c:v>56</c:v>
                </c:pt>
                <c:pt idx="1">
                  <c:v>55</c:v>
                </c:pt>
                <c:pt idx="2">
                  <c:v>50</c:v>
                </c:pt>
                <c:pt idx="3">
                  <c:v>52</c:v>
                </c:pt>
                <c:pt idx="4">
                  <c:v>54</c:v>
                </c:pt>
              </c:numCache>
            </c:numRef>
          </c:val>
          <c:extLst>
            <c:ext xmlns:c16="http://schemas.microsoft.com/office/drawing/2014/chart" uri="{C3380CC4-5D6E-409C-BE32-E72D297353CC}">
              <c16:uniqueId val="{00000003-3416-4D36-A2BF-75BF50D85281}"/>
            </c:ext>
          </c:extLst>
        </c:ser>
        <c:ser>
          <c:idx val="4"/>
          <c:order val="4"/>
          <c:tx>
            <c:strRef>
              <c:f>PGLOBAL!$T$360</c:f>
              <c:strCache>
                <c:ptCount val="1"/>
                <c:pt idx="0">
                  <c:v>2020</c:v>
                </c:pt>
              </c:strCache>
            </c:strRef>
          </c:tx>
          <c:spPr>
            <a:ln w="28575" cap="rnd">
              <a:solidFill>
                <a:schemeClr val="accent5"/>
              </a:solidFill>
              <a:round/>
            </a:ln>
            <a:effectLst/>
          </c:spPr>
          <c:marker>
            <c:symbol val="none"/>
          </c:marker>
          <c:cat>
            <c:strRef>
              <c:f>PGLOBAL!$O$361:$O$365</c:f>
              <c:strCache>
                <c:ptCount val="5"/>
                <c:pt idx="0">
                  <c:v>LECTURA CRÍTICA</c:v>
                </c:pt>
                <c:pt idx="1">
                  <c:v>MATEMÁTICAS</c:v>
                </c:pt>
                <c:pt idx="2">
                  <c:v>SOCIALES Y CIUDADANAS</c:v>
                </c:pt>
                <c:pt idx="3">
                  <c:v>CIENCIAS NATURALES</c:v>
                </c:pt>
                <c:pt idx="4">
                  <c:v>INGLÉS</c:v>
                </c:pt>
              </c:strCache>
            </c:strRef>
          </c:cat>
          <c:val>
            <c:numRef>
              <c:f>PGLOBAL!$T$361:$T$365</c:f>
              <c:numCache>
                <c:formatCode>0</c:formatCode>
                <c:ptCount val="5"/>
                <c:pt idx="0">
                  <c:v>55</c:v>
                </c:pt>
                <c:pt idx="1">
                  <c:v>55</c:v>
                </c:pt>
                <c:pt idx="2">
                  <c:v>52</c:v>
                </c:pt>
                <c:pt idx="3">
                  <c:v>51</c:v>
                </c:pt>
                <c:pt idx="4">
                  <c:v>50</c:v>
                </c:pt>
              </c:numCache>
            </c:numRef>
          </c:val>
          <c:extLst>
            <c:ext xmlns:c16="http://schemas.microsoft.com/office/drawing/2014/chart" uri="{C3380CC4-5D6E-409C-BE32-E72D297353CC}">
              <c16:uniqueId val="{00000004-3416-4D36-A2BF-75BF50D85281}"/>
            </c:ext>
          </c:extLst>
        </c:ser>
        <c:ser>
          <c:idx val="5"/>
          <c:order val="5"/>
          <c:tx>
            <c:strRef>
              <c:f>PGLOBAL!$U$360</c:f>
              <c:strCache>
                <c:ptCount val="1"/>
                <c:pt idx="0">
                  <c:v>2021</c:v>
                </c:pt>
              </c:strCache>
            </c:strRef>
          </c:tx>
          <c:spPr>
            <a:ln w="28575" cap="rnd">
              <a:solidFill>
                <a:schemeClr val="accent6"/>
              </a:solidFill>
              <a:round/>
            </a:ln>
            <a:effectLst/>
          </c:spPr>
          <c:marker>
            <c:symbol val="none"/>
          </c:marker>
          <c:cat>
            <c:strRef>
              <c:f>PGLOBAL!$O$361:$O$365</c:f>
              <c:strCache>
                <c:ptCount val="5"/>
                <c:pt idx="0">
                  <c:v>LECTURA CRÍTICA</c:v>
                </c:pt>
                <c:pt idx="1">
                  <c:v>MATEMÁTICAS</c:v>
                </c:pt>
                <c:pt idx="2">
                  <c:v>SOCIALES Y CIUDADANAS</c:v>
                </c:pt>
                <c:pt idx="3">
                  <c:v>CIENCIAS NATURALES</c:v>
                </c:pt>
                <c:pt idx="4">
                  <c:v>INGLÉS</c:v>
                </c:pt>
              </c:strCache>
            </c:strRef>
          </c:cat>
          <c:val>
            <c:numRef>
              <c:f>PGLOBAL!$U$361:$U$365</c:f>
              <c:numCache>
                <c:formatCode>0</c:formatCode>
                <c:ptCount val="5"/>
                <c:pt idx="0">
                  <c:v>56</c:v>
                </c:pt>
                <c:pt idx="1">
                  <c:v>54</c:v>
                </c:pt>
                <c:pt idx="2">
                  <c:v>51</c:v>
                </c:pt>
                <c:pt idx="3">
                  <c:v>51</c:v>
                </c:pt>
                <c:pt idx="4">
                  <c:v>55</c:v>
                </c:pt>
              </c:numCache>
            </c:numRef>
          </c:val>
          <c:extLst>
            <c:ext xmlns:c16="http://schemas.microsoft.com/office/drawing/2014/chart" uri="{C3380CC4-5D6E-409C-BE32-E72D297353CC}">
              <c16:uniqueId val="{00000005-3416-4D36-A2BF-75BF50D85281}"/>
            </c:ext>
          </c:extLst>
        </c:ser>
        <c:ser>
          <c:idx val="6"/>
          <c:order val="6"/>
          <c:tx>
            <c:strRef>
              <c:f>PGLOBAL!$V$360</c:f>
              <c:strCache>
                <c:ptCount val="1"/>
                <c:pt idx="0">
                  <c:v>2022</c:v>
                </c:pt>
              </c:strCache>
            </c:strRef>
          </c:tx>
          <c:spPr>
            <a:ln w="28575" cap="rnd">
              <a:solidFill>
                <a:schemeClr val="accent1">
                  <a:lumMod val="60000"/>
                </a:schemeClr>
              </a:solidFill>
              <a:round/>
            </a:ln>
            <a:effectLst/>
          </c:spPr>
          <c:marker>
            <c:symbol val="circle"/>
            <c:size val="5"/>
            <c:spPr>
              <a:solidFill>
                <a:schemeClr val="accent1">
                  <a:lumMod val="60000"/>
                </a:schemeClr>
              </a:solidFill>
              <a:ln w="9525">
                <a:solidFill>
                  <a:schemeClr val="accent1">
                    <a:lumMod val="60000"/>
                  </a:schemeClr>
                </a:solidFill>
              </a:ln>
              <a:effectLst/>
            </c:spPr>
          </c:marker>
          <c:dLbls>
            <c:dLbl>
              <c:idx val="0"/>
              <c:layout>
                <c:manualLayout>
                  <c:x val="6.9494629943831557E-3"/>
                  <c:y val="3.1432803719465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3416-4D36-A2BF-75BF50D85281}"/>
                </c:ext>
              </c:extLst>
            </c:dLbl>
            <c:dLbl>
              <c:idx val="4"/>
              <c:layout>
                <c:manualLayout>
                  <c:x val="1.389892598876627E-2"/>
                  <c:y val="-5.7626141116921277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3416-4D36-A2BF-75BF50D8528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PGLOBAL!$O$361:$O$365</c:f>
              <c:strCache>
                <c:ptCount val="5"/>
                <c:pt idx="0">
                  <c:v>LECTURA CRÍTICA</c:v>
                </c:pt>
                <c:pt idx="1">
                  <c:v>MATEMÁTICAS</c:v>
                </c:pt>
                <c:pt idx="2">
                  <c:v>SOCIALES Y CIUDADANAS</c:v>
                </c:pt>
                <c:pt idx="3">
                  <c:v>CIENCIAS NATURALES</c:v>
                </c:pt>
                <c:pt idx="4">
                  <c:v>INGLÉS</c:v>
                </c:pt>
              </c:strCache>
            </c:strRef>
          </c:cat>
          <c:val>
            <c:numRef>
              <c:f>PGLOBAL!$V$361:$V$365</c:f>
              <c:numCache>
                <c:formatCode>0</c:formatCode>
                <c:ptCount val="5"/>
                <c:pt idx="0">
                  <c:v>57</c:v>
                </c:pt>
                <c:pt idx="1">
                  <c:v>55</c:v>
                </c:pt>
                <c:pt idx="2">
                  <c:v>52</c:v>
                </c:pt>
                <c:pt idx="3">
                  <c:v>52</c:v>
                </c:pt>
                <c:pt idx="4">
                  <c:v>56</c:v>
                </c:pt>
              </c:numCache>
            </c:numRef>
          </c:val>
          <c:extLst>
            <c:ext xmlns:c16="http://schemas.microsoft.com/office/drawing/2014/chart" uri="{C3380CC4-5D6E-409C-BE32-E72D297353CC}">
              <c16:uniqueId val="{00000006-3416-4D36-A2BF-75BF50D85281}"/>
            </c:ext>
          </c:extLst>
        </c:ser>
        <c:dLbls>
          <c:showLegendKey val="0"/>
          <c:showVal val="0"/>
          <c:showCatName val="0"/>
          <c:showSerName val="0"/>
          <c:showPercent val="0"/>
          <c:showBubbleSize val="0"/>
        </c:dLbls>
        <c:axId val="257008031"/>
        <c:axId val="122873423"/>
      </c:radarChart>
      <c:catAx>
        <c:axId val="25700803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22873423"/>
        <c:crosses val="autoZero"/>
        <c:auto val="1"/>
        <c:lblAlgn val="ctr"/>
        <c:lblOffset val="100"/>
        <c:noMultiLvlLbl val="0"/>
      </c:catAx>
      <c:valAx>
        <c:axId val="122873423"/>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57008031"/>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0" i="0" u="none" strike="noStrike" kern="1200" cap="all" spc="0" baseline="0">
                <a:gradFill>
                  <a:gsLst>
                    <a:gs pos="0">
                      <a:schemeClr val="dk1">
                        <a:lumMod val="50000"/>
                        <a:lumOff val="50000"/>
                      </a:schemeClr>
                    </a:gs>
                    <a:gs pos="100000">
                      <a:schemeClr val="dk1">
                        <a:lumMod val="85000"/>
                        <a:lumOff val="15000"/>
                      </a:schemeClr>
                    </a:gs>
                  </a:gsLst>
                  <a:lin ang="5400000" scaled="0"/>
                </a:gradFill>
                <a:latin typeface="+mn-lt"/>
                <a:ea typeface="+mn-ea"/>
                <a:cs typeface="+mn-cs"/>
              </a:defRPr>
            </a:pPr>
            <a:r>
              <a:rPr lang="es-CO"/>
              <a:t>PROMEDIO POR PRUEBA 2016-2022</a:t>
            </a:r>
          </a:p>
        </c:rich>
      </c:tx>
      <c:overlay val="0"/>
      <c:spPr>
        <a:noFill/>
        <a:ln>
          <a:noFill/>
        </a:ln>
        <a:effectLst/>
      </c:spPr>
      <c:txPr>
        <a:bodyPr rot="0" spcFirstLastPara="1" vertOverflow="ellipsis" vert="horz" wrap="square" anchor="ctr" anchorCtr="1"/>
        <a:lstStyle/>
        <a:p>
          <a:pPr>
            <a:defRPr sz="1440" b="0" i="0" u="none" strike="noStrike" kern="1200" cap="all" spc="0" baseline="0">
              <a:gradFill>
                <a:gsLst>
                  <a:gs pos="0">
                    <a:schemeClr val="dk1">
                      <a:lumMod val="50000"/>
                      <a:lumOff val="50000"/>
                    </a:schemeClr>
                  </a:gs>
                  <a:gs pos="100000">
                    <a:schemeClr val="dk1">
                      <a:lumMod val="85000"/>
                      <a:lumOff val="15000"/>
                    </a:schemeClr>
                  </a:gs>
                </a:gsLst>
                <a:lin ang="5400000" scaled="0"/>
              </a:gradFill>
              <a:latin typeface="+mn-lt"/>
              <a:ea typeface="+mn-ea"/>
              <a:cs typeface="+mn-cs"/>
            </a:defRPr>
          </a:pPr>
          <a:endParaRPr lang="es-CO"/>
        </a:p>
      </c:txPr>
    </c:title>
    <c:autoTitleDeleted val="0"/>
    <c:plotArea>
      <c:layout/>
      <c:lineChart>
        <c:grouping val="standard"/>
        <c:varyColors val="0"/>
        <c:ser>
          <c:idx val="0"/>
          <c:order val="0"/>
          <c:tx>
            <c:strRef>
              <c:f>PGLOBAL!$F$361</c:f>
              <c:strCache>
                <c:ptCount val="1"/>
                <c:pt idx="0">
                  <c:v>LECTURA CRÍTICA</c:v>
                </c:pt>
              </c:strCache>
            </c:strRef>
          </c:tx>
          <c:spPr>
            <a:ln w="19050" cap="rnd" cmpd="sng" algn="ctr">
              <a:solidFill>
                <a:schemeClr val="accent1">
                  <a:shade val="95000"/>
                  <a:satMod val="105000"/>
                </a:schemeClr>
              </a:solidFill>
              <a:round/>
            </a:ln>
            <a:effectLst/>
          </c:spPr>
          <c:marker>
            <c:symbol val="circle"/>
            <c:size val="17"/>
            <c:spPr>
              <a:solidFill>
                <a:schemeClr val="lt1"/>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1"/>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35000"/>
                          <a:lumOff val="65000"/>
                        </a:schemeClr>
                      </a:solidFill>
                    </a:ln>
                    <a:effectLst/>
                  </c:spPr>
                </c15:leaderLines>
              </c:ext>
            </c:extLst>
          </c:dLbls>
          <c:cat>
            <c:strRef>
              <c:f>PGLOBAL!$G$360:$M$360</c:f>
              <c:strCache>
                <c:ptCount val="7"/>
                <c:pt idx="0">
                  <c:v>2016</c:v>
                </c:pt>
                <c:pt idx="1">
                  <c:v>2017</c:v>
                </c:pt>
                <c:pt idx="2">
                  <c:v>2018</c:v>
                </c:pt>
                <c:pt idx="3">
                  <c:v>2019</c:v>
                </c:pt>
                <c:pt idx="4">
                  <c:v>2020</c:v>
                </c:pt>
                <c:pt idx="5">
                  <c:v>2021</c:v>
                </c:pt>
                <c:pt idx="6">
                  <c:v>2022</c:v>
                </c:pt>
              </c:strCache>
            </c:strRef>
          </c:cat>
          <c:val>
            <c:numRef>
              <c:f>PGLOBAL!$G$361:$M$361</c:f>
              <c:numCache>
                <c:formatCode>General</c:formatCode>
                <c:ptCount val="7"/>
                <c:pt idx="0">
                  <c:v>53</c:v>
                </c:pt>
                <c:pt idx="1">
                  <c:v>54</c:v>
                </c:pt>
                <c:pt idx="2">
                  <c:v>53</c:v>
                </c:pt>
                <c:pt idx="3">
                  <c:v>53</c:v>
                </c:pt>
                <c:pt idx="4">
                  <c:v>53</c:v>
                </c:pt>
                <c:pt idx="5">
                  <c:v>53</c:v>
                </c:pt>
                <c:pt idx="6">
                  <c:v>53</c:v>
                </c:pt>
              </c:numCache>
            </c:numRef>
          </c:val>
          <c:smooth val="0"/>
          <c:extLst>
            <c:ext xmlns:c16="http://schemas.microsoft.com/office/drawing/2014/chart" uri="{C3380CC4-5D6E-409C-BE32-E72D297353CC}">
              <c16:uniqueId val="{00000000-69F9-4002-9BD2-9C39050CF672}"/>
            </c:ext>
          </c:extLst>
        </c:ser>
        <c:ser>
          <c:idx val="1"/>
          <c:order val="1"/>
          <c:tx>
            <c:strRef>
              <c:f>PGLOBAL!$F$362</c:f>
              <c:strCache>
                <c:ptCount val="1"/>
                <c:pt idx="0">
                  <c:v>MATEMÁTICAS</c:v>
                </c:pt>
              </c:strCache>
            </c:strRef>
          </c:tx>
          <c:spPr>
            <a:ln w="19050" cap="rnd" cmpd="sng" algn="ctr">
              <a:solidFill>
                <a:schemeClr val="accent2">
                  <a:shade val="95000"/>
                  <a:satMod val="105000"/>
                </a:schemeClr>
              </a:solidFill>
              <a:round/>
            </a:ln>
            <a:effectLst/>
          </c:spPr>
          <c:marker>
            <c:symbol val="circle"/>
            <c:size val="17"/>
            <c:spPr>
              <a:solidFill>
                <a:schemeClr val="lt1"/>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2"/>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35000"/>
                          <a:lumOff val="65000"/>
                        </a:schemeClr>
                      </a:solidFill>
                    </a:ln>
                    <a:effectLst/>
                  </c:spPr>
                </c15:leaderLines>
              </c:ext>
            </c:extLst>
          </c:dLbls>
          <c:cat>
            <c:strRef>
              <c:f>PGLOBAL!$G$360:$M$360</c:f>
              <c:strCache>
                <c:ptCount val="7"/>
                <c:pt idx="0">
                  <c:v>2016</c:v>
                </c:pt>
                <c:pt idx="1">
                  <c:v>2017</c:v>
                </c:pt>
                <c:pt idx="2">
                  <c:v>2018</c:v>
                </c:pt>
                <c:pt idx="3">
                  <c:v>2019</c:v>
                </c:pt>
                <c:pt idx="4">
                  <c:v>2020</c:v>
                </c:pt>
                <c:pt idx="5">
                  <c:v>2021</c:v>
                </c:pt>
                <c:pt idx="6">
                  <c:v>2022</c:v>
                </c:pt>
              </c:strCache>
            </c:strRef>
          </c:cat>
          <c:val>
            <c:numRef>
              <c:f>PGLOBAL!$G$362:$M$362</c:f>
              <c:numCache>
                <c:formatCode>General</c:formatCode>
                <c:ptCount val="7"/>
                <c:pt idx="0">
                  <c:v>51</c:v>
                </c:pt>
                <c:pt idx="1">
                  <c:v>51</c:v>
                </c:pt>
                <c:pt idx="2">
                  <c:v>51</c:v>
                </c:pt>
                <c:pt idx="3">
                  <c:v>51</c:v>
                </c:pt>
                <c:pt idx="4">
                  <c:v>52</c:v>
                </c:pt>
                <c:pt idx="5">
                  <c:v>50</c:v>
                </c:pt>
                <c:pt idx="6">
                  <c:v>51</c:v>
                </c:pt>
              </c:numCache>
            </c:numRef>
          </c:val>
          <c:smooth val="0"/>
          <c:extLst>
            <c:ext xmlns:c16="http://schemas.microsoft.com/office/drawing/2014/chart" uri="{C3380CC4-5D6E-409C-BE32-E72D297353CC}">
              <c16:uniqueId val="{00000001-69F9-4002-9BD2-9C39050CF672}"/>
            </c:ext>
          </c:extLst>
        </c:ser>
        <c:ser>
          <c:idx val="2"/>
          <c:order val="2"/>
          <c:tx>
            <c:strRef>
              <c:f>PGLOBAL!$F$363</c:f>
              <c:strCache>
                <c:ptCount val="1"/>
                <c:pt idx="0">
                  <c:v>SOCIALES Y CIUDADANAS</c:v>
                </c:pt>
              </c:strCache>
            </c:strRef>
          </c:tx>
          <c:spPr>
            <a:ln w="19050" cap="rnd" cmpd="sng" algn="ctr">
              <a:solidFill>
                <a:srgbClr val="FFC000"/>
              </a:solidFill>
              <a:round/>
            </a:ln>
            <a:effectLst/>
          </c:spPr>
          <c:marker>
            <c:symbol val="circle"/>
            <c:size val="17"/>
            <c:spPr>
              <a:solidFill>
                <a:schemeClr val="lt1"/>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FFC000"/>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35000"/>
                          <a:lumOff val="65000"/>
                        </a:schemeClr>
                      </a:solidFill>
                    </a:ln>
                    <a:effectLst/>
                  </c:spPr>
                </c15:leaderLines>
              </c:ext>
            </c:extLst>
          </c:dLbls>
          <c:cat>
            <c:strRef>
              <c:f>PGLOBAL!$G$360:$M$360</c:f>
              <c:strCache>
                <c:ptCount val="7"/>
                <c:pt idx="0">
                  <c:v>2016</c:v>
                </c:pt>
                <c:pt idx="1">
                  <c:v>2017</c:v>
                </c:pt>
                <c:pt idx="2">
                  <c:v>2018</c:v>
                </c:pt>
                <c:pt idx="3">
                  <c:v>2019</c:v>
                </c:pt>
                <c:pt idx="4">
                  <c:v>2020</c:v>
                </c:pt>
                <c:pt idx="5">
                  <c:v>2021</c:v>
                </c:pt>
                <c:pt idx="6">
                  <c:v>2022</c:v>
                </c:pt>
              </c:strCache>
            </c:strRef>
          </c:cat>
          <c:val>
            <c:numRef>
              <c:f>PGLOBAL!$G$363:$M$363</c:f>
              <c:numCache>
                <c:formatCode>General</c:formatCode>
                <c:ptCount val="7"/>
                <c:pt idx="0">
                  <c:v>51</c:v>
                </c:pt>
                <c:pt idx="1">
                  <c:v>50</c:v>
                </c:pt>
                <c:pt idx="2">
                  <c:v>48</c:v>
                </c:pt>
                <c:pt idx="3">
                  <c:v>47</c:v>
                </c:pt>
                <c:pt idx="4">
                  <c:v>49</c:v>
                </c:pt>
                <c:pt idx="5">
                  <c:v>47</c:v>
                </c:pt>
                <c:pt idx="6">
                  <c:v>48</c:v>
                </c:pt>
              </c:numCache>
            </c:numRef>
          </c:val>
          <c:smooth val="0"/>
          <c:extLst>
            <c:ext xmlns:c16="http://schemas.microsoft.com/office/drawing/2014/chart" uri="{C3380CC4-5D6E-409C-BE32-E72D297353CC}">
              <c16:uniqueId val="{00000002-69F9-4002-9BD2-9C39050CF672}"/>
            </c:ext>
          </c:extLst>
        </c:ser>
        <c:ser>
          <c:idx val="3"/>
          <c:order val="3"/>
          <c:tx>
            <c:strRef>
              <c:f>PGLOBAL!$F$364</c:f>
              <c:strCache>
                <c:ptCount val="1"/>
                <c:pt idx="0">
                  <c:v>CIENCIAS NATURALES</c:v>
                </c:pt>
              </c:strCache>
            </c:strRef>
          </c:tx>
          <c:spPr>
            <a:ln w="19050" cap="rnd" cmpd="sng" algn="ctr">
              <a:solidFill>
                <a:schemeClr val="accent3"/>
              </a:solidFill>
              <a:round/>
            </a:ln>
            <a:effectLst/>
          </c:spPr>
          <c:marker>
            <c:symbol val="circle"/>
            <c:size val="17"/>
            <c:spPr>
              <a:solidFill>
                <a:schemeClr val="lt1"/>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3"/>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35000"/>
                          <a:lumOff val="65000"/>
                        </a:schemeClr>
                      </a:solidFill>
                    </a:ln>
                    <a:effectLst/>
                  </c:spPr>
                </c15:leaderLines>
              </c:ext>
            </c:extLst>
          </c:dLbls>
          <c:cat>
            <c:strRef>
              <c:f>PGLOBAL!$G$360:$M$360</c:f>
              <c:strCache>
                <c:ptCount val="7"/>
                <c:pt idx="0">
                  <c:v>2016</c:v>
                </c:pt>
                <c:pt idx="1">
                  <c:v>2017</c:v>
                </c:pt>
                <c:pt idx="2">
                  <c:v>2018</c:v>
                </c:pt>
                <c:pt idx="3">
                  <c:v>2019</c:v>
                </c:pt>
                <c:pt idx="4">
                  <c:v>2020</c:v>
                </c:pt>
                <c:pt idx="5">
                  <c:v>2021</c:v>
                </c:pt>
                <c:pt idx="6">
                  <c:v>2022</c:v>
                </c:pt>
              </c:strCache>
            </c:strRef>
          </c:cat>
          <c:val>
            <c:numRef>
              <c:f>PGLOBAL!$G$364:$M$364</c:f>
              <c:numCache>
                <c:formatCode>General</c:formatCode>
                <c:ptCount val="7"/>
                <c:pt idx="0">
                  <c:v>53</c:v>
                </c:pt>
                <c:pt idx="1">
                  <c:v>52</c:v>
                </c:pt>
                <c:pt idx="2">
                  <c:v>50</c:v>
                </c:pt>
                <c:pt idx="3">
                  <c:v>49</c:v>
                </c:pt>
                <c:pt idx="4">
                  <c:v>49</c:v>
                </c:pt>
                <c:pt idx="5">
                  <c:v>48</c:v>
                </c:pt>
                <c:pt idx="6">
                  <c:v>49</c:v>
                </c:pt>
              </c:numCache>
            </c:numRef>
          </c:val>
          <c:smooth val="0"/>
          <c:extLst>
            <c:ext xmlns:c16="http://schemas.microsoft.com/office/drawing/2014/chart" uri="{C3380CC4-5D6E-409C-BE32-E72D297353CC}">
              <c16:uniqueId val="{00000003-69F9-4002-9BD2-9C39050CF672}"/>
            </c:ext>
          </c:extLst>
        </c:ser>
        <c:ser>
          <c:idx val="4"/>
          <c:order val="4"/>
          <c:tx>
            <c:strRef>
              <c:f>PGLOBAL!$F$365</c:f>
              <c:strCache>
                <c:ptCount val="1"/>
                <c:pt idx="0">
                  <c:v>INGLES</c:v>
                </c:pt>
              </c:strCache>
            </c:strRef>
          </c:tx>
          <c:spPr>
            <a:ln w="19050" cap="rnd" cmpd="sng" algn="ctr">
              <a:solidFill>
                <a:schemeClr val="accent5">
                  <a:shade val="95000"/>
                  <a:satMod val="105000"/>
                </a:schemeClr>
              </a:solidFill>
              <a:round/>
            </a:ln>
            <a:effectLst/>
          </c:spPr>
          <c:marker>
            <c:symbol val="circle"/>
            <c:size val="17"/>
            <c:spPr>
              <a:solidFill>
                <a:schemeClr val="lt1"/>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5"/>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35000"/>
                          <a:lumOff val="65000"/>
                        </a:schemeClr>
                      </a:solidFill>
                    </a:ln>
                    <a:effectLst/>
                  </c:spPr>
                </c15:leaderLines>
              </c:ext>
            </c:extLst>
          </c:dLbls>
          <c:cat>
            <c:strRef>
              <c:f>PGLOBAL!$G$360:$M$360</c:f>
              <c:strCache>
                <c:ptCount val="7"/>
                <c:pt idx="0">
                  <c:v>2016</c:v>
                </c:pt>
                <c:pt idx="1">
                  <c:v>2017</c:v>
                </c:pt>
                <c:pt idx="2">
                  <c:v>2018</c:v>
                </c:pt>
                <c:pt idx="3">
                  <c:v>2019</c:v>
                </c:pt>
                <c:pt idx="4">
                  <c:v>2020</c:v>
                </c:pt>
                <c:pt idx="5">
                  <c:v>2021</c:v>
                </c:pt>
                <c:pt idx="6">
                  <c:v>2022</c:v>
                </c:pt>
              </c:strCache>
            </c:strRef>
          </c:cat>
          <c:val>
            <c:numRef>
              <c:f>PGLOBAL!$G$365:$M$365</c:f>
              <c:numCache>
                <c:formatCode>General</c:formatCode>
                <c:ptCount val="7"/>
                <c:pt idx="0">
                  <c:v>52</c:v>
                </c:pt>
                <c:pt idx="1">
                  <c:v>49</c:v>
                </c:pt>
                <c:pt idx="2">
                  <c:v>50</c:v>
                </c:pt>
                <c:pt idx="3">
                  <c:v>49</c:v>
                </c:pt>
                <c:pt idx="4">
                  <c:v>46</c:v>
                </c:pt>
                <c:pt idx="5">
                  <c:v>49</c:v>
                </c:pt>
                <c:pt idx="6">
                  <c:v>51</c:v>
                </c:pt>
              </c:numCache>
            </c:numRef>
          </c:val>
          <c:smooth val="0"/>
          <c:extLst>
            <c:ext xmlns:c16="http://schemas.microsoft.com/office/drawing/2014/chart" uri="{C3380CC4-5D6E-409C-BE32-E72D297353CC}">
              <c16:uniqueId val="{00000004-69F9-4002-9BD2-9C39050CF672}"/>
            </c:ext>
          </c:extLst>
        </c:ser>
        <c:dLbls>
          <c:dLblPos val="ctr"/>
          <c:showLegendKey val="0"/>
          <c:showVal val="1"/>
          <c:showCatName val="0"/>
          <c:showSerName val="0"/>
          <c:showPercent val="0"/>
          <c:showBubbleSize val="0"/>
        </c:dLbls>
        <c:marker val="1"/>
        <c:smooth val="0"/>
        <c:axId val="1902223727"/>
        <c:axId val="1895645535"/>
      </c:lineChart>
      <c:catAx>
        <c:axId val="1902223727"/>
        <c:scaling>
          <c:orientation val="minMax"/>
        </c:scaling>
        <c:delete val="0"/>
        <c:axPos val="b"/>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dk1">
                    <a:lumMod val="65000"/>
                    <a:lumOff val="35000"/>
                  </a:schemeClr>
                </a:solidFill>
                <a:latin typeface="+mn-lt"/>
                <a:ea typeface="+mn-ea"/>
                <a:cs typeface="+mn-cs"/>
              </a:defRPr>
            </a:pPr>
            <a:endParaRPr lang="es-CO"/>
          </a:p>
        </c:txPr>
        <c:crossAx val="1895645535"/>
        <c:crosses val="autoZero"/>
        <c:auto val="1"/>
        <c:lblAlgn val="ctr"/>
        <c:lblOffset val="100"/>
        <c:noMultiLvlLbl val="0"/>
      </c:catAx>
      <c:valAx>
        <c:axId val="1895645535"/>
        <c:scaling>
          <c:orientation val="minMax"/>
        </c:scaling>
        <c:delete val="1"/>
        <c:axPos val="l"/>
        <c:numFmt formatCode="General" sourceLinked="1"/>
        <c:majorTickMark val="none"/>
        <c:minorTickMark val="none"/>
        <c:tickLblPos val="nextTo"/>
        <c:crossAx val="190222372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b="1"/>
              <a:t>ÍNDICE GLOBAL</a:t>
            </a:r>
          </a:p>
        </c:rich>
      </c:tx>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CO"/>
        </a:p>
      </c:txPr>
    </c:title>
    <c:autoTitleDeleted val="0"/>
    <c:plotArea>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12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PuntajeGlobal!$K$27:$K$35</c:f>
              <c:numCache>
                <c:formatCode>General</c:formatCode>
                <c:ptCount val="9"/>
                <c:pt idx="0">
                  <c:v>2016</c:v>
                </c:pt>
                <c:pt idx="1">
                  <c:v>2017</c:v>
                </c:pt>
                <c:pt idx="2">
                  <c:v>2018</c:v>
                </c:pt>
                <c:pt idx="3">
                  <c:v>2019</c:v>
                </c:pt>
                <c:pt idx="4">
                  <c:v>2020</c:v>
                </c:pt>
                <c:pt idx="5">
                  <c:v>2021</c:v>
                </c:pt>
                <c:pt idx="6">
                  <c:v>2022</c:v>
                </c:pt>
                <c:pt idx="7">
                  <c:v>2023</c:v>
                </c:pt>
                <c:pt idx="8">
                  <c:v>2024</c:v>
                </c:pt>
              </c:numCache>
            </c:numRef>
          </c:cat>
          <c:val>
            <c:numRef>
              <c:f>PuntajeGlobal!$L$27:$L$35</c:f>
              <c:numCache>
                <c:formatCode>0.0000</c:formatCode>
                <c:ptCount val="9"/>
                <c:pt idx="0">
                  <c:v>0.67190000000000005</c:v>
                </c:pt>
                <c:pt idx="1">
                  <c:v>0.68530000000000002</c:v>
                </c:pt>
                <c:pt idx="2">
                  <c:v>0.68720000000000003</c:v>
                </c:pt>
                <c:pt idx="3">
                  <c:v>0.68120000000000003</c:v>
                </c:pt>
                <c:pt idx="4">
                  <c:v>0.67159999999999997</c:v>
                </c:pt>
                <c:pt idx="5">
                  <c:v>0.67720000000000002</c:v>
                </c:pt>
                <c:pt idx="6">
                  <c:v>0.68200000000000005</c:v>
                </c:pt>
                <c:pt idx="7">
                  <c:v>0.68410000000000004</c:v>
                </c:pt>
              </c:numCache>
            </c:numRef>
          </c:val>
          <c:extLst>
            <c:ext xmlns:c16="http://schemas.microsoft.com/office/drawing/2014/chart" uri="{C3380CC4-5D6E-409C-BE32-E72D297353CC}">
              <c16:uniqueId val="{00000000-B40D-4746-88DD-E17EAEF8F182}"/>
            </c:ext>
          </c:extLst>
        </c:ser>
        <c:dLbls>
          <c:showLegendKey val="0"/>
          <c:showVal val="1"/>
          <c:showCatName val="0"/>
          <c:showSerName val="0"/>
          <c:showPercent val="0"/>
          <c:showBubbleSize val="0"/>
        </c:dLbls>
        <c:gapWidth val="150"/>
        <c:overlap val="-25"/>
        <c:axId val="-2045503552"/>
        <c:axId val="-2045505728"/>
      </c:barChart>
      <c:catAx>
        <c:axId val="-20455035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crossAx val="-2045505728"/>
        <c:crosses val="autoZero"/>
        <c:auto val="1"/>
        <c:lblAlgn val="ctr"/>
        <c:lblOffset val="100"/>
        <c:noMultiLvlLbl val="0"/>
      </c:catAx>
      <c:valAx>
        <c:axId val="-2045505728"/>
        <c:scaling>
          <c:orientation val="minMax"/>
        </c:scaling>
        <c:delete val="1"/>
        <c:axPos val="l"/>
        <c:numFmt formatCode="0.0000" sourceLinked="1"/>
        <c:majorTickMark val="none"/>
        <c:minorTickMark val="none"/>
        <c:tickLblPos val="nextTo"/>
        <c:crossAx val="-204550355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34">
  <cs:axisTitle>
    <cs:lnRef idx="0"/>
    <cs:fillRef idx="0"/>
    <cs:effectRef idx="0"/>
    <cs:fontRef idx="minor">
      <a:schemeClr val="dk1">
        <a:lumMod val="65000"/>
        <a:lumOff val="35000"/>
      </a:schemeClr>
    </cs:fontRef>
    <cs:defRPr sz="900"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1000" kern="120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cs:styleClr val="auto"/>
    </cs:fontRef>
    <cs:spPr/>
    <cs:defRPr sz="900" b="1" i="0" u="none" strike="noStrike" kern="1200" baseline="0"/>
  </cs:dataLabel>
  <cs:dataLabelCallout>
    <cs:lnRef idx="0"/>
    <cs:fillRef idx="0"/>
    <cs:effectRef idx="0"/>
    <cs:fontRef idx="minor">
      <a:schemeClr val="dk1">
        <a:lumMod val="65000"/>
        <a:lumOff val="35000"/>
      </a:schemeClr>
    </cs:fontRef>
    <cs:spPr>
      <a:solidFill>
        <a:schemeClr val="lt1"/>
      </a:solidFill>
      <a:ln w="9575">
        <a:solidFill>
          <a:schemeClr val="lt1">
            <a:lumMod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19050" cap="rnd" cmpd="sng" algn="ctr">
        <a:solidFill>
          <a:schemeClr val="phClr">
            <a:shade val="95000"/>
            <a:satMod val="105000"/>
          </a:schemeClr>
        </a:solidFill>
        <a:round/>
      </a:ln>
    </cs:spPr>
  </cs:dataPointLine>
  <cs:dataPointMarker>
    <cs:lnRef idx="0"/>
    <cs:fillRef idx="0"/>
    <cs:effectRef idx="0"/>
    <cs:fontRef idx="minor">
      <a:schemeClr val="dk1"/>
    </cs:fontRef>
    <cs:spPr>
      <a:solidFill>
        <a:schemeClr val="lt1"/>
      </a:solidFill>
    </cs:spPr>
  </cs:dataPointMarker>
  <cs:dataPointMarkerLayout symbol="circle" size="17"/>
  <cs:dataPointWireframe>
    <cs:lnRef idx="0">
      <cs:styleClr val="auto"/>
    </cs:lnRef>
    <cs:fillRef idx="1"/>
    <cs:effectRef idx="0"/>
    <cs:fontRef idx="minor">
      <a:schemeClr val="dk1"/>
    </cs:fontRef>
    <cs:spPr>
      <a:ln w="9525">
        <a:solidFill>
          <a:schemeClr val="phClr"/>
        </a:solidFill>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dk1">
            <a:lumMod val="50000"/>
            <a:lumOff val="50000"/>
          </a:schemeClr>
        </a:solidFill>
      </a:ln>
    </cs:spPr>
  </cs:downBar>
  <cs:dropLine>
    <cs:lnRef idx="0"/>
    <cs:fillRef idx="0"/>
    <cs:effectRef idx="0"/>
    <cs:fontRef idx="minor">
      <a:schemeClr val="dk1"/>
    </cs:fontRef>
    <cs:spPr>
      <a:ln w="9525">
        <a:solidFill>
          <a:schemeClr val="dk1">
            <a:lumMod val="35000"/>
            <a:lumOff val="65000"/>
          </a:schemeClr>
        </a:solidFill>
      </a:ln>
    </cs:spPr>
  </cs:dropLine>
  <cs:errorBar>
    <cs:lnRef idx="0"/>
    <cs:fillRef idx="0"/>
    <cs:effectRef idx="0"/>
    <cs:fontRef idx="minor">
      <a:schemeClr val="dk1"/>
    </cs:fontRef>
    <cs:spPr>
      <a:ln w="9525">
        <a:solidFill>
          <a:schemeClr val="dk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a:solidFill>
          <a:schemeClr val="dk1">
            <a:lumMod val="15000"/>
            <a:lumOff val="85000"/>
          </a:schemeClr>
        </a:solidFill>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35000"/>
            <a:lumOff val="65000"/>
          </a:schemeClr>
        </a:solidFill>
      </a:ln>
    </cs:spPr>
  </cs:hiLoLine>
  <cs:leaderLine>
    <cs:lnRef idx="0"/>
    <cs:fillRef idx="0"/>
    <cs:effectRef idx="0"/>
    <cs:fontRef idx="minor">
      <a:schemeClr val="dk1"/>
    </cs:fontRef>
    <cs:spPr>
      <a:ln w="9525">
        <a:solidFill>
          <a:schemeClr val="dk1">
            <a:lumMod val="35000"/>
            <a:lumOff val="65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35000"/>
            <a:lumOff val="65000"/>
          </a:schemeClr>
        </a:solidFill>
      </a:ln>
    </cs:spPr>
  </cs:seriesLine>
  <cs:title>
    <cs:lnRef idx="0"/>
    <cs:fillRef idx="0"/>
    <cs:effectRef idx="0"/>
    <cs:fontRef idx="minor">
      <a:schemeClr val="dk1"/>
    </cs:fontRef>
    <cs:defRPr sz="1440" b="0" kern="1200" cap="all" spc="0" baseline="0">
      <a:gradFill>
        <a:gsLst>
          <a:gs pos="0">
            <a:schemeClr val="dk1">
              <a:lumMod val="50000"/>
              <a:lumOff val="50000"/>
            </a:schemeClr>
          </a:gs>
          <a:gs pos="100000">
            <a:schemeClr val="dk1">
              <a:lumMod val="85000"/>
              <a:lumOff val="15000"/>
            </a:schemeClr>
          </a:gs>
        </a:gsLst>
        <a:lin ang="5400000" scaled="0"/>
      </a:gradFill>
    </cs:defRPr>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dk1">
            <a:lumMod val="50000"/>
            <a:lumOff val="50000"/>
          </a:schemeClr>
        </a:solidFill>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34">
  <cs:axisTitle>
    <cs:lnRef idx="0"/>
    <cs:fillRef idx="0"/>
    <cs:effectRef idx="0"/>
    <cs:fontRef idx="minor">
      <a:schemeClr val="dk1">
        <a:lumMod val="65000"/>
        <a:lumOff val="35000"/>
      </a:schemeClr>
    </cs:fontRef>
    <cs:defRPr sz="900"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1000" kern="120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cs:styleClr val="auto"/>
    </cs:fontRef>
    <cs:spPr/>
    <cs:defRPr sz="900" b="1" i="0" u="none" strike="noStrike" kern="1200" baseline="0"/>
  </cs:dataLabel>
  <cs:dataLabelCallout>
    <cs:lnRef idx="0"/>
    <cs:fillRef idx="0"/>
    <cs:effectRef idx="0"/>
    <cs:fontRef idx="minor">
      <a:schemeClr val="dk1">
        <a:lumMod val="65000"/>
        <a:lumOff val="35000"/>
      </a:schemeClr>
    </cs:fontRef>
    <cs:spPr>
      <a:solidFill>
        <a:schemeClr val="lt1"/>
      </a:solidFill>
      <a:ln w="9575">
        <a:solidFill>
          <a:schemeClr val="lt1">
            <a:lumMod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19050" cap="rnd" cmpd="sng" algn="ctr">
        <a:solidFill>
          <a:schemeClr val="phClr">
            <a:shade val="95000"/>
            <a:satMod val="105000"/>
          </a:schemeClr>
        </a:solidFill>
        <a:round/>
      </a:ln>
    </cs:spPr>
  </cs:dataPointLine>
  <cs:dataPointMarker>
    <cs:lnRef idx="0"/>
    <cs:fillRef idx="0"/>
    <cs:effectRef idx="0"/>
    <cs:fontRef idx="minor">
      <a:schemeClr val="dk1"/>
    </cs:fontRef>
    <cs:spPr>
      <a:solidFill>
        <a:schemeClr val="lt1"/>
      </a:solidFill>
    </cs:spPr>
  </cs:dataPointMarker>
  <cs:dataPointMarkerLayout symbol="circle" size="17"/>
  <cs:dataPointWireframe>
    <cs:lnRef idx="0">
      <cs:styleClr val="auto"/>
    </cs:lnRef>
    <cs:fillRef idx="1"/>
    <cs:effectRef idx="0"/>
    <cs:fontRef idx="minor">
      <a:schemeClr val="dk1"/>
    </cs:fontRef>
    <cs:spPr>
      <a:ln w="9525">
        <a:solidFill>
          <a:schemeClr val="phClr"/>
        </a:solidFill>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dk1">
            <a:lumMod val="50000"/>
            <a:lumOff val="50000"/>
          </a:schemeClr>
        </a:solidFill>
      </a:ln>
    </cs:spPr>
  </cs:downBar>
  <cs:dropLine>
    <cs:lnRef idx="0"/>
    <cs:fillRef idx="0"/>
    <cs:effectRef idx="0"/>
    <cs:fontRef idx="minor">
      <a:schemeClr val="dk1"/>
    </cs:fontRef>
    <cs:spPr>
      <a:ln w="9525">
        <a:solidFill>
          <a:schemeClr val="dk1">
            <a:lumMod val="35000"/>
            <a:lumOff val="65000"/>
          </a:schemeClr>
        </a:solidFill>
      </a:ln>
    </cs:spPr>
  </cs:dropLine>
  <cs:errorBar>
    <cs:lnRef idx="0"/>
    <cs:fillRef idx="0"/>
    <cs:effectRef idx="0"/>
    <cs:fontRef idx="minor">
      <a:schemeClr val="dk1"/>
    </cs:fontRef>
    <cs:spPr>
      <a:ln w="9525">
        <a:solidFill>
          <a:schemeClr val="dk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a:solidFill>
          <a:schemeClr val="dk1">
            <a:lumMod val="15000"/>
            <a:lumOff val="85000"/>
          </a:schemeClr>
        </a:solidFill>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35000"/>
            <a:lumOff val="65000"/>
          </a:schemeClr>
        </a:solidFill>
      </a:ln>
    </cs:spPr>
  </cs:hiLoLine>
  <cs:leaderLine>
    <cs:lnRef idx="0"/>
    <cs:fillRef idx="0"/>
    <cs:effectRef idx="0"/>
    <cs:fontRef idx="minor">
      <a:schemeClr val="dk1"/>
    </cs:fontRef>
    <cs:spPr>
      <a:ln w="9525">
        <a:solidFill>
          <a:schemeClr val="dk1">
            <a:lumMod val="35000"/>
            <a:lumOff val="65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35000"/>
            <a:lumOff val="65000"/>
          </a:schemeClr>
        </a:solidFill>
      </a:ln>
    </cs:spPr>
  </cs:seriesLine>
  <cs:title>
    <cs:lnRef idx="0"/>
    <cs:fillRef idx="0"/>
    <cs:effectRef idx="0"/>
    <cs:fontRef idx="minor">
      <a:schemeClr val="dk1"/>
    </cs:fontRef>
    <cs:defRPr sz="1440" b="0" kern="1200" cap="all" spc="0" baseline="0">
      <a:gradFill>
        <a:gsLst>
          <a:gs pos="0">
            <a:schemeClr val="dk1">
              <a:lumMod val="50000"/>
              <a:lumOff val="50000"/>
            </a:schemeClr>
          </a:gs>
          <a:gs pos="100000">
            <a:schemeClr val="dk1">
              <a:lumMod val="85000"/>
              <a:lumOff val="15000"/>
            </a:schemeClr>
          </a:gs>
        </a:gsLst>
        <a:lin ang="5400000" scaled="0"/>
      </a:gradFill>
    </cs:defRPr>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dk1">
            <a:lumMod val="50000"/>
            <a:lumOff val="50000"/>
          </a:schemeClr>
        </a:solidFill>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4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image" Target="../media/image5.png"/><Relationship Id="rId13" Type="http://schemas.openxmlformats.org/officeDocument/2006/relationships/hyperlink" Target="#AprenMate!A1"/><Relationship Id="rId18" Type="http://schemas.openxmlformats.org/officeDocument/2006/relationships/image" Target="../media/image12.svg"/><Relationship Id="rId3" Type="http://schemas.openxmlformats.org/officeDocument/2006/relationships/image" Target="../media/image2.png"/><Relationship Id="rId21" Type="http://schemas.openxmlformats.org/officeDocument/2006/relationships/image" Target="../media/image14.svg"/><Relationship Id="rId7" Type="http://schemas.openxmlformats.org/officeDocument/2006/relationships/hyperlink" Target="#AprenLectura!A1"/><Relationship Id="rId12" Type="http://schemas.openxmlformats.org/officeDocument/2006/relationships/image" Target="../media/image8.svg"/><Relationship Id="rId17" Type="http://schemas.openxmlformats.org/officeDocument/2006/relationships/image" Target="../media/image11.png"/><Relationship Id="rId2" Type="http://schemas.microsoft.com/office/2007/relationships/hdphoto" Target="../media/hdphoto1.wdp"/><Relationship Id="rId16" Type="http://schemas.openxmlformats.org/officeDocument/2006/relationships/hyperlink" Target="#AprenSyC!A1"/><Relationship Id="rId20" Type="http://schemas.openxmlformats.org/officeDocument/2006/relationships/image" Target="../media/image13.png"/><Relationship Id="rId1" Type="http://schemas.openxmlformats.org/officeDocument/2006/relationships/image" Target="../media/image1.png"/><Relationship Id="rId6" Type="http://schemas.openxmlformats.org/officeDocument/2006/relationships/image" Target="../media/image4.svg"/><Relationship Id="rId11" Type="http://schemas.openxmlformats.org/officeDocument/2006/relationships/image" Target="../media/image7.png"/><Relationship Id="rId24" Type="http://schemas.openxmlformats.org/officeDocument/2006/relationships/hyperlink" Target="#AprenCNCTS!A1"/><Relationship Id="rId5" Type="http://schemas.openxmlformats.org/officeDocument/2006/relationships/image" Target="../media/image3.png"/><Relationship Id="rId15" Type="http://schemas.openxmlformats.org/officeDocument/2006/relationships/image" Target="../media/image10.svg"/><Relationship Id="rId23" Type="http://schemas.openxmlformats.org/officeDocument/2006/relationships/hyperlink" Target="#AprenCNProF&#237;sicos!A1"/><Relationship Id="rId10" Type="http://schemas.openxmlformats.org/officeDocument/2006/relationships/hyperlink" Target="#Promediosyniveles!A1"/><Relationship Id="rId19" Type="http://schemas.openxmlformats.org/officeDocument/2006/relationships/hyperlink" Target="#AprenCNProVivos!A1"/><Relationship Id="rId4" Type="http://schemas.openxmlformats.org/officeDocument/2006/relationships/hyperlink" Target="#PuntajeGlobal!A1"/><Relationship Id="rId9" Type="http://schemas.openxmlformats.org/officeDocument/2006/relationships/image" Target="../media/image6.svg"/><Relationship Id="rId14" Type="http://schemas.openxmlformats.org/officeDocument/2006/relationships/image" Target="../media/image9.png"/><Relationship Id="rId22" Type="http://schemas.openxmlformats.org/officeDocument/2006/relationships/hyperlink" Target="#AprenCNProQu&#237;micos!A1"/></Relationships>
</file>

<file path=xl/drawings/_rels/drawing10.xml.rels><?xml version="1.0" encoding="UTF-8" standalone="yes"?>
<Relationships xmlns="http://schemas.openxmlformats.org/package/2006/relationships"><Relationship Id="rId3" Type="http://schemas.microsoft.com/office/2007/relationships/hdphoto" Target="../media/hdphoto1.wdp"/><Relationship Id="rId7" Type="http://schemas.openxmlformats.org/officeDocument/2006/relationships/image" Target="../media/image17.svg"/><Relationship Id="rId2" Type="http://schemas.openxmlformats.org/officeDocument/2006/relationships/image" Target="../media/image1.png"/><Relationship Id="rId1" Type="http://schemas.openxmlformats.org/officeDocument/2006/relationships/chart" Target="../charts/chart51.xml"/><Relationship Id="rId6" Type="http://schemas.openxmlformats.org/officeDocument/2006/relationships/image" Target="../media/image16.png"/><Relationship Id="rId5" Type="http://schemas.openxmlformats.org/officeDocument/2006/relationships/hyperlink" Target="#'GU&#205;A DE USO'!A1"/><Relationship Id="rId4" Type="http://schemas.openxmlformats.org/officeDocument/2006/relationships/image" Target="../media/image2.png"/></Relationships>
</file>

<file path=xl/drawings/_rels/drawing11.xml.rels><?xml version="1.0" encoding="UTF-8" standalone="yes"?>
<Relationships xmlns="http://schemas.openxmlformats.org/package/2006/relationships"><Relationship Id="rId3" Type="http://schemas.microsoft.com/office/2007/relationships/hdphoto" Target="../media/hdphoto1.wdp"/><Relationship Id="rId7" Type="http://schemas.openxmlformats.org/officeDocument/2006/relationships/image" Target="../media/image17.svg"/><Relationship Id="rId2" Type="http://schemas.openxmlformats.org/officeDocument/2006/relationships/image" Target="../media/image1.png"/><Relationship Id="rId1" Type="http://schemas.openxmlformats.org/officeDocument/2006/relationships/chart" Target="../charts/chart52.xml"/><Relationship Id="rId6" Type="http://schemas.openxmlformats.org/officeDocument/2006/relationships/image" Target="../media/image16.png"/><Relationship Id="rId5" Type="http://schemas.openxmlformats.org/officeDocument/2006/relationships/hyperlink" Target="#'GU&#205;A DE USO'!A1"/><Relationship Id="rId4" Type="http://schemas.openxmlformats.org/officeDocument/2006/relationships/image" Target="../media/image2.png"/></Relationships>
</file>

<file path=xl/drawings/_rels/drawing12.xml.rels><?xml version="1.0" encoding="UTF-8" standalone="yes"?>
<Relationships xmlns="http://schemas.openxmlformats.org/package/2006/relationships"><Relationship Id="rId8" Type="http://schemas.openxmlformats.org/officeDocument/2006/relationships/image" Target="../media/image16.png"/><Relationship Id="rId3" Type="http://schemas.openxmlformats.org/officeDocument/2006/relationships/image" Target="../media/image1.png"/><Relationship Id="rId7" Type="http://schemas.openxmlformats.org/officeDocument/2006/relationships/hyperlink" Target="#'GU&#205;A DE USO'!A1"/><Relationship Id="rId2" Type="http://schemas.openxmlformats.org/officeDocument/2006/relationships/chart" Target="../charts/chart54.xml"/><Relationship Id="rId1" Type="http://schemas.openxmlformats.org/officeDocument/2006/relationships/chart" Target="../charts/chart53.xml"/><Relationship Id="rId6" Type="http://schemas.openxmlformats.org/officeDocument/2006/relationships/chart" Target="../charts/chart55.xml"/><Relationship Id="rId5" Type="http://schemas.openxmlformats.org/officeDocument/2006/relationships/image" Target="../media/image2.png"/><Relationship Id="rId4" Type="http://schemas.microsoft.com/office/2007/relationships/hdphoto" Target="../media/hdphoto1.wdp"/><Relationship Id="rId9" Type="http://schemas.openxmlformats.org/officeDocument/2006/relationships/image" Target="../media/image17.svg"/></Relationships>
</file>

<file path=xl/drawings/_rels/drawing13.xml.rels><?xml version="1.0" encoding="UTF-8" standalone="yes"?>
<Relationships xmlns="http://schemas.openxmlformats.org/package/2006/relationships"><Relationship Id="rId8" Type="http://schemas.openxmlformats.org/officeDocument/2006/relationships/image" Target="../media/image16.png"/><Relationship Id="rId3" Type="http://schemas.openxmlformats.org/officeDocument/2006/relationships/chart" Target="../charts/chart56.xml"/><Relationship Id="rId7" Type="http://schemas.openxmlformats.org/officeDocument/2006/relationships/hyperlink" Target="#'GU&#205;A DE USO'!A1"/><Relationship Id="rId2" Type="http://schemas.microsoft.com/office/2007/relationships/hdphoto" Target="../media/hdphoto1.wdp"/><Relationship Id="rId1" Type="http://schemas.openxmlformats.org/officeDocument/2006/relationships/image" Target="../media/image1.png"/><Relationship Id="rId6" Type="http://schemas.openxmlformats.org/officeDocument/2006/relationships/image" Target="../media/image2.png"/><Relationship Id="rId5" Type="http://schemas.openxmlformats.org/officeDocument/2006/relationships/chart" Target="../charts/chart58.xml"/><Relationship Id="rId10" Type="http://schemas.openxmlformats.org/officeDocument/2006/relationships/chart" Target="../charts/chart59.xml"/><Relationship Id="rId4" Type="http://schemas.openxmlformats.org/officeDocument/2006/relationships/chart" Target="../charts/chart57.xml"/><Relationship Id="rId9" Type="http://schemas.openxmlformats.org/officeDocument/2006/relationships/image" Target="../media/image17.svg"/></Relationships>
</file>

<file path=xl/drawings/_rels/drawing14.xml.rels><?xml version="1.0" encoding="UTF-8" standalone="yes"?>
<Relationships xmlns="http://schemas.openxmlformats.org/package/2006/relationships"><Relationship Id="rId8" Type="http://schemas.openxmlformats.org/officeDocument/2006/relationships/hyperlink" Target="#'GU&#205;A DE USO'!A1"/><Relationship Id="rId3" Type="http://schemas.openxmlformats.org/officeDocument/2006/relationships/chart" Target="../charts/chart62.xml"/><Relationship Id="rId7" Type="http://schemas.openxmlformats.org/officeDocument/2006/relationships/image" Target="../media/image2.png"/><Relationship Id="rId2" Type="http://schemas.openxmlformats.org/officeDocument/2006/relationships/chart" Target="../charts/chart61.xml"/><Relationship Id="rId1" Type="http://schemas.openxmlformats.org/officeDocument/2006/relationships/chart" Target="../charts/chart60.xml"/><Relationship Id="rId6" Type="http://schemas.microsoft.com/office/2007/relationships/hdphoto" Target="../media/hdphoto1.wdp"/><Relationship Id="rId5" Type="http://schemas.openxmlformats.org/officeDocument/2006/relationships/image" Target="../media/image1.png"/><Relationship Id="rId10" Type="http://schemas.openxmlformats.org/officeDocument/2006/relationships/image" Target="../media/image17.svg"/><Relationship Id="rId4" Type="http://schemas.openxmlformats.org/officeDocument/2006/relationships/chart" Target="../charts/chart63.xml"/><Relationship Id="rId9" Type="http://schemas.openxmlformats.org/officeDocument/2006/relationships/image" Target="../media/image16.png"/></Relationships>
</file>

<file path=xl/drawings/_rels/drawing15.xml.rels><?xml version="1.0" encoding="UTF-8" standalone="yes"?>
<Relationships xmlns="http://schemas.openxmlformats.org/package/2006/relationships"><Relationship Id="rId8" Type="http://schemas.openxmlformats.org/officeDocument/2006/relationships/hyperlink" Target="#'GU&#205;A DE USO'!A1"/><Relationship Id="rId3" Type="http://schemas.openxmlformats.org/officeDocument/2006/relationships/chart" Target="../charts/chart66.xml"/><Relationship Id="rId7" Type="http://schemas.openxmlformats.org/officeDocument/2006/relationships/image" Target="../media/image2.png"/><Relationship Id="rId2" Type="http://schemas.openxmlformats.org/officeDocument/2006/relationships/chart" Target="../charts/chart65.xml"/><Relationship Id="rId1" Type="http://schemas.openxmlformats.org/officeDocument/2006/relationships/chart" Target="../charts/chart64.xml"/><Relationship Id="rId6" Type="http://schemas.microsoft.com/office/2007/relationships/hdphoto" Target="../media/hdphoto1.wdp"/><Relationship Id="rId5" Type="http://schemas.openxmlformats.org/officeDocument/2006/relationships/image" Target="../media/image1.png"/><Relationship Id="rId10" Type="http://schemas.openxmlformats.org/officeDocument/2006/relationships/image" Target="../media/image17.svg"/><Relationship Id="rId4" Type="http://schemas.openxmlformats.org/officeDocument/2006/relationships/chart" Target="../charts/chart67.xml"/><Relationship Id="rId9" Type="http://schemas.openxmlformats.org/officeDocument/2006/relationships/image" Target="../media/image16.png"/></Relationships>
</file>

<file path=xl/drawings/_rels/drawing16.xml.rels><?xml version="1.0" encoding="UTF-8" standalone="yes"?>
<Relationships xmlns="http://schemas.openxmlformats.org/package/2006/relationships"><Relationship Id="rId8" Type="http://schemas.openxmlformats.org/officeDocument/2006/relationships/image" Target="../media/image17.svg"/><Relationship Id="rId3" Type="http://schemas.openxmlformats.org/officeDocument/2006/relationships/chart" Target="../charts/chart68.xml"/><Relationship Id="rId7" Type="http://schemas.openxmlformats.org/officeDocument/2006/relationships/image" Target="../media/image16.png"/><Relationship Id="rId2" Type="http://schemas.microsoft.com/office/2007/relationships/hdphoto" Target="../media/hdphoto1.wdp"/><Relationship Id="rId1" Type="http://schemas.openxmlformats.org/officeDocument/2006/relationships/image" Target="../media/image1.png"/><Relationship Id="rId6" Type="http://schemas.openxmlformats.org/officeDocument/2006/relationships/hyperlink" Target="#'GU&#205;A DE USO'!A1"/><Relationship Id="rId5" Type="http://schemas.openxmlformats.org/officeDocument/2006/relationships/image" Target="../media/image2.png"/><Relationship Id="rId4" Type="http://schemas.openxmlformats.org/officeDocument/2006/relationships/chart" Target="../charts/chart69.xml"/></Relationships>
</file>

<file path=xl/drawings/_rels/drawing2.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drawing3.xml.rels><?xml version="1.0" encoding="UTF-8" standalone="yes"?>
<Relationships xmlns="http://schemas.openxmlformats.org/package/2006/relationships"><Relationship Id="rId8" Type="http://schemas.openxmlformats.org/officeDocument/2006/relationships/image" Target="../media/image16.png"/><Relationship Id="rId3" Type="http://schemas.openxmlformats.org/officeDocument/2006/relationships/chart" Target="../charts/chart10.xml"/><Relationship Id="rId7" Type="http://schemas.openxmlformats.org/officeDocument/2006/relationships/hyperlink" Target="#'GU&#205;A DE USO'!A1"/><Relationship Id="rId2" Type="http://schemas.openxmlformats.org/officeDocument/2006/relationships/chart" Target="../charts/chart9.xml"/><Relationship Id="rId1" Type="http://schemas.openxmlformats.org/officeDocument/2006/relationships/image" Target="../media/image15.png"/><Relationship Id="rId6" Type="http://schemas.openxmlformats.org/officeDocument/2006/relationships/image" Target="../media/image2.png"/><Relationship Id="rId11" Type="http://schemas.openxmlformats.org/officeDocument/2006/relationships/image" Target="../media/image19.svg"/><Relationship Id="rId5" Type="http://schemas.microsoft.com/office/2007/relationships/hdphoto" Target="../media/hdphoto1.wdp"/><Relationship Id="rId10" Type="http://schemas.openxmlformats.org/officeDocument/2006/relationships/image" Target="../media/image18.png"/><Relationship Id="rId4" Type="http://schemas.openxmlformats.org/officeDocument/2006/relationships/image" Target="../media/image1.png"/><Relationship Id="rId9" Type="http://schemas.openxmlformats.org/officeDocument/2006/relationships/image" Target="../media/image17.svg"/></Relationships>
</file>

<file path=xl/drawings/_rels/drawing4.xml.rels><?xml version="1.0" encoding="UTF-8" standalone="yes"?>
<Relationships xmlns="http://schemas.openxmlformats.org/package/2006/relationships"><Relationship Id="rId8" Type="http://schemas.openxmlformats.org/officeDocument/2006/relationships/chart" Target="../charts/chart18.xml"/><Relationship Id="rId13" Type="http://schemas.openxmlformats.org/officeDocument/2006/relationships/image" Target="../media/image2.png"/><Relationship Id="rId3" Type="http://schemas.openxmlformats.org/officeDocument/2006/relationships/chart" Target="../charts/chart13.xml"/><Relationship Id="rId7" Type="http://schemas.openxmlformats.org/officeDocument/2006/relationships/chart" Target="../charts/chart17.xml"/><Relationship Id="rId12" Type="http://schemas.microsoft.com/office/2007/relationships/hdphoto" Target="../media/hdphoto1.wdp"/><Relationship Id="rId2" Type="http://schemas.openxmlformats.org/officeDocument/2006/relationships/chart" Target="../charts/chart12.xml"/><Relationship Id="rId16" Type="http://schemas.openxmlformats.org/officeDocument/2006/relationships/image" Target="../media/image17.svg"/><Relationship Id="rId1" Type="http://schemas.openxmlformats.org/officeDocument/2006/relationships/chart" Target="../charts/chart11.xml"/><Relationship Id="rId6" Type="http://schemas.openxmlformats.org/officeDocument/2006/relationships/chart" Target="../charts/chart16.xml"/><Relationship Id="rId11" Type="http://schemas.openxmlformats.org/officeDocument/2006/relationships/image" Target="../media/image1.png"/><Relationship Id="rId5" Type="http://schemas.openxmlformats.org/officeDocument/2006/relationships/chart" Target="../charts/chart15.xml"/><Relationship Id="rId15" Type="http://schemas.openxmlformats.org/officeDocument/2006/relationships/image" Target="../media/image16.png"/><Relationship Id="rId10" Type="http://schemas.openxmlformats.org/officeDocument/2006/relationships/chart" Target="../charts/chart20.xml"/><Relationship Id="rId4" Type="http://schemas.openxmlformats.org/officeDocument/2006/relationships/chart" Target="../charts/chart14.xml"/><Relationship Id="rId9" Type="http://schemas.openxmlformats.org/officeDocument/2006/relationships/chart" Target="../charts/chart19.xml"/><Relationship Id="rId14" Type="http://schemas.openxmlformats.org/officeDocument/2006/relationships/hyperlink" Target="#'GU&#205;A DE USO'!A1"/></Relationships>
</file>

<file path=xl/drawings/_rels/drawing5.xml.rels><?xml version="1.0" encoding="UTF-8" standalone="yes"?>
<Relationships xmlns="http://schemas.openxmlformats.org/package/2006/relationships"><Relationship Id="rId8" Type="http://schemas.openxmlformats.org/officeDocument/2006/relationships/chart" Target="../charts/chart28.xml"/><Relationship Id="rId3" Type="http://schemas.openxmlformats.org/officeDocument/2006/relationships/chart" Target="../charts/chart23.xml"/><Relationship Id="rId7" Type="http://schemas.openxmlformats.org/officeDocument/2006/relationships/chart" Target="../charts/chart27.xml"/><Relationship Id="rId12" Type="http://schemas.openxmlformats.org/officeDocument/2006/relationships/chart" Target="../charts/chart32.xml"/><Relationship Id="rId2" Type="http://schemas.openxmlformats.org/officeDocument/2006/relationships/chart" Target="../charts/chart22.xml"/><Relationship Id="rId1" Type="http://schemas.openxmlformats.org/officeDocument/2006/relationships/chart" Target="../charts/chart21.xml"/><Relationship Id="rId6" Type="http://schemas.openxmlformats.org/officeDocument/2006/relationships/chart" Target="../charts/chart26.xml"/><Relationship Id="rId11" Type="http://schemas.openxmlformats.org/officeDocument/2006/relationships/chart" Target="../charts/chart31.xml"/><Relationship Id="rId5" Type="http://schemas.openxmlformats.org/officeDocument/2006/relationships/chart" Target="../charts/chart25.xml"/><Relationship Id="rId10" Type="http://schemas.openxmlformats.org/officeDocument/2006/relationships/chart" Target="../charts/chart30.xml"/><Relationship Id="rId4" Type="http://schemas.openxmlformats.org/officeDocument/2006/relationships/chart" Target="../charts/chart24.xml"/><Relationship Id="rId9" Type="http://schemas.openxmlformats.org/officeDocument/2006/relationships/chart" Target="../charts/chart29.xml"/></Relationships>
</file>

<file path=xl/drawings/_rels/drawing6.xml.rels><?xml version="1.0" encoding="UTF-8" standalone="yes"?>
<Relationships xmlns="http://schemas.openxmlformats.org/package/2006/relationships"><Relationship Id="rId3" Type="http://schemas.openxmlformats.org/officeDocument/2006/relationships/chart" Target="../charts/chart35.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7.xml.rels><?xml version="1.0" encoding="UTF-8" standalone="yes"?>
<Relationships xmlns="http://schemas.openxmlformats.org/package/2006/relationships"><Relationship Id="rId3" Type="http://schemas.openxmlformats.org/officeDocument/2006/relationships/chart" Target="../charts/chart41.xml"/><Relationship Id="rId2" Type="http://schemas.openxmlformats.org/officeDocument/2006/relationships/chart" Target="../charts/chart40.xml"/><Relationship Id="rId1" Type="http://schemas.openxmlformats.org/officeDocument/2006/relationships/chart" Target="../charts/chart39.xml"/><Relationship Id="rId4" Type="http://schemas.openxmlformats.org/officeDocument/2006/relationships/chart" Target="../charts/chart42.xml"/></Relationships>
</file>

<file path=xl/drawings/_rels/drawing8.xml.rels><?xml version="1.0" encoding="UTF-8" standalone="yes"?>
<Relationships xmlns="http://schemas.openxmlformats.org/package/2006/relationships"><Relationship Id="rId3" Type="http://schemas.openxmlformats.org/officeDocument/2006/relationships/chart" Target="../charts/chart45.xml"/><Relationship Id="rId2" Type="http://schemas.openxmlformats.org/officeDocument/2006/relationships/chart" Target="../charts/chart44.xml"/><Relationship Id="rId1" Type="http://schemas.openxmlformats.org/officeDocument/2006/relationships/chart" Target="../charts/chart43.xml"/><Relationship Id="rId4" Type="http://schemas.openxmlformats.org/officeDocument/2006/relationships/chart" Target="../charts/chart46.xml"/></Relationships>
</file>

<file path=xl/drawings/_rels/drawing9.xml.rels><?xml version="1.0" encoding="UTF-8" standalone="yes"?>
<Relationships xmlns="http://schemas.openxmlformats.org/package/2006/relationships"><Relationship Id="rId3" Type="http://schemas.openxmlformats.org/officeDocument/2006/relationships/chart" Target="../charts/chart49.xml"/><Relationship Id="rId2" Type="http://schemas.openxmlformats.org/officeDocument/2006/relationships/chart" Target="../charts/chart48.xml"/><Relationship Id="rId1" Type="http://schemas.openxmlformats.org/officeDocument/2006/relationships/chart" Target="../charts/chart47.xml"/><Relationship Id="rId4" Type="http://schemas.openxmlformats.org/officeDocument/2006/relationships/chart" Target="../charts/chart50.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1891001</xdr:colOff>
      <xdr:row>6</xdr:row>
      <xdr:rowOff>71075</xdr:rowOff>
    </xdr:to>
    <xdr:pic>
      <xdr:nvPicPr>
        <xdr:cNvPr id="5" name="Imagen 4">
          <a:extLst>
            <a:ext uri="{FF2B5EF4-FFF2-40B4-BE49-F238E27FC236}">
              <a16:creationId xmlns:a16="http://schemas.microsoft.com/office/drawing/2014/main" id="{36D12811-1A71-45BC-A80D-56C4858D862B}"/>
            </a:ext>
          </a:extLst>
        </xdr:cNvPr>
        <xdr:cNvPicPr>
          <a:picLocks noChangeAspect="1"/>
        </xdr:cNvPicPr>
      </xdr:nvPicPr>
      <xdr:blipFill rotWithShape="1">
        <a:blip xmlns:r="http://schemas.openxmlformats.org/officeDocument/2006/relationships" r:embed="rId1">
          <a:extLst>
            <a:ext uri="{BEBA8EAE-BF5A-486C-A8C5-ECC9F3942E4B}">
              <a14:imgProps xmlns:a14="http://schemas.microsoft.com/office/drawing/2010/main">
                <a14:imgLayer r:embed="rId2">
                  <a14:imgEffect>
                    <a14:brightnessContrast contrast="-2000"/>
                  </a14:imgEffect>
                </a14:imgLayer>
              </a14:imgProps>
            </a:ext>
            <a:ext uri="{28A0092B-C50C-407E-A947-70E740481C1C}">
              <a14:useLocalDpi xmlns:a14="http://schemas.microsoft.com/office/drawing/2010/main" val="0"/>
            </a:ext>
          </a:extLst>
        </a:blip>
        <a:srcRect r="51561"/>
        <a:stretch/>
      </xdr:blipFill>
      <xdr:spPr>
        <a:xfrm>
          <a:off x="0" y="0"/>
          <a:ext cx="3001344" cy="1399132"/>
        </a:xfrm>
        <a:prstGeom prst="rect">
          <a:avLst/>
        </a:prstGeom>
      </xdr:spPr>
    </xdr:pic>
    <xdr:clientData fLocksWithSheet="0"/>
  </xdr:twoCellAnchor>
  <xdr:twoCellAnchor editAs="oneCell">
    <xdr:from>
      <xdr:col>15</xdr:col>
      <xdr:colOff>276306</xdr:colOff>
      <xdr:row>0</xdr:row>
      <xdr:rowOff>0</xdr:rowOff>
    </xdr:from>
    <xdr:to>
      <xdr:col>16</xdr:col>
      <xdr:colOff>796216</xdr:colOff>
      <xdr:row>6</xdr:row>
      <xdr:rowOff>71075</xdr:rowOff>
    </xdr:to>
    <xdr:pic>
      <xdr:nvPicPr>
        <xdr:cNvPr id="6" name="Imagen 5">
          <a:extLst>
            <a:ext uri="{FF2B5EF4-FFF2-40B4-BE49-F238E27FC236}">
              <a16:creationId xmlns:a16="http://schemas.microsoft.com/office/drawing/2014/main" id="{CD0C5813-7508-4F5F-8B1C-ED08939586B4}"/>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77704"/>
        <a:stretch/>
      </xdr:blipFill>
      <xdr:spPr>
        <a:xfrm>
          <a:off x="16758366" y="0"/>
          <a:ext cx="1380970" cy="1412195"/>
        </a:xfrm>
        <a:prstGeom prst="rect">
          <a:avLst/>
        </a:prstGeom>
      </xdr:spPr>
    </xdr:pic>
    <xdr:clientData/>
  </xdr:twoCellAnchor>
  <xdr:twoCellAnchor editAs="oneCell">
    <xdr:from>
      <xdr:col>3</xdr:col>
      <xdr:colOff>62916</xdr:colOff>
      <xdr:row>9</xdr:row>
      <xdr:rowOff>378599</xdr:rowOff>
    </xdr:from>
    <xdr:to>
      <xdr:col>3</xdr:col>
      <xdr:colOff>977316</xdr:colOff>
      <xdr:row>11</xdr:row>
      <xdr:rowOff>345942</xdr:rowOff>
    </xdr:to>
    <xdr:pic>
      <xdr:nvPicPr>
        <xdr:cNvPr id="10" name="Gráfico 9" descr="Flecha lineal: curva ligera">
          <a:hlinkClick xmlns:r="http://schemas.openxmlformats.org/officeDocument/2006/relationships" r:id="rId4"/>
          <a:extLst>
            <a:ext uri="{FF2B5EF4-FFF2-40B4-BE49-F238E27FC236}">
              <a16:creationId xmlns:a16="http://schemas.microsoft.com/office/drawing/2014/main" id="{C1855657-64AC-4A5A-935A-0688E925C19C}"/>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a:off x="3208887" y="2947628"/>
          <a:ext cx="914400" cy="914400"/>
        </a:xfrm>
        <a:prstGeom prst="rect">
          <a:avLst/>
        </a:prstGeom>
      </xdr:spPr>
    </xdr:pic>
    <xdr:clientData/>
  </xdr:twoCellAnchor>
  <xdr:twoCellAnchor editAs="oneCell">
    <xdr:from>
      <xdr:col>2</xdr:col>
      <xdr:colOff>1924373</xdr:colOff>
      <xdr:row>13</xdr:row>
      <xdr:rowOff>356829</xdr:rowOff>
    </xdr:from>
    <xdr:to>
      <xdr:col>3</xdr:col>
      <xdr:colOff>803145</xdr:colOff>
      <xdr:row>15</xdr:row>
      <xdr:rowOff>258857</xdr:rowOff>
    </xdr:to>
    <xdr:pic>
      <xdr:nvPicPr>
        <xdr:cNvPr id="11" name="Gráfico 10" descr="Flecha lineal: curva ligera">
          <a:hlinkClick xmlns:r="http://schemas.openxmlformats.org/officeDocument/2006/relationships" r:id="rId7"/>
          <a:extLst>
            <a:ext uri="{FF2B5EF4-FFF2-40B4-BE49-F238E27FC236}">
              <a16:creationId xmlns:a16="http://schemas.microsoft.com/office/drawing/2014/main" id="{716AE701-FAD0-4668-A1A2-AD0B74A538AE}"/>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 uri="{96DAC541-7B7A-43D3-8B79-37D633B846F1}">
              <asvg:svgBlip xmlns:asvg="http://schemas.microsoft.com/office/drawing/2016/SVG/main" r:embed="rId9"/>
            </a:ext>
          </a:extLst>
        </a:blip>
        <a:stretch>
          <a:fillRect/>
        </a:stretch>
      </xdr:blipFill>
      <xdr:spPr>
        <a:xfrm>
          <a:off x="3034716" y="5146543"/>
          <a:ext cx="914400" cy="914400"/>
        </a:xfrm>
        <a:prstGeom prst="rect">
          <a:avLst/>
        </a:prstGeom>
      </xdr:spPr>
    </xdr:pic>
    <xdr:clientData/>
  </xdr:twoCellAnchor>
  <xdr:twoCellAnchor editAs="oneCell">
    <xdr:from>
      <xdr:col>3</xdr:col>
      <xdr:colOff>443916</xdr:colOff>
      <xdr:row>11</xdr:row>
      <xdr:rowOff>672514</xdr:rowOff>
    </xdr:from>
    <xdr:to>
      <xdr:col>4</xdr:col>
      <xdr:colOff>269744</xdr:colOff>
      <xdr:row>13</xdr:row>
      <xdr:rowOff>313286</xdr:rowOff>
    </xdr:to>
    <xdr:pic>
      <xdr:nvPicPr>
        <xdr:cNvPr id="12" name="Gráfico 11" descr="Flecha lineal: curva ligera">
          <a:hlinkClick xmlns:r="http://schemas.openxmlformats.org/officeDocument/2006/relationships" r:id="rId10"/>
          <a:extLst>
            <a:ext uri="{FF2B5EF4-FFF2-40B4-BE49-F238E27FC236}">
              <a16:creationId xmlns:a16="http://schemas.microsoft.com/office/drawing/2014/main" id="{BDBCF594-DFB8-485F-8AAB-049BA0B6BAAD}"/>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 uri="{96DAC541-7B7A-43D3-8B79-37D633B846F1}">
              <asvg:svgBlip xmlns:asvg="http://schemas.microsoft.com/office/drawing/2016/SVG/main" r:embed="rId12"/>
            </a:ext>
          </a:extLst>
        </a:blip>
        <a:stretch>
          <a:fillRect/>
        </a:stretch>
      </xdr:blipFill>
      <xdr:spPr>
        <a:xfrm>
          <a:off x="3589887" y="4188600"/>
          <a:ext cx="914400" cy="914400"/>
        </a:xfrm>
        <a:prstGeom prst="rect">
          <a:avLst/>
        </a:prstGeom>
      </xdr:spPr>
    </xdr:pic>
    <xdr:clientData/>
  </xdr:twoCellAnchor>
  <xdr:twoCellAnchor editAs="oneCell">
    <xdr:from>
      <xdr:col>2</xdr:col>
      <xdr:colOff>1739316</xdr:colOff>
      <xdr:row>15</xdr:row>
      <xdr:rowOff>378601</xdr:rowOff>
    </xdr:from>
    <xdr:to>
      <xdr:col>3</xdr:col>
      <xdr:colOff>618088</xdr:colOff>
      <xdr:row>17</xdr:row>
      <xdr:rowOff>313287</xdr:rowOff>
    </xdr:to>
    <xdr:pic>
      <xdr:nvPicPr>
        <xdr:cNvPr id="7" name="Gráfico 6" descr="Flecha lineal: curva ligera">
          <a:hlinkClick xmlns:r="http://schemas.openxmlformats.org/officeDocument/2006/relationships" r:id="rId13"/>
          <a:extLst>
            <a:ext uri="{FF2B5EF4-FFF2-40B4-BE49-F238E27FC236}">
              <a16:creationId xmlns:a16="http://schemas.microsoft.com/office/drawing/2014/main" id="{8310A7AE-96E0-4B25-96D3-C20C387CEB1E}"/>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 uri="{96DAC541-7B7A-43D3-8B79-37D633B846F1}">
              <asvg:svgBlip xmlns:asvg="http://schemas.microsoft.com/office/drawing/2016/SVG/main" r:embed="rId15"/>
            </a:ext>
          </a:extLst>
        </a:blip>
        <a:stretch>
          <a:fillRect/>
        </a:stretch>
      </xdr:blipFill>
      <xdr:spPr>
        <a:xfrm>
          <a:off x="2849659" y="6126258"/>
          <a:ext cx="914400" cy="914400"/>
        </a:xfrm>
        <a:prstGeom prst="rect">
          <a:avLst/>
        </a:prstGeom>
      </xdr:spPr>
    </xdr:pic>
    <xdr:clientData/>
  </xdr:twoCellAnchor>
  <xdr:twoCellAnchor editAs="oneCell">
    <xdr:from>
      <xdr:col>2</xdr:col>
      <xdr:colOff>1619574</xdr:colOff>
      <xdr:row>17</xdr:row>
      <xdr:rowOff>226201</xdr:rowOff>
    </xdr:from>
    <xdr:to>
      <xdr:col>3</xdr:col>
      <xdr:colOff>498346</xdr:colOff>
      <xdr:row>19</xdr:row>
      <xdr:rowOff>237087</xdr:rowOff>
    </xdr:to>
    <xdr:pic>
      <xdr:nvPicPr>
        <xdr:cNvPr id="8" name="Gráfico 7" descr="Flecha lineal: curva ligera">
          <a:hlinkClick xmlns:r="http://schemas.openxmlformats.org/officeDocument/2006/relationships" r:id="rId16"/>
          <a:extLst>
            <a:ext uri="{FF2B5EF4-FFF2-40B4-BE49-F238E27FC236}">
              <a16:creationId xmlns:a16="http://schemas.microsoft.com/office/drawing/2014/main" id="{271349B9-3099-4E95-9F3A-721C9A093BAC}"/>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 uri="{96DAC541-7B7A-43D3-8B79-37D633B846F1}">
              <asvg:svgBlip xmlns:asvg="http://schemas.microsoft.com/office/drawing/2016/SVG/main" r:embed="rId18"/>
            </a:ext>
          </a:extLst>
        </a:blip>
        <a:stretch>
          <a:fillRect/>
        </a:stretch>
      </xdr:blipFill>
      <xdr:spPr>
        <a:xfrm>
          <a:off x="2729917" y="6953572"/>
          <a:ext cx="914400" cy="914400"/>
        </a:xfrm>
        <a:prstGeom prst="rect">
          <a:avLst/>
        </a:prstGeom>
      </xdr:spPr>
    </xdr:pic>
    <xdr:clientData/>
  </xdr:twoCellAnchor>
  <xdr:twoCellAnchor editAs="oneCell">
    <xdr:from>
      <xdr:col>3</xdr:col>
      <xdr:colOff>182660</xdr:colOff>
      <xdr:row>19</xdr:row>
      <xdr:rowOff>291514</xdr:rowOff>
    </xdr:from>
    <xdr:to>
      <xdr:col>4</xdr:col>
      <xdr:colOff>8488</xdr:colOff>
      <xdr:row>21</xdr:row>
      <xdr:rowOff>215314</xdr:rowOff>
    </xdr:to>
    <xdr:pic>
      <xdr:nvPicPr>
        <xdr:cNvPr id="9" name="Gráfico 8" descr="Flecha lineal: curva ligera">
          <a:hlinkClick xmlns:r="http://schemas.openxmlformats.org/officeDocument/2006/relationships" r:id="rId19"/>
          <a:extLst>
            <a:ext uri="{FF2B5EF4-FFF2-40B4-BE49-F238E27FC236}">
              <a16:creationId xmlns:a16="http://schemas.microsoft.com/office/drawing/2014/main" id="{56C3E9B6-F953-4F23-B966-EEF02B335CDA}"/>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 uri="{96DAC541-7B7A-43D3-8B79-37D633B846F1}">
              <asvg:svgBlip xmlns:asvg="http://schemas.microsoft.com/office/drawing/2016/SVG/main" r:embed="rId21"/>
            </a:ext>
          </a:extLst>
        </a:blip>
        <a:stretch>
          <a:fillRect/>
        </a:stretch>
      </xdr:blipFill>
      <xdr:spPr>
        <a:xfrm>
          <a:off x="3328631" y="7922400"/>
          <a:ext cx="914400" cy="914400"/>
        </a:xfrm>
        <a:prstGeom prst="rect">
          <a:avLst/>
        </a:prstGeom>
      </xdr:spPr>
    </xdr:pic>
    <xdr:clientData/>
  </xdr:twoCellAnchor>
  <xdr:twoCellAnchor editAs="oneCell">
    <xdr:from>
      <xdr:col>3</xdr:col>
      <xdr:colOff>476574</xdr:colOff>
      <xdr:row>21</xdr:row>
      <xdr:rowOff>237085</xdr:rowOff>
    </xdr:from>
    <xdr:to>
      <xdr:col>4</xdr:col>
      <xdr:colOff>302402</xdr:colOff>
      <xdr:row>23</xdr:row>
      <xdr:rowOff>193542</xdr:rowOff>
    </xdr:to>
    <xdr:pic>
      <xdr:nvPicPr>
        <xdr:cNvPr id="13" name="Gráfico 12" descr="Flecha lineal: curva ligera">
          <a:hlinkClick xmlns:r="http://schemas.openxmlformats.org/officeDocument/2006/relationships" r:id="rId22"/>
          <a:extLst>
            <a:ext uri="{FF2B5EF4-FFF2-40B4-BE49-F238E27FC236}">
              <a16:creationId xmlns:a16="http://schemas.microsoft.com/office/drawing/2014/main" id="{84AEC6C5-62DA-4CFD-BEDA-A1D2A1454FF5}"/>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 uri="{96DAC541-7B7A-43D3-8B79-37D633B846F1}">
              <asvg:svgBlip xmlns:asvg="http://schemas.microsoft.com/office/drawing/2016/SVG/main" r:embed="rId21"/>
            </a:ext>
          </a:extLst>
        </a:blip>
        <a:stretch>
          <a:fillRect/>
        </a:stretch>
      </xdr:blipFill>
      <xdr:spPr>
        <a:xfrm>
          <a:off x="3622545" y="8858571"/>
          <a:ext cx="914400" cy="914400"/>
        </a:xfrm>
        <a:prstGeom prst="rect">
          <a:avLst/>
        </a:prstGeom>
      </xdr:spPr>
    </xdr:pic>
    <xdr:clientData/>
  </xdr:twoCellAnchor>
  <xdr:twoCellAnchor editAs="oneCell">
    <xdr:from>
      <xdr:col>3</xdr:col>
      <xdr:colOff>313288</xdr:colOff>
      <xdr:row>23</xdr:row>
      <xdr:rowOff>237085</xdr:rowOff>
    </xdr:from>
    <xdr:to>
      <xdr:col>4</xdr:col>
      <xdr:colOff>139116</xdr:colOff>
      <xdr:row>25</xdr:row>
      <xdr:rowOff>247971</xdr:rowOff>
    </xdr:to>
    <xdr:pic>
      <xdr:nvPicPr>
        <xdr:cNvPr id="14" name="Gráfico 13" descr="Flecha lineal: curva ligera">
          <a:hlinkClick xmlns:r="http://schemas.openxmlformats.org/officeDocument/2006/relationships" r:id="rId23"/>
          <a:extLst>
            <a:ext uri="{FF2B5EF4-FFF2-40B4-BE49-F238E27FC236}">
              <a16:creationId xmlns:a16="http://schemas.microsoft.com/office/drawing/2014/main" id="{30B967D7-3D81-45DC-9982-5750EA09DF5A}"/>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 uri="{96DAC541-7B7A-43D3-8B79-37D633B846F1}">
              <asvg:svgBlip xmlns:asvg="http://schemas.microsoft.com/office/drawing/2016/SVG/main" r:embed="rId21"/>
            </a:ext>
          </a:extLst>
        </a:blip>
        <a:stretch>
          <a:fillRect/>
        </a:stretch>
      </xdr:blipFill>
      <xdr:spPr>
        <a:xfrm>
          <a:off x="3459259" y="9816514"/>
          <a:ext cx="914400" cy="914400"/>
        </a:xfrm>
        <a:prstGeom prst="rect">
          <a:avLst/>
        </a:prstGeom>
      </xdr:spPr>
    </xdr:pic>
    <xdr:clientData/>
  </xdr:twoCellAnchor>
  <xdr:twoCellAnchor editAs="oneCell">
    <xdr:from>
      <xdr:col>2</xdr:col>
      <xdr:colOff>1924374</xdr:colOff>
      <xdr:row>25</xdr:row>
      <xdr:rowOff>302400</xdr:rowOff>
    </xdr:from>
    <xdr:to>
      <xdr:col>3</xdr:col>
      <xdr:colOff>803146</xdr:colOff>
      <xdr:row>27</xdr:row>
      <xdr:rowOff>226200</xdr:rowOff>
    </xdr:to>
    <xdr:pic>
      <xdr:nvPicPr>
        <xdr:cNvPr id="15" name="Gráfico 14" descr="Flecha lineal: curva ligera">
          <a:hlinkClick xmlns:r="http://schemas.openxmlformats.org/officeDocument/2006/relationships" r:id="rId24"/>
          <a:extLst>
            <a:ext uri="{FF2B5EF4-FFF2-40B4-BE49-F238E27FC236}">
              <a16:creationId xmlns:a16="http://schemas.microsoft.com/office/drawing/2014/main" id="{6762E9D9-E113-4091-AD7B-D12CF45BE609}"/>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 uri="{96DAC541-7B7A-43D3-8B79-37D633B846F1}">
              <asvg:svgBlip xmlns:asvg="http://schemas.microsoft.com/office/drawing/2016/SVG/main" r:embed="rId21"/>
            </a:ext>
          </a:extLst>
        </a:blip>
        <a:stretch>
          <a:fillRect/>
        </a:stretch>
      </xdr:blipFill>
      <xdr:spPr>
        <a:xfrm>
          <a:off x="3034717" y="10785343"/>
          <a:ext cx="914400" cy="9144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125393</xdr:colOff>
      <xdr:row>11</xdr:row>
      <xdr:rowOff>1323</xdr:rowOff>
    </xdr:from>
    <xdr:to>
      <xdr:col>6</xdr:col>
      <xdr:colOff>1552936</xdr:colOff>
      <xdr:row>22</xdr:row>
      <xdr:rowOff>154329</xdr:rowOff>
    </xdr:to>
    <xdr:graphicFrame macro="">
      <xdr:nvGraphicFramePr>
        <xdr:cNvPr id="2" name="Gráfico 1">
          <a:extLst>
            <a:ext uri="{FF2B5EF4-FFF2-40B4-BE49-F238E27FC236}">
              <a16:creationId xmlns:a16="http://schemas.microsoft.com/office/drawing/2014/main" id="{4177D548-A7A5-4FAC-AF27-6DB154D7660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3</xdr:col>
      <xdr:colOff>847431</xdr:colOff>
      <xdr:row>4</xdr:row>
      <xdr:rowOff>659615</xdr:rowOff>
    </xdr:to>
    <xdr:pic>
      <xdr:nvPicPr>
        <xdr:cNvPr id="8" name="Imagen 7">
          <a:extLst>
            <a:ext uri="{FF2B5EF4-FFF2-40B4-BE49-F238E27FC236}">
              <a16:creationId xmlns:a16="http://schemas.microsoft.com/office/drawing/2014/main" id="{5C923158-C2CB-40D1-A559-8D1D9B2CE738}"/>
            </a:ext>
          </a:extLst>
        </xdr:cNvPr>
        <xdr:cNvPicPr>
          <a:picLocks noChangeAspect="1"/>
        </xdr:cNvPicPr>
      </xdr:nvPicPr>
      <xdr:blipFill rotWithShape="1">
        <a:blip xmlns:r="http://schemas.openxmlformats.org/officeDocument/2006/relationships" r:embed="rId2">
          <a:extLst>
            <a:ext uri="{BEBA8EAE-BF5A-486C-A8C5-ECC9F3942E4B}">
              <a14:imgProps xmlns:a14="http://schemas.microsoft.com/office/drawing/2010/main">
                <a14:imgLayer r:embed="rId3">
                  <a14:imgEffect>
                    <a14:brightnessContrast contrast="-2000"/>
                  </a14:imgEffect>
                </a14:imgLayer>
              </a14:imgProps>
            </a:ext>
            <a:ext uri="{28A0092B-C50C-407E-A947-70E740481C1C}">
              <a14:useLocalDpi xmlns:a14="http://schemas.microsoft.com/office/drawing/2010/main" val="0"/>
            </a:ext>
          </a:extLst>
        </a:blip>
        <a:srcRect r="51561"/>
        <a:stretch/>
      </xdr:blipFill>
      <xdr:spPr>
        <a:xfrm>
          <a:off x="0" y="0"/>
          <a:ext cx="3000383" cy="1433710"/>
        </a:xfrm>
        <a:prstGeom prst="rect">
          <a:avLst/>
        </a:prstGeom>
      </xdr:spPr>
    </xdr:pic>
    <xdr:clientData fLocksWithSheet="0"/>
  </xdr:twoCellAnchor>
  <xdr:twoCellAnchor editAs="oneCell">
    <xdr:from>
      <xdr:col>10</xdr:col>
      <xdr:colOff>2705124</xdr:colOff>
      <xdr:row>0</xdr:row>
      <xdr:rowOff>19290</xdr:rowOff>
    </xdr:from>
    <xdr:to>
      <xdr:col>11</xdr:col>
      <xdr:colOff>827684</xdr:colOff>
      <xdr:row>4</xdr:row>
      <xdr:rowOff>678905</xdr:rowOff>
    </xdr:to>
    <xdr:pic>
      <xdr:nvPicPr>
        <xdr:cNvPr id="9" name="Imagen 8">
          <a:extLst>
            <a:ext uri="{FF2B5EF4-FFF2-40B4-BE49-F238E27FC236}">
              <a16:creationId xmlns:a16="http://schemas.microsoft.com/office/drawing/2014/main" id="{CCBE0791-61C3-438D-8C22-569423A0617F}"/>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77704"/>
        <a:stretch/>
      </xdr:blipFill>
      <xdr:spPr>
        <a:xfrm>
          <a:off x="16681554" y="19290"/>
          <a:ext cx="1392408" cy="1469843"/>
        </a:xfrm>
        <a:prstGeom prst="rect">
          <a:avLst/>
        </a:prstGeom>
      </xdr:spPr>
    </xdr:pic>
    <xdr:clientData/>
  </xdr:twoCellAnchor>
  <xdr:twoCellAnchor>
    <xdr:from>
      <xdr:col>10</xdr:col>
      <xdr:colOff>1639746</xdr:colOff>
      <xdr:row>2</xdr:row>
      <xdr:rowOff>192911</xdr:rowOff>
    </xdr:from>
    <xdr:to>
      <xdr:col>12</xdr:col>
      <xdr:colOff>15157</xdr:colOff>
      <xdr:row>4</xdr:row>
      <xdr:rowOff>451826</xdr:rowOff>
    </xdr:to>
    <xdr:grpSp>
      <xdr:nvGrpSpPr>
        <xdr:cNvPr id="13" name="Grupo 12">
          <a:hlinkClick xmlns:r="http://schemas.openxmlformats.org/officeDocument/2006/relationships" r:id="rId5"/>
          <a:extLst>
            <a:ext uri="{FF2B5EF4-FFF2-40B4-BE49-F238E27FC236}">
              <a16:creationId xmlns:a16="http://schemas.microsoft.com/office/drawing/2014/main" id="{828605B3-E45E-4C5D-BE80-DD1A169479A9}"/>
            </a:ext>
          </a:extLst>
        </xdr:cNvPr>
        <xdr:cNvGrpSpPr/>
      </xdr:nvGrpSpPr>
      <xdr:grpSpPr>
        <a:xfrm>
          <a:off x="15616176" y="598025"/>
          <a:ext cx="2503715" cy="664029"/>
          <a:chOff x="15620999" y="402771"/>
          <a:chExt cx="2503715" cy="664029"/>
        </a:xfrm>
      </xdr:grpSpPr>
      <xdr:pic>
        <xdr:nvPicPr>
          <xdr:cNvPr id="14" name="Gráfico 13" descr="Flecha lineal: giro a la izquierda">
            <a:extLst>
              <a:ext uri="{FF2B5EF4-FFF2-40B4-BE49-F238E27FC236}">
                <a16:creationId xmlns:a16="http://schemas.microsoft.com/office/drawing/2014/main" id="{3B56B269-AD74-4FA7-BDB1-B3EA12979069}"/>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 uri="{96DAC541-7B7A-43D3-8B79-37D633B846F1}">
                <asvg:svgBlip xmlns:asvg="http://schemas.microsoft.com/office/drawing/2016/SVG/main" r:embed="rId7"/>
              </a:ext>
            </a:extLst>
          </a:blip>
          <a:stretch>
            <a:fillRect/>
          </a:stretch>
        </xdr:blipFill>
        <xdr:spPr>
          <a:xfrm>
            <a:off x="15620999" y="402771"/>
            <a:ext cx="664029" cy="664029"/>
          </a:xfrm>
          <a:prstGeom prst="rect">
            <a:avLst/>
          </a:prstGeom>
        </xdr:spPr>
      </xdr:pic>
      <xdr:sp macro="" textlink="">
        <xdr:nvSpPr>
          <xdr:cNvPr id="15" name="CuadroTexto 14">
            <a:extLst>
              <a:ext uri="{FF2B5EF4-FFF2-40B4-BE49-F238E27FC236}">
                <a16:creationId xmlns:a16="http://schemas.microsoft.com/office/drawing/2014/main" id="{ED6DC450-55EC-485F-8BA5-19E2FDA0188A}"/>
              </a:ext>
            </a:extLst>
          </xdr:cNvPr>
          <xdr:cNvSpPr txBox="1"/>
        </xdr:nvSpPr>
        <xdr:spPr>
          <a:xfrm>
            <a:off x="16306800" y="598714"/>
            <a:ext cx="1817914" cy="2830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200" b="1">
                <a:solidFill>
                  <a:srgbClr val="C00000"/>
                </a:solidFill>
                <a:latin typeface="Arial" panose="020B0604020202020204" pitchFamily="34" charset="0"/>
                <a:cs typeface="Arial" panose="020B0604020202020204" pitchFamily="34" charset="0"/>
              </a:rPr>
              <a:t>Volver a Guía</a:t>
            </a:r>
            <a:r>
              <a:rPr lang="es-CO" sz="1200" b="1" baseline="0">
                <a:solidFill>
                  <a:srgbClr val="C00000"/>
                </a:solidFill>
                <a:latin typeface="Arial" panose="020B0604020202020204" pitchFamily="34" charset="0"/>
                <a:cs typeface="Arial" panose="020B0604020202020204" pitchFamily="34" charset="0"/>
              </a:rPr>
              <a:t> de Uso</a:t>
            </a:r>
            <a:endParaRPr lang="es-CO" sz="1200" b="1">
              <a:solidFill>
                <a:srgbClr val="C00000"/>
              </a:solidFill>
              <a:latin typeface="Arial" panose="020B0604020202020204" pitchFamily="34" charset="0"/>
              <a:cs typeface="Arial" panose="020B0604020202020204" pitchFamily="34" charset="0"/>
            </a:endParaRPr>
          </a:p>
        </xdr:txBody>
      </xdr:sp>
    </xdr:grp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201705</xdr:colOff>
      <xdr:row>10</xdr:row>
      <xdr:rowOff>92728</xdr:rowOff>
    </xdr:from>
    <xdr:to>
      <xdr:col>7</xdr:col>
      <xdr:colOff>1097797</xdr:colOff>
      <xdr:row>22</xdr:row>
      <xdr:rowOff>90407</xdr:rowOff>
    </xdr:to>
    <xdr:graphicFrame macro="">
      <xdr:nvGraphicFramePr>
        <xdr:cNvPr id="2" name="Gráfico 1">
          <a:extLst>
            <a:ext uri="{FF2B5EF4-FFF2-40B4-BE49-F238E27FC236}">
              <a16:creationId xmlns:a16="http://schemas.microsoft.com/office/drawing/2014/main" id="{4BB9043C-F2BE-40C3-AD74-F678EFD7AC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19050</xdr:colOff>
      <xdr:row>0</xdr:row>
      <xdr:rowOff>0</xdr:rowOff>
    </xdr:from>
    <xdr:to>
      <xdr:col>3</xdr:col>
      <xdr:colOff>866783</xdr:colOff>
      <xdr:row>4</xdr:row>
      <xdr:rowOff>633610</xdr:rowOff>
    </xdr:to>
    <xdr:pic>
      <xdr:nvPicPr>
        <xdr:cNvPr id="6" name="Imagen 5">
          <a:extLst>
            <a:ext uri="{FF2B5EF4-FFF2-40B4-BE49-F238E27FC236}">
              <a16:creationId xmlns:a16="http://schemas.microsoft.com/office/drawing/2014/main" id="{545EC57F-9AF9-4A0E-84E0-3C26CCC08CE9}"/>
            </a:ext>
          </a:extLst>
        </xdr:cNvPr>
        <xdr:cNvPicPr>
          <a:picLocks noChangeAspect="1"/>
        </xdr:cNvPicPr>
      </xdr:nvPicPr>
      <xdr:blipFill rotWithShape="1">
        <a:blip xmlns:r="http://schemas.openxmlformats.org/officeDocument/2006/relationships" r:embed="rId2">
          <a:extLst>
            <a:ext uri="{BEBA8EAE-BF5A-486C-A8C5-ECC9F3942E4B}">
              <a14:imgProps xmlns:a14="http://schemas.microsoft.com/office/drawing/2010/main">
                <a14:imgLayer r:embed="rId3">
                  <a14:imgEffect>
                    <a14:brightnessContrast contrast="-2000"/>
                  </a14:imgEffect>
                </a14:imgLayer>
              </a14:imgProps>
            </a:ext>
            <a:ext uri="{28A0092B-C50C-407E-A947-70E740481C1C}">
              <a14:useLocalDpi xmlns:a14="http://schemas.microsoft.com/office/drawing/2010/main" val="0"/>
            </a:ext>
          </a:extLst>
        </a:blip>
        <a:srcRect r="51561"/>
        <a:stretch/>
      </xdr:blipFill>
      <xdr:spPr>
        <a:xfrm>
          <a:off x="19050" y="0"/>
          <a:ext cx="3000383" cy="1433710"/>
        </a:xfrm>
        <a:prstGeom prst="rect">
          <a:avLst/>
        </a:prstGeom>
      </xdr:spPr>
    </xdr:pic>
    <xdr:clientData fLocksWithSheet="0"/>
  </xdr:twoCellAnchor>
  <xdr:twoCellAnchor editAs="oneCell">
    <xdr:from>
      <xdr:col>11</xdr:col>
      <xdr:colOff>1617651</xdr:colOff>
      <xdr:row>0</xdr:row>
      <xdr:rowOff>0</xdr:rowOff>
    </xdr:from>
    <xdr:to>
      <xdr:col>12</xdr:col>
      <xdr:colOff>200064</xdr:colOff>
      <xdr:row>4</xdr:row>
      <xdr:rowOff>633610</xdr:rowOff>
    </xdr:to>
    <xdr:pic>
      <xdr:nvPicPr>
        <xdr:cNvPr id="7" name="Imagen 6">
          <a:extLst>
            <a:ext uri="{FF2B5EF4-FFF2-40B4-BE49-F238E27FC236}">
              <a16:creationId xmlns:a16="http://schemas.microsoft.com/office/drawing/2014/main" id="{99AF8E12-D244-42D4-B176-21957CE357C1}"/>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77704"/>
        <a:stretch/>
      </xdr:blipFill>
      <xdr:spPr>
        <a:xfrm>
          <a:off x="14724051" y="0"/>
          <a:ext cx="1382763" cy="1433710"/>
        </a:xfrm>
        <a:prstGeom prst="rect">
          <a:avLst/>
        </a:prstGeom>
      </xdr:spPr>
    </xdr:pic>
    <xdr:clientData/>
  </xdr:twoCellAnchor>
  <xdr:twoCellAnchor>
    <xdr:from>
      <xdr:col>11</xdr:col>
      <xdr:colOff>447675</xdr:colOff>
      <xdr:row>3</xdr:row>
      <xdr:rowOff>180975</xdr:rowOff>
    </xdr:from>
    <xdr:to>
      <xdr:col>12</xdr:col>
      <xdr:colOff>151040</xdr:colOff>
      <xdr:row>4</xdr:row>
      <xdr:rowOff>576399</xdr:rowOff>
    </xdr:to>
    <xdr:grpSp>
      <xdr:nvGrpSpPr>
        <xdr:cNvPr id="8" name="Grupo 7">
          <a:hlinkClick xmlns:r="http://schemas.openxmlformats.org/officeDocument/2006/relationships" r:id="rId5"/>
          <a:extLst>
            <a:ext uri="{FF2B5EF4-FFF2-40B4-BE49-F238E27FC236}">
              <a16:creationId xmlns:a16="http://schemas.microsoft.com/office/drawing/2014/main" id="{B42995CB-BAF9-48D5-8B73-A52B52A9370B}"/>
            </a:ext>
          </a:extLst>
        </xdr:cNvPr>
        <xdr:cNvGrpSpPr/>
      </xdr:nvGrpSpPr>
      <xdr:grpSpPr>
        <a:xfrm>
          <a:off x="14424634" y="775961"/>
          <a:ext cx="2500844" cy="593753"/>
          <a:chOff x="15620999" y="402771"/>
          <a:chExt cx="2503715" cy="664029"/>
        </a:xfrm>
      </xdr:grpSpPr>
      <xdr:pic>
        <xdr:nvPicPr>
          <xdr:cNvPr id="9" name="Gráfico 8" descr="Flecha lineal: giro a la izquierda">
            <a:extLst>
              <a:ext uri="{FF2B5EF4-FFF2-40B4-BE49-F238E27FC236}">
                <a16:creationId xmlns:a16="http://schemas.microsoft.com/office/drawing/2014/main" id="{D065B931-DBB5-498D-82F2-6246FADE9615}"/>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 uri="{96DAC541-7B7A-43D3-8B79-37D633B846F1}">
                <asvg:svgBlip xmlns:asvg="http://schemas.microsoft.com/office/drawing/2016/SVG/main" r:embed="rId7"/>
              </a:ext>
            </a:extLst>
          </a:blip>
          <a:stretch>
            <a:fillRect/>
          </a:stretch>
        </xdr:blipFill>
        <xdr:spPr>
          <a:xfrm>
            <a:off x="15620999" y="402771"/>
            <a:ext cx="664029" cy="664029"/>
          </a:xfrm>
          <a:prstGeom prst="rect">
            <a:avLst/>
          </a:prstGeom>
        </xdr:spPr>
      </xdr:pic>
      <xdr:sp macro="" textlink="">
        <xdr:nvSpPr>
          <xdr:cNvPr id="10" name="CuadroTexto 9">
            <a:extLst>
              <a:ext uri="{FF2B5EF4-FFF2-40B4-BE49-F238E27FC236}">
                <a16:creationId xmlns:a16="http://schemas.microsoft.com/office/drawing/2014/main" id="{5A60C1A2-8B72-411B-9535-F4CFFA0B8ED9}"/>
              </a:ext>
            </a:extLst>
          </xdr:cNvPr>
          <xdr:cNvSpPr txBox="1"/>
        </xdr:nvSpPr>
        <xdr:spPr>
          <a:xfrm>
            <a:off x="16306800" y="598714"/>
            <a:ext cx="1817914" cy="2830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200" b="1">
                <a:solidFill>
                  <a:srgbClr val="C00000"/>
                </a:solidFill>
                <a:latin typeface="Arial" panose="020B0604020202020204" pitchFamily="34" charset="0"/>
                <a:cs typeface="Arial" panose="020B0604020202020204" pitchFamily="34" charset="0"/>
              </a:rPr>
              <a:t>Volver a Guía</a:t>
            </a:r>
            <a:r>
              <a:rPr lang="es-CO" sz="1200" b="1" baseline="0">
                <a:solidFill>
                  <a:srgbClr val="C00000"/>
                </a:solidFill>
                <a:latin typeface="Arial" panose="020B0604020202020204" pitchFamily="34" charset="0"/>
                <a:cs typeface="Arial" panose="020B0604020202020204" pitchFamily="34" charset="0"/>
              </a:rPr>
              <a:t> de Uso</a:t>
            </a:r>
            <a:endParaRPr lang="es-CO" sz="1200" b="1">
              <a:solidFill>
                <a:srgbClr val="C00000"/>
              </a:solidFill>
              <a:latin typeface="Arial" panose="020B0604020202020204" pitchFamily="34" charset="0"/>
              <a:cs typeface="Arial" panose="020B0604020202020204" pitchFamily="34" charset="0"/>
            </a:endParaRPr>
          </a:p>
        </xdr:txBody>
      </xdr:sp>
    </xdr:grpSp>
    <xdr:clientData/>
  </xdr:twoCellAnchor>
</xdr:wsDr>
</file>

<file path=xl/drawings/drawing12.xml><?xml version="1.0" encoding="utf-8"?>
<xdr:wsDr xmlns:xdr="http://schemas.openxmlformats.org/drawingml/2006/spreadsheetDrawing" xmlns:a="http://schemas.openxmlformats.org/drawingml/2006/main">
  <xdr:twoCellAnchor>
    <xdr:from>
      <xdr:col>1</xdr:col>
      <xdr:colOff>26204</xdr:colOff>
      <xdr:row>25</xdr:row>
      <xdr:rowOff>54890</xdr:rowOff>
    </xdr:from>
    <xdr:to>
      <xdr:col>4</xdr:col>
      <xdr:colOff>2505559</xdr:colOff>
      <xdr:row>48</xdr:row>
      <xdr:rowOff>38747</xdr:rowOff>
    </xdr:to>
    <xdr:graphicFrame macro="">
      <xdr:nvGraphicFramePr>
        <xdr:cNvPr id="2" name="Gráfico 1">
          <a:extLst>
            <a:ext uri="{FF2B5EF4-FFF2-40B4-BE49-F238E27FC236}">
              <a16:creationId xmlns:a16="http://schemas.microsoft.com/office/drawing/2014/main" id="{B2997635-5026-4863-818C-95DB1B54458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360920</xdr:colOff>
      <xdr:row>81</xdr:row>
      <xdr:rowOff>193005</xdr:rowOff>
    </xdr:from>
    <xdr:to>
      <xdr:col>5</xdr:col>
      <xdr:colOff>154982</xdr:colOff>
      <xdr:row>101</xdr:row>
      <xdr:rowOff>193729</xdr:rowOff>
    </xdr:to>
    <xdr:graphicFrame macro="">
      <xdr:nvGraphicFramePr>
        <xdr:cNvPr id="6" name="Gráfico 5">
          <a:extLst>
            <a:ext uri="{FF2B5EF4-FFF2-40B4-BE49-F238E27FC236}">
              <a16:creationId xmlns:a16="http://schemas.microsoft.com/office/drawing/2014/main" id="{672325E0-45B1-45E6-B3AB-1B094DF0E52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3</xdr:col>
      <xdr:colOff>714383</xdr:colOff>
      <xdr:row>4</xdr:row>
      <xdr:rowOff>613095</xdr:rowOff>
    </xdr:to>
    <xdr:pic>
      <xdr:nvPicPr>
        <xdr:cNvPr id="9" name="Imagen 8">
          <a:extLst>
            <a:ext uri="{FF2B5EF4-FFF2-40B4-BE49-F238E27FC236}">
              <a16:creationId xmlns:a16="http://schemas.microsoft.com/office/drawing/2014/main" id="{A5886C33-B577-4125-8E7A-25247210ABE2}"/>
            </a:ext>
          </a:extLst>
        </xdr:cNvPr>
        <xdr:cNvPicPr>
          <a:picLocks noChangeAspect="1"/>
        </xdr:cNvPicPr>
      </xdr:nvPicPr>
      <xdr:blipFill rotWithShape="1">
        <a:blip xmlns:r="http://schemas.openxmlformats.org/officeDocument/2006/relationships" r:embed="rId3">
          <a:extLst>
            <a:ext uri="{BEBA8EAE-BF5A-486C-A8C5-ECC9F3942E4B}">
              <a14:imgProps xmlns:a14="http://schemas.microsoft.com/office/drawing/2010/main">
                <a14:imgLayer r:embed="rId4">
                  <a14:imgEffect>
                    <a14:brightnessContrast contrast="-2000"/>
                  </a14:imgEffect>
                </a14:imgLayer>
              </a14:imgProps>
            </a:ext>
            <a:ext uri="{28A0092B-C50C-407E-A947-70E740481C1C}">
              <a14:useLocalDpi xmlns:a14="http://schemas.microsoft.com/office/drawing/2010/main" val="0"/>
            </a:ext>
          </a:extLst>
        </a:blip>
        <a:srcRect r="51561"/>
        <a:stretch/>
      </xdr:blipFill>
      <xdr:spPr>
        <a:xfrm>
          <a:off x="0" y="0"/>
          <a:ext cx="3000383" cy="1433710"/>
        </a:xfrm>
        <a:prstGeom prst="rect">
          <a:avLst/>
        </a:prstGeom>
      </xdr:spPr>
    </xdr:pic>
    <xdr:clientData fLocksWithSheet="0"/>
  </xdr:twoCellAnchor>
  <xdr:twoCellAnchor editAs="oneCell">
    <xdr:from>
      <xdr:col>8</xdr:col>
      <xdr:colOff>2479564</xdr:colOff>
      <xdr:row>0</xdr:row>
      <xdr:rowOff>103322</xdr:rowOff>
    </xdr:from>
    <xdr:to>
      <xdr:col>11</xdr:col>
      <xdr:colOff>723920</xdr:colOff>
      <xdr:row>4</xdr:row>
      <xdr:rowOff>716417</xdr:rowOff>
    </xdr:to>
    <xdr:pic>
      <xdr:nvPicPr>
        <xdr:cNvPr id="10" name="Imagen 9">
          <a:extLst>
            <a:ext uri="{FF2B5EF4-FFF2-40B4-BE49-F238E27FC236}">
              <a16:creationId xmlns:a16="http://schemas.microsoft.com/office/drawing/2014/main" id="{19ADA632-9212-4657-AE53-A11C8FB326A1}"/>
            </a:ext>
          </a:extLst>
        </xdr:cNvPr>
        <xdr:cNvPicPr>
          <a:picLocks noChangeAspect="1"/>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l="77704"/>
        <a:stretch/>
      </xdr:blipFill>
      <xdr:spPr>
        <a:xfrm>
          <a:off x="17357937" y="103322"/>
          <a:ext cx="1382763" cy="1388010"/>
        </a:xfrm>
        <a:prstGeom prst="rect">
          <a:avLst/>
        </a:prstGeom>
      </xdr:spPr>
    </xdr:pic>
    <xdr:clientData/>
  </xdr:twoCellAnchor>
  <xdr:twoCellAnchor>
    <xdr:from>
      <xdr:col>1</xdr:col>
      <xdr:colOff>43298</xdr:colOff>
      <xdr:row>53</xdr:row>
      <xdr:rowOff>160970</xdr:rowOff>
    </xdr:from>
    <xdr:to>
      <xdr:col>5</xdr:col>
      <xdr:colOff>103322</xdr:colOff>
      <xdr:row>74</xdr:row>
      <xdr:rowOff>167898</xdr:rowOff>
    </xdr:to>
    <xdr:graphicFrame macro="">
      <xdr:nvGraphicFramePr>
        <xdr:cNvPr id="14" name="Gráfico 13">
          <a:extLst>
            <a:ext uri="{FF2B5EF4-FFF2-40B4-BE49-F238E27FC236}">
              <a16:creationId xmlns:a16="http://schemas.microsoft.com/office/drawing/2014/main" id="{922D6FF2-45B4-4C66-9A39-F858105571C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1356100</xdr:colOff>
      <xdr:row>4</xdr:row>
      <xdr:rowOff>51662</xdr:rowOff>
    </xdr:from>
    <xdr:to>
      <xdr:col>11</xdr:col>
      <xdr:colOff>723668</xdr:colOff>
      <xdr:row>4</xdr:row>
      <xdr:rowOff>640815</xdr:rowOff>
    </xdr:to>
    <xdr:grpSp>
      <xdr:nvGrpSpPr>
        <xdr:cNvPr id="15" name="Grupo 14">
          <a:hlinkClick xmlns:r="http://schemas.openxmlformats.org/officeDocument/2006/relationships" r:id="rId7"/>
          <a:extLst>
            <a:ext uri="{FF2B5EF4-FFF2-40B4-BE49-F238E27FC236}">
              <a16:creationId xmlns:a16="http://schemas.microsoft.com/office/drawing/2014/main" id="{A2B00CA5-E425-4D51-8C08-A58117A533CC}"/>
            </a:ext>
          </a:extLst>
        </xdr:cNvPr>
        <xdr:cNvGrpSpPr/>
      </xdr:nvGrpSpPr>
      <xdr:grpSpPr>
        <a:xfrm>
          <a:off x="16234473" y="826577"/>
          <a:ext cx="2505975" cy="589153"/>
          <a:chOff x="15620999" y="402771"/>
          <a:chExt cx="2503715" cy="664029"/>
        </a:xfrm>
      </xdr:grpSpPr>
      <xdr:pic>
        <xdr:nvPicPr>
          <xdr:cNvPr id="16" name="Gráfico 15" descr="Flecha lineal: giro a la izquierda">
            <a:extLst>
              <a:ext uri="{FF2B5EF4-FFF2-40B4-BE49-F238E27FC236}">
                <a16:creationId xmlns:a16="http://schemas.microsoft.com/office/drawing/2014/main" id="{807286DE-EAA5-40B0-A3B5-800646FB36EA}"/>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 uri="{96DAC541-7B7A-43D3-8B79-37D633B846F1}">
                <asvg:svgBlip xmlns:asvg="http://schemas.microsoft.com/office/drawing/2016/SVG/main" r:embed="rId9"/>
              </a:ext>
            </a:extLst>
          </a:blip>
          <a:stretch>
            <a:fillRect/>
          </a:stretch>
        </xdr:blipFill>
        <xdr:spPr>
          <a:xfrm>
            <a:off x="15620999" y="402771"/>
            <a:ext cx="664029" cy="664029"/>
          </a:xfrm>
          <a:prstGeom prst="rect">
            <a:avLst/>
          </a:prstGeom>
        </xdr:spPr>
      </xdr:pic>
      <xdr:sp macro="" textlink="">
        <xdr:nvSpPr>
          <xdr:cNvPr id="17" name="CuadroTexto 16">
            <a:extLst>
              <a:ext uri="{FF2B5EF4-FFF2-40B4-BE49-F238E27FC236}">
                <a16:creationId xmlns:a16="http://schemas.microsoft.com/office/drawing/2014/main" id="{CA005C28-9CBB-4F3E-B5C8-AEED4BD36157}"/>
              </a:ext>
            </a:extLst>
          </xdr:cNvPr>
          <xdr:cNvSpPr txBox="1"/>
        </xdr:nvSpPr>
        <xdr:spPr>
          <a:xfrm>
            <a:off x="16306800" y="598714"/>
            <a:ext cx="1817914" cy="2830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200" b="1">
                <a:solidFill>
                  <a:srgbClr val="C00000"/>
                </a:solidFill>
                <a:latin typeface="Arial" panose="020B0604020202020204" pitchFamily="34" charset="0"/>
                <a:cs typeface="Arial" panose="020B0604020202020204" pitchFamily="34" charset="0"/>
              </a:rPr>
              <a:t>Volver a Guía</a:t>
            </a:r>
            <a:r>
              <a:rPr lang="es-CO" sz="1200" b="1" baseline="0">
                <a:solidFill>
                  <a:srgbClr val="C00000"/>
                </a:solidFill>
                <a:latin typeface="Arial" panose="020B0604020202020204" pitchFamily="34" charset="0"/>
                <a:cs typeface="Arial" panose="020B0604020202020204" pitchFamily="34" charset="0"/>
              </a:rPr>
              <a:t> de Uso</a:t>
            </a:r>
            <a:endParaRPr lang="es-CO" sz="1200" b="1">
              <a:solidFill>
                <a:srgbClr val="C00000"/>
              </a:solidFill>
              <a:latin typeface="Arial" panose="020B0604020202020204" pitchFamily="34" charset="0"/>
              <a:cs typeface="Arial" panose="020B0604020202020204" pitchFamily="34" charset="0"/>
            </a:endParaRPr>
          </a:p>
        </xdr:txBody>
      </xdr:sp>
    </xdr:grpSp>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2</xdr:col>
      <xdr:colOff>714388</xdr:colOff>
      <xdr:row>4</xdr:row>
      <xdr:rowOff>186463</xdr:rowOff>
    </xdr:to>
    <xdr:pic>
      <xdr:nvPicPr>
        <xdr:cNvPr id="2" name="Imagen 1">
          <a:extLst>
            <a:ext uri="{FF2B5EF4-FFF2-40B4-BE49-F238E27FC236}">
              <a16:creationId xmlns:a16="http://schemas.microsoft.com/office/drawing/2014/main" id="{2C279D5E-D9CC-4575-A20D-5F3B979EB51A}"/>
            </a:ext>
          </a:extLst>
        </xdr:cNvPr>
        <xdr:cNvPicPr>
          <a:picLocks noChangeAspect="1"/>
        </xdr:cNvPicPr>
      </xdr:nvPicPr>
      <xdr:blipFill rotWithShape="1">
        <a:blip xmlns:r="http://schemas.openxmlformats.org/officeDocument/2006/relationships" r:embed="rId1">
          <a:extLst>
            <a:ext uri="{BEBA8EAE-BF5A-486C-A8C5-ECC9F3942E4B}">
              <a14:imgProps xmlns:a14="http://schemas.microsoft.com/office/drawing/2010/main">
                <a14:imgLayer r:embed="rId2">
                  <a14:imgEffect>
                    <a14:brightnessContrast contrast="-2000"/>
                  </a14:imgEffect>
                </a14:imgLayer>
              </a14:imgProps>
            </a:ext>
            <a:ext uri="{28A0092B-C50C-407E-A947-70E740481C1C}">
              <a14:useLocalDpi xmlns:a14="http://schemas.microsoft.com/office/drawing/2010/main" val="0"/>
            </a:ext>
          </a:extLst>
        </a:blip>
        <a:srcRect r="51561"/>
        <a:stretch/>
      </xdr:blipFill>
      <xdr:spPr>
        <a:xfrm>
          <a:off x="0" y="1"/>
          <a:ext cx="2066886" cy="978942"/>
        </a:xfrm>
        <a:prstGeom prst="rect">
          <a:avLst/>
        </a:prstGeom>
      </xdr:spPr>
    </xdr:pic>
    <xdr:clientData fLocksWithSheet="0"/>
  </xdr:twoCellAnchor>
  <xdr:twoCellAnchor>
    <xdr:from>
      <xdr:col>1</xdr:col>
      <xdr:colOff>40094</xdr:colOff>
      <xdr:row>25</xdr:row>
      <xdr:rowOff>65908</xdr:rowOff>
    </xdr:from>
    <xdr:to>
      <xdr:col>5</xdr:col>
      <xdr:colOff>254000</xdr:colOff>
      <xdr:row>48</xdr:row>
      <xdr:rowOff>112888</xdr:rowOff>
    </xdr:to>
    <xdr:graphicFrame macro="">
      <xdr:nvGraphicFramePr>
        <xdr:cNvPr id="3" name="Gráfico 2">
          <a:extLst>
            <a:ext uri="{FF2B5EF4-FFF2-40B4-BE49-F238E27FC236}">
              <a16:creationId xmlns:a16="http://schemas.microsoft.com/office/drawing/2014/main" id="{0B9C02C1-6B8B-43A1-B9E9-3802FF804CC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342119</xdr:colOff>
      <xdr:row>50</xdr:row>
      <xdr:rowOff>85531</xdr:rowOff>
    </xdr:from>
    <xdr:to>
      <xdr:col>5</xdr:col>
      <xdr:colOff>205618</xdr:colOff>
      <xdr:row>69</xdr:row>
      <xdr:rowOff>193523</xdr:rowOff>
    </xdr:to>
    <xdr:graphicFrame macro="">
      <xdr:nvGraphicFramePr>
        <xdr:cNvPr id="4" name="Gráfico 3">
          <a:extLst>
            <a:ext uri="{FF2B5EF4-FFF2-40B4-BE49-F238E27FC236}">
              <a16:creationId xmlns:a16="http://schemas.microsoft.com/office/drawing/2014/main" id="{32ED9940-ADAC-4EA9-8EAB-8F5D7A5E998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60294</xdr:colOff>
      <xdr:row>25</xdr:row>
      <xdr:rowOff>74328</xdr:rowOff>
    </xdr:from>
    <xdr:to>
      <xdr:col>9</xdr:col>
      <xdr:colOff>1838478</xdr:colOff>
      <xdr:row>49</xdr:row>
      <xdr:rowOff>120951</xdr:rowOff>
    </xdr:to>
    <xdr:graphicFrame macro="">
      <xdr:nvGraphicFramePr>
        <xdr:cNvPr id="5" name="Gráfico 4">
          <a:extLst>
            <a:ext uri="{FF2B5EF4-FFF2-40B4-BE49-F238E27FC236}">
              <a16:creationId xmlns:a16="http://schemas.microsoft.com/office/drawing/2014/main" id="{FE9245E8-B085-424A-95F5-95B7D48BB3C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9</xdr:col>
      <xdr:colOff>852609</xdr:colOff>
      <xdr:row>0</xdr:row>
      <xdr:rowOff>0</xdr:rowOff>
    </xdr:from>
    <xdr:to>
      <xdr:col>9</xdr:col>
      <xdr:colOff>2226100</xdr:colOff>
      <xdr:row>4</xdr:row>
      <xdr:rowOff>611317</xdr:rowOff>
    </xdr:to>
    <xdr:pic>
      <xdr:nvPicPr>
        <xdr:cNvPr id="6" name="Imagen 5">
          <a:extLst>
            <a:ext uri="{FF2B5EF4-FFF2-40B4-BE49-F238E27FC236}">
              <a16:creationId xmlns:a16="http://schemas.microsoft.com/office/drawing/2014/main" id="{AF216915-B44A-48A5-B960-DF34D4CEECAE}"/>
            </a:ext>
          </a:extLst>
        </xdr:cNvPr>
        <xdr:cNvPicPr>
          <a:picLocks noChangeAspect="1"/>
        </xdr:cNvPicPr>
      </xdr:nvPicPr>
      <xdr:blipFill rotWithShape="1">
        <a:blip xmlns:r="http://schemas.openxmlformats.org/officeDocument/2006/relationships" r:embed="rId6">
          <a:extLst>
            <a:ext uri="{28A0092B-C50C-407E-A947-70E740481C1C}">
              <a14:useLocalDpi xmlns:a14="http://schemas.microsoft.com/office/drawing/2010/main" val="0"/>
            </a:ext>
          </a:extLst>
        </a:blip>
        <a:srcRect l="77704"/>
        <a:stretch/>
      </xdr:blipFill>
      <xdr:spPr>
        <a:xfrm>
          <a:off x="17919321" y="0"/>
          <a:ext cx="1373491" cy="1404632"/>
        </a:xfrm>
        <a:prstGeom prst="rect">
          <a:avLst/>
        </a:prstGeom>
      </xdr:spPr>
    </xdr:pic>
    <xdr:clientData/>
  </xdr:twoCellAnchor>
  <xdr:twoCellAnchor>
    <xdr:from>
      <xdr:col>8</xdr:col>
      <xdr:colOff>1866383</xdr:colOff>
      <xdr:row>4</xdr:row>
      <xdr:rowOff>117426</xdr:rowOff>
    </xdr:from>
    <xdr:to>
      <xdr:col>9</xdr:col>
      <xdr:colOff>2118490</xdr:colOff>
      <xdr:row>5</xdr:row>
      <xdr:rowOff>137354</xdr:rowOff>
    </xdr:to>
    <xdr:grpSp>
      <xdr:nvGrpSpPr>
        <xdr:cNvPr id="7" name="Grupo 6">
          <a:hlinkClick xmlns:r="http://schemas.openxmlformats.org/officeDocument/2006/relationships" r:id="rId7"/>
          <a:extLst>
            <a:ext uri="{FF2B5EF4-FFF2-40B4-BE49-F238E27FC236}">
              <a16:creationId xmlns:a16="http://schemas.microsoft.com/office/drawing/2014/main" id="{A81190EF-847C-44C6-A455-9AD183BA24EA}"/>
            </a:ext>
          </a:extLst>
        </xdr:cNvPr>
        <xdr:cNvGrpSpPr/>
      </xdr:nvGrpSpPr>
      <xdr:grpSpPr>
        <a:xfrm>
          <a:off x="16749702" y="895639"/>
          <a:ext cx="2505682" cy="668438"/>
          <a:chOff x="15620999" y="402771"/>
          <a:chExt cx="2503715" cy="664029"/>
        </a:xfrm>
      </xdr:grpSpPr>
      <xdr:pic>
        <xdr:nvPicPr>
          <xdr:cNvPr id="8" name="Gráfico 7" descr="Flecha lineal: giro a la izquierda">
            <a:extLst>
              <a:ext uri="{FF2B5EF4-FFF2-40B4-BE49-F238E27FC236}">
                <a16:creationId xmlns:a16="http://schemas.microsoft.com/office/drawing/2014/main" id="{1E9F5339-20F9-4758-A754-844099BA38A2}"/>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 uri="{96DAC541-7B7A-43D3-8B79-37D633B846F1}">
                <asvg:svgBlip xmlns:asvg="http://schemas.microsoft.com/office/drawing/2016/SVG/main" r:embed="rId9"/>
              </a:ext>
            </a:extLst>
          </a:blip>
          <a:stretch>
            <a:fillRect/>
          </a:stretch>
        </xdr:blipFill>
        <xdr:spPr>
          <a:xfrm>
            <a:off x="15620999" y="402771"/>
            <a:ext cx="664029" cy="664029"/>
          </a:xfrm>
          <a:prstGeom prst="rect">
            <a:avLst/>
          </a:prstGeom>
        </xdr:spPr>
      </xdr:pic>
      <xdr:sp macro="" textlink="">
        <xdr:nvSpPr>
          <xdr:cNvPr id="9" name="CuadroTexto 8">
            <a:extLst>
              <a:ext uri="{FF2B5EF4-FFF2-40B4-BE49-F238E27FC236}">
                <a16:creationId xmlns:a16="http://schemas.microsoft.com/office/drawing/2014/main" id="{FA8161FF-D303-4EE9-B762-BDF7A60010CE}"/>
              </a:ext>
            </a:extLst>
          </xdr:cNvPr>
          <xdr:cNvSpPr txBox="1"/>
        </xdr:nvSpPr>
        <xdr:spPr>
          <a:xfrm>
            <a:off x="16306800" y="598714"/>
            <a:ext cx="1817914" cy="2830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200" b="1">
                <a:solidFill>
                  <a:srgbClr val="C00000"/>
                </a:solidFill>
                <a:latin typeface="Arial" panose="020B0604020202020204" pitchFamily="34" charset="0"/>
                <a:cs typeface="Arial" panose="020B0604020202020204" pitchFamily="34" charset="0"/>
              </a:rPr>
              <a:t>Volver a Guía</a:t>
            </a:r>
            <a:r>
              <a:rPr lang="es-CO" sz="1200" b="1" baseline="0">
                <a:solidFill>
                  <a:srgbClr val="C00000"/>
                </a:solidFill>
                <a:latin typeface="Arial" panose="020B0604020202020204" pitchFamily="34" charset="0"/>
                <a:cs typeface="Arial" panose="020B0604020202020204" pitchFamily="34" charset="0"/>
              </a:rPr>
              <a:t> de Uso</a:t>
            </a:r>
            <a:endParaRPr lang="es-CO" sz="1200" b="1">
              <a:solidFill>
                <a:srgbClr val="C00000"/>
              </a:solidFill>
              <a:latin typeface="Arial" panose="020B0604020202020204" pitchFamily="34" charset="0"/>
              <a:cs typeface="Arial" panose="020B0604020202020204" pitchFamily="34" charset="0"/>
            </a:endParaRPr>
          </a:p>
        </xdr:txBody>
      </xdr:sp>
    </xdr:grpSp>
    <xdr:clientData/>
  </xdr:twoCellAnchor>
  <xdr:twoCellAnchor>
    <xdr:from>
      <xdr:col>1</xdr:col>
      <xdr:colOff>4320</xdr:colOff>
      <xdr:row>71</xdr:row>
      <xdr:rowOff>55293</xdr:rowOff>
    </xdr:from>
    <xdr:to>
      <xdr:col>5</xdr:col>
      <xdr:colOff>205619</xdr:colOff>
      <xdr:row>94</xdr:row>
      <xdr:rowOff>120953</xdr:rowOff>
    </xdr:to>
    <xdr:graphicFrame macro="">
      <xdr:nvGraphicFramePr>
        <xdr:cNvPr id="10" name="Gráfico 9">
          <a:extLst>
            <a:ext uri="{FF2B5EF4-FFF2-40B4-BE49-F238E27FC236}">
              <a16:creationId xmlns:a16="http://schemas.microsoft.com/office/drawing/2014/main" id="{D44BD4D9-D738-46E0-80E6-3368396D5C4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0</xdr:col>
      <xdr:colOff>313151</xdr:colOff>
      <xdr:row>25</xdr:row>
      <xdr:rowOff>93945</xdr:rowOff>
    </xdr:from>
    <xdr:to>
      <xdr:col>4</xdr:col>
      <xdr:colOff>2755726</xdr:colOff>
      <xdr:row>43</xdr:row>
      <xdr:rowOff>10438</xdr:rowOff>
    </xdr:to>
    <xdr:graphicFrame macro="">
      <xdr:nvGraphicFramePr>
        <xdr:cNvPr id="2" name="Gráfico 1">
          <a:extLst>
            <a:ext uri="{FF2B5EF4-FFF2-40B4-BE49-F238E27FC236}">
              <a16:creationId xmlns:a16="http://schemas.microsoft.com/office/drawing/2014/main" id="{A7038DB9-BC82-46E7-BB11-B0248D6857D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95107</xdr:colOff>
      <xdr:row>25</xdr:row>
      <xdr:rowOff>189540</xdr:rowOff>
    </xdr:from>
    <xdr:to>
      <xdr:col>9</xdr:col>
      <xdr:colOff>931332</xdr:colOff>
      <xdr:row>46</xdr:row>
      <xdr:rowOff>203200</xdr:rowOff>
    </xdr:to>
    <xdr:graphicFrame macro="">
      <xdr:nvGraphicFramePr>
        <xdr:cNvPr id="4" name="Gráfico 3">
          <a:extLst>
            <a:ext uri="{FF2B5EF4-FFF2-40B4-BE49-F238E27FC236}">
              <a16:creationId xmlns:a16="http://schemas.microsoft.com/office/drawing/2014/main" id="{C943436F-1A3D-4086-A50B-682E91538A4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345527</xdr:colOff>
      <xdr:row>48</xdr:row>
      <xdr:rowOff>67733</xdr:rowOff>
    </xdr:from>
    <xdr:to>
      <xdr:col>5</xdr:col>
      <xdr:colOff>118533</xdr:colOff>
      <xdr:row>71</xdr:row>
      <xdr:rowOff>152400</xdr:rowOff>
    </xdr:to>
    <xdr:graphicFrame macro="">
      <xdr:nvGraphicFramePr>
        <xdr:cNvPr id="5" name="Gráfico 4">
          <a:extLst>
            <a:ext uri="{FF2B5EF4-FFF2-40B4-BE49-F238E27FC236}">
              <a16:creationId xmlns:a16="http://schemas.microsoft.com/office/drawing/2014/main" id="{7330F28C-85F2-48A5-BE9E-2A0DD7D5024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345801</xdr:colOff>
      <xdr:row>72</xdr:row>
      <xdr:rowOff>195285</xdr:rowOff>
    </xdr:from>
    <xdr:to>
      <xdr:col>5</xdr:col>
      <xdr:colOff>118534</xdr:colOff>
      <xdr:row>96</xdr:row>
      <xdr:rowOff>50800</xdr:rowOff>
    </xdr:to>
    <xdr:graphicFrame macro="">
      <xdr:nvGraphicFramePr>
        <xdr:cNvPr id="6" name="Gráfico 5">
          <a:extLst>
            <a:ext uri="{FF2B5EF4-FFF2-40B4-BE49-F238E27FC236}">
              <a16:creationId xmlns:a16="http://schemas.microsoft.com/office/drawing/2014/main" id="{9FD14AD6-9E80-4629-90E9-ABDA0D8A5E7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0</xdr:col>
      <xdr:colOff>0</xdr:colOff>
      <xdr:row>0</xdr:row>
      <xdr:rowOff>0</xdr:rowOff>
    </xdr:from>
    <xdr:to>
      <xdr:col>2</xdr:col>
      <xdr:colOff>1507698</xdr:colOff>
      <xdr:row>4</xdr:row>
      <xdr:rowOff>640395</xdr:rowOff>
    </xdr:to>
    <xdr:pic>
      <xdr:nvPicPr>
        <xdr:cNvPr id="12" name="Imagen 11">
          <a:extLst>
            <a:ext uri="{FF2B5EF4-FFF2-40B4-BE49-F238E27FC236}">
              <a16:creationId xmlns:a16="http://schemas.microsoft.com/office/drawing/2014/main" id="{3B398ED8-3818-4E84-B2EE-7127BB28D3C3}"/>
            </a:ext>
          </a:extLst>
        </xdr:cNvPr>
        <xdr:cNvPicPr>
          <a:picLocks noChangeAspect="1"/>
        </xdr:cNvPicPr>
      </xdr:nvPicPr>
      <xdr:blipFill rotWithShape="1">
        <a:blip xmlns:r="http://schemas.openxmlformats.org/officeDocument/2006/relationships" r:embed="rId5">
          <a:extLst>
            <a:ext uri="{BEBA8EAE-BF5A-486C-A8C5-ECC9F3942E4B}">
              <a14:imgProps xmlns:a14="http://schemas.microsoft.com/office/drawing/2010/main">
                <a14:imgLayer r:embed="rId6">
                  <a14:imgEffect>
                    <a14:brightnessContrast contrast="-2000"/>
                  </a14:imgEffect>
                </a14:imgLayer>
              </a14:imgProps>
            </a:ext>
            <a:ext uri="{28A0092B-C50C-407E-A947-70E740481C1C}">
              <a14:useLocalDpi xmlns:a14="http://schemas.microsoft.com/office/drawing/2010/main" val="0"/>
            </a:ext>
          </a:extLst>
        </a:blip>
        <a:srcRect r="51561"/>
        <a:stretch/>
      </xdr:blipFill>
      <xdr:spPr>
        <a:xfrm>
          <a:off x="0" y="0"/>
          <a:ext cx="3000383" cy="1433710"/>
        </a:xfrm>
        <a:prstGeom prst="rect">
          <a:avLst/>
        </a:prstGeom>
      </xdr:spPr>
    </xdr:pic>
    <xdr:clientData fLocksWithSheet="0"/>
  </xdr:twoCellAnchor>
  <xdr:twoCellAnchor editAs="oneCell">
    <xdr:from>
      <xdr:col>9</xdr:col>
      <xdr:colOff>1410073</xdr:colOff>
      <xdr:row>0</xdr:row>
      <xdr:rowOff>96497</xdr:rowOff>
    </xdr:from>
    <xdr:to>
      <xdr:col>10</xdr:col>
      <xdr:colOff>334023</xdr:colOff>
      <xdr:row>4</xdr:row>
      <xdr:rowOff>736892</xdr:rowOff>
    </xdr:to>
    <xdr:pic>
      <xdr:nvPicPr>
        <xdr:cNvPr id="13" name="Imagen 12">
          <a:extLst>
            <a:ext uri="{FF2B5EF4-FFF2-40B4-BE49-F238E27FC236}">
              <a16:creationId xmlns:a16="http://schemas.microsoft.com/office/drawing/2014/main" id="{B446EAAB-577A-4EBE-BCA9-4160AD354680}"/>
            </a:ext>
          </a:extLst>
        </xdr:cNvPr>
        <xdr:cNvPicPr>
          <a:picLocks noChangeAspect="1"/>
        </xdr:cNvPicPr>
      </xdr:nvPicPr>
      <xdr:blipFill rotWithShape="1">
        <a:blip xmlns:r="http://schemas.openxmlformats.org/officeDocument/2006/relationships" r:embed="rId7">
          <a:extLst>
            <a:ext uri="{28A0092B-C50C-407E-A947-70E740481C1C}">
              <a14:useLocalDpi xmlns:a14="http://schemas.microsoft.com/office/drawing/2010/main" val="0"/>
            </a:ext>
          </a:extLst>
        </a:blip>
        <a:srcRect l="77704"/>
        <a:stretch/>
      </xdr:blipFill>
      <xdr:spPr>
        <a:xfrm>
          <a:off x="20104473" y="96497"/>
          <a:ext cx="1379283" cy="1453195"/>
        </a:xfrm>
        <a:prstGeom prst="rect">
          <a:avLst/>
        </a:prstGeom>
      </xdr:spPr>
    </xdr:pic>
    <xdr:clientData/>
  </xdr:twoCellAnchor>
  <xdr:twoCellAnchor>
    <xdr:from>
      <xdr:col>9</xdr:col>
      <xdr:colOff>266759</xdr:colOff>
      <xdr:row>4</xdr:row>
      <xdr:rowOff>595682</xdr:rowOff>
    </xdr:from>
    <xdr:to>
      <xdr:col>9</xdr:col>
      <xdr:colOff>2426599</xdr:colOff>
      <xdr:row>5</xdr:row>
      <xdr:rowOff>506421</xdr:rowOff>
    </xdr:to>
    <xdr:grpSp>
      <xdr:nvGrpSpPr>
        <xdr:cNvPr id="17" name="Grupo 16">
          <a:hlinkClick xmlns:r="http://schemas.openxmlformats.org/officeDocument/2006/relationships" r:id="rId8"/>
          <a:extLst>
            <a:ext uri="{FF2B5EF4-FFF2-40B4-BE49-F238E27FC236}">
              <a16:creationId xmlns:a16="http://schemas.microsoft.com/office/drawing/2014/main" id="{EBF7A35A-D4E4-4D1D-A711-E39C2682A4F8}"/>
            </a:ext>
          </a:extLst>
        </xdr:cNvPr>
        <xdr:cNvGrpSpPr/>
      </xdr:nvGrpSpPr>
      <xdr:grpSpPr>
        <a:xfrm>
          <a:off x="18961159" y="1408482"/>
          <a:ext cx="2159840" cy="655806"/>
          <a:chOff x="15620999" y="402771"/>
          <a:chExt cx="2503715" cy="664029"/>
        </a:xfrm>
      </xdr:grpSpPr>
      <xdr:pic>
        <xdr:nvPicPr>
          <xdr:cNvPr id="18" name="Gráfico 17" descr="Flecha lineal: giro a la izquierda">
            <a:extLst>
              <a:ext uri="{FF2B5EF4-FFF2-40B4-BE49-F238E27FC236}">
                <a16:creationId xmlns:a16="http://schemas.microsoft.com/office/drawing/2014/main" id="{FE024972-1E62-45A5-9E90-3DC90425764E}"/>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 uri="{96DAC541-7B7A-43D3-8B79-37D633B846F1}">
                <asvg:svgBlip xmlns:asvg="http://schemas.microsoft.com/office/drawing/2016/SVG/main" r:embed="rId10"/>
              </a:ext>
            </a:extLst>
          </a:blip>
          <a:stretch>
            <a:fillRect/>
          </a:stretch>
        </xdr:blipFill>
        <xdr:spPr>
          <a:xfrm>
            <a:off x="15620999" y="402771"/>
            <a:ext cx="664029" cy="664029"/>
          </a:xfrm>
          <a:prstGeom prst="rect">
            <a:avLst/>
          </a:prstGeom>
        </xdr:spPr>
      </xdr:pic>
      <xdr:sp macro="" textlink="">
        <xdr:nvSpPr>
          <xdr:cNvPr id="19" name="CuadroTexto 18">
            <a:extLst>
              <a:ext uri="{FF2B5EF4-FFF2-40B4-BE49-F238E27FC236}">
                <a16:creationId xmlns:a16="http://schemas.microsoft.com/office/drawing/2014/main" id="{6735E656-2C23-44E5-B4DD-9924A4228696}"/>
              </a:ext>
            </a:extLst>
          </xdr:cNvPr>
          <xdr:cNvSpPr txBox="1"/>
        </xdr:nvSpPr>
        <xdr:spPr>
          <a:xfrm>
            <a:off x="16306800" y="598714"/>
            <a:ext cx="1817914" cy="2830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200" b="1">
                <a:solidFill>
                  <a:srgbClr val="C00000"/>
                </a:solidFill>
                <a:latin typeface="Arial" panose="020B0604020202020204" pitchFamily="34" charset="0"/>
                <a:cs typeface="Arial" panose="020B0604020202020204" pitchFamily="34" charset="0"/>
              </a:rPr>
              <a:t>Volver a Guía</a:t>
            </a:r>
            <a:r>
              <a:rPr lang="es-CO" sz="1200" b="1" baseline="0">
                <a:solidFill>
                  <a:srgbClr val="C00000"/>
                </a:solidFill>
                <a:latin typeface="Arial" panose="020B0604020202020204" pitchFamily="34" charset="0"/>
                <a:cs typeface="Arial" panose="020B0604020202020204" pitchFamily="34" charset="0"/>
              </a:rPr>
              <a:t> de Uso</a:t>
            </a:r>
            <a:endParaRPr lang="es-CO" sz="1200" b="1">
              <a:solidFill>
                <a:srgbClr val="C00000"/>
              </a:solidFill>
              <a:latin typeface="Arial" panose="020B0604020202020204" pitchFamily="34" charset="0"/>
              <a:cs typeface="Arial" panose="020B0604020202020204" pitchFamily="34" charset="0"/>
            </a:endParaRPr>
          </a:p>
        </xdr:txBody>
      </xdr:sp>
    </xdr:grp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328085</xdr:colOff>
      <xdr:row>25</xdr:row>
      <xdr:rowOff>120928</xdr:rowOff>
    </xdr:from>
    <xdr:to>
      <xdr:col>5</xdr:col>
      <xdr:colOff>25400</xdr:colOff>
      <xdr:row>42</xdr:row>
      <xdr:rowOff>25400</xdr:rowOff>
    </xdr:to>
    <xdr:graphicFrame macro="">
      <xdr:nvGraphicFramePr>
        <xdr:cNvPr id="2" name="Gráfico 1">
          <a:extLst>
            <a:ext uri="{FF2B5EF4-FFF2-40B4-BE49-F238E27FC236}">
              <a16:creationId xmlns:a16="http://schemas.microsoft.com/office/drawing/2014/main" id="{6BD98B67-A21D-475D-9483-F12156BEC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19816</xdr:colOff>
      <xdr:row>45</xdr:row>
      <xdr:rowOff>168068</xdr:rowOff>
    </xdr:from>
    <xdr:to>
      <xdr:col>4</xdr:col>
      <xdr:colOff>2400300</xdr:colOff>
      <xdr:row>65</xdr:row>
      <xdr:rowOff>101600</xdr:rowOff>
    </xdr:to>
    <xdr:graphicFrame macro="">
      <xdr:nvGraphicFramePr>
        <xdr:cNvPr id="4" name="Gráfico 3">
          <a:extLst>
            <a:ext uri="{FF2B5EF4-FFF2-40B4-BE49-F238E27FC236}">
              <a16:creationId xmlns:a16="http://schemas.microsoft.com/office/drawing/2014/main" id="{23243C06-B0BB-46F0-8D9D-12BDD15B3DC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34793</xdr:colOff>
      <xdr:row>66</xdr:row>
      <xdr:rowOff>127000</xdr:rowOff>
    </xdr:from>
    <xdr:to>
      <xdr:col>4</xdr:col>
      <xdr:colOff>2311400</xdr:colOff>
      <xdr:row>88</xdr:row>
      <xdr:rowOff>38100</xdr:rowOff>
    </xdr:to>
    <xdr:graphicFrame macro="">
      <xdr:nvGraphicFramePr>
        <xdr:cNvPr id="6" name="Gráfico 5">
          <a:extLst>
            <a:ext uri="{FF2B5EF4-FFF2-40B4-BE49-F238E27FC236}">
              <a16:creationId xmlns:a16="http://schemas.microsoft.com/office/drawing/2014/main" id="{C9BEF138-9622-4813-ABCE-5CEFCC857FE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26710</xdr:colOff>
      <xdr:row>25</xdr:row>
      <xdr:rowOff>124745</xdr:rowOff>
    </xdr:from>
    <xdr:to>
      <xdr:col>9</xdr:col>
      <xdr:colOff>2387600</xdr:colOff>
      <xdr:row>45</xdr:row>
      <xdr:rowOff>88900</xdr:rowOff>
    </xdr:to>
    <xdr:graphicFrame macro="">
      <xdr:nvGraphicFramePr>
        <xdr:cNvPr id="9" name="Gráfico 8">
          <a:extLst>
            <a:ext uri="{FF2B5EF4-FFF2-40B4-BE49-F238E27FC236}">
              <a16:creationId xmlns:a16="http://schemas.microsoft.com/office/drawing/2014/main" id="{62B0FD0F-85BC-4B22-9A41-BEA040690F9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0</xdr:col>
      <xdr:colOff>0</xdr:colOff>
      <xdr:row>0</xdr:row>
      <xdr:rowOff>0</xdr:rowOff>
    </xdr:from>
    <xdr:to>
      <xdr:col>2</xdr:col>
      <xdr:colOff>1515438</xdr:colOff>
      <xdr:row>5</xdr:row>
      <xdr:rowOff>500781</xdr:rowOff>
    </xdr:to>
    <xdr:pic>
      <xdr:nvPicPr>
        <xdr:cNvPr id="12" name="Imagen 11">
          <a:extLst>
            <a:ext uri="{FF2B5EF4-FFF2-40B4-BE49-F238E27FC236}">
              <a16:creationId xmlns:a16="http://schemas.microsoft.com/office/drawing/2014/main" id="{5DDBC346-141F-4B0F-B9FC-CA33CDCBB52E}"/>
            </a:ext>
          </a:extLst>
        </xdr:cNvPr>
        <xdr:cNvPicPr>
          <a:picLocks noChangeAspect="1"/>
        </xdr:cNvPicPr>
      </xdr:nvPicPr>
      <xdr:blipFill rotWithShape="1">
        <a:blip xmlns:r="http://schemas.openxmlformats.org/officeDocument/2006/relationships" r:embed="rId5">
          <a:extLst>
            <a:ext uri="{BEBA8EAE-BF5A-486C-A8C5-ECC9F3942E4B}">
              <a14:imgProps xmlns:a14="http://schemas.microsoft.com/office/drawing/2010/main">
                <a14:imgLayer r:embed="rId6">
                  <a14:imgEffect>
                    <a14:brightnessContrast contrast="-2000"/>
                  </a14:imgEffect>
                </a14:imgLayer>
              </a14:imgProps>
            </a:ext>
            <a:ext uri="{28A0092B-C50C-407E-A947-70E740481C1C}">
              <a14:useLocalDpi xmlns:a14="http://schemas.microsoft.com/office/drawing/2010/main" val="0"/>
            </a:ext>
          </a:extLst>
        </a:blip>
        <a:srcRect r="51561"/>
        <a:stretch/>
      </xdr:blipFill>
      <xdr:spPr>
        <a:xfrm>
          <a:off x="0" y="0"/>
          <a:ext cx="3014857" cy="1484007"/>
        </a:xfrm>
        <a:prstGeom prst="rect">
          <a:avLst/>
        </a:prstGeom>
      </xdr:spPr>
    </xdr:pic>
    <xdr:clientData fLocksWithSheet="0"/>
  </xdr:twoCellAnchor>
  <xdr:twoCellAnchor editAs="oneCell">
    <xdr:from>
      <xdr:col>9</xdr:col>
      <xdr:colOff>1661821</xdr:colOff>
      <xdr:row>0</xdr:row>
      <xdr:rowOff>98323</xdr:rowOff>
    </xdr:from>
    <xdr:to>
      <xdr:col>11</xdr:col>
      <xdr:colOff>175623</xdr:colOff>
      <xdr:row>5</xdr:row>
      <xdr:rowOff>599104</xdr:rowOff>
    </xdr:to>
    <xdr:pic>
      <xdr:nvPicPr>
        <xdr:cNvPr id="13" name="Imagen 12">
          <a:extLst>
            <a:ext uri="{FF2B5EF4-FFF2-40B4-BE49-F238E27FC236}">
              <a16:creationId xmlns:a16="http://schemas.microsoft.com/office/drawing/2014/main" id="{8D67E9FE-CD94-443D-9726-EC15EFD06B18}"/>
            </a:ext>
          </a:extLst>
        </xdr:cNvPr>
        <xdr:cNvPicPr>
          <a:picLocks noChangeAspect="1"/>
        </xdr:cNvPicPr>
      </xdr:nvPicPr>
      <xdr:blipFill rotWithShape="1">
        <a:blip xmlns:r="http://schemas.openxmlformats.org/officeDocument/2006/relationships" r:embed="rId7">
          <a:extLst>
            <a:ext uri="{28A0092B-C50C-407E-A947-70E740481C1C}">
              <a14:useLocalDpi xmlns:a14="http://schemas.microsoft.com/office/drawing/2010/main" val="0"/>
            </a:ext>
          </a:extLst>
        </a:blip>
        <a:srcRect l="77704"/>
        <a:stretch/>
      </xdr:blipFill>
      <xdr:spPr>
        <a:xfrm>
          <a:off x="22776595" y="98323"/>
          <a:ext cx="1379496" cy="1484007"/>
        </a:xfrm>
        <a:prstGeom prst="rect">
          <a:avLst/>
        </a:prstGeom>
      </xdr:spPr>
    </xdr:pic>
    <xdr:clientData/>
  </xdr:twoCellAnchor>
  <xdr:twoCellAnchor>
    <xdr:from>
      <xdr:col>9</xdr:col>
      <xdr:colOff>626807</xdr:colOff>
      <xdr:row>5</xdr:row>
      <xdr:rowOff>36871</xdr:rowOff>
    </xdr:from>
    <xdr:to>
      <xdr:col>10</xdr:col>
      <xdr:colOff>326600</xdr:colOff>
      <xdr:row>6</xdr:row>
      <xdr:rowOff>84656</xdr:rowOff>
    </xdr:to>
    <xdr:grpSp>
      <xdr:nvGrpSpPr>
        <xdr:cNvPr id="17" name="Grupo 16">
          <a:hlinkClick xmlns:r="http://schemas.openxmlformats.org/officeDocument/2006/relationships" r:id="rId8"/>
          <a:extLst>
            <a:ext uri="{FF2B5EF4-FFF2-40B4-BE49-F238E27FC236}">
              <a16:creationId xmlns:a16="http://schemas.microsoft.com/office/drawing/2014/main" id="{939EB4C3-55ED-468B-B5A1-7B922BEBD455}"/>
            </a:ext>
          </a:extLst>
        </xdr:cNvPr>
        <xdr:cNvGrpSpPr/>
      </xdr:nvGrpSpPr>
      <xdr:grpSpPr>
        <a:xfrm>
          <a:off x="19626007" y="1052871"/>
          <a:ext cx="2150893" cy="670085"/>
          <a:chOff x="15620999" y="402771"/>
          <a:chExt cx="2503715" cy="664029"/>
        </a:xfrm>
      </xdr:grpSpPr>
      <xdr:pic>
        <xdr:nvPicPr>
          <xdr:cNvPr id="18" name="Gráfico 17" descr="Flecha lineal: giro a la izquierda">
            <a:extLst>
              <a:ext uri="{FF2B5EF4-FFF2-40B4-BE49-F238E27FC236}">
                <a16:creationId xmlns:a16="http://schemas.microsoft.com/office/drawing/2014/main" id="{2477FEC7-F05E-42BE-9831-A910CA67F2BD}"/>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 uri="{96DAC541-7B7A-43D3-8B79-37D633B846F1}">
                <asvg:svgBlip xmlns:asvg="http://schemas.microsoft.com/office/drawing/2016/SVG/main" r:embed="rId10"/>
              </a:ext>
            </a:extLst>
          </a:blip>
          <a:stretch>
            <a:fillRect/>
          </a:stretch>
        </xdr:blipFill>
        <xdr:spPr>
          <a:xfrm>
            <a:off x="15620999" y="402771"/>
            <a:ext cx="664029" cy="664029"/>
          </a:xfrm>
          <a:prstGeom prst="rect">
            <a:avLst/>
          </a:prstGeom>
        </xdr:spPr>
      </xdr:pic>
      <xdr:sp macro="" textlink="">
        <xdr:nvSpPr>
          <xdr:cNvPr id="19" name="CuadroTexto 18">
            <a:extLst>
              <a:ext uri="{FF2B5EF4-FFF2-40B4-BE49-F238E27FC236}">
                <a16:creationId xmlns:a16="http://schemas.microsoft.com/office/drawing/2014/main" id="{B21174BF-875D-42D0-8069-445EA9FAA9C8}"/>
              </a:ext>
            </a:extLst>
          </xdr:cNvPr>
          <xdr:cNvSpPr txBox="1"/>
        </xdr:nvSpPr>
        <xdr:spPr>
          <a:xfrm>
            <a:off x="16306800" y="598714"/>
            <a:ext cx="1817914" cy="2830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200" b="1">
                <a:solidFill>
                  <a:srgbClr val="C00000"/>
                </a:solidFill>
                <a:latin typeface="Arial" panose="020B0604020202020204" pitchFamily="34" charset="0"/>
                <a:cs typeface="Arial" panose="020B0604020202020204" pitchFamily="34" charset="0"/>
              </a:rPr>
              <a:t>Volver a Guía</a:t>
            </a:r>
            <a:r>
              <a:rPr lang="es-CO" sz="1200" b="1" baseline="0">
                <a:solidFill>
                  <a:srgbClr val="C00000"/>
                </a:solidFill>
                <a:latin typeface="Arial" panose="020B0604020202020204" pitchFamily="34" charset="0"/>
                <a:cs typeface="Arial" panose="020B0604020202020204" pitchFamily="34" charset="0"/>
              </a:rPr>
              <a:t> de Uso</a:t>
            </a:r>
            <a:endParaRPr lang="es-CO" sz="1200" b="1">
              <a:solidFill>
                <a:srgbClr val="C00000"/>
              </a:solidFill>
              <a:latin typeface="Arial" panose="020B0604020202020204" pitchFamily="34" charset="0"/>
              <a:cs typeface="Arial" panose="020B0604020202020204" pitchFamily="34" charset="0"/>
            </a:endParaRPr>
          </a:p>
        </xdr:txBody>
      </xdr:sp>
    </xdr:grpSp>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1138517</xdr:colOff>
      <xdr:row>6</xdr:row>
      <xdr:rowOff>272205</xdr:rowOff>
    </xdr:to>
    <xdr:pic>
      <xdr:nvPicPr>
        <xdr:cNvPr id="7" name="Imagen 6">
          <a:extLst>
            <a:ext uri="{FF2B5EF4-FFF2-40B4-BE49-F238E27FC236}">
              <a16:creationId xmlns:a16="http://schemas.microsoft.com/office/drawing/2014/main" id="{E7D21B1A-73D8-4CFA-925F-EDC1F07DAE83}"/>
            </a:ext>
          </a:extLst>
        </xdr:cNvPr>
        <xdr:cNvPicPr>
          <a:picLocks noChangeAspect="1"/>
        </xdr:cNvPicPr>
      </xdr:nvPicPr>
      <xdr:blipFill rotWithShape="1">
        <a:blip xmlns:r="http://schemas.openxmlformats.org/officeDocument/2006/relationships" r:embed="rId1">
          <a:extLst>
            <a:ext uri="{BEBA8EAE-BF5A-486C-A8C5-ECC9F3942E4B}">
              <a14:imgProps xmlns:a14="http://schemas.microsoft.com/office/drawing/2010/main">
                <a14:imgLayer r:embed="rId2">
                  <a14:imgEffect>
                    <a14:brightnessContrast contrast="-2000"/>
                  </a14:imgEffect>
                </a14:imgLayer>
              </a14:imgProps>
            </a:ext>
            <a:ext uri="{28A0092B-C50C-407E-A947-70E740481C1C}">
              <a14:useLocalDpi xmlns:a14="http://schemas.microsoft.com/office/drawing/2010/main" val="0"/>
            </a:ext>
          </a:extLst>
        </a:blip>
        <a:srcRect r="51561"/>
        <a:stretch/>
      </xdr:blipFill>
      <xdr:spPr>
        <a:xfrm>
          <a:off x="0" y="0"/>
          <a:ext cx="3012141" cy="1455546"/>
        </a:xfrm>
        <a:prstGeom prst="rect">
          <a:avLst/>
        </a:prstGeom>
      </xdr:spPr>
    </xdr:pic>
    <xdr:clientData fLocksWithSheet="0"/>
  </xdr:twoCellAnchor>
  <xdr:twoCellAnchor>
    <xdr:from>
      <xdr:col>2</xdr:col>
      <xdr:colOff>1097280</xdr:colOff>
      <xdr:row>27</xdr:row>
      <xdr:rowOff>172068</xdr:rowOff>
    </xdr:from>
    <xdr:to>
      <xdr:col>4</xdr:col>
      <xdr:colOff>2971800</xdr:colOff>
      <xdr:row>41</xdr:row>
      <xdr:rowOff>106680</xdr:rowOff>
    </xdr:to>
    <xdr:graphicFrame macro="">
      <xdr:nvGraphicFramePr>
        <xdr:cNvPr id="2" name="Gráfico 1">
          <a:extLst>
            <a:ext uri="{FF2B5EF4-FFF2-40B4-BE49-F238E27FC236}">
              <a16:creationId xmlns:a16="http://schemas.microsoft.com/office/drawing/2014/main" id="{22CE9912-AF96-41C2-948A-36764B32DEC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1112520</xdr:colOff>
      <xdr:row>43</xdr:row>
      <xdr:rowOff>118263</xdr:rowOff>
    </xdr:from>
    <xdr:to>
      <xdr:col>4</xdr:col>
      <xdr:colOff>3063240</xdr:colOff>
      <xdr:row>62</xdr:row>
      <xdr:rowOff>137160</xdr:rowOff>
    </xdr:to>
    <xdr:graphicFrame macro="">
      <xdr:nvGraphicFramePr>
        <xdr:cNvPr id="3" name="Gráfico 2">
          <a:extLst>
            <a:ext uri="{FF2B5EF4-FFF2-40B4-BE49-F238E27FC236}">
              <a16:creationId xmlns:a16="http://schemas.microsoft.com/office/drawing/2014/main" id="{DE45DA78-AA80-4126-BE5D-17FC1A27945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5</xdr:col>
      <xdr:colOff>367553</xdr:colOff>
      <xdr:row>0</xdr:row>
      <xdr:rowOff>0</xdr:rowOff>
    </xdr:from>
    <xdr:to>
      <xdr:col>6</xdr:col>
      <xdr:colOff>283824</xdr:colOff>
      <xdr:row>6</xdr:row>
      <xdr:rowOff>272205</xdr:rowOff>
    </xdr:to>
    <xdr:pic>
      <xdr:nvPicPr>
        <xdr:cNvPr id="9" name="Imagen 8">
          <a:extLst>
            <a:ext uri="{FF2B5EF4-FFF2-40B4-BE49-F238E27FC236}">
              <a16:creationId xmlns:a16="http://schemas.microsoft.com/office/drawing/2014/main" id="{74608233-3A7E-4B24-8EE5-A7F6FC44453E}"/>
            </a:ext>
          </a:extLst>
        </xdr:cNvPr>
        <xdr:cNvPicPr>
          <a:picLocks noChangeAspect="1"/>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l="77704"/>
        <a:stretch/>
      </xdr:blipFill>
      <xdr:spPr>
        <a:xfrm>
          <a:off x="9762565" y="0"/>
          <a:ext cx="1386483" cy="1455546"/>
        </a:xfrm>
        <a:prstGeom prst="rect">
          <a:avLst/>
        </a:prstGeom>
      </xdr:spPr>
    </xdr:pic>
    <xdr:clientData/>
  </xdr:twoCellAnchor>
  <xdr:twoCellAnchor>
    <xdr:from>
      <xdr:col>4</xdr:col>
      <xdr:colOff>2788920</xdr:colOff>
      <xdr:row>3</xdr:row>
      <xdr:rowOff>30480</xdr:rowOff>
    </xdr:from>
    <xdr:to>
      <xdr:col>6</xdr:col>
      <xdr:colOff>322667</xdr:colOff>
      <xdr:row>6</xdr:row>
      <xdr:rowOff>98421</xdr:rowOff>
    </xdr:to>
    <xdr:grpSp>
      <xdr:nvGrpSpPr>
        <xdr:cNvPr id="11" name="Grupo 10">
          <a:hlinkClick xmlns:r="http://schemas.openxmlformats.org/officeDocument/2006/relationships" r:id="rId6"/>
          <a:extLst>
            <a:ext uri="{FF2B5EF4-FFF2-40B4-BE49-F238E27FC236}">
              <a16:creationId xmlns:a16="http://schemas.microsoft.com/office/drawing/2014/main" id="{04821972-E2FC-41AE-B16E-667CF475C57F}"/>
            </a:ext>
          </a:extLst>
        </xdr:cNvPr>
        <xdr:cNvGrpSpPr/>
      </xdr:nvGrpSpPr>
      <xdr:grpSpPr>
        <a:xfrm>
          <a:off x="9617612" y="616634"/>
          <a:ext cx="2496517" cy="654095"/>
          <a:chOff x="15620999" y="402771"/>
          <a:chExt cx="2503715" cy="664029"/>
        </a:xfrm>
      </xdr:grpSpPr>
      <xdr:pic>
        <xdr:nvPicPr>
          <xdr:cNvPr id="12" name="Gráfico 11" descr="Flecha lineal: giro a la izquierda">
            <a:extLst>
              <a:ext uri="{FF2B5EF4-FFF2-40B4-BE49-F238E27FC236}">
                <a16:creationId xmlns:a16="http://schemas.microsoft.com/office/drawing/2014/main" id="{23BAE00E-58AF-4B73-BBA8-322D1E398A98}"/>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 uri="{96DAC541-7B7A-43D3-8B79-37D633B846F1}">
                <asvg:svgBlip xmlns:asvg="http://schemas.microsoft.com/office/drawing/2016/SVG/main" r:embed="rId8"/>
              </a:ext>
            </a:extLst>
          </a:blip>
          <a:stretch>
            <a:fillRect/>
          </a:stretch>
        </xdr:blipFill>
        <xdr:spPr>
          <a:xfrm>
            <a:off x="15620999" y="402771"/>
            <a:ext cx="664029" cy="664029"/>
          </a:xfrm>
          <a:prstGeom prst="rect">
            <a:avLst/>
          </a:prstGeom>
        </xdr:spPr>
      </xdr:pic>
      <xdr:sp macro="" textlink="">
        <xdr:nvSpPr>
          <xdr:cNvPr id="13" name="CuadroTexto 12">
            <a:extLst>
              <a:ext uri="{FF2B5EF4-FFF2-40B4-BE49-F238E27FC236}">
                <a16:creationId xmlns:a16="http://schemas.microsoft.com/office/drawing/2014/main" id="{9CDCBE75-D9FC-4E2A-BF39-B8B4D9FDA14D}"/>
              </a:ext>
            </a:extLst>
          </xdr:cNvPr>
          <xdr:cNvSpPr txBox="1"/>
        </xdr:nvSpPr>
        <xdr:spPr>
          <a:xfrm>
            <a:off x="16306800" y="598714"/>
            <a:ext cx="1817914" cy="2830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200" b="1">
                <a:solidFill>
                  <a:srgbClr val="C00000"/>
                </a:solidFill>
                <a:latin typeface="Arial" panose="020B0604020202020204" pitchFamily="34" charset="0"/>
                <a:cs typeface="Arial" panose="020B0604020202020204" pitchFamily="34" charset="0"/>
              </a:rPr>
              <a:t>Volver a Guía</a:t>
            </a:r>
            <a:r>
              <a:rPr lang="es-CO" sz="1200" b="1" baseline="0">
                <a:solidFill>
                  <a:srgbClr val="C00000"/>
                </a:solidFill>
                <a:latin typeface="Arial" panose="020B0604020202020204" pitchFamily="34" charset="0"/>
                <a:cs typeface="Arial" panose="020B0604020202020204" pitchFamily="34" charset="0"/>
              </a:rPr>
              <a:t> de Uso</a:t>
            </a:r>
            <a:endParaRPr lang="es-CO" sz="1200" b="1">
              <a:solidFill>
                <a:srgbClr val="C00000"/>
              </a:solidFill>
              <a:latin typeface="Arial" panose="020B0604020202020204" pitchFamily="34" charset="0"/>
              <a:cs typeface="Arial" panose="020B0604020202020204" pitchFamily="34" charset="0"/>
            </a:endParaRP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11615</xdr:colOff>
      <xdr:row>235</xdr:row>
      <xdr:rowOff>23232</xdr:rowOff>
    </xdr:from>
    <xdr:to>
      <xdr:col>12</xdr:col>
      <xdr:colOff>534329</xdr:colOff>
      <xdr:row>260</xdr:row>
      <xdr:rowOff>34850</xdr:rowOff>
    </xdr:to>
    <xdr:graphicFrame macro="">
      <xdr:nvGraphicFramePr>
        <xdr:cNvPr id="9" name="8 Gráfico" title="Resultados Soacha por Comunas">
          <a:extLst>
            <a:ext uri="{FF2B5EF4-FFF2-40B4-BE49-F238E27FC236}">
              <a16:creationId xmlns:a16="http://schemas.microsoft.com/office/drawing/2014/main" id="{00000000-0008-0000-02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824725</xdr:colOff>
      <xdr:row>205</xdr:row>
      <xdr:rowOff>139391</xdr:rowOff>
    </xdr:from>
    <xdr:to>
      <xdr:col>12</xdr:col>
      <xdr:colOff>476250</xdr:colOff>
      <xdr:row>231</xdr:row>
      <xdr:rowOff>151008</xdr:rowOff>
    </xdr:to>
    <xdr:graphicFrame macro="">
      <xdr:nvGraphicFramePr>
        <xdr:cNvPr id="10" name="9 Gráfico" title="Resultados Soacha por Comunas">
          <a:extLst>
            <a:ext uri="{FF2B5EF4-FFF2-40B4-BE49-F238E27FC236}">
              <a16:creationId xmlns:a16="http://schemas.microsoft.com/office/drawing/2014/main" id="{00000000-0008-0000-02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13</xdr:col>
      <xdr:colOff>197470</xdr:colOff>
      <xdr:row>205</xdr:row>
      <xdr:rowOff>151005</xdr:rowOff>
    </xdr:from>
    <xdr:to>
      <xdr:col>20</xdr:col>
      <xdr:colOff>650489</xdr:colOff>
      <xdr:row>232</xdr:row>
      <xdr:rowOff>0</xdr:rowOff>
    </xdr:to>
    <xdr:graphicFrame macro="">
      <xdr:nvGraphicFramePr>
        <xdr:cNvPr id="11" name="10 Gráfico">
          <a:extLst>
            <a:ext uri="{FF2B5EF4-FFF2-40B4-BE49-F238E27FC236}">
              <a16:creationId xmlns:a16="http://schemas.microsoft.com/office/drawing/2014/main" id="{00000000-0008-0000-02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13</xdr:col>
      <xdr:colOff>443726</xdr:colOff>
      <xdr:row>249</xdr:row>
      <xdr:rowOff>155885</xdr:rowOff>
    </xdr:from>
    <xdr:to>
      <xdr:col>21</xdr:col>
      <xdr:colOff>57151</xdr:colOff>
      <xdr:row>275</xdr:row>
      <xdr:rowOff>95251</xdr:rowOff>
    </xdr:to>
    <xdr:graphicFrame macro="">
      <xdr:nvGraphicFramePr>
        <xdr:cNvPr id="3" name="2 Gráfico">
          <a:extLst>
            <a:ext uri="{FF2B5EF4-FFF2-40B4-BE49-F238E27FC236}">
              <a16:creationId xmlns:a16="http://schemas.microsoft.com/office/drawing/2014/main" id="{00000000-0008-0000-02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13</xdr:col>
      <xdr:colOff>655674</xdr:colOff>
      <xdr:row>330</xdr:row>
      <xdr:rowOff>70884</xdr:rowOff>
    </xdr:from>
    <xdr:to>
      <xdr:col>21</xdr:col>
      <xdr:colOff>131037</xdr:colOff>
      <xdr:row>351</xdr:row>
      <xdr:rowOff>159488</xdr:rowOff>
    </xdr:to>
    <xdr:graphicFrame macro="">
      <xdr:nvGraphicFramePr>
        <xdr:cNvPr id="4" name="Gráfico 3">
          <a:extLst>
            <a:ext uri="{FF2B5EF4-FFF2-40B4-BE49-F238E27FC236}">
              <a16:creationId xmlns:a16="http://schemas.microsoft.com/office/drawing/2014/main" id="{39236EEF-240C-4CAD-B860-4171EC2BA01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13</xdr:col>
      <xdr:colOff>82061</xdr:colOff>
      <xdr:row>367</xdr:row>
      <xdr:rowOff>0</xdr:rowOff>
    </xdr:from>
    <xdr:to>
      <xdr:col>19</xdr:col>
      <xdr:colOff>23446</xdr:colOff>
      <xdr:row>391</xdr:row>
      <xdr:rowOff>35169</xdr:rowOff>
    </xdr:to>
    <xdr:graphicFrame macro="">
      <xdr:nvGraphicFramePr>
        <xdr:cNvPr id="5" name="Gráfico 4">
          <a:extLst>
            <a:ext uri="{FF2B5EF4-FFF2-40B4-BE49-F238E27FC236}">
              <a16:creationId xmlns:a16="http://schemas.microsoft.com/office/drawing/2014/main" id="{EE98B1D4-9D56-4183-8287-BA60DDB1D79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5</xdr:col>
      <xdr:colOff>726840</xdr:colOff>
      <xdr:row>367</xdr:row>
      <xdr:rowOff>93791</xdr:rowOff>
    </xdr:from>
    <xdr:to>
      <xdr:col>11</xdr:col>
      <xdr:colOff>246185</xdr:colOff>
      <xdr:row>391</xdr:row>
      <xdr:rowOff>93784</xdr:rowOff>
    </xdr:to>
    <xdr:graphicFrame macro="">
      <xdr:nvGraphicFramePr>
        <xdr:cNvPr id="6" name="Gráfico 5">
          <a:extLst>
            <a:ext uri="{FF2B5EF4-FFF2-40B4-BE49-F238E27FC236}">
              <a16:creationId xmlns:a16="http://schemas.microsoft.com/office/drawing/2014/main" id="{EAE0D14B-DB53-48AC-B166-7A7C2B79BF3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6</xdr:col>
      <xdr:colOff>296826</xdr:colOff>
      <xdr:row>392</xdr:row>
      <xdr:rowOff>165690</xdr:rowOff>
    </xdr:from>
    <xdr:to>
      <xdr:col>13</xdr:col>
      <xdr:colOff>159488</xdr:colOff>
      <xdr:row>415</xdr:row>
      <xdr:rowOff>141768</xdr:rowOff>
    </xdr:to>
    <xdr:graphicFrame macro="">
      <xdr:nvGraphicFramePr>
        <xdr:cNvPr id="7" name="Gráfico 6">
          <a:extLst>
            <a:ext uri="{FF2B5EF4-FFF2-40B4-BE49-F238E27FC236}">
              <a16:creationId xmlns:a16="http://schemas.microsoft.com/office/drawing/2014/main" id="{9539899B-644F-415B-8256-C2F1BDEBB17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13</xdr:col>
      <xdr:colOff>190196</xdr:colOff>
      <xdr:row>23</xdr:row>
      <xdr:rowOff>8768</xdr:rowOff>
    </xdr:from>
    <xdr:to>
      <xdr:col>16</xdr:col>
      <xdr:colOff>237401</xdr:colOff>
      <xdr:row>31</xdr:row>
      <xdr:rowOff>116346</xdr:rowOff>
    </xdr:to>
    <xdr:pic>
      <xdr:nvPicPr>
        <xdr:cNvPr id="3" name="Imagen 2">
          <a:extLst>
            <a:ext uri="{FF2B5EF4-FFF2-40B4-BE49-F238E27FC236}">
              <a16:creationId xmlns:a16="http://schemas.microsoft.com/office/drawing/2014/main" id="{FD0D18DA-92EC-4B88-81B1-2421FD26C8D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355232" y="6390518"/>
          <a:ext cx="2578133" cy="2067006"/>
        </a:xfrm>
        <a:prstGeom prst="rect">
          <a:avLst/>
        </a:prstGeom>
        <a:noFill/>
        <a:ln w="3175">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xdr:from>
      <xdr:col>5</xdr:col>
      <xdr:colOff>728427</xdr:colOff>
      <xdr:row>11</xdr:row>
      <xdr:rowOff>119547</xdr:rowOff>
    </xdr:from>
    <xdr:to>
      <xdr:col>12</xdr:col>
      <xdr:colOff>552701</xdr:colOff>
      <xdr:row>23</xdr:row>
      <xdr:rowOff>54118</xdr:rowOff>
    </xdr:to>
    <xdr:graphicFrame macro="">
      <xdr:nvGraphicFramePr>
        <xdr:cNvPr id="7" name="Gráfico 6">
          <a:extLst>
            <a:ext uri="{FF2B5EF4-FFF2-40B4-BE49-F238E27FC236}">
              <a16:creationId xmlns:a16="http://schemas.microsoft.com/office/drawing/2014/main" id="{D1EF9E40-E0F1-4428-AC6C-F4256509385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186359</xdr:colOff>
      <xdr:row>24</xdr:row>
      <xdr:rowOff>15855</xdr:rowOff>
    </xdr:from>
    <xdr:to>
      <xdr:col>8</xdr:col>
      <xdr:colOff>239485</xdr:colOff>
      <xdr:row>40</xdr:row>
      <xdr:rowOff>32657</xdr:rowOff>
    </xdr:to>
    <xdr:graphicFrame macro="">
      <xdr:nvGraphicFramePr>
        <xdr:cNvPr id="4" name="Gráfico 3">
          <a:extLst>
            <a:ext uri="{FF2B5EF4-FFF2-40B4-BE49-F238E27FC236}">
              <a16:creationId xmlns:a16="http://schemas.microsoft.com/office/drawing/2014/main" id="{2423D020-CCBA-4DB0-A784-710351AE48C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0</xdr:colOff>
      <xdr:row>0</xdr:row>
      <xdr:rowOff>0</xdr:rowOff>
    </xdr:from>
    <xdr:to>
      <xdr:col>2</xdr:col>
      <xdr:colOff>1891001</xdr:colOff>
      <xdr:row>6</xdr:row>
      <xdr:rowOff>223475</xdr:rowOff>
    </xdr:to>
    <xdr:pic>
      <xdr:nvPicPr>
        <xdr:cNvPr id="10" name="Imagen 9">
          <a:extLst>
            <a:ext uri="{FF2B5EF4-FFF2-40B4-BE49-F238E27FC236}">
              <a16:creationId xmlns:a16="http://schemas.microsoft.com/office/drawing/2014/main" id="{AD1CE56E-B581-4CFC-A100-A7FD40CB77B6}"/>
            </a:ext>
          </a:extLst>
        </xdr:cNvPr>
        <xdr:cNvPicPr>
          <a:picLocks noChangeAspect="1"/>
        </xdr:cNvPicPr>
      </xdr:nvPicPr>
      <xdr:blipFill rotWithShape="1">
        <a:blip xmlns:r="http://schemas.openxmlformats.org/officeDocument/2006/relationships" r:embed="rId4">
          <a:extLst>
            <a:ext uri="{BEBA8EAE-BF5A-486C-A8C5-ECC9F3942E4B}">
              <a14:imgProps xmlns:a14="http://schemas.microsoft.com/office/drawing/2010/main">
                <a14:imgLayer r:embed="rId5">
                  <a14:imgEffect>
                    <a14:brightnessContrast contrast="-2000"/>
                  </a14:imgEffect>
                </a14:imgLayer>
              </a14:imgProps>
            </a:ext>
            <a:ext uri="{28A0092B-C50C-407E-A947-70E740481C1C}">
              <a14:useLocalDpi xmlns:a14="http://schemas.microsoft.com/office/drawing/2010/main" val="0"/>
            </a:ext>
          </a:extLst>
        </a:blip>
        <a:srcRect r="51561"/>
        <a:stretch/>
      </xdr:blipFill>
      <xdr:spPr>
        <a:xfrm>
          <a:off x="0" y="0"/>
          <a:ext cx="3000383" cy="1433710"/>
        </a:xfrm>
        <a:prstGeom prst="rect">
          <a:avLst/>
        </a:prstGeom>
      </xdr:spPr>
    </xdr:pic>
    <xdr:clientData fLocksWithSheet="0"/>
  </xdr:twoCellAnchor>
  <xdr:twoCellAnchor editAs="oneCell">
    <xdr:from>
      <xdr:col>15</xdr:col>
      <xdr:colOff>276306</xdr:colOff>
      <xdr:row>0</xdr:row>
      <xdr:rowOff>0</xdr:rowOff>
    </xdr:from>
    <xdr:to>
      <xdr:col>16</xdr:col>
      <xdr:colOff>796216</xdr:colOff>
      <xdr:row>6</xdr:row>
      <xdr:rowOff>223475</xdr:rowOff>
    </xdr:to>
    <xdr:pic>
      <xdr:nvPicPr>
        <xdr:cNvPr id="11" name="Imagen 10">
          <a:extLst>
            <a:ext uri="{FF2B5EF4-FFF2-40B4-BE49-F238E27FC236}">
              <a16:creationId xmlns:a16="http://schemas.microsoft.com/office/drawing/2014/main" id="{C4E1D69D-B025-4AE9-8FF0-AFE0A433F486}"/>
            </a:ext>
          </a:extLst>
        </xdr:cNvPr>
        <xdr:cNvPicPr>
          <a:picLocks noChangeAspect="1"/>
        </xdr:cNvPicPr>
      </xdr:nvPicPr>
      <xdr:blipFill rotWithShape="1">
        <a:blip xmlns:r="http://schemas.openxmlformats.org/officeDocument/2006/relationships" r:embed="rId6">
          <a:extLst>
            <a:ext uri="{28A0092B-C50C-407E-A947-70E740481C1C}">
              <a14:useLocalDpi xmlns:a14="http://schemas.microsoft.com/office/drawing/2010/main" val="0"/>
            </a:ext>
          </a:extLst>
        </a:blip>
        <a:srcRect l="77704"/>
        <a:stretch/>
      </xdr:blipFill>
      <xdr:spPr>
        <a:xfrm>
          <a:off x="16748953" y="0"/>
          <a:ext cx="1382763" cy="1433710"/>
        </a:xfrm>
        <a:prstGeom prst="rect">
          <a:avLst/>
        </a:prstGeom>
      </xdr:spPr>
    </xdr:pic>
    <xdr:clientData/>
  </xdr:twoCellAnchor>
  <xdr:twoCellAnchor>
    <xdr:from>
      <xdr:col>13</xdr:col>
      <xdr:colOff>805541</xdr:colOff>
      <xdr:row>3</xdr:row>
      <xdr:rowOff>87084</xdr:rowOff>
    </xdr:from>
    <xdr:to>
      <xdr:col>16</xdr:col>
      <xdr:colOff>729342</xdr:colOff>
      <xdr:row>6</xdr:row>
      <xdr:rowOff>163285</xdr:rowOff>
    </xdr:to>
    <xdr:grpSp>
      <xdr:nvGrpSpPr>
        <xdr:cNvPr id="12" name="Grupo 11">
          <a:hlinkClick xmlns:r="http://schemas.openxmlformats.org/officeDocument/2006/relationships" r:id="rId7"/>
          <a:extLst>
            <a:ext uri="{FF2B5EF4-FFF2-40B4-BE49-F238E27FC236}">
              <a16:creationId xmlns:a16="http://schemas.microsoft.com/office/drawing/2014/main" id="{708907F8-617F-4D59-8456-4830650AFEBC}"/>
            </a:ext>
          </a:extLst>
        </xdr:cNvPr>
        <xdr:cNvGrpSpPr/>
      </xdr:nvGrpSpPr>
      <xdr:grpSpPr>
        <a:xfrm>
          <a:off x="16197941" y="674913"/>
          <a:ext cx="2503715" cy="664029"/>
          <a:chOff x="15620999" y="402771"/>
          <a:chExt cx="2503715" cy="664029"/>
        </a:xfrm>
      </xdr:grpSpPr>
      <xdr:pic>
        <xdr:nvPicPr>
          <xdr:cNvPr id="5" name="Gráfico 4" descr="Flecha lineal: giro a la izquierda">
            <a:extLst>
              <a:ext uri="{FF2B5EF4-FFF2-40B4-BE49-F238E27FC236}">
                <a16:creationId xmlns:a16="http://schemas.microsoft.com/office/drawing/2014/main" id="{9FB191DE-F551-4E3F-9987-69A87D4ADF7F}"/>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 uri="{96DAC541-7B7A-43D3-8B79-37D633B846F1}">
                <asvg:svgBlip xmlns:asvg="http://schemas.microsoft.com/office/drawing/2016/SVG/main" r:embed="rId9"/>
              </a:ext>
            </a:extLst>
          </a:blip>
          <a:stretch>
            <a:fillRect/>
          </a:stretch>
        </xdr:blipFill>
        <xdr:spPr>
          <a:xfrm>
            <a:off x="15620999" y="402771"/>
            <a:ext cx="664029" cy="664029"/>
          </a:xfrm>
          <a:prstGeom prst="rect">
            <a:avLst/>
          </a:prstGeom>
        </xdr:spPr>
      </xdr:pic>
      <xdr:sp macro="" textlink="">
        <xdr:nvSpPr>
          <xdr:cNvPr id="9" name="CuadroTexto 8">
            <a:extLst>
              <a:ext uri="{FF2B5EF4-FFF2-40B4-BE49-F238E27FC236}">
                <a16:creationId xmlns:a16="http://schemas.microsoft.com/office/drawing/2014/main" id="{F97A0B23-CC9E-433A-9310-6877E141A466}"/>
              </a:ext>
            </a:extLst>
          </xdr:cNvPr>
          <xdr:cNvSpPr txBox="1"/>
        </xdr:nvSpPr>
        <xdr:spPr>
          <a:xfrm>
            <a:off x="16306800" y="598714"/>
            <a:ext cx="1817914" cy="2830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200" b="1">
                <a:solidFill>
                  <a:srgbClr val="C00000"/>
                </a:solidFill>
                <a:latin typeface="Arial" panose="020B0604020202020204" pitchFamily="34" charset="0"/>
                <a:cs typeface="Arial" panose="020B0604020202020204" pitchFamily="34" charset="0"/>
              </a:rPr>
              <a:t>Volver a Guía</a:t>
            </a:r>
            <a:r>
              <a:rPr lang="es-CO" sz="1200" b="1" baseline="0">
                <a:solidFill>
                  <a:srgbClr val="C00000"/>
                </a:solidFill>
                <a:latin typeface="Arial" panose="020B0604020202020204" pitchFamily="34" charset="0"/>
                <a:cs typeface="Arial" panose="020B0604020202020204" pitchFamily="34" charset="0"/>
              </a:rPr>
              <a:t> de Uso</a:t>
            </a:r>
            <a:endParaRPr lang="es-CO" sz="1200" b="1">
              <a:solidFill>
                <a:srgbClr val="C00000"/>
              </a:solidFill>
              <a:latin typeface="Arial" panose="020B0604020202020204" pitchFamily="34" charset="0"/>
              <a:cs typeface="Arial" panose="020B0604020202020204" pitchFamily="34" charset="0"/>
            </a:endParaRPr>
          </a:p>
        </xdr:txBody>
      </xdr:sp>
    </xdr:grpSp>
    <xdr:clientData/>
  </xdr:twoCellAnchor>
  <xdr:twoCellAnchor editAs="oneCell">
    <xdr:from>
      <xdr:col>12</xdr:col>
      <xdr:colOff>163286</xdr:colOff>
      <xdr:row>7</xdr:row>
      <xdr:rowOff>239486</xdr:rowOff>
    </xdr:from>
    <xdr:to>
      <xdr:col>12</xdr:col>
      <xdr:colOff>1077686</xdr:colOff>
      <xdr:row>9</xdr:row>
      <xdr:rowOff>228600</xdr:rowOff>
    </xdr:to>
    <xdr:pic>
      <xdr:nvPicPr>
        <xdr:cNvPr id="14" name="Gráfico 13" descr="Flecha recta">
          <a:extLst>
            <a:ext uri="{FF2B5EF4-FFF2-40B4-BE49-F238E27FC236}">
              <a16:creationId xmlns:a16="http://schemas.microsoft.com/office/drawing/2014/main" id="{BBA13B79-EC77-42D8-9D12-561E9BC5DB73}"/>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 uri="{96DAC541-7B7A-43D3-8B79-37D633B846F1}">
              <asvg:svgBlip xmlns:asvg="http://schemas.microsoft.com/office/drawing/2016/SVG/main" r:embed="rId11"/>
            </a:ext>
          </a:extLst>
        </a:blip>
        <a:stretch>
          <a:fillRect/>
        </a:stretch>
      </xdr:blipFill>
      <xdr:spPr>
        <a:xfrm>
          <a:off x="14434457" y="1992086"/>
          <a:ext cx="914400" cy="9144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37475</xdr:colOff>
      <xdr:row>21</xdr:row>
      <xdr:rowOff>229809</xdr:rowOff>
    </xdr:from>
    <xdr:to>
      <xdr:col>7</xdr:col>
      <xdr:colOff>36286</xdr:colOff>
      <xdr:row>37</xdr:row>
      <xdr:rowOff>193524</xdr:rowOff>
    </xdr:to>
    <xdr:graphicFrame macro="">
      <xdr:nvGraphicFramePr>
        <xdr:cNvPr id="2" name="Gráfico 1">
          <a:extLst>
            <a:ext uri="{FF2B5EF4-FFF2-40B4-BE49-F238E27FC236}">
              <a16:creationId xmlns:a16="http://schemas.microsoft.com/office/drawing/2014/main" id="{0F847F52-908E-4D2C-BD48-5B83B637D9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1837</xdr:colOff>
      <xdr:row>78</xdr:row>
      <xdr:rowOff>211452</xdr:rowOff>
    </xdr:from>
    <xdr:to>
      <xdr:col>7</xdr:col>
      <xdr:colOff>72572</xdr:colOff>
      <xdr:row>94</xdr:row>
      <xdr:rowOff>193524</xdr:rowOff>
    </xdr:to>
    <xdr:graphicFrame macro="">
      <xdr:nvGraphicFramePr>
        <xdr:cNvPr id="3" name="Gráfico 2">
          <a:extLst>
            <a:ext uri="{FF2B5EF4-FFF2-40B4-BE49-F238E27FC236}">
              <a16:creationId xmlns:a16="http://schemas.microsoft.com/office/drawing/2014/main" id="{408A83CA-D293-4809-B1A2-DDF016444CD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327422</xdr:colOff>
      <xdr:row>143</xdr:row>
      <xdr:rowOff>2347</xdr:rowOff>
    </xdr:from>
    <xdr:to>
      <xdr:col>6</xdr:col>
      <xdr:colOff>1524000</xdr:colOff>
      <xdr:row>159</xdr:row>
      <xdr:rowOff>12094</xdr:rowOff>
    </xdr:to>
    <xdr:graphicFrame macro="">
      <xdr:nvGraphicFramePr>
        <xdr:cNvPr id="4" name="Gráfico 3">
          <a:extLst>
            <a:ext uri="{FF2B5EF4-FFF2-40B4-BE49-F238E27FC236}">
              <a16:creationId xmlns:a16="http://schemas.microsoft.com/office/drawing/2014/main" id="{A0349B7F-5895-485A-AF20-7ACFD0429C3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342304</xdr:colOff>
      <xdr:row>204</xdr:row>
      <xdr:rowOff>29767</xdr:rowOff>
    </xdr:from>
    <xdr:to>
      <xdr:col>6</xdr:col>
      <xdr:colOff>1451428</xdr:colOff>
      <xdr:row>220</xdr:row>
      <xdr:rowOff>48381</xdr:rowOff>
    </xdr:to>
    <xdr:graphicFrame macro="">
      <xdr:nvGraphicFramePr>
        <xdr:cNvPr id="5" name="Gráfico 4">
          <a:extLst>
            <a:ext uri="{FF2B5EF4-FFF2-40B4-BE49-F238E27FC236}">
              <a16:creationId xmlns:a16="http://schemas.microsoft.com/office/drawing/2014/main" id="{9204A1F2-2E9B-4AD4-B9DA-E395395A445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413744</xdr:colOff>
      <xdr:row>262</xdr:row>
      <xdr:rowOff>14882</xdr:rowOff>
    </xdr:from>
    <xdr:to>
      <xdr:col>7</xdr:col>
      <xdr:colOff>60475</xdr:colOff>
      <xdr:row>278</xdr:row>
      <xdr:rowOff>96761</xdr:rowOff>
    </xdr:to>
    <xdr:graphicFrame macro="">
      <xdr:nvGraphicFramePr>
        <xdr:cNvPr id="6" name="Gráfico 5">
          <a:extLst>
            <a:ext uri="{FF2B5EF4-FFF2-40B4-BE49-F238E27FC236}">
              <a16:creationId xmlns:a16="http://schemas.microsoft.com/office/drawing/2014/main" id="{B6A736FD-1DF9-4EE8-8ABC-268101EFED6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36073</xdr:colOff>
      <xdr:row>38</xdr:row>
      <xdr:rowOff>148827</xdr:rowOff>
    </xdr:from>
    <xdr:to>
      <xdr:col>12</xdr:col>
      <xdr:colOff>267890</xdr:colOff>
      <xdr:row>65</xdr:row>
      <xdr:rowOff>89297</xdr:rowOff>
    </xdr:to>
    <xdr:graphicFrame macro="">
      <xdr:nvGraphicFramePr>
        <xdr:cNvPr id="8" name="Gráfico 7">
          <a:extLst>
            <a:ext uri="{FF2B5EF4-FFF2-40B4-BE49-F238E27FC236}">
              <a16:creationId xmlns:a16="http://schemas.microsoft.com/office/drawing/2014/main" id="{CD3BC0B8-0CB7-4859-8BD4-F6ECE7445B7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59529</xdr:colOff>
      <xdr:row>98</xdr:row>
      <xdr:rowOff>230707</xdr:rowOff>
    </xdr:from>
    <xdr:to>
      <xdr:col>13</xdr:col>
      <xdr:colOff>967619</xdr:colOff>
      <xdr:row>124</xdr:row>
      <xdr:rowOff>181429</xdr:rowOff>
    </xdr:to>
    <xdr:graphicFrame macro="">
      <xdr:nvGraphicFramePr>
        <xdr:cNvPr id="9" name="Gráfico 8">
          <a:extLst>
            <a:ext uri="{FF2B5EF4-FFF2-40B4-BE49-F238E27FC236}">
              <a16:creationId xmlns:a16="http://schemas.microsoft.com/office/drawing/2014/main" id="{405E5EC8-B69B-4277-A804-5EB6E0CCF8F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310710</xdr:colOff>
      <xdr:row>160</xdr:row>
      <xdr:rowOff>26372</xdr:rowOff>
    </xdr:from>
    <xdr:to>
      <xdr:col>13</xdr:col>
      <xdr:colOff>919237</xdr:colOff>
      <xdr:row>191</xdr:row>
      <xdr:rowOff>12096</xdr:rowOff>
    </xdr:to>
    <xdr:graphicFrame macro="">
      <xdr:nvGraphicFramePr>
        <xdr:cNvPr id="10" name="Gráfico 9">
          <a:extLst>
            <a:ext uri="{FF2B5EF4-FFF2-40B4-BE49-F238E27FC236}">
              <a16:creationId xmlns:a16="http://schemas.microsoft.com/office/drawing/2014/main" id="{38335704-F297-4E0E-9869-7B3570CE15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340789</xdr:colOff>
      <xdr:row>221</xdr:row>
      <xdr:rowOff>174047</xdr:rowOff>
    </xdr:from>
    <xdr:to>
      <xdr:col>12</xdr:col>
      <xdr:colOff>668211</xdr:colOff>
      <xdr:row>250</xdr:row>
      <xdr:rowOff>26737</xdr:rowOff>
    </xdr:to>
    <xdr:graphicFrame macro="">
      <xdr:nvGraphicFramePr>
        <xdr:cNvPr id="11" name="Gráfico 10">
          <a:extLst>
            <a:ext uri="{FF2B5EF4-FFF2-40B4-BE49-F238E27FC236}">
              <a16:creationId xmlns:a16="http://schemas.microsoft.com/office/drawing/2014/main" id="{8CAEE1D5-387E-4626-AB85-6BE14A66A3F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44649</xdr:colOff>
      <xdr:row>279</xdr:row>
      <xdr:rowOff>178591</xdr:rowOff>
    </xdr:from>
    <xdr:to>
      <xdr:col>14</xdr:col>
      <xdr:colOff>822476</xdr:colOff>
      <xdr:row>320</xdr:row>
      <xdr:rowOff>157238</xdr:rowOff>
    </xdr:to>
    <xdr:graphicFrame macro="">
      <xdr:nvGraphicFramePr>
        <xdr:cNvPr id="12" name="Gráfico 11">
          <a:extLst>
            <a:ext uri="{FF2B5EF4-FFF2-40B4-BE49-F238E27FC236}">
              <a16:creationId xmlns:a16="http://schemas.microsoft.com/office/drawing/2014/main" id="{260D33CB-A0B2-4A77-B4E2-4D7DDD874C7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oneCell">
    <xdr:from>
      <xdr:col>0</xdr:col>
      <xdr:colOff>0</xdr:colOff>
      <xdr:row>0</xdr:row>
      <xdr:rowOff>187157</xdr:rowOff>
    </xdr:from>
    <xdr:to>
      <xdr:col>2</xdr:col>
      <xdr:colOff>1690278</xdr:colOff>
      <xdr:row>5</xdr:row>
      <xdr:rowOff>310762</xdr:rowOff>
    </xdr:to>
    <xdr:pic>
      <xdr:nvPicPr>
        <xdr:cNvPr id="13" name="Imagen 12">
          <a:extLst>
            <a:ext uri="{FF2B5EF4-FFF2-40B4-BE49-F238E27FC236}">
              <a16:creationId xmlns:a16="http://schemas.microsoft.com/office/drawing/2014/main" id="{8A01E6AB-349D-40EC-A432-2944798B5AF8}"/>
            </a:ext>
          </a:extLst>
        </xdr:cNvPr>
        <xdr:cNvPicPr>
          <a:picLocks noChangeAspect="1"/>
        </xdr:cNvPicPr>
      </xdr:nvPicPr>
      <xdr:blipFill rotWithShape="1">
        <a:blip xmlns:r="http://schemas.openxmlformats.org/officeDocument/2006/relationships" r:embed="rId11">
          <a:extLst>
            <a:ext uri="{BEBA8EAE-BF5A-486C-A8C5-ECC9F3942E4B}">
              <a14:imgProps xmlns:a14="http://schemas.microsoft.com/office/drawing/2010/main">
                <a14:imgLayer r:embed="rId12">
                  <a14:imgEffect>
                    <a14:brightnessContrast contrast="-2000"/>
                  </a14:imgEffect>
                </a14:imgLayer>
              </a14:imgProps>
            </a:ext>
            <a:ext uri="{28A0092B-C50C-407E-A947-70E740481C1C}">
              <a14:useLocalDpi xmlns:a14="http://schemas.microsoft.com/office/drawing/2010/main" val="0"/>
            </a:ext>
          </a:extLst>
        </a:blip>
        <a:srcRect r="51561"/>
        <a:stretch/>
      </xdr:blipFill>
      <xdr:spPr>
        <a:xfrm>
          <a:off x="0" y="187157"/>
          <a:ext cx="3000383" cy="1433710"/>
        </a:xfrm>
        <a:prstGeom prst="rect">
          <a:avLst/>
        </a:prstGeom>
      </xdr:spPr>
    </xdr:pic>
    <xdr:clientData fLocksWithSheet="0"/>
  </xdr:twoCellAnchor>
  <xdr:twoCellAnchor editAs="oneCell">
    <xdr:from>
      <xdr:col>24</xdr:col>
      <xdr:colOff>195710</xdr:colOff>
      <xdr:row>1</xdr:row>
      <xdr:rowOff>42012</xdr:rowOff>
    </xdr:from>
    <xdr:to>
      <xdr:col>25</xdr:col>
      <xdr:colOff>718438</xdr:colOff>
      <xdr:row>5</xdr:row>
      <xdr:rowOff>359141</xdr:rowOff>
    </xdr:to>
    <xdr:pic>
      <xdr:nvPicPr>
        <xdr:cNvPr id="14" name="Imagen 13">
          <a:extLst>
            <a:ext uri="{FF2B5EF4-FFF2-40B4-BE49-F238E27FC236}">
              <a16:creationId xmlns:a16="http://schemas.microsoft.com/office/drawing/2014/main" id="{E7EACE38-D0D6-4050-90B1-1145A3B23F46}"/>
            </a:ext>
          </a:extLst>
        </xdr:cNvPr>
        <xdr:cNvPicPr>
          <a:picLocks noChangeAspect="1"/>
        </xdr:cNvPicPr>
      </xdr:nvPicPr>
      <xdr:blipFill rotWithShape="1">
        <a:blip xmlns:r="http://schemas.openxmlformats.org/officeDocument/2006/relationships" r:embed="rId13">
          <a:extLst>
            <a:ext uri="{28A0092B-C50C-407E-A947-70E740481C1C}">
              <a14:useLocalDpi xmlns:a14="http://schemas.microsoft.com/office/drawing/2010/main" val="0"/>
            </a:ext>
          </a:extLst>
        </a:blip>
        <a:srcRect l="77704"/>
        <a:stretch/>
      </xdr:blipFill>
      <xdr:spPr>
        <a:xfrm>
          <a:off x="27458377" y="235536"/>
          <a:ext cx="1381490" cy="1417795"/>
        </a:xfrm>
        <a:prstGeom prst="rect">
          <a:avLst/>
        </a:prstGeom>
      </xdr:spPr>
    </xdr:pic>
    <xdr:clientData/>
  </xdr:twoCellAnchor>
  <xdr:twoCellAnchor>
    <xdr:from>
      <xdr:col>23</xdr:col>
      <xdr:colOff>229812</xdr:colOff>
      <xdr:row>4</xdr:row>
      <xdr:rowOff>193523</xdr:rowOff>
    </xdr:from>
    <xdr:to>
      <xdr:col>26</xdr:col>
      <xdr:colOff>36288</xdr:colOff>
      <xdr:row>5</xdr:row>
      <xdr:rowOff>410029</xdr:rowOff>
    </xdr:to>
    <xdr:grpSp>
      <xdr:nvGrpSpPr>
        <xdr:cNvPr id="15" name="Grupo 14">
          <a:hlinkClick xmlns:r="http://schemas.openxmlformats.org/officeDocument/2006/relationships" r:id="rId14"/>
          <a:extLst>
            <a:ext uri="{FF2B5EF4-FFF2-40B4-BE49-F238E27FC236}">
              <a16:creationId xmlns:a16="http://schemas.microsoft.com/office/drawing/2014/main" id="{6B6DF5D6-D53D-471A-9C0D-1F0B1350A949}"/>
            </a:ext>
          </a:extLst>
        </xdr:cNvPr>
        <xdr:cNvGrpSpPr/>
      </xdr:nvGrpSpPr>
      <xdr:grpSpPr>
        <a:xfrm>
          <a:off x="30068764" y="1040190"/>
          <a:ext cx="2612572" cy="664029"/>
          <a:chOff x="15620999" y="402771"/>
          <a:chExt cx="2503715" cy="664029"/>
        </a:xfrm>
      </xdr:grpSpPr>
      <xdr:pic>
        <xdr:nvPicPr>
          <xdr:cNvPr id="16" name="Gráfico 15" descr="Flecha lineal: giro a la izquierda">
            <a:extLst>
              <a:ext uri="{FF2B5EF4-FFF2-40B4-BE49-F238E27FC236}">
                <a16:creationId xmlns:a16="http://schemas.microsoft.com/office/drawing/2014/main" id="{9841EFCC-11F5-4D52-B646-DE323F2E0387}"/>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 uri="{96DAC541-7B7A-43D3-8B79-37D633B846F1}">
                <asvg:svgBlip xmlns:asvg="http://schemas.microsoft.com/office/drawing/2016/SVG/main" r:embed="rId16"/>
              </a:ext>
            </a:extLst>
          </a:blip>
          <a:stretch>
            <a:fillRect/>
          </a:stretch>
        </xdr:blipFill>
        <xdr:spPr>
          <a:xfrm>
            <a:off x="15620999" y="402771"/>
            <a:ext cx="664029" cy="664029"/>
          </a:xfrm>
          <a:prstGeom prst="rect">
            <a:avLst/>
          </a:prstGeom>
        </xdr:spPr>
      </xdr:pic>
      <xdr:sp macro="" textlink="">
        <xdr:nvSpPr>
          <xdr:cNvPr id="17" name="CuadroTexto 16">
            <a:extLst>
              <a:ext uri="{FF2B5EF4-FFF2-40B4-BE49-F238E27FC236}">
                <a16:creationId xmlns:a16="http://schemas.microsoft.com/office/drawing/2014/main" id="{0E9AAA90-C189-4552-9684-20FC17F42022}"/>
              </a:ext>
            </a:extLst>
          </xdr:cNvPr>
          <xdr:cNvSpPr txBox="1"/>
        </xdr:nvSpPr>
        <xdr:spPr>
          <a:xfrm>
            <a:off x="16306800" y="598714"/>
            <a:ext cx="1817914" cy="2830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200" b="1">
                <a:solidFill>
                  <a:srgbClr val="C00000"/>
                </a:solidFill>
                <a:latin typeface="Arial" panose="020B0604020202020204" pitchFamily="34" charset="0"/>
                <a:cs typeface="Arial" panose="020B0604020202020204" pitchFamily="34" charset="0"/>
              </a:rPr>
              <a:t>Volver a Guía</a:t>
            </a:r>
            <a:r>
              <a:rPr lang="es-CO" sz="1200" b="1" baseline="0">
                <a:solidFill>
                  <a:srgbClr val="C00000"/>
                </a:solidFill>
                <a:latin typeface="Arial" panose="020B0604020202020204" pitchFamily="34" charset="0"/>
                <a:cs typeface="Arial" panose="020B0604020202020204" pitchFamily="34" charset="0"/>
              </a:rPr>
              <a:t> de Uso</a:t>
            </a:r>
            <a:endParaRPr lang="es-CO" sz="1200" b="1">
              <a:solidFill>
                <a:srgbClr val="C00000"/>
              </a:solidFill>
              <a:latin typeface="Arial" panose="020B0604020202020204" pitchFamily="34" charset="0"/>
              <a:cs typeface="Arial" panose="020B0604020202020204" pitchFamily="34" charset="0"/>
            </a:endParaRP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1219200</xdr:colOff>
      <xdr:row>209</xdr:row>
      <xdr:rowOff>89102</xdr:rowOff>
    </xdr:from>
    <xdr:to>
      <xdr:col>4</xdr:col>
      <xdr:colOff>533400</xdr:colOff>
      <xdr:row>237</xdr:row>
      <xdr:rowOff>63500</xdr:rowOff>
    </xdr:to>
    <xdr:graphicFrame macro="">
      <xdr:nvGraphicFramePr>
        <xdr:cNvPr id="2" name="1 Gráfico">
          <a:extLst>
            <a:ext uri="{FF2B5EF4-FFF2-40B4-BE49-F238E27FC236}">
              <a16:creationId xmlns:a16="http://schemas.microsoft.com/office/drawing/2014/main" id="{00000000-0008-0000-03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736798</xdr:colOff>
      <xdr:row>207</xdr:row>
      <xdr:rowOff>66241</xdr:rowOff>
    </xdr:from>
    <xdr:to>
      <xdr:col>23</xdr:col>
      <xdr:colOff>342900</xdr:colOff>
      <xdr:row>236</xdr:row>
      <xdr:rowOff>152400</xdr:rowOff>
    </xdr:to>
    <xdr:graphicFrame macro="">
      <xdr:nvGraphicFramePr>
        <xdr:cNvPr id="3" name="2 Gráfico">
          <a:extLst>
            <a:ext uri="{FF2B5EF4-FFF2-40B4-BE49-F238E27FC236}">
              <a16:creationId xmlns:a16="http://schemas.microsoft.com/office/drawing/2014/main" id="{00000000-0008-0000-03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68262</xdr:colOff>
      <xdr:row>207</xdr:row>
      <xdr:rowOff>48188</xdr:rowOff>
    </xdr:from>
    <xdr:to>
      <xdr:col>14</xdr:col>
      <xdr:colOff>751540</xdr:colOff>
      <xdr:row>237</xdr:row>
      <xdr:rowOff>21431</xdr:rowOff>
    </xdr:to>
    <xdr:graphicFrame macro="">
      <xdr:nvGraphicFramePr>
        <xdr:cNvPr id="4" name="3 Gráfico">
          <a:extLst>
            <a:ext uri="{FF2B5EF4-FFF2-40B4-BE49-F238E27FC236}">
              <a16:creationId xmlns:a16="http://schemas.microsoft.com/office/drawing/2014/main" id="{00000000-0008-0000-03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23</xdr:col>
      <xdr:colOff>5300</xdr:colOff>
      <xdr:row>195</xdr:row>
      <xdr:rowOff>121277</xdr:rowOff>
    </xdr:from>
    <xdr:to>
      <xdr:col>36</xdr:col>
      <xdr:colOff>102011</xdr:colOff>
      <xdr:row>215</xdr:row>
      <xdr:rowOff>135825</xdr:rowOff>
    </xdr:to>
    <xdr:graphicFrame macro="">
      <xdr:nvGraphicFramePr>
        <xdr:cNvPr id="5" name="Gráfico 4">
          <a:extLst>
            <a:ext uri="{FF2B5EF4-FFF2-40B4-BE49-F238E27FC236}">
              <a16:creationId xmlns:a16="http://schemas.microsoft.com/office/drawing/2014/main" id="{13A5482A-3C7E-40FC-8192-4A7BFF12DD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56</xdr:col>
      <xdr:colOff>554626</xdr:colOff>
      <xdr:row>170</xdr:row>
      <xdr:rowOff>65646</xdr:rowOff>
    </xdr:from>
    <xdr:to>
      <xdr:col>67</xdr:col>
      <xdr:colOff>97213</xdr:colOff>
      <xdr:row>189</xdr:row>
      <xdr:rowOff>41738</xdr:rowOff>
    </xdr:to>
    <xdr:graphicFrame macro="">
      <xdr:nvGraphicFramePr>
        <xdr:cNvPr id="6" name="Gráfico 5">
          <a:extLst>
            <a:ext uri="{FF2B5EF4-FFF2-40B4-BE49-F238E27FC236}">
              <a16:creationId xmlns:a16="http://schemas.microsoft.com/office/drawing/2014/main" id="{DEF481E8-EBA8-48C5-AC58-9A95CDF254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41</xdr:col>
      <xdr:colOff>756780</xdr:colOff>
      <xdr:row>207</xdr:row>
      <xdr:rowOff>156574</xdr:rowOff>
    </xdr:from>
    <xdr:to>
      <xdr:col>59</xdr:col>
      <xdr:colOff>548013</xdr:colOff>
      <xdr:row>238</xdr:row>
      <xdr:rowOff>13047</xdr:rowOff>
    </xdr:to>
    <xdr:graphicFrame macro="">
      <xdr:nvGraphicFramePr>
        <xdr:cNvPr id="7" name="Gráfico 6">
          <a:extLst>
            <a:ext uri="{FF2B5EF4-FFF2-40B4-BE49-F238E27FC236}">
              <a16:creationId xmlns:a16="http://schemas.microsoft.com/office/drawing/2014/main" id="{6113A689-B5CC-4DE1-A485-10410852F17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14</xdr:col>
      <xdr:colOff>208352</xdr:colOff>
      <xdr:row>293</xdr:row>
      <xdr:rowOff>40341</xdr:rowOff>
    </xdr:from>
    <xdr:to>
      <xdr:col>25</xdr:col>
      <xdr:colOff>125351</xdr:colOff>
      <xdr:row>316</xdr:row>
      <xdr:rowOff>11205</xdr:rowOff>
    </xdr:to>
    <xdr:graphicFrame macro="">
      <xdr:nvGraphicFramePr>
        <xdr:cNvPr id="11" name="Gráfico 10">
          <a:extLst>
            <a:ext uri="{FF2B5EF4-FFF2-40B4-BE49-F238E27FC236}">
              <a16:creationId xmlns:a16="http://schemas.microsoft.com/office/drawing/2014/main" id="{DEE6D90B-8455-4308-B48E-A5AB6D586E9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14</xdr:col>
      <xdr:colOff>305425</xdr:colOff>
      <xdr:row>318</xdr:row>
      <xdr:rowOff>35443</xdr:rowOff>
    </xdr:from>
    <xdr:to>
      <xdr:col>25</xdr:col>
      <xdr:colOff>222424</xdr:colOff>
      <xdr:row>341</xdr:row>
      <xdr:rowOff>14907</xdr:rowOff>
    </xdr:to>
    <xdr:graphicFrame macro="">
      <xdr:nvGraphicFramePr>
        <xdr:cNvPr id="12" name="Gráfico 11">
          <a:extLst>
            <a:ext uri="{FF2B5EF4-FFF2-40B4-BE49-F238E27FC236}">
              <a16:creationId xmlns:a16="http://schemas.microsoft.com/office/drawing/2014/main" id="{800DD522-F5CB-43F1-824E-BD9A14FA486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14</xdr:col>
      <xdr:colOff>478466</xdr:colOff>
      <xdr:row>344</xdr:row>
      <xdr:rowOff>0</xdr:rowOff>
    </xdr:from>
    <xdr:to>
      <xdr:col>25</xdr:col>
      <xdr:colOff>394683</xdr:colOff>
      <xdr:row>366</xdr:row>
      <xdr:rowOff>138953</xdr:rowOff>
    </xdr:to>
    <xdr:graphicFrame macro="">
      <xdr:nvGraphicFramePr>
        <xdr:cNvPr id="13" name="Gráfico 12">
          <a:extLst>
            <a:ext uri="{FF2B5EF4-FFF2-40B4-BE49-F238E27FC236}">
              <a16:creationId xmlns:a16="http://schemas.microsoft.com/office/drawing/2014/main" id="{597E74C9-0B4C-48B4-8E6F-74F68B5D845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0</xdr:colOff>
      <xdr:row>294</xdr:row>
      <xdr:rowOff>0</xdr:rowOff>
    </xdr:from>
    <xdr:to>
      <xdr:col>38</xdr:col>
      <xdr:colOff>218256</xdr:colOff>
      <xdr:row>316</xdr:row>
      <xdr:rowOff>130352</xdr:rowOff>
    </xdr:to>
    <xdr:graphicFrame macro="">
      <xdr:nvGraphicFramePr>
        <xdr:cNvPr id="14" name="Gráfico 13">
          <a:extLst>
            <a:ext uri="{FF2B5EF4-FFF2-40B4-BE49-F238E27FC236}">
              <a16:creationId xmlns:a16="http://schemas.microsoft.com/office/drawing/2014/main" id="{A906082E-BD4A-458F-828C-20B0C495B0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27</xdr:col>
      <xdr:colOff>0</xdr:colOff>
      <xdr:row>318</xdr:row>
      <xdr:rowOff>0</xdr:rowOff>
    </xdr:from>
    <xdr:to>
      <xdr:col>38</xdr:col>
      <xdr:colOff>218256</xdr:colOff>
      <xdr:row>340</xdr:row>
      <xdr:rowOff>130353</xdr:rowOff>
    </xdr:to>
    <xdr:graphicFrame macro="">
      <xdr:nvGraphicFramePr>
        <xdr:cNvPr id="15" name="Gráfico 14">
          <a:extLst>
            <a:ext uri="{FF2B5EF4-FFF2-40B4-BE49-F238E27FC236}">
              <a16:creationId xmlns:a16="http://schemas.microsoft.com/office/drawing/2014/main" id="{30AD1887-3C17-44FD-A266-27543CB9F8C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27</xdr:col>
      <xdr:colOff>0</xdr:colOff>
      <xdr:row>343</xdr:row>
      <xdr:rowOff>0</xdr:rowOff>
    </xdr:from>
    <xdr:to>
      <xdr:col>38</xdr:col>
      <xdr:colOff>218256</xdr:colOff>
      <xdr:row>365</xdr:row>
      <xdr:rowOff>130353</xdr:rowOff>
    </xdr:to>
    <xdr:graphicFrame macro="">
      <xdr:nvGraphicFramePr>
        <xdr:cNvPr id="16" name="Gráfico 15">
          <a:extLst>
            <a:ext uri="{FF2B5EF4-FFF2-40B4-BE49-F238E27FC236}">
              <a16:creationId xmlns:a16="http://schemas.microsoft.com/office/drawing/2014/main" id="{356B9B2C-1D47-4632-929D-C8D4E5E9B28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188</xdr:row>
      <xdr:rowOff>98461</xdr:rowOff>
    </xdr:from>
    <xdr:to>
      <xdr:col>2</xdr:col>
      <xdr:colOff>743966</xdr:colOff>
      <xdr:row>214</xdr:row>
      <xdr:rowOff>131197</xdr:rowOff>
    </xdr:to>
    <xdr:graphicFrame macro="">
      <xdr:nvGraphicFramePr>
        <xdr:cNvPr id="2" name="1 Gráfico">
          <a:extLst>
            <a:ext uri="{FF2B5EF4-FFF2-40B4-BE49-F238E27FC236}">
              <a16:creationId xmlns:a16="http://schemas.microsoft.com/office/drawing/2014/main" id="{00000000-0008-0000-04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77494</xdr:colOff>
      <xdr:row>204</xdr:row>
      <xdr:rowOff>4669</xdr:rowOff>
    </xdr:from>
    <xdr:to>
      <xdr:col>16</xdr:col>
      <xdr:colOff>868947</xdr:colOff>
      <xdr:row>226</xdr:row>
      <xdr:rowOff>0</xdr:rowOff>
    </xdr:to>
    <xdr:graphicFrame macro="">
      <xdr:nvGraphicFramePr>
        <xdr:cNvPr id="5" name="4 Gráfico">
          <a:extLst>
            <a:ext uri="{FF2B5EF4-FFF2-40B4-BE49-F238E27FC236}">
              <a16:creationId xmlns:a16="http://schemas.microsoft.com/office/drawing/2014/main" id="{00000000-0008-0000-04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143341</xdr:colOff>
      <xdr:row>204</xdr:row>
      <xdr:rowOff>46244</xdr:rowOff>
    </xdr:from>
    <xdr:to>
      <xdr:col>9</xdr:col>
      <xdr:colOff>1036052</xdr:colOff>
      <xdr:row>226</xdr:row>
      <xdr:rowOff>66841</xdr:rowOff>
    </xdr:to>
    <xdr:graphicFrame macro="">
      <xdr:nvGraphicFramePr>
        <xdr:cNvPr id="4" name="3 Gráfico">
          <a:extLst>
            <a:ext uri="{FF2B5EF4-FFF2-40B4-BE49-F238E27FC236}">
              <a16:creationId xmlns:a16="http://schemas.microsoft.com/office/drawing/2014/main" id="{00000000-0008-0000-04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30</xdr:col>
      <xdr:colOff>346363</xdr:colOff>
      <xdr:row>217</xdr:row>
      <xdr:rowOff>158597</xdr:rowOff>
    </xdr:from>
    <xdr:to>
      <xdr:col>39</xdr:col>
      <xdr:colOff>238850</xdr:colOff>
      <xdr:row>239</xdr:row>
      <xdr:rowOff>118753</xdr:rowOff>
    </xdr:to>
    <xdr:graphicFrame macro="">
      <xdr:nvGraphicFramePr>
        <xdr:cNvPr id="6" name="Gráfico 5">
          <a:extLst>
            <a:ext uri="{FF2B5EF4-FFF2-40B4-BE49-F238E27FC236}">
              <a16:creationId xmlns:a16="http://schemas.microsoft.com/office/drawing/2014/main" id="{2754AF51-3BC3-4EF8-A734-5896F1BFB51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58</xdr:col>
      <xdr:colOff>0</xdr:colOff>
      <xdr:row>275</xdr:row>
      <xdr:rowOff>168232</xdr:rowOff>
    </xdr:from>
    <xdr:to>
      <xdr:col>73</xdr:col>
      <xdr:colOff>346364</xdr:colOff>
      <xdr:row>299</xdr:row>
      <xdr:rowOff>158337</xdr:rowOff>
    </xdr:to>
    <xdr:graphicFrame macro="">
      <xdr:nvGraphicFramePr>
        <xdr:cNvPr id="8" name="Gráfico 7">
          <a:extLst>
            <a:ext uri="{FF2B5EF4-FFF2-40B4-BE49-F238E27FC236}">
              <a16:creationId xmlns:a16="http://schemas.microsoft.com/office/drawing/2014/main" id="{518812F8-5C26-422B-ACBF-D353D1A9053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78</xdr:col>
      <xdr:colOff>0</xdr:colOff>
      <xdr:row>276</xdr:row>
      <xdr:rowOff>0</xdr:rowOff>
    </xdr:from>
    <xdr:to>
      <xdr:col>95</xdr:col>
      <xdr:colOff>43805</xdr:colOff>
      <xdr:row>299</xdr:row>
      <xdr:rowOff>158193</xdr:rowOff>
    </xdr:to>
    <xdr:graphicFrame macro="">
      <xdr:nvGraphicFramePr>
        <xdr:cNvPr id="9" name="Gráfico 8">
          <a:extLst>
            <a:ext uri="{FF2B5EF4-FFF2-40B4-BE49-F238E27FC236}">
              <a16:creationId xmlns:a16="http://schemas.microsoft.com/office/drawing/2014/main" id="{10F446FF-3767-4629-97B6-06647C5973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1</xdr:col>
      <xdr:colOff>648525</xdr:colOff>
      <xdr:row>279</xdr:row>
      <xdr:rowOff>18746</xdr:rowOff>
    </xdr:from>
    <xdr:to>
      <xdr:col>7</xdr:col>
      <xdr:colOff>789655</xdr:colOff>
      <xdr:row>302</xdr:row>
      <xdr:rowOff>29189</xdr:rowOff>
    </xdr:to>
    <xdr:graphicFrame macro="">
      <xdr:nvGraphicFramePr>
        <xdr:cNvPr id="2" name="1 Gráfico">
          <a:extLst>
            <a:ext uri="{FF2B5EF4-FFF2-40B4-BE49-F238E27FC236}">
              <a16:creationId xmlns:a16="http://schemas.microsoft.com/office/drawing/2014/main" id="{00000000-0008-0000-05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12061</xdr:colOff>
      <xdr:row>204</xdr:row>
      <xdr:rowOff>59070</xdr:rowOff>
    </xdr:from>
    <xdr:to>
      <xdr:col>18</xdr:col>
      <xdr:colOff>46089</xdr:colOff>
      <xdr:row>224</xdr:row>
      <xdr:rowOff>15363</xdr:rowOff>
    </xdr:to>
    <xdr:graphicFrame macro="">
      <xdr:nvGraphicFramePr>
        <xdr:cNvPr id="3" name="2 Gráfico">
          <a:extLst>
            <a:ext uri="{FF2B5EF4-FFF2-40B4-BE49-F238E27FC236}">
              <a16:creationId xmlns:a16="http://schemas.microsoft.com/office/drawing/2014/main" id="{00000000-0008-0000-05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128522</xdr:colOff>
      <xdr:row>204</xdr:row>
      <xdr:rowOff>16805</xdr:rowOff>
    </xdr:from>
    <xdr:to>
      <xdr:col>11</xdr:col>
      <xdr:colOff>-1</xdr:colOff>
      <xdr:row>224</xdr:row>
      <xdr:rowOff>107540</xdr:rowOff>
    </xdr:to>
    <xdr:graphicFrame macro="">
      <xdr:nvGraphicFramePr>
        <xdr:cNvPr id="4" name="3 Gráfico">
          <a:extLst>
            <a:ext uri="{FF2B5EF4-FFF2-40B4-BE49-F238E27FC236}">
              <a16:creationId xmlns:a16="http://schemas.microsoft.com/office/drawing/2014/main" id="{00000000-0008-0000-05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30727</xdr:colOff>
      <xdr:row>238</xdr:row>
      <xdr:rowOff>30726</xdr:rowOff>
    </xdr:from>
    <xdr:to>
      <xdr:col>15</xdr:col>
      <xdr:colOff>727996</xdr:colOff>
      <xdr:row>268</xdr:row>
      <xdr:rowOff>12350</xdr:rowOff>
    </xdr:to>
    <xdr:graphicFrame macro="">
      <xdr:nvGraphicFramePr>
        <xdr:cNvPr id="8" name="Gráfico 7">
          <a:extLst>
            <a:ext uri="{FF2B5EF4-FFF2-40B4-BE49-F238E27FC236}">
              <a16:creationId xmlns:a16="http://schemas.microsoft.com/office/drawing/2014/main" id="{1282E5EB-D9F2-418A-9635-35D1DEF84F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17</xdr:col>
      <xdr:colOff>584726</xdr:colOff>
      <xdr:row>210</xdr:row>
      <xdr:rowOff>95408</xdr:rowOff>
    </xdr:from>
    <xdr:to>
      <xdr:col>25</xdr:col>
      <xdr:colOff>167670</xdr:colOff>
      <xdr:row>230</xdr:row>
      <xdr:rowOff>147524</xdr:rowOff>
    </xdr:to>
    <xdr:graphicFrame macro="">
      <xdr:nvGraphicFramePr>
        <xdr:cNvPr id="2" name="1 Gráfico">
          <a:extLst>
            <a:ext uri="{FF2B5EF4-FFF2-40B4-BE49-F238E27FC236}">
              <a16:creationId xmlns:a16="http://schemas.microsoft.com/office/drawing/2014/main" id="{00000000-0008-0000-06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131530</xdr:colOff>
      <xdr:row>205</xdr:row>
      <xdr:rowOff>70340</xdr:rowOff>
    </xdr:from>
    <xdr:to>
      <xdr:col>10</xdr:col>
      <xdr:colOff>351293</xdr:colOff>
      <xdr:row>229</xdr:row>
      <xdr:rowOff>161174</xdr:rowOff>
    </xdr:to>
    <xdr:graphicFrame macro="">
      <xdr:nvGraphicFramePr>
        <xdr:cNvPr id="4" name="3 Gráfico">
          <a:extLst>
            <a:ext uri="{FF2B5EF4-FFF2-40B4-BE49-F238E27FC236}">
              <a16:creationId xmlns:a16="http://schemas.microsoft.com/office/drawing/2014/main" id="{00000000-0008-0000-06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41590</xdr:colOff>
      <xdr:row>205</xdr:row>
      <xdr:rowOff>143153</xdr:rowOff>
    </xdr:from>
    <xdr:to>
      <xdr:col>17</xdr:col>
      <xdr:colOff>287392</xdr:colOff>
      <xdr:row>229</xdr:row>
      <xdr:rowOff>153275</xdr:rowOff>
    </xdr:to>
    <xdr:graphicFrame macro="">
      <xdr:nvGraphicFramePr>
        <xdr:cNvPr id="3" name="2 Gráfico">
          <a:extLst>
            <a:ext uri="{FF2B5EF4-FFF2-40B4-BE49-F238E27FC236}">
              <a16:creationId xmlns:a16="http://schemas.microsoft.com/office/drawing/2014/main" id="{00000000-0008-0000-06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0</xdr:colOff>
      <xdr:row>242</xdr:row>
      <xdr:rowOff>0</xdr:rowOff>
    </xdr:from>
    <xdr:to>
      <xdr:col>17</xdr:col>
      <xdr:colOff>762959</xdr:colOff>
      <xdr:row>271</xdr:row>
      <xdr:rowOff>135253</xdr:rowOff>
    </xdr:to>
    <xdr:graphicFrame macro="">
      <xdr:nvGraphicFramePr>
        <xdr:cNvPr id="5" name="Gráfico 4">
          <a:extLst>
            <a:ext uri="{FF2B5EF4-FFF2-40B4-BE49-F238E27FC236}">
              <a16:creationId xmlns:a16="http://schemas.microsoft.com/office/drawing/2014/main" id="{4412E5DD-7F44-4BF8-A9C4-A107529A8ED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27</xdr:col>
      <xdr:colOff>748414</xdr:colOff>
      <xdr:row>214</xdr:row>
      <xdr:rowOff>111794</xdr:rowOff>
    </xdr:from>
    <xdr:to>
      <xdr:col>34</xdr:col>
      <xdr:colOff>775655</xdr:colOff>
      <xdr:row>239</xdr:row>
      <xdr:rowOff>30982</xdr:rowOff>
    </xdr:to>
    <xdr:graphicFrame macro="">
      <xdr:nvGraphicFramePr>
        <xdr:cNvPr id="2" name="1 Gráfico">
          <a:extLst>
            <a:ext uri="{FF2B5EF4-FFF2-40B4-BE49-F238E27FC236}">
              <a16:creationId xmlns:a16="http://schemas.microsoft.com/office/drawing/2014/main" id="{00000000-0008-0000-0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399473</xdr:colOff>
      <xdr:row>207</xdr:row>
      <xdr:rowOff>96696</xdr:rowOff>
    </xdr:from>
    <xdr:to>
      <xdr:col>16</xdr:col>
      <xdr:colOff>408214</xdr:colOff>
      <xdr:row>238</xdr:row>
      <xdr:rowOff>136071</xdr:rowOff>
    </xdr:to>
    <xdr:graphicFrame macro="">
      <xdr:nvGraphicFramePr>
        <xdr:cNvPr id="3" name="2 Gráfico">
          <a:extLst>
            <a:ext uri="{FF2B5EF4-FFF2-40B4-BE49-F238E27FC236}">
              <a16:creationId xmlns:a16="http://schemas.microsoft.com/office/drawing/2014/main" id="{00000000-0008-0000-0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17</xdr:col>
      <xdr:colOff>181428</xdr:colOff>
      <xdr:row>207</xdr:row>
      <xdr:rowOff>119376</xdr:rowOff>
    </xdr:from>
    <xdr:to>
      <xdr:col>26</xdr:col>
      <xdr:colOff>612321</xdr:colOff>
      <xdr:row>239</xdr:row>
      <xdr:rowOff>22679</xdr:rowOff>
    </xdr:to>
    <xdr:graphicFrame macro="">
      <xdr:nvGraphicFramePr>
        <xdr:cNvPr id="4" name="3 Gráfico">
          <a:extLst>
            <a:ext uri="{FF2B5EF4-FFF2-40B4-BE49-F238E27FC236}">
              <a16:creationId xmlns:a16="http://schemas.microsoft.com/office/drawing/2014/main" id="{00000000-0008-0000-07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0</xdr:colOff>
      <xdr:row>253</xdr:row>
      <xdr:rowOff>0</xdr:rowOff>
    </xdr:from>
    <xdr:to>
      <xdr:col>18</xdr:col>
      <xdr:colOff>265668</xdr:colOff>
      <xdr:row>282</xdr:row>
      <xdr:rowOff>150136</xdr:rowOff>
    </xdr:to>
    <xdr:graphicFrame macro="">
      <xdr:nvGraphicFramePr>
        <xdr:cNvPr id="5" name="Gráfico 4">
          <a:extLst>
            <a:ext uri="{FF2B5EF4-FFF2-40B4-BE49-F238E27FC236}">
              <a16:creationId xmlns:a16="http://schemas.microsoft.com/office/drawing/2014/main" id="{7E4AEE11-EBBA-445F-9566-703A555CDD7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persons/person.xml><?xml version="1.0" encoding="utf-8"?>
<personList xmlns="http://schemas.microsoft.com/office/spreadsheetml/2018/threadedcomments" xmlns:x="http://schemas.openxmlformats.org/spreadsheetml/2006/main">
  <person displayName="Nina Rangel Gamboa" id="{72C5F630-4D88-4B95-BA4E-386B5584A981}" userId="Nina Rangel Gamboa" providerId="None"/>
</personList>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63E6A883-EBAB-44D4-A990-A8A9CA13B2B0}" name="Tabla1" displayName="Tabla1" ref="F360:M365" totalsRowShown="0">
  <tableColumns count="8">
    <tableColumn id="1" xr3:uid="{7F079F1A-C4A0-48A7-97FC-E1F61E745075}" name=" " dataDxfId="138"/>
    <tableColumn id="2" xr3:uid="{8E4F83F7-B195-41B1-AF9F-BCC2F43AD0A3}" name="2016"/>
    <tableColumn id="3" xr3:uid="{CE2768BF-5F3D-4DE2-9776-941EBA1E90BF}" name="2017"/>
    <tableColumn id="4" xr3:uid="{58F42CF1-24AA-4D45-A6F7-7E7D988ABDAF}" name="2018"/>
    <tableColumn id="5" xr3:uid="{1106D694-F953-497F-8769-0F3275BF0174}" name="2019"/>
    <tableColumn id="6" xr3:uid="{8B4ECCD1-4D57-4586-9A24-1CAA5E3E6632}" name="2020"/>
    <tableColumn id="7" xr3:uid="{C11EA575-1007-45F1-A6D2-39F86F77F8BC}" name="2021"/>
    <tableColumn id="8" xr3:uid="{0855E71D-E927-47F7-8F93-439560F6994B}" name="2022"/>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D71DAAA1-24BE-410E-9341-66F90FA9DB16}" name="Tabla13" displayName="Tabla13" ref="O360:V365" totalsRowShown="0">
  <tableColumns count="8">
    <tableColumn id="1" xr3:uid="{38FDFD3D-685E-4158-803D-D6516868C94D}" name=" " dataDxfId="137"/>
    <tableColumn id="2" xr3:uid="{DE40C34C-63E5-4B49-87D1-9950FD46086A}" name="2016" dataDxfId="136"/>
    <tableColumn id="3" xr3:uid="{912ADDBE-E7AC-494D-9A57-AD93CDBD60E9}" name="2017" dataDxfId="135"/>
    <tableColumn id="4" xr3:uid="{366856BC-14CE-45BF-8214-DFBB355D39B7}" name="2018" dataDxfId="134"/>
    <tableColumn id="5" xr3:uid="{0EE54EDB-432D-4C02-AAD0-40CDE40D092C}" name="2019" dataDxfId="133"/>
    <tableColumn id="6" xr3:uid="{1D15ADFF-E3A6-43F7-9E01-4820EE58A06E}" name="2020" dataDxfId="132"/>
    <tableColumn id="7" xr3:uid="{9383A0EB-07D9-4E69-9D9A-FF95C262E07E}" name="2021" dataDxfId="131"/>
    <tableColumn id="8" xr3:uid="{C8D190E3-5204-4ED4-803F-AC1BE495A477}" name="2022" dataDxfId="130"/>
  </tableColumns>
  <tableStyleInfo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8" dT="2021-05-09T18:07:07.53" personId="{72C5F630-4D88-4B95-BA4E-386B5584A981}" id="{BE79F859-2129-4DDD-A24F-FE37242B0524}">
    <text>Seleccione la Institución Educativa de la cual desea conocer los resultados.</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8.xml"/><Relationship Id="rId1" Type="http://schemas.openxmlformats.org/officeDocument/2006/relationships/printerSettings" Target="../printerSettings/printerSettings9.bin"/><Relationship Id="rId4" Type="http://schemas.openxmlformats.org/officeDocument/2006/relationships/comments" Target="../comments4.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table" Target="../tables/table2.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 Id="rId5" Type="http://schemas.microsoft.com/office/2017/10/relationships/threadedComment" Target="../threadedComments/threadedComment1.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5.xml"/><Relationship Id="rId1" Type="http://schemas.openxmlformats.org/officeDocument/2006/relationships/printerSettings" Target="../printerSettings/printerSettings6.bin"/><Relationship Id="rId4" Type="http://schemas.openxmlformats.org/officeDocument/2006/relationships/comments" Target="../comments1.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6.xml"/><Relationship Id="rId1" Type="http://schemas.openxmlformats.org/officeDocument/2006/relationships/printerSettings" Target="../printerSettings/printerSettings7.bin"/><Relationship Id="rId4" Type="http://schemas.openxmlformats.org/officeDocument/2006/relationships/comments" Target="../comments2.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7.xml"/><Relationship Id="rId1" Type="http://schemas.openxmlformats.org/officeDocument/2006/relationships/printerSettings" Target="../printerSettings/printerSettings8.bin"/><Relationship Id="rId4" Type="http://schemas.openxmlformats.org/officeDocument/2006/relationships/comments" Target="../comments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704CA1-B909-4AFE-8AD7-70BDFB88276F}">
  <sheetPr>
    <tabColor rgb="FFC00000"/>
  </sheetPr>
  <dimension ref="A1:Q51"/>
  <sheetViews>
    <sheetView topLeftCell="A4" zoomScale="70" zoomScaleNormal="70" workbookViewId="0">
      <selection activeCell="C9" sqref="C9:P9"/>
    </sheetView>
  </sheetViews>
  <sheetFormatPr baseColWidth="10" defaultColWidth="12.5546875" defaultRowHeight="15.6" x14ac:dyDescent="0.3"/>
  <cols>
    <col min="1" max="1" width="3.6640625" style="172" customWidth="1"/>
    <col min="2" max="2" width="12.5546875" style="172"/>
    <col min="3" max="3" width="29.6640625" style="172" customWidth="1"/>
    <col min="4" max="4" width="15.88671875" style="172" customWidth="1"/>
    <col min="5" max="5" width="22.109375" style="172" customWidth="1"/>
    <col min="6" max="6" width="14" style="172" customWidth="1"/>
    <col min="7" max="7" width="23.44140625" style="172" customWidth="1"/>
    <col min="8" max="8" width="16.88671875" style="172" customWidth="1"/>
    <col min="9" max="9" width="8.109375" style="172" customWidth="1"/>
    <col min="10" max="10" width="3.6640625" style="172" customWidth="1"/>
    <col min="11" max="11" width="12.88671875" style="172" customWidth="1"/>
    <col min="12" max="12" width="36" style="172" bestFit="1" customWidth="1"/>
    <col min="13" max="13" width="16.33203125" style="172" customWidth="1"/>
    <col min="14" max="16384" width="12.5546875" style="172"/>
  </cols>
  <sheetData>
    <row r="1" spans="1:17" x14ac:dyDescent="0.3">
      <c r="A1" s="154"/>
      <c r="B1" s="154"/>
      <c r="C1" s="154"/>
      <c r="D1" s="154"/>
      <c r="E1" s="154"/>
      <c r="F1" s="154"/>
      <c r="G1" s="154"/>
      <c r="H1" s="154"/>
      <c r="I1" s="154"/>
      <c r="J1" s="154"/>
      <c r="K1" s="154"/>
      <c r="L1" s="154"/>
      <c r="M1" s="154"/>
      <c r="N1" s="154"/>
      <c r="O1" s="154"/>
      <c r="P1" s="154"/>
      <c r="Q1" s="154"/>
    </row>
    <row r="2" spans="1:17" x14ac:dyDescent="0.3">
      <c r="A2" s="154"/>
      <c r="B2" s="154"/>
      <c r="C2" s="154"/>
      <c r="D2" s="154"/>
      <c r="E2" s="173"/>
      <c r="F2" s="154"/>
      <c r="G2" s="154"/>
      <c r="H2" s="154"/>
      <c r="I2" s="154"/>
      <c r="J2" s="154"/>
      <c r="K2" s="154"/>
      <c r="L2" s="154"/>
      <c r="M2" s="154"/>
      <c r="N2" s="154"/>
      <c r="O2" s="154"/>
      <c r="P2" s="154"/>
      <c r="Q2" s="154"/>
    </row>
    <row r="3" spans="1:17" x14ac:dyDescent="0.3">
      <c r="A3" s="154"/>
      <c r="B3" s="154"/>
      <c r="C3" s="154"/>
      <c r="D3" s="154"/>
      <c r="E3" s="154"/>
      <c r="F3" s="154"/>
      <c r="G3" s="154"/>
      <c r="H3" s="154"/>
      <c r="I3" s="154"/>
      <c r="J3" s="154"/>
      <c r="K3" s="154"/>
      <c r="L3" s="154"/>
      <c r="M3" s="154"/>
      <c r="N3" s="154"/>
      <c r="O3" s="154"/>
      <c r="P3" s="154"/>
      <c r="Q3" s="154"/>
    </row>
    <row r="4" spans="1:17" x14ac:dyDescent="0.3">
      <c r="A4" s="154"/>
      <c r="B4" s="154"/>
      <c r="C4" s="154"/>
      <c r="D4" s="154"/>
      <c r="E4" s="154"/>
      <c r="F4" s="154"/>
      <c r="G4" s="154"/>
      <c r="H4" s="154"/>
      <c r="I4" s="154"/>
      <c r="J4" s="154"/>
      <c r="K4" s="154"/>
      <c r="L4" s="154"/>
      <c r="M4" s="154"/>
      <c r="N4" s="154"/>
      <c r="O4" s="154"/>
      <c r="P4" s="154"/>
      <c r="Q4" s="154"/>
    </row>
    <row r="5" spans="1:17" ht="21" x14ac:dyDescent="0.4">
      <c r="A5" s="154"/>
      <c r="B5" s="154"/>
      <c r="C5" s="154"/>
      <c r="D5" s="154"/>
      <c r="E5" s="730" t="s">
        <v>1018</v>
      </c>
      <c r="F5" s="730"/>
      <c r="G5" s="730"/>
      <c r="H5" s="730"/>
      <c r="I5" s="730"/>
      <c r="J5" s="730"/>
      <c r="K5" s="730"/>
      <c r="L5" s="730"/>
      <c r="M5" s="154"/>
      <c r="N5" s="154"/>
      <c r="O5" s="154"/>
      <c r="P5" s="154"/>
      <c r="Q5" s="154"/>
    </row>
    <row r="6" spans="1:17" ht="21" x14ac:dyDescent="0.4">
      <c r="A6" s="154"/>
      <c r="B6" s="154"/>
      <c r="C6" s="154"/>
      <c r="D6" s="154"/>
      <c r="E6" s="730" t="s">
        <v>1017</v>
      </c>
      <c r="F6" s="730"/>
      <c r="G6" s="730"/>
      <c r="H6" s="730"/>
      <c r="I6" s="730"/>
      <c r="J6" s="730"/>
      <c r="K6" s="730"/>
      <c r="L6" s="730"/>
      <c r="M6" s="154"/>
      <c r="N6" s="154"/>
      <c r="O6" s="154"/>
      <c r="P6" s="154"/>
      <c r="Q6" s="154"/>
    </row>
    <row r="7" spans="1:17" ht="21" x14ac:dyDescent="0.3">
      <c r="A7" s="154"/>
      <c r="B7" s="731"/>
      <c r="C7" s="731"/>
      <c r="D7" s="731"/>
      <c r="E7" s="731"/>
      <c r="F7" s="731"/>
      <c r="G7" s="731"/>
      <c r="H7" s="731"/>
      <c r="I7" s="731"/>
      <c r="J7" s="731"/>
      <c r="K7" s="731"/>
      <c r="L7" s="731"/>
      <c r="M7" s="731"/>
      <c r="N7" s="731"/>
      <c r="O7" s="731"/>
      <c r="P7" s="731"/>
      <c r="Q7" s="154"/>
    </row>
    <row r="8" spans="1:17" ht="3.6" customHeight="1" x14ac:dyDescent="0.3">
      <c r="A8" s="154"/>
      <c r="B8" s="173"/>
      <c r="C8" s="173"/>
      <c r="D8" s="173"/>
      <c r="E8" s="173"/>
      <c r="F8" s="173"/>
      <c r="G8" s="173"/>
      <c r="H8" s="173"/>
      <c r="I8" s="173"/>
      <c r="J8" s="173"/>
      <c r="K8" s="173"/>
      <c r="L8" s="173"/>
      <c r="M8" s="173"/>
      <c r="N8" s="173"/>
      <c r="O8" s="173"/>
      <c r="P8" s="173"/>
      <c r="Q8" s="154"/>
    </row>
    <row r="9" spans="1:17" ht="72.599999999999994" customHeight="1" x14ac:dyDescent="0.3">
      <c r="A9" s="154"/>
      <c r="B9" s="582"/>
      <c r="C9" s="723" t="s">
        <v>1052</v>
      </c>
      <c r="D9" s="723"/>
      <c r="E9" s="723"/>
      <c r="F9" s="723"/>
      <c r="G9" s="723"/>
      <c r="H9" s="723"/>
      <c r="I9" s="723"/>
      <c r="J9" s="723"/>
      <c r="K9" s="723"/>
      <c r="L9" s="723"/>
      <c r="M9" s="723"/>
      <c r="N9" s="723"/>
      <c r="O9" s="723"/>
      <c r="P9" s="723"/>
      <c r="Q9" s="154"/>
    </row>
    <row r="10" spans="1:17" ht="45" customHeight="1" x14ac:dyDescent="0.3">
      <c r="A10" s="154"/>
      <c r="B10" s="327"/>
      <c r="C10" s="723" t="s">
        <v>1053</v>
      </c>
      <c r="D10" s="723"/>
      <c r="E10" s="723"/>
      <c r="F10" s="723"/>
      <c r="G10" s="723"/>
      <c r="H10" s="723"/>
      <c r="I10" s="723"/>
      <c r="J10" s="723"/>
      <c r="K10" s="723"/>
      <c r="L10" s="723"/>
      <c r="M10" s="723"/>
      <c r="N10" s="723"/>
      <c r="O10" s="723"/>
      <c r="P10" s="582"/>
      <c r="Q10" s="154"/>
    </row>
    <row r="11" spans="1:17" ht="28.8" customHeight="1" x14ac:dyDescent="0.3">
      <c r="A11" s="154"/>
      <c r="B11" s="327"/>
      <c r="C11" s="584" t="s">
        <v>1054</v>
      </c>
      <c r="D11" s="582"/>
      <c r="E11" s="582"/>
      <c r="F11" s="582"/>
      <c r="G11" s="582"/>
      <c r="H11" s="582"/>
      <c r="I11" s="582"/>
      <c r="J11" s="582"/>
      <c r="K11" s="582"/>
      <c r="L11" s="582"/>
      <c r="M11" s="582"/>
      <c r="N11" s="582"/>
      <c r="O11" s="582"/>
      <c r="P11" s="173"/>
      <c r="Q11" s="154"/>
    </row>
    <row r="12" spans="1:17" ht="60.6" customHeight="1" x14ac:dyDescent="0.3">
      <c r="A12" s="154"/>
      <c r="B12" s="327"/>
      <c r="C12" s="723" t="s">
        <v>1027</v>
      </c>
      <c r="D12" s="723"/>
      <c r="E12" s="723"/>
      <c r="F12" s="723"/>
      <c r="G12" s="723"/>
      <c r="H12" s="723"/>
      <c r="I12" s="723"/>
      <c r="J12" s="723"/>
      <c r="K12" s="723"/>
      <c r="L12" s="723"/>
      <c r="M12" s="723"/>
      <c r="N12" s="723"/>
      <c r="O12" s="723"/>
      <c r="P12" s="723"/>
      <c r="Q12" s="154"/>
    </row>
    <row r="13" spans="1:17" ht="39" customHeight="1" x14ac:dyDescent="0.3">
      <c r="A13" s="154"/>
      <c r="B13" s="327"/>
      <c r="C13" s="722" t="s">
        <v>1055</v>
      </c>
      <c r="D13" s="723"/>
      <c r="E13" s="723"/>
      <c r="F13" s="723"/>
      <c r="G13" s="723"/>
      <c r="H13" s="723"/>
      <c r="I13" s="723"/>
      <c r="J13" s="723"/>
      <c r="K13" s="723"/>
      <c r="L13" s="723"/>
      <c r="M13" s="723"/>
      <c r="N13" s="723"/>
      <c r="O13" s="723"/>
      <c r="P13" s="173"/>
      <c r="Q13" s="154"/>
    </row>
    <row r="14" spans="1:17" ht="50.4" customHeight="1" x14ac:dyDescent="0.35">
      <c r="A14" s="154"/>
      <c r="B14" s="578"/>
      <c r="C14" s="723" t="s">
        <v>1070</v>
      </c>
      <c r="D14" s="723"/>
      <c r="E14" s="723"/>
      <c r="F14" s="723"/>
      <c r="G14" s="723"/>
      <c r="H14" s="723"/>
      <c r="I14" s="723"/>
      <c r="J14" s="723"/>
      <c r="K14" s="723"/>
      <c r="L14" s="723"/>
      <c r="M14" s="723"/>
      <c r="N14" s="723"/>
      <c r="O14" s="723"/>
      <c r="P14" s="723"/>
      <c r="Q14" s="154"/>
    </row>
    <row r="15" spans="1:17" ht="29.4" customHeight="1" x14ac:dyDescent="0.3">
      <c r="A15" s="154"/>
      <c r="B15" s="583"/>
      <c r="C15" s="732" t="s">
        <v>1056</v>
      </c>
      <c r="D15" s="723"/>
      <c r="E15" s="723"/>
      <c r="F15" s="723"/>
      <c r="G15" s="723"/>
      <c r="H15" s="723"/>
      <c r="I15" s="723"/>
      <c r="J15" s="723"/>
      <c r="K15" s="723"/>
      <c r="L15" s="723"/>
      <c r="M15" s="723"/>
      <c r="N15" s="723"/>
      <c r="O15" s="723"/>
      <c r="P15" s="173"/>
      <c r="Q15" s="154"/>
    </row>
    <row r="16" spans="1:17" ht="45" customHeight="1" x14ac:dyDescent="0.3">
      <c r="A16" s="154"/>
      <c r="B16" s="583"/>
      <c r="C16" s="723" t="s">
        <v>1019</v>
      </c>
      <c r="D16" s="723"/>
      <c r="E16" s="723"/>
      <c r="F16" s="723"/>
      <c r="G16" s="723"/>
      <c r="H16" s="723"/>
      <c r="I16" s="723"/>
      <c r="J16" s="723"/>
      <c r="K16" s="723"/>
      <c r="L16" s="723"/>
      <c r="M16" s="723"/>
      <c r="N16" s="723"/>
      <c r="O16" s="723"/>
      <c r="P16" s="723"/>
      <c r="Q16" s="154"/>
    </row>
    <row r="17" spans="1:17" ht="31.8" customHeight="1" x14ac:dyDescent="0.3">
      <c r="A17" s="154"/>
      <c r="B17" s="580"/>
      <c r="C17" s="724" t="s">
        <v>1057</v>
      </c>
      <c r="D17" s="723"/>
      <c r="E17" s="723"/>
      <c r="F17" s="723"/>
      <c r="G17" s="723"/>
      <c r="H17" s="723"/>
      <c r="I17" s="723"/>
      <c r="J17" s="723"/>
      <c r="K17" s="723"/>
      <c r="L17" s="723"/>
      <c r="M17" s="723"/>
      <c r="N17" s="723"/>
      <c r="O17" s="723"/>
      <c r="P17" s="173"/>
      <c r="Q17" s="154"/>
    </row>
    <row r="18" spans="1:17" ht="31.8" customHeight="1" x14ac:dyDescent="0.3">
      <c r="A18" s="154"/>
      <c r="B18" s="580"/>
      <c r="C18" s="723" t="s">
        <v>1020</v>
      </c>
      <c r="D18" s="723"/>
      <c r="E18" s="723"/>
      <c r="F18" s="723"/>
      <c r="G18" s="723"/>
      <c r="H18" s="723"/>
      <c r="I18" s="723"/>
      <c r="J18" s="723"/>
      <c r="K18" s="723"/>
      <c r="L18" s="723"/>
      <c r="M18" s="723"/>
      <c r="N18" s="723"/>
      <c r="O18" s="723"/>
      <c r="P18" s="723"/>
      <c r="Q18" s="154"/>
    </row>
    <row r="19" spans="1:17" ht="39" customHeight="1" x14ac:dyDescent="0.3">
      <c r="A19" s="154"/>
      <c r="B19" s="575"/>
      <c r="C19" s="725" t="s">
        <v>1058</v>
      </c>
      <c r="D19" s="723"/>
      <c r="E19" s="723"/>
      <c r="F19" s="723"/>
      <c r="G19" s="723"/>
      <c r="H19" s="723"/>
      <c r="I19" s="723"/>
      <c r="J19" s="723"/>
      <c r="K19" s="723"/>
      <c r="L19" s="723"/>
      <c r="M19" s="723"/>
      <c r="N19" s="723"/>
      <c r="O19" s="723"/>
      <c r="P19" s="173"/>
      <c r="Q19" s="154"/>
    </row>
    <row r="20" spans="1:17" ht="39" customHeight="1" x14ac:dyDescent="0.3">
      <c r="A20" s="154"/>
      <c r="B20" s="575"/>
      <c r="C20" s="723" t="s">
        <v>1021</v>
      </c>
      <c r="D20" s="723"/>
      <c r="E20" s="723"/>
      <c r="F20" s="723"/>
      <c r="G20" s="723"/>
      <c r="H20" s="723"/>
      <c r="I20" s="723"/>
      <c r="J20" s="723"/>
      <c r="K20" s="723"/>
      <c r="L20" s="723"/>
      <c r="M20" s="723"/>
      <c r="N20" s="723"/>
      <c r="O20" s="723"/>
      <c r="P20" s="723"/>
      <c r="Q20" s="154"/>
    </row>
    <row r="21" spans="1:17" ht="38.4" customHeight="1" x14ac:dyDescent="0.3">
      <c r="A21" s="154"/>
      <c r="B21" s="575"/>
      <c r="C21" s="726" t="s">
        <v>1059</v>
      </c>
      <c r="D21" s="723"/>
      <c r="E21" s="723"/>
      <c r="F21" s="723"/>
      <c r="G21" s="723"/>
      <c r="H21" s="723"/>
      <c r="I21" s="723"/>
      <c r="J21" s="723"/>
      <c r="K21" s="723"/>
      <c r="L21" s="723"/>
      <c r="M21" s="723"/>
      <c r="N21" s="723"/>
      <c r="O21" s="723"/>
      <c r="P21" s="173"/>
      <c r="Q21" s="154"/>
    </row>
    <row r="22" spans="1:17" ht="44.4" customHeight="1" x14ac:dyDescent="0.3">
      <c r="A22" s="154"/>
      <c r="B22" s="575"/>
      <c r="C22" s="723" t="s">
        <v>1023</v>
      </c>
      <c r="D22" s="723"/>
      <c r="E22" s="723"/>
      <c r="F22" s="723"/>
      <c r="G22" s="723"/>
      <c r="H22" s="723"/>
      <c r="I22" s="723"/>
      <c r="J22" s="723"/>
      <c r="K22" s="723"/>
      <c r="L22" s="723"/>
      <c r="M22" s="723"/>
      <c r="N22" s="723"/>
      <c r="O22" s="723"/>
      <c r="P22" s="723"/>
      <c r="Q22" s="154"/>
    </row>
    <row r="23" spans="1:17" ht="30.6" customHeight="1" x14ac:dyDescent="0.3">
      <c r="A23" s="154"/>
      <c r="B23" s="575"/>
      <c r="C23" s="726" t="s">
        <v>1060</v>
      </c>
      <c r="D23" s="723"/>
      <c r="E23" s="723"/>
      <c r="F23" s="723"/>
      <c r="G23" s="723"/>
      <c r="H23" s="723"/>
      <c r="I23" s="723"/>
      <c r="J23" s="723"/>
      <c r="K23" s="723"/>
      <c r="L23" s="723"/>
      <c r="M23" s="723"/>
      <c r="N23" s="723"/>
      <c r="O23" s="723"/>
      <c r="P23" s="173"/>
      <c r="Q23" s="154"/>
    </row>
    <row r="24" spans="1:17" ht="44.4" customHeight="1" x14ac:dyDescent="0.3">
      <c r="A24" s="154"/>
      <c r="B24" s="575"/>
      <c r="C24" s="723" t="s">
        <v>1022</v>
      </c>
      <c r="D24" s="723"/>
      <c r="E24" s="723"/>
      <c r="F24" s="723"/>
      <c r="G24" s="723"/>
      <c r="H24" s="723"/>
      <c r="I24" s="723"/>
      <c r="J24" s="723"/>
      <c r="K24" s="723"/>
      <c r="L24" s="723"/>
      <c r="M24" s="723"/>
      <c r="N24" s="723"/>
      <c r="O24" s="723"/>
      <c r="P24" s="723"/>
      <c r="Q24" s="154"/>
    </row>
    <row r="25" spans="1:17" ht="26.4" customHeight="1" x14ac:dyDescent="0.35">
      <c r="A25" s="157"/>
      <c r="B25" s="575"/>
      <c r="C25" s="726" t="s">
        <v>1061</v>
      </c>
      <c r="D25" s="723"/>
      <c r="E25" s="723"/>
      <c r="F25" s="723"/>
      <c r="G25" s="723"/>
      <c r="H25" s="723"/>
      <c r="I25" s="723"/>
      <c r="J25" s="723"/>
      <c r="K25" s="723"/>
      <c r="L25" s="723"/>
      <c r="M25" s="723"/>
      <c r="N25" s="723"/>
      <c r="O25" s="723"/>
      <c r="P25" s="173"/>
      <c r="Q25" s="154"/>
    </row>
    <row r="26" spans="1:17" ht="39" customHeight="1" x14ac:dyDescent="0.35">
      <c r="A26" s="157"/>
      <c r="B26" s="575"/>
      <c r="C26" s="723" t="s">
        <v>1024</v>
      </c>
      <c r="D26" s="723"/>
      <c r="E26" s="723"/>
      <c r="F26" s="723"/>
      <c r="G26" s="723"/>
      <c r="H26" s="723"/>
      <c r="I26" s="723"/>
      <c r="J26" s="723"/>
      <c r="K26" s="723"/>
      <c r="L26" s="723"/>
      <c r="M26" s="723"/>
      <c r="N26" s="723"/>
      <c r="O26" s="723"/>
      <c r="P26" s="723"/>
      <c r="Q26" s="154"/>
    </row>
    <row r="27" spans="1:17" ht="38.4" customHeight="1" x14ac:dyDescent="0.3">
      <c r="A27" s="154"/>
      <c r="B27" s="575"/>
      <c r="C27" s="726" t="s">
        <v>1062</v>
      </c>
      <c r="D27" s="723"/>
      <c r="E27" s="723"/>
      <c r="F27" s="723"/>
      <c r="G27" s="723"/>
      <c r="H27" s="723"/>
      <c r="I27" s="723"/>
      <c r="J27" s="723"/>
      <c r="K27" s="723"/>
      <c r="L27" s="723"/>
      <c r="M27" s="723"/>
      <c r="N27" s="723"/>
      <c r="O27" s="723"/>
      <c r="P27" s="173"/>
      <c r="Q27" s="154"/>
    </row>
    <row r="28" spans="1:17" ht="39" customHeight="1" x14ac:dyDescent="0.3">
      <c r="A28" s="154"/>
      <c r="B28" s="575"/>
      <c r="C28" s="723" t="s">
        <v>1025</v>
      </c>
      <c r="D28" s="723"/>
      <c r="E28" s="723"/>
      <c r="F28" s="723"/>
      <c r="G28" s="723"/>
      <c r="H28" s="723"/>
      <c r="I28" s="723"/>
      <c r="J28" s="723"/>
      <c r="K28" s="723"/>
      <c r="L28" s="723"/>
      <c r="M28" s="723"/>
      <c r="N28" s="723"/>
      <c r="O28" s="723"/>
      <c r="P28" s="723"/>
      <c r="Q28" s="154"/>
    </row>
    <row r="29" spans="1:17" ht="18" customHeight="1" x14ac:dyDescent="0.3">
      <c r="A29" s="154"/>
      <c r="B29" s="575"/>
      <c r="C29" s="581"/>
      <c r="D29" s="581"/>
      <c r="E29" s="581"/>
      <c r="F29" s="173"/>
      <c r="G29" s="173"/>
      <c r="H29" s="579"/>
      <c r="I29" s="579"/>
      <c r="J29" s="579"/>
      <c r="K29" s="173"/>
      <c r="L29" s="173"/>
      <c r="M29" s="173"/>
      <c r="N29" s="173"/>
      <c r="O29" s="173"/>
      <c r="P29" s="173"/>
      <c r="Q29" s="154"/>
    </row>
    <row r="30" spans="1:17" ht="20.399999999999999" x14ac:dyDescent="0.3">
      <c r="A30" s="154"/>
      <c r="B30" s="575"/>
      <c r="C30" s="581"/>
      <c r="D30" s="581"/>
      <c r="E30" s="581"/>
      <c r="F30" s="173"/>
      <c r="G30" s="173"/>
      <c r="H30" s="173"/>
      <c r="I30" s="173"/>
      <c r="J30" s="173"/>
      <c r="K30" s="173"/>
      <c r="L30" s="173"/>
      <c r="M30" s="173"/>
      <c r="N30" s="173"/>
      <c r="O30" s="173"/>
      <c r="P30" s="173"/>
      <c r="Q30" s="154"/>
    </row>
    <row r="31" spans="1:17" ht="20.399999999999999" x14ac:dyDescent="0.3">
      <c r="A31" s="154"/>
      <c r="B31" s="575"/>
      <c r="C31" s="581"/>
      <c r="D31" s="581"/>
      <c r="E31" s="581"/>
      <c r="F31" s="173"/>
      <c r="G31" s="173"/>
      <c r="H31" s="173"/>
      <c r="I31" s="173"/>
      <c r="J31" s="173"/>
      <c r="K31" s="173"/>
      <c r="L31" s="173"/>
      <c r="M31" s="173"/>
      <c r="N31" s="173"/>
      <c r="O31" s="173"/>
      <c r="P31" s="173"/>
      <c r="Q31" s="154"/>
    </row>
    <row r="32" spans="1:17" x14ac:dyDescent="0.3">
      <c r="A32" s="154"/>
      <c r="B32" s="173"/>
      <c r="C32" s="173"/>
      <c r="D32" s="173"/>
      <c r="E32" s="173"/>
      <c r="F32" s="173"/>
      <c r="G32" s="173"/>
      <c r="H32" s="727"/>
      <c r="I32" s="727"/>
      <c r="J32" s="727"/>
      <c r="K32" s="173"/>
      <c r="L32" s="173"/>
      <c r="M32" s="173"/>
      <c r="N32" s="173"/>
      <c r="O32" s="173"/>
      <c r="P32" s="173"/>
      <c r="Q32" s="154"/>
    </row>
    <row r="33" spans="1:17" ht="15.75" customHeight="1" x14ac:dyDescent="0.3">
      <c r="A33" s="154"/>
      <c r="B33" s="173"/>
      <c r="C33" s="173"/>
      <c r="D33" s="173"/>
      <c r="E33" s="173"/>
      <c r="F33" s="173"/>
      <c r="G33" s="173"/>
      <c r="H33" s="727"/>
      <c r="I33" s="727"/>
      <c r="J33" s="727"/>
      <c r="K33" s="728"/>
      <c r="L33" s="728"/>
      <c r="M33" s="728"/>
      <c r="N33" s="173"/>
      <c r="O33" s="173"/>
      <c r="P33" s="173"/>
      <c r="Q33" s="154"/>
    </row>
    <row r="34" spans="1:17" ht="20.25" customHeight="1" x14ac:dyDescent="0.3">
      <c r="A34" s="154"/>
      <c r="B34" s="173"/>
      <c r="C34" s="173"/>
      <c r="D34" s="173"/>
      <c r="E34" s="173"/>
      <c r="F34" s="173"/>
      <c r="G34" s="173"/>
      <c r="H34" s="727"/>
      <c r="I34" s="727"/>
      <c r="J34" s="727"/>
      <c r="K34" s="574"/>
      <c r="L34" s="574"/>
      <c r="M34" s="574"/>
      <c r="N34" s="173"/>
      <c r="O34" s="173"/>
      <c r="P34" s="173"/>
      <c r="Q34" s="154"/>
    </row>
    <row r="35" spans="1:17" ht="21.75" customHeight="1" x14ac:dyDescent="0.3">
      <c r="A35" s="154"/>
      <c r="B35" s="574"/>
      <c r="C35" s="574"/>
      <c r="D35" s="173"/>
      <c r="E35" s="173"/>
      <c r="F35" s="173"/>
      <c r="G35" s="173"/>
      <c r="H35" s="727"/>
      <c r="I35" s="727"/>
      <c r="J35" s="727"/>
      <c r="K35" s="575"/>
      <c r="L35" s="270"/>
      <c r="M35" s="270"/>
      <c r="N35" s="173"/>
      <c r="O35" s="173"/>
      <c r="P35" s="173"/>
      <c r="Q35" s="154"/>
    </row>
    <row r="36" spans="1:17" ht="19.5" customHeight="1" x14ac:dyDescent="0.3">
      <c r="A36" s="154"/>
      <c r="B36" s="728"/>
      <c r="C36" s="728"/>
      <c r="D36" s="574"/>
      <c r="E36" s="173"/>
      <c r="F36" s="173"/>
      <c r="G36" s="173"/>
      <c r="H36" s="727"/>
      <c r="I36" s="727"/>
      <c r="J36" s="727"/>
      <c r="K36" s="575"/>
      <c r="L36" s="270"/>
      <c r="M36" s="270"/>
      <c r="N36" s="173"/>
      <c r="O36" s="173"/>
      <c r="P36" s="173"/>
      <c r="Q36" s="154"/>
    </row>
    <row r="37" spans="1:17" ht="20.399999999999999" x14ac:dyDescent="0.3">
      <c r="A37" s="154"/>
      <c r="B37" s="574"/>
      <c r="C37" s="574"/>
      <c r="D37" s="574"/>
      <c r="E37" s="173"/>
      <c r="F37" s="173"/>
      <c r="G37" s="173"/>
      <c r="H37" s="727"/>
      <c r="I37" s="727"/>
      <c r="J37" s="727"/>
      <c r="K37" s="575"/>
      <c r="L37" s="270"/>
      <c r="M37" s="270"/>
      <c r="N37" s="173"/>
      <c r="O37" s="173"/>
      <c r="P37" s="173"/>
      <c r="Q37" s="154"/>
    </row>
    <row r="38" spans="1:17" ht="20.399999999999999" x14ac:dyDescent="0.3">
      <c r="A38" s="154"/>
      <c r="B38" s="575"/>
      <c r="C38" s="270"/>
      <c r="D38" s="270"/>
      <c r="E38" s="173"/>
      <c r="F38" s="173"/>
      <c r="G38" s="173"/>
      <c r="H38" s="727"/>
      <c r="I38" s="727"/>
      <c r="J38" s="727"/>
      <c r="K38" s="575"/>
      <c r="L38" s="270"/>
      <c r="M38" s="270"/>
      <c r="N38" s="173"/>
      <c r="O38" s="173"/>
      <c r="P38" s="173"/>
      <c r="Q38" s="154"/>
    </row>
    <row r="39" spans="1:17" ht="20.399999999999999" x14ac:dyDescent="0.3">
      <c r="A39" s="154"/>
      <c r="B39" s="575"/>
      <c r="C39" s="271"/>
      <c r="D39" s="270"/>
      <c r="E39" s="154"/>
      <c r="F39" s="154"/>
      <c r="G39" s="154"/>
      <c r="H39" s="154"/>
      <c r="I39" s="154"/>
      <c r="J39" s="154"/>
      <c r="K39" s="575"/>
      <c r="L39" s="270"/>
      <c r="M39" s="270"/>
      <c r="N39" s="154"/>
      <c r="O39" s="154"/>
      <c r="P39" s="154"/>
      <c r="Q39" s="154"/>
    </row>
    <row r="40" spans="1:17" ht="20.399999999999999" x14ac:dyDescent="0.3">
      <c r="A40" s="154"/>
      <c r="B40" s="575"/>
      <c r="C40" s="270"/>
      <c r="D40" s="270"/>
      <c r="E40" s="154"/>
      <c r="F40" s="154"/>
      <c r="G40" s="154"/>
      <c r="H40" s="154"/>
      <c r="I40" s="154"/>
      <c r="J40" s="154"/>
      <c r="K40" s="575"/>
      <c r="L40" s="270"/>
      <c r="M40" s="270"/>
      <c r="N40" s="154"/>
      <c r="O40" s="154"/>
      <c r="P40" s="154"/>
      <c r="Q40" s="154"/>
    </row>
    <row r="41" spans="1:17" ht="20.399999999999999" x14ac:dyDescent="0.3">
      <c r="A41" s="154"/>
      <c r="B41" s="575"/>
      <c r="C41" s="271"/>
      <c r="D41" s="270"/>
      <c r="E41" s="154"/>
      <c r="F41" s="154"/>
      <c r="G41" s="154"/>
      <c r="H41" s="154"/>
      <c r="I41" s="154"/>
      <c r="J41" s="154"/>
      <c r="K41" s="575"/>
      <c r="L41" s="270"/>
      <c r="M41" s="270"/>
      <c r="N41" s="154"/>
      <c r="O41" s="154"/>
      <c r="P41" s="154"/>
      <c r="Q41" s="154"/>
    </row>
    <row r="42" spans="1:17" ht="20.399999999999999" x14ac:dyDescent="0.3">
      <c r="A42" s="154"/>
      <c r="B42" s="575"/>
      <c r="C42" s="270"/>
      <c r="D42" s="270"/>
      <c r="E42" s="154"/>
      <c r="F42" s="154"/>
      <c r="G42" s="154"/>
      <c r="H42" s="154"/>
      <c r="I42" s="154"/>
      <c r="J42" s="173"/>
      <c r="K42" s="575"/>
      <c r="L42" s="270"/>
      <c r="M42" s="270"/>
      <c r="N42" s="173"/>
      <c r="O42" s="173"/>
      <c r="P42" s="154"/>
      <c r="Q42" s="154"/>
    </row>
    <row r="43" spans="1:17" ht="20.399999999999999" x14ac:dyDescent="0.3">
      <c r="A43" s="154"/>
      <c r="B43" s="575"/>
      <c r="C43" s="270"/>
      <c r="D43" s="270"/>
      <c r="E43" s="154"/>
      <c r="F43" s="154"/>
      <c r="G43" s="154"/>
      <c r="H43" s="154"/>
      <c r="I43" s="154"/>
      <c r="J43" s="173"/>
      <c r="K43" s="575"/>
      <c r="L43" s="270"/>
      <c r="M43" s="270"/>
      <c r="N43" s="173"/>
      <c r="O43" s="173"/>
      <c r="P43" s="154"/>
      <c r="Q43" s="154"/>
    </row>
    <row r="44" spans="1:17" ht="20.399999999999999" x14ac:dyDescent="0.3">
      <c r="A44" s="154"/>
      <c r="B44" s="575"/>
      <c r="C44" s="270"/>
      <c r="D44" s="270"/>
      <c r="E44" s="154"/>
      <c r="F44" s="154"/>
      <c r="G44" s="154"/>
      <c r="H44" s="154"/>
      <c r="I44" s="154"/>
      <c r="J44" s="173"/>
      <c r="K44" s="173"/>
      <c r="L44" s="173"/>
      <c r="M44" s="173"/>
      <c r="N44" s="173"/>
      <c r="O44" s="173"/>
      <c r="P44" s="154"/>
      <c r="Q44" s="154"/>
    </row>
    <row r="45" spans="1:17" ht="20.399999999999999" x14ac:dyDescent="0.3">
      <c r="A45" s="154"/>
      <c r="B45" s="575"/>
      <c r="C45" s="270"/>
      <c r="D45" s="270"/>
      <c r="E45" s="154"/>
      <c r="F45" s="154"/>
      <c r="G45" s="154"/>
      <c r="H45" s="154"/>
      <c r="I45" s="154"/>
      <c r="J45" s="173"/>
      <c r="K45" s="173"/>
      <c r="L45" s="173"/>
      <c r="M45" s="173"/>
      <c r="N45" s="173"/>
      <c r="O45" s="173"/>
      <c r="P45" s="154"/>
      <c r="Q45" s="154"/>
    </row>
    <row r="46" spans="1:17" x14ac:dyDescent="0.3">
      <c r="A46" s="154"/>
      <c r="B46" s="154"/>
      <c r="C46" s="154"/>
      <c r="D46" s="154"/>
      <c r="E46" s="154"/>
      <c r="F46" s="154"/>
      <c r="G46" s="154"/>
      <c r="H46" s="154"/>
      <c r="I46" s="154"/>
      <c r="J46" s="154"/>
      <c r="K46" s="154"/>
      <c r="L46" s="154"/>
      <c r="M46" s="154"/>
      <c r="N46" s="154"/>
      <c r="O46" s="154"/>
      <c r="P46" s="154"/>
      <c r="Q46" s="154"/>
    </row>
    <row r="47" spans="1:17" x14ac:dyDescent="0.3">
      <c r="A47" s="154"/>
      <c r="B47" s="154"/>
      <c r="C47" s="154"/>
      <c r="D47" s="154"/>
      <c r="E47" s="154"/>
      <c r="F47" s="154"/>
      <c r="G47" s="154"/>
      <c r="H47" s="154"/>
      <c r="I47" s="154"/>
      <c r="J47" s="154"/>
      <c r="K47" s="154"/>
      <c r="L47" s="154"/>
      <c r="M47" s="154"/>
      <c r="N47" s="154"/>
      <c r="O47" s="154"/>
      <c r="P47" s="154"/>
      <c r="Q47" s="154"/>
    </row>
    <row r="48" spans="1:17" x14ac:dyDescent="0.3">
      <c r="A48" s="154"/>
      <c r="B48" s="154"/>
      <c r="C48" s="154"/>
      <c r="D48" s="154"/>
      <c r="E48" s="154"/>
      <c r="F48" s="154"/>
      <c r="G48" s="154"/>
      <c r="H48" s="154"/>
      <c r="I48" s="154"/>
      <c r="J48" s="154"/>
      <c r="K48" s="154"/>
      <c r="L48" s="154"/>
      <c r="M48" s="154"/>
      <c r="N48" s="154"/>
      <c r="O48" s="154"/>
      <c r="P48" s="154"/>
      <c r="Q48" s="154"/>
    </row>
    <row r="49" spans="1:17" x14ac:dyDescent="0.3">
      <c r="A49" s="154"/>
      <c r="B49" s="154"/>
      <c r="C49" s="154"/>
      <c r="D49" s="154"/>
      <c r="E49" s="154"/>
      <c r="F49" s="154"/>
      <c r="G49" s="154"/>
      <c r="H49" s="154"/>
      <c r="I49" s="154"/>
      <c r="J49" s="154"/>
      <c r="K49" s="154"/>
      <c r="L49" s="154"/>
      <c r="M49" s="154"/>
      <c r="N49" s="154"/>
      <c r="O49" s="154"/>
      <c r="P49" s="154"/>
      <c r="Q49" s="154"/>
    </row>
    <row r="50" spans="1:17" x14ac:dyDescent="0.3">
      <c r="A50" s="154"/>
      <c r="B50" s="154"/>
      <c r="C50" s="154"/>
      <c r="D50" s="154"/>
      <c r="E50" s="154"/>
      <c r="F50" s="154"/>
      <c r="G50" s="154"/>
      <c r="H50" s="154"/>
      <c r="I50" s="154"/>
      <c r="J50" s="154"/>
      <c r="K50" s="154"/>
      <c r="L50" s="154"/>
      <c r="M50" s="154"/>
      <c r="N50" s="154"/>
      <c r="O50" s="154"/>
      <c r="P50" s="154"/>
      <c r="Q50" s="154"/>
    </row>
    <row r="51" spans="1:17" ht="20.25" customHeight="1" x14ac:dyDescent="0.3">
      <c r="A51" s="154"/>
      <c r="B51" s="729" t="s">
        <v>258</v>
      </c>
      <c r="C51" s="729"/>
      <c r="D51" s="729"/>
      <c r="E51" s="729"/>
      <c r="F51" s="729"/>
      <c r="G51" s="729"/>
      <c r="H51" s="729"/>
      <c r="I51" s="729"/>
      <c r="J51" s="729"/>
      <c r="K51" s="729"/>
      <c r="L51" s="729"/>
      <c r="M51" s="729"/>
      <c r="N51" s="729"/>
      <c r="O51" s="729"/>
      <c r="P51" s="729"/>
      <c r="Q51" s="729"/>
    </row>
  </sheetData>
  <sheetProtection algorithmName="SHA-512" hashValue="ZK9jaj7d7+xyU6ODt0RgZhZNh53+OxK7U82/lPTR1HWsCrg0paIQTUoMoTgdRByitBct0+FVNC0wvj/EG/NSBw==" saltValue="PcdcZW+KuAENgZBRQyhcDg==" spinCount="100000" sheet="1" objects="1" scenarios="1"/>
  <mergeCells count="26">
    <mergeCell ref="B51:Q51"/>
    <mergeCell ref="E6:L6"/>
    <mergeCell ref="E5:L5"/>
    <mergeCell ref="B7:P7"/>
    <mergeCell ref="C10:O10"/>
    <mergeCell ref="C15:O15"/>
    <mergeCell ref="C9:P9"/>
    <mergeCell ref="C12:P12"/>
    <mergeCell ref="C14:P14"/>
    <mergeCell ref="C16:P16"/>
    <mergeCell ref="C18:P18"/>
    <mergeCell ref="C20:P20"/>
    <mergeCell ref="C22:P22"/>
    <mergeCell ref="C23:O23"/>
    <mergeCell ref="C25:O25"/>
    <mergeCell ref="C27:O27"/>
    <mergeCell ref="C13:O13"/>
    <mergeCell ref="C17:O17"/>
    <mergeCell ref="C19:O19"/>
    <mergeCell ref="C21:O21"/>
    <mergeCell ref="H32:J38"/>
    <mergeCell ref="K33:M33"/>
    <mergeCell ref="B36:C36"/>
    <mergeCell ref="C24:P24"/>
    <mergeCell ref="C26:P26"/>
    <mergeCell ref="C28:P28"/>
  </mergeCells>
  <pageMargins left="0.39370078740157483" right="0.39370078740157483" top="0.39370078740157483" bottom="0.39370078740157483" header="0.31496062992125984" footer="0.31496062992125984"/>
  <pageSetup scale="75"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9"/>
  <dimension ref="A1:LJ287"/>
  <sheetViews>
    <sheetView zoomScale="63" zoomScaleNormal="63" workbookViewId="0">
      <pane xSplit="1" ySplit="9" topLeftCell="B196" activePane="bottomRight" state="frozen"/>
      <selection activeCell="AW12" sqref="AW12"/>
      <selection pane="topRight" activeCell="AW12" sqref="AW12"/>
      <selection pane="bottomLeft" activeCell="AW12" sqref="AW12"/>
      <selection pane="bottomRight" activeCell="AJ248" sqref="AJ248"/>
    </sheetView>
  </sheetViews>
  <sheetFormatPr baseColWidth="10" defaultColWidth="9.109375" defaultRowHeight="13.2" x14ac:dyDescent="0.25"/>
  <cols>
    <col min="1" max="1" width="49.44140625" customWidth="1"/>
    <col min="2" max="2" width="16.33203125" customWidth="1"/>
    <col min="3" max="3" width="13.109375" customWidth="1"/>
    <col min="4" max="4" width="12.109375" customWidth="1"/>
    <col min="5" max="5" width="11.88671875" customWidth="1"/>
    <col min="6" max="33" width="11.88671875" style="53" customWidth="1"/>
    <col min="34" max="34" width="12.109375" customWidth="1"/>
    <col min="35" max="35" width="12.44140625" customWidth="1"/>
    <col min="36" max="64" width="12.44140625" style="53" customWidth="1"/>
    <col min="65" max="65" width="11.33203125" customWidth="1"/>
    <col min="66" max="66" width="11.88671875" customWidth="1"/>
    <col min="67" max="96" width="11.88671875" style="53" customWidth="1"/>
    <col min="97" max="97" width="11" customWidth="1"/>
    <col min="98" max="98" width="11.6640625" customWidth="1"/>
    <col min="99" max="127" width="11.6640625" style="53" customWidth="1"/>
    <col min="128" max="128" width="12.5546875" customWidth="1"/>
    <col min="129" max="130" width="12" customWidth="1"/>
    <col min="131" max="132" width="11.5546875" customWidth="1"/>
    <col min="133" max="133" width="12" customWidth="1"/>
    <col min="134" max="134" width="11.44140625" customWidth="1"/>
    <col min="135" max="135" width="12.44140625" customWidth="1"/>
    <col min="136" max="136" width="13.88671875" customWidth="1"/>
    <col min="137" max="137" width="13.109375" customWidth="1"/>
    <col min="138" max="138" width="9.109375" customWidth="1"/>
    <col min="143" max="143" width="9.109375" customWidth="1"/>
    <col min="159" max="159" width="9.109375" style="336"/>
    <col min="161" max="161" width="9.109375" style="336"/>
    <col min="207" max="207" width="12.5546875" customWidth="1"/>
    <col min="224" max="224" width="12" customWidth="1"/>
  </cols>
  <sheetData>
    <row r="1" spans="1:322" ht="7.5" hidden="1" customHeight="1" x14ac:dyDescent="0.25">
      <c r="A1" s="739"/>
      <c r="B1" s="739"/>
      <c r="C1" s="739"/>
      <c r="D1" s="739"/>
      <c r="E1" s="739"/>
      <c r="F1" s="739"/>
      <c r="G1" s="739"/>
      <c r="H1" s="739"/>
      <c r="I1" s="739"/>
      <c r="J1" s="739"/>
      <c r="K1" s="739"/>
      <c r="L1" s="739"/>
      <c r="M1" s="739"/>
      <c r="N1" s="739"/>
      <c r="O1" s="739"/>
      <c r="P1" s="739"/>
      <c r="Q1" s="739"/>
      <c r="R1" s="739"/>
      <c r="S1" s="739"/>
      <c r="T1" s="739"/>
      <c r="U1" s="739"/>
      <c r="V1" s="739"/>
      <c r="W1" s="739"/>
      <c r="X1" s="739"/>
      <c r="Y1" s="739"/>
      <c r="Z1" s="739"/>
      <c r="AA1" s="739"/>
      <c r="AB1" s="739"/>
      <c r="AC1" s="739"/>
      <c r="AD1" s="739"/>
      <c r="AE1" s="739"/>
      <c r="AF1" s="739"/>
      <c r="AG1" s="739"/>
      <c r="AH1" s="739"/>
      <c r="AI1" s="739"/>
    </row>
    <row r="2" spans="1:322" ht="3.75" hidden="1" customHeight="1" x14ac:dyDescent="0.25">
      <c r="A2" s="739"/>
      <c r="B2" s="739"/>
      <c r="C2" s="739"/>
      <c r="D2" s="739"/>
      <c r="E2" s="739"/>
      <c r="F2" s="739"/>
      <c r="G2" s="739"/>
      <c r="H2" s="739"/>
      <c r="I2" s="739"/>
      <c r="J2" s="739"/>
      <c r="K2" s="739"/>
      <c r="L2" s="739"/>
      <c r="M2" s="739"/>
      <c r="N2" s="739"/>
      <c r="O2" s="739"/>
      <c r="P2" s="739"/>
      <c r="Q2" s="739"/>
      <c r="R2" s="739"/>
      <c r="S2" s="739"/>
      <c r="T2" s="739"/>
      <c r="U2" s="739"/>
      <c r="V2" s="739"/>
      <c r="W2" s="739"/>
      <c r="X2" s="739"/>
      <c r="Y2" s="739"/>
      <c r="Z2" s="739"/>
      <c r="AA2" s="739"/>
      <c r="AB2" s="739"/>
      <c r="AC2" s="739"/>
      <c r="AD2" s="739"/>
      <c r="AE2" s="739"/>
      <c r="AF2" s="739"/>
      <c r="AG2" s="739"/>
      <c r="AH2" s="739"/>
      <c r="AI2" s="739"/>
    </row>
    <row r="3" spans="1:322" ht="6.75" hidden="1" customHeight="1" x14ac:dyDescent="0.25">
      <c r="A3" s="739"/>
      <c r="B3" s="739"/>
      <c r="C3" s="739"/>
      <c r="D3" s="739"/>
      <c r="E3" s="739"/>
      <c r="F3" s="739"/>
      <c r="G3" s="739"/>
      <c r="H3" s="739"/>
      <c r="I3" s="739"/>
      <c r="J3" s="739"/>
      <c r="K3" s="739"/>
      <c r="L3" s="739"/>
      <c r="M3" s="739"/>
      <c r="N3" s="739"/>
      <c r="O3" s="739"/>
      <c r="P3" s="739"/>
      <c r="Q3" s="739"/>
      <c r="R3" s="739"/>
      <c r="S3" s="739"/>
      <c r="T3" s="739"/>
      <c r="U3" s="739"/>
      <c r="V3" s="739"/>
      <c r="W3" s="739"/>
      <c r="X3" s="739"/>
      <c r="Y3" s="739"/>
      <c r="Z3" s="739"/>
      <c r="AA3" s="739"/>
      <c r="AB3" s="739"/>
      <c r="AC3" s="739"/>
      <c r="AD3" s="739"/>
      <c r="AE3" s="739"/>
      <c r="AF3" s="739"/>
      <c r="AG3" s="739"/>
      <c r="AH3" s="739"/>
      <c r="AI3" s="739"/>
    </row>
    <row r="4" spans="1:322" ht="8.25" hidden="1" customHeight="1" x14ac:dyDescent="0.25"/>
    <row r="5" spans="1:322" ht="12" customHeight="1" x14ac:dyDescent="0.25">
      <c r="A5">
        <v>1</v>
      </c>
      <c r="B5">
        <v>2</v>
      </c>
      <c r="C5">
        <v>3</v>
      </c>
      <c r="D5" s="329">
        <v>4</v>
      </c>
      <c r="E5" s="329">
        <v>5</v>
      </c>
      <c r="F5" s="329">
        <v>6</v>
      </c>
      <c r="G5" s="329">
        <v>7</v>
      </c>
      <c r="H5" s="329">
        <v>8</v>
      </c>
      <c r="I5" s="329">
        <v>9</v>
      </c>
      <c r="J5" s="329">
        <v>10</v>
      </c>
      <c r="K5" s="329">
        <v>11</v>
      </c>
      <c r="L5" s="329">
        <v>12</v>
      </c>
      <c r="M5" s="329">
        <v>13</v>
      </c>
      <c r="N5" s="329">
        <v>14</v>
      </c>
      <c r="O5" s="329">
        <v>15</v>
      </c>
      <c r="P5" s="329">
        <v>16</v>
      </c>
      <c r="Q5" s="329">
        <v>17</v>
      </c>
      <c r="R5" s="329">
        <v>18</v>
      </c>
      <c r="S5" s="329">
        <v>19</v>
      </c>
      <c r="T5" s="329">
        <v>20</v>
      </c>
      <c r="U5" s="329">
        <v>21</v>
      </c>
      <c r="V5" s="329">
        <v>22</v>
      </c>
      <c r="W5" s="329">
        <v>23</v>
      </c>
      <c r="X5" s="329">
        <v>24</v>
      </c>
      <c r="Y5" s="329">
        <v>25</v>
      </c>
      <c r="Z5" s="329">
        <v>26</v>
      </c>
      <c r="AA5" s="329">
        <v>27</v>
      </c>
      <c r="AB5" s="329">
        <v>28</v>
      </c>
      <c r="AC5" s="329">
        <v>29</v>
      </c>
      <c r="AD5" s="329">
        <v>30</v>
      </c>
      <c r="AE5" s="329">
        <v>31</v>
      </c>
      <c r="AF5" s="329">
        <v>32</v>
      </c>
      <c r="AG5" s="329">
        <v>33</v>
      </c>
      <c r="AH5" s="329">
        <v>34</v>
      </c>
      <c r="AI5" s="329">
        <v>35</v>
      </c>
      <c r="AJ5" s="329">
        <v>36</v>
      </c>
      <c r="AK5" s="329">
        <v>37</v>
      </c>
      <c r="AL5" s="329">
        <v>38</v>
      </c>
      <c r="AM5" s="329">
        <v>39</v>
      </c>
      <c r="AN5" s="329">
        <v>40</v>
      </c>
      <c r="AO5" s="329">
        <v>41</v>
      </c>
      <c r="AP5" s="329">
        <v>42</v>
      </c>
      <c r="AQ5" s="329">
        <v>43</v>
      </c>
      <c r="AR5" s="329">
        <v>44</v>
      </c>
      <c r="AS5" s="329">
        <v>45</v>
      </c>
      <c r="AT5" s="329">
        <v>46</v>
      </c>
      <c r="AU5" s="329">
        <v>47</v>
      </c>
      <c r="AV5" s="329">
        <v>48</v>
      </c>
      <c r="AW5" s="329">
        <v>49</v>
      </c>
      <c r="AX5" s="329">
        <v>50</v>
      </c>
      <c r="AY5" s="329">
        <v>51</v>
      </c>
      <c r="AZ5" s="329">
        <v>52</v>
      </c>
      <c r="BA5" s="329">
        <v>53</v>
      </c>
      <c r="BB5" s="329">
        <v>54</v>
      </c>
      <c r="BC5" s="329">
        <v>55</v>
      </c>
      <c r="BD5" s="329">
        <v>56</v>
      </c>
      <c r="BE5" s="329">
        <v>57</v>
      </c>
      <c r="BF5" s="329">
        <v>58</v>
      </c>
      <c r="BG5" s="329">
        <v>59</v>
      </c>
      <c r="BH5" s="329">
        <v>60</v>
      </c>
      <c r="BI5" s="329">
        <v>61</v>
      </c>
      <c r="BJ5" s="329">
        <v>62</v>
      </c>
      <c r="BK5" s="329">
        <v>63</v>
      </c>
      <c r="BL5" s="329">
        <v>64</v>
      </c>
      <c r="BM5" s="329">
        <v>65</v>
      </c>
      <c r="BN5" s="329">
        <v>66</v>
      </c>
      <c r="BO5" s="329">
        <v>67</v>
      </c>
      <c r="BP5" s="329">
        <v>68</v>
      </c>
      <c r="BQ5" s="329">
        <v>69</v>
      </c>
      <c r="BR5" s="329">
        <v>70</v>
      </c>
      <c r="BS5" s="329">
        <v>71</v>
      </c>
      <c r="BT5" s="329">
        <v>72</v>
      </c>
      <c r="BU5" s="329">
        <v>73</v>
      </c>
      <c r="BV5" s="329">
        <v>74</v>
      </c>
      <c r="BW5" s="329">
        <v>75</v>
      </c>
      <c r="BX5" s="329">
        <v>76</v>
      </c>
      <c r="BY5" s="329">
        <v>77</v>
      </c>
      <c r="BZ5" s="329">
        <v>78</v>
      </c>
      <c r="CA5" s="329">
        <v>79</v>
      </c>
      <c r="CB5" s="329">
        <v>80</v>
      </c>
      <c r="CC5" s="329">
        <v>81</v>
      </c>
      <c r="CD5" s="329">
        <v>82</v>
      </c>
      <c r="CE5" s="329">
        <v>83</v>
      </c>
      <c r="CF5" s="329">
        <v>84</v>
      </c>
      <c r="CG5" s="329">
        <v>85</v>
      </c>
      <c r="CH5" s="329">
        <v>86</v>
      </c>
      <c r="CI5" s="329">
        <v>87</v>
      </c>
      <c r="CJ5" s="329">
        <v>88</v>
      </c>
      <c r="CK5" s="329">
        <v>89</v>
      </c>
      <c r="CL5" s="329">
        <v>90</v>
      </c>
      <c r="CM5" s="329">
        <v>91</v>
      </c>
      <c r="CN5" s="329">
        <v>92</v>
      </c>
      <c r="CO5" s="329">
        <v>93</v>
      </c>
      <c r="CP5" s="329">
        <v>94</v>
      </c>
      <c r="CQ5" s="329">
        <v>95</v>
      </c>
      <c r="CR5" s="329">
        <v>96</v>
      </c>
      <c r="CS5" s="329">
        <v>97</v>
      </c>
      <c r="CT5" s="329">
        <v>98</v>
      </c>
      <c r="CU5" s="329">
        <v>99</v>
      </c>
      <c r="CV5" s="329">
        <v>100</v>
      </c>
      <c r="CW5" s="329">
        <v>101</v>
      </c>
      <c r="CX5" s="329">
        <v>102</v>
      </c>
      <c r="CY5" s="329">
        <v>103</v>
      </c>
      <c r="CZ5" s="329">
        <v>104</v>
      </c>
      <c r="DA5" s="329">
        <v>105</v>
      </c>
      <c r="DB5" s="329">
        <v>106</v>
      </c>
      <c r="DC5" s="329">
        <v>107</v>
      </c>
      <c r="DD5" s="329">
        <v>108</v>
      </c>
      <c r="DE5" s="329">
        <v>109</v>
      </c>
      <c r="DF5" s="329">
        <v>110</v>
      </c>
      <c r="DG5" s="329">
        <v>111</v>
      </c>
      <c r="DH5" s="329">
        <v>112</v>
      </c>
      <c r="DI5" s="329">
        <v>113</v>
      </c>
      <c r="DJ5" s="329">
        <v>114</v>
      </c>
      <c r="DK5" s="329">
        <v>115</v>
      </c>
      <c r="DL5" s="329">
        <v>116</v>
      </c>
      <c r="DM5" s="329">
        <v>117</v>
      </c>
      <c r="DN5" s="329">
        <v>118</v>
      </c>
      <c r="DO5" s="329">
        <v>119</v>
      </c>
      <c r="DP5" s="329">
        <v>120</v>
      </c>
      <c r="DQ5" s="329">
        <v>121</v>
      </c>
      <c r="DR5" s="329">
        <v>122</v>
      </c>
      <c r="DS5" s="329">
        <v>123</v>
      </c>
      <c r="DT5" s="329">
        <v>124</v>
      </c>
      <c r="DU5" s="329">
        <v>125</v>
      </c>
      <c r="DV5" s="329">
        <v>126</v>
      </c>
      <c r="DW5" s="329">
        <v>127</v>
      </c>
      <c r="DX5" s="329">
        <v>128</v>
      </c>
      <c r="DY5" s="329">
        <v>129</v>
      </c>
      <c r="DZ5" s="329">
        <v>130</v>
      </c>
      <c r="EA5" s="329">
        <v>131</v>
      </c>
      <c r="EB5" s="329">
        <v>132</v>
      </c>
      <c r="EC5" s="329">
        <v>133</v>
      </c>
      <c r="ED5" s="329">
        <v>134</v>
      </c>
      <c r="EE5" s="329">
        <v>135</v>
      </c>
      <c r="EF5" s="329">
        <v>136</v>
      </c>
      <c r="EG5" s="329">
        <v>137</v>
      </c>
      <c r="EH5" s="329">
        <v>138</v>
      </c>
      <c r="EI5" s="329">
        <v>139</v>
      </c>
      <c r="EJ5" s="329">
        <v>140</v>
      </c>
      <c r="EK5" s="329">
        <v>141</v>
      </c>
      <c r="EL5" s="329">
        <v>142</v>
      </c>
      <c r="EM5" s="329">
        <v>143</v>
      </c>
      <c r="EN5" s="329">
        <v>144</v>
      </c>
      <c r="EO5" s="329">
        <v>145</v>
      </c>
      <c r="EP5" s="329">
        <v>146</v>
      </c>
      <c r="EQ5" s="329">
        <v>147</v>
      </c>
      <c r="ER5" s="329">
        <v>148</v>
      </c>
      <c r="ES5" s="329">
        <v>149</v>
      </c>
      <c r="ET5" s="329">
        <v>150</v>
      </c>
      <c r="EU5" s="329">
        <v>151</v>
      </c>
      <c r="EV5" s="329">
        <v>152</v>
      </c>
      <c r="EW5" s="329">
        <v>153</v>
      </c>
      <c r="EX5" s="329">
        <v>154</v>
      </c>
      <c r="EY5" s="329">
        <v>155</v>
      </c>
      <c r="EZ5" s="329">
        <v>156</v>
      </c>
      <c r="FA5" s="329">
        <v>157</v>
      </c>
      <c r="FB5">
        <v>158</v>
      </c>
      <c r="FC5" s="377">
        <v>159</v>
      </c>
      <c r="FD5" s="377">
        <v>160</v>
      </c>
      <c r="FE5" s="377">
        <v>161</v>
      </c>
      <c r="FF5" s="377">
        <v>162</v>
      </c>
      <c r="FG5" s="377">
        <v>163</v>
      </c>
      <c r="FH5" s="377">
        <v>164</v>
      </c>
      <c r="FI5" s="377">
        <v>165</v>
      </c>
      <c r="FJ5" s="377">
        <v>166</v>
      </c>
      <c r="FK5" s="377">
        <v>167</v>
      </c>
      <c r="FL5" s="377">
        <v>168</v>
      </c>
      <c r="FM5" s="377">
        <v>169</v>
      </c>
      <c r="FN5" s="377">
        <v>170</v>
      </c>
      <c r="FO5" s="377">
        <v>171</v>
      </c>
      <c r="FP5" s="377">
        <v>172</v>
      </c>
      <c r="FQ5" s="377">
        <v>173</v>
      </c>
      <c r="FR5" s="377">
        <v>174</v>
      </c>
      <c r="FS5" s="377">
        <v>175</v>
      </c>
      <c r="FT5" s="377">
        <v>176</v>
      </c>
      <c r="FU5" s="377">
        <v>177</v>
      </c>
      <c r="FV5" s="377">
        <v>178</v>
      </c>
      <c r="FW5" s="377">
        <v>179</v>
      </c>
      <c r="FX5" s="377">
        <v>180</v>
      </c>
      <c r="FY5" s="377">
        <v>181</v>
      </c>
      <c r="FZ5" s="377">
        <v>182</v>
      </c>
      <c r="GA5" s="377">
        <v>183</v>
      </c>
      <c r="GB5" s="377">
        <v>184</v>
      </c>
      <c r="GC5" s="377">
        <v>185</v>
      </c>
      <c r="GD5" s="377">
        <v>186</v>
      </c>
      <c r="GE5" s="377">
        <v>187</v>
      </c>
      <c r="GF5" s="377">
        <v>188</v>
      </c>
      <c r="GG5" s="377">
        <v>189</v>
      </c>
      <c r="GH5" s="377">
        <v>190</v>
      </c>
      <c r="GI5" s="377">
        <v>191</v>
      </c>
      <c r="GJ5" s="468">
        <v>192</v>
      </c>
      <c r="GK5" s="468">
        <v>193</v>
      </c>
      <c r="GL5" s="468">
        <v>194</v>
      </c>
      <c r="GM5" s="468">
        <v>195</v>
      </c>
      <c r="GN5" s="468">
        <v>196</v>
      </c>
      <c r="GO5" s="468">
        <v>197</v>
      </c>
      <c r="GP5" s="468">
        <v>198</v>
      </c>
      <c r="GQ5" s="468">
        <v>199</v>
      </c>
      <c r="GR5" s="468">
        <v>200</v>
      </c>
      <c r="GS5" s="468">
        <v>201</v>
      </c>
      <c r="GT5" s="468">
        <v>202</v>
      </c>
      <c r="GU5" s="468">
        <v>203</v>
      </c>
      <c r="GV5" s="468">
        <v>204</v>
      </c>
      <c r="GW5" s="468">
        <v>205</v>
      </c>
      <c r="GX5" s="468">
        <v>206</v>
      </c>
      <c r="GY5" s="468">
        <v>207</v>
      </c>
      <c r="GZ5" s="468">
        <v>208</v>
      </c>
      <c r="HA5" s="468">
        <v>209</v>
      </c>
      <c r="HB5" s="468">
        <v>210</v>
      </c>
      <c r="HC5" s="468">
        <v>211</v>
      </c>
      <c r="HD5" s="468">
        <v>212</v>
      </c>
      <c r="HE5" s="468">
        <v>213</v>
      </c>
      <c r="HF5" s="468">
        <v>214</v>
      </c>
      <c r="HG5" s="468">
        <v>215</v>
      </c>
      <c r="HH5" s="468">
        <v>216</v>
      </c>
      <c r="HI5" s="468">
        <v>217</v>
      </c>
      <c r="HJ5" s="468">
        <v>218</v>
      </c>
      <c r="HK5" s="468">
        <v>219</v>
      </c>
      <c r="HL5" s="468">
        <v>220</v>
      </c>
      <c r="HM5" s="468">
        <v>221</v>
      </c>
      <c r="HN5" s="468">
        <v>222</v>
      </c>
      <c r="HO5" s="468">
        <v>223</v>
      </c>
      <c r="HP5" s="468">
        <v>224</v>
      </c>
      <c r="HQ5" s="468">
        <v>225</v>
      </c>
      <c r="HR5" s="650">
        <v>226</v>
      </c>
      <c r="HS5" s="650">
        <v>227</v>
      </c>
      <c r="HT5" s="650">
        <v>228</v>
      </c>
      <c r="HU5" s="650">
        <v>229</v>
      </c>
      <c r="HV5" s="650">
        <v>230</v>
      </c>
      <c r="HW5" s="650">
        <v>231</v>
      </c>
      <c r="HX5" s="650">
        <v>232</v>
      </c>
      <c r="HY5" s="650">
        <v>233</v>
      </c>
      <c r="HZ5" s="650">
        <v>234</v>
      </c>
      <c r="IA5" s="650">
        <v>235</v>
      </c>
      <c r="IB5" s="650">
        <v>236</v>
      </c>
      <c r="IC5" s="650">
        <v>237</v>
      </c>
      <c r="ID5" s="650">
        <v>238</v>
      </c>
      <c r="IE5" s="650">
        <v>239</v>
      </c>
      <c r="IF5" s="650">
        <v>240</v>
      </c>
      <c r="IG5" s="650">
        <v>241</v>
      </c>
      <c r="IH5" s="650">
        <v>242</v>
      </c>
      <c r="II5" s="650">
        <v>243</v>
      </c>
      <c r="IJ5" s="650">
        <v>244</v>
      </c>
      <c r="IK5" s="650">
        <v>245</v>
      </c>
      <c r="IL5" s="650">
        <v>246</v>
      </c>
      <c r="IM5" s="650">
        <v>247</v>
      </c>
      <c r="IN5" s="650">
        <v>248</v>
      </c>
      <c r="IO5" s="650">
        <v>249</v>
      </c>
      <c r="IP5" s="650">
        <v>250</v>
      </c>
      <c r="IQ5" s="650">
        <v>251</v>
      </c>
      <c r="IR5" s="650">
        <v>252</v>
      </c>
      <c r="IS5" s="650">
        <v>253</v>
      </c>
      <c r="IT5" s="650">
        <v>254</v>
      </c>
      <c r="IU5" s="650">
        <v>255</v>
      </c>
      <c r="IV5" s="650">
        <v>256</v>
      </c>
      <c r="IW5" s="650">
        <v>257</v>
      </c>
      <c r="IX5" s="650">
        <v>258</v>
      </c>
      <c r="IY5" s="650">
        <v>259</v>
      </c>
    </row>
    <row r="6" spans="1:322" x14ac:dyDescent="0.25">
      <c r="A6" s="737" t="s">
        <v>5</v>
      </c>
      <c r="B6" s="737" t="s">
        <v>244</v>
      </c>
      <c r="C6" s="737" t="s">
        <v>245</v>
      </c>
      <c r="D6" s="893">
        <v>2016</v>
      </c>
      <c r="E6" s="893"/>
      <c r="F6" s="893"/>
      <c r="G6" s="893"/>
      <c r="H6" s="893"/>
      <c r="I6" s="893"/>
      <c r="J6" s="893"/>
      <c r="K6" s="893"/>
      <c r="L6" s="893"/>
      <c r="M6" s="893"/>
      <c r="N6" s="893"/>
      <c r="O6" s="893"/>
      <c r="P6" s="893"/>
      <c r="Q6" s="893"/>
      <c r="R6" s="893"/>
      <c r="S6" s="893"/>
      <c r="T6" s="893"/>
      <c r="U6" s="893"/>
      <c r="V6" s="893"/>
      <c r="W6" s="893"/>
      <c r="X6" s="893"/>
      <c r="Y6" s="893"/>
      <c r="Z6" s="893"/>
      <c r="AA6" s="893"/>
      <c r="AB6" s="893"/>
      <c r="AC6" s="893"/>
      <c r="AD6" s="893"/>
      <c r="AE6" s="893"/>
      <c r="AF6" s="893"/>
      <c r="AG6" s="893"/>
      <c r="AH6" s="894">
        <v>2017</v>
      </c>
      <c r="AI6" s="868"/>
      <c r="AJ6" s="868"/>
      <c r="AK6" s="868"/>
      <c r="AL6" s="868"/>
      <c r="AM6" s="868"/>
      <c r="AN6" s="868"/>
      <c r="AO6" s="868"/>
      <c r="AP6" s="868"/>
      <c r="AQ6" s="868"/>
      <c r="AR6" s="868"/>
      <c r="AS6" s="868"/>
      <c r="AT6" s="868"/>
      <c r="AU6" s="868"/>
      <c r="AV6" s="868"/>
      <c r="AW6" s="868"/>
      <c r="AX6" s="868"/>
      <c r="AY6" s="868"/>
      <c r="AZ6" s="868"/>
      <c r="BA6" s="868"/>
      <c r="BB6" s="868"/>
      <c r="BC6" s="868"/>
      <c r="BD6" s="868"/>
      <c r="BE6" s="868"/>
      <c r="BF6" s="868"/>
      <c r="BG6" s="868"/>
      <c r="BH6" s="868"/>
      <c r="BI6" s="868"/>
      <c r="BJ6" s="868"/>
      <c r="BK6" s="868"/>
      <c r="BL6" s="868"/>
      <c r="BM6" s="736">
        <v>2018</v>
      </c>
      <c r="BN6" s="737"/>
      <c r="BO6" s="737"/>
      <c r="BP6" s="737"/>
      <c r="BQ6" s="737"/>
      <c r="BR6" s="737"/>
      <c r="BS6" s="737"/>
      <c r="BT6" s="737"/>
      <c r="BU6" s="737"/>
      <c r="BV6" s="737"/>
      <c r="BW6" s="737"/>
      <c r="BX6" s="737"/>
      <c r="BY6" s="737"/>
      <c r="BZ6" s="737"/>
      <c r="CA6" s="737"/>
      <c r="CB6" s="737"/>
      <c r="CC6" s="737"/>
      <c r="CD6" s="737"/>
      <c r="CE6" s="737"/>
      <c r="CF6" s="737"/>
      <c r="CG6" s="737"/>
      <c r="CH6" s="737"/>
      <c r="CI6" s="737"/>
      <c r="CJ6" s="737"/>
      <c r="CK6" s="737"/>
      <c r="CL6" s="737"/>
      <c r="CM6" s="737"/>
      <c r="CN6" s="737"/>
      <c r="CO6" s="737"/>
      <c r="CP6" s="737"/>
      <c r="CQ6" s="737"/>
      <c r="CR6" s="737"/>
      <c r="CS6" s="736">
        <v>2019</v>
      </c>
      <c r="CT6" s="737"/>
      <c r="CU6" s="737"/>
      <c r="CV6" s="737"/>
      <c r="CW6" s="737"/>
      <c r="CX6" s="737"/>
      <c r="CY6" s="737"/>
      <c r="CZ6" s="737"/>
      <c r="DA6" s="737"/>
      <c r="DB6" s="737"/>
      <c r="DC6" s="737"/>
      <c r="DD6" s="737"/>
      <c r="DE6" s="737"/>
      <c r="DF6" s="737"/>
      <c r="DG6" s="737"/>
      <c r="DH6" s="737"/>
      <c r="DI6" s="737"/>
      <c r="DJ6" s="737"/>
      <c r="DK6" s="737"/>
      <c r="DL6" s="737"/>
      <c r="DM6" s="737"/>
      <c r="DN6" s="737"/>
      <c r="DO6" s="737"/>
      <c r="DP6" s="737"/>
      <c r="DQ6" s="737"/>
      <c r="DR6" s="737"/>
      <c r="DS6" s="737"/>
      <c r="DT6" s="737"/>
      <c r="DU6" s="737"/>
      <c r="DV6" s="737"/>
      <c r="DW6" s="737"/>
      <c r="DX6" s="885">
        <v>2020</v>
      </c>
      <c r="DY6" s="886"/>
      <c r="DZ6" s="886"/>
      <c r="EA6" s="886"/>
      <c r="EB6" s="886"/>
      <c r="EC6" s="886"/>
      <c r="ED6" s="886"/>
      <c r="EE6" s="886"/>
      <c r="EF6" s="886"/>
      <c r="EG6" s="886"/>
      <c r="EH6" s="886"/>
      <c r="EI6" s="886"/>
      <c r="EJ6" s="886"/>
      <c r="EK6" s="886"/>
      <c r="EL6" s="886"/>
      <c r="EM6" s="886"/>
      <c r="EN6" s="886"/>
      <c r="EO6" s="886"/>
      <c r="EP6" s="886"/>
      <c r="EQ6" s="886"/>
      <c r="ER6" s="886"/>
      <c r="ES6" s="886"/>
      <c r="ET6" s="886"/>
      <c r="EU6" s="886"/>
      <c r="EV6" s="886"/>
      <c r="EW6" s="886"/>
      <c r="EX6" s="886"/>
      <c r="EY6" s="886"/>
      <c r="EZ6" s="886"/>
      <c r="FA6" s="886"/>
      <c r="FB6" s="885">
        <v>2021</v>
      </c>
      <c r="FC6" s="886"/>
      <c r="FD6" s="886"/>
      <c r="FE6" s="886"/>
      <c r="FF6" s="886"/>
      <c r="FG6" s="886"/>
      <c r="FH6" s="886"/>
      <c r="FI6" s="886"/>
      <c r="FJ6" s="886"/>
      <c r="FK6" s="886"/>
      <c r="FL6" s="886"/>
      <c r="FM6" s="886"/>
      <c r="FN6" s="886"/>
      <c r="FO6" s="886"/>
      <c r="FP6" s="886"/>
      <c r="FQ6" s="886"/>
      <c r="FR6" s="886"/>
      <c r="FS6" s="886"/>
      <c r="FT6" s="886"/>
      <c r="FU6" s="886"/>
      <c r="FV6" s="886"/>
      <c r="FW6" s="886"/>
      <c r="FX6" s="886"/>
      <c r="FY6" s="886"/>
      <c r="FZ6" s="886"/>
      <c r="GA6" s="886"/>
      <c r="GB6" s="886"/>
      <c r="GC6" s="886"/>
      <c r="GD6" s="886"/>
      <c r="GE6" s="886"/>
      <c r="GF6" s="886"/>
      <c r="GG6" s="886"/>
      <c r="GH6" s="886"/>
      <c r="GI6" s="886"/>
      <c r="GJ6" s="885">
        <v>2022</v>
      </c>
      <c r="GK6" s="886"/>
      <c r="GL6" s="886"/>
      <c r="GM6" s="886"/>
      <c r="GN6" s="886"/>
      <c r="GO6" s="886"/>
      <c r="GP6" s="886"/>
      <c r="GQ6" s="886"/>
      <c r="GR6" s="886"/>
      <c r="GS6" s="886"/>
      <c r="GT6" s="886"/>
      <c r="GU6" s="886"/>
      <c r="GV6" s="886"/>
      <c r="GW6" s="886"/>
      <c r="GX6" s="886"/>
      <c r="GY6" s="886"/>
      <c r="GZ6" s="886"/>
      <c r="HA6" s="886"/>
      <c r="HB6" s="886"/>
      <c r="HC6" s="886"/>
      <c r="HD6" s="886"/>
      <c r="HE6" s="886"/>
      <c r="HF6" s="886"/>
      <c r="HG6" s="886"/>
      <c r="HH6" s="886"/>
      <c r="HI6" s="886"/>
      <c r="HJ6" s="886"/>
      <c r="HK6" s="886"/>
      <c r="HL6" s="886"/>
      <c r="HM6" s="886"/>
      <c r="HN6" s="886"/>
      <c r="HO6" s="886"/>
      <c r="HP6" s="886"/>
      <c r="HQ6" s="886"/>
      <c r="HR6" s="885">
        <v>2023</v>
      </c>
      <c r="HS6" s="886"/>
      <c r="HT6" s="886"/>
      <c r="HU6" s="886"/>
      <c r="HV6" s="886"/>
      <c r="HW6" s="886"/>
      <c r="HX6" s="886"/>
      <c r="HY6" s="886"/>
      <c r="HZ6" s="886"/>
      <c r="IA6" s="886"/>
      <c r="IB6" s="886"/>
      <c r="IC6" s="886"/>
      <c r="ID6" s="886"/>
      <c r="IE6" s="886"/>
      <c r="IF6" s="886"/>
      <c r="IG6" s="886"/>
      <c r="IH6" s="886"/>
      <c r="II6" s="886"/>
      <c r="IJ6" s="886"/>
      <c r="IK6" s="886"/>
      <c r="IL6" s="886"/>
      <c r="IM6" s="886"/>
      <c r="IN6" s="886"/>
      <c r="IO6" s="886"/>
      <c r="IP6" s="886"/>
      <c r="IQ6" s="886"/>
      <c r="IR6" s="886"/>
      <c r="IS6" s="886"/>
      <c r="IT6" s="886"/>
      <c r="IU6" s="886"/>
      <c r="IV6" s="886"/>
      <c r="IW6" s="886"/>
      <c r="IX6" s="886"/>
      <c r="IY6" s="886"/>
    </row>
    <row r="7" spans="1:322" x14ac:dyDescent="0.25">
      <c r="A7" s="737"/>
      <c r="B7" s="737"/>
      <c r="C7" s="737"/>
      <c r="D7" s="868" t="s">
        <v>219</v>
      </c>
      <c r="E7" s="854" t="s">
        <v>218</v>
      </c>
      <c r="F7" s="860" t="s">
        <v>282</v>
      </c>
      <c r="G7" s="867"/>
      <c r="H7" s="867"/>
      <c r="I7" s="867"/>
      <c r="J7" s="860" t="s">
        <v>283</v>
      </c>
      <c r="K7" s="867"/>
      <c r="L7" s="867"/>
      <c r="M7" s="867"/>
      <c r="N7" s="867"/>
      <c r="O7" s="867"/>
      <c r="P7" s="867"/>
      <c r="Q7" s="867"/>
      <c r="R7" s="867"/>
      <c r="S7" s="867"/>
      <c r="T7" s="867"/>
      <c r="U7" s="867"/>
      <c r="V7" s="867"/>
      <c r="W7" s="867"/>
      <c r="X7" s="867"/>
      <c r="Y7" s="867"/>
      <c r="Z7" s="867"/>
      <c r="AA7" s="867"/>
      <c r="AB7" s="867"/>
      <c r="AC7" s="867"/>
      <c r="AD7" s="867"/>
      <c r="AE7" s="867"/>
      <c r="AF7" s="867"/>
      <c r="AG7" s="867"/>
      <c r="AH7" s="868" t="s">
        <v>219</v>
      </c>
      <c r="AI7" s="854" t="s">
        <v>218</v>
      </c>
      <c r="AJ7" s="866" t="s">
        <v>282</v>
      </c>
      <c r="AK7" s="739"/>
      <c r="AL7" s="739"/>
      <c r="AM7" s="739"/>
      <c r="AN7" s="866" t="s">
        <v>283</v>
      </c>
      <c r="AO7" s="739"/>
      <c r="AP7" s="739"/>
      <c r="AQ7" s="739"/>
      <c r="AR7" s="739"/>
      <c r="AS7" s="739"/>
      <c r="AT7" s="739"/>
      <c r="AU7" s="739"/>
      <c r="AV7" s="739"/>
      <c r="AW7" s="739"/>
      <c r="AX7" s="739"/>
      <c r="AY7" s="739"/>
      <c r="AZ7" s="739"/>
      <c r="BA7" s="739"/>
      <c r="BB7" s="739"/>
      <c r="BC7" s="739"/>
      <c r="BD7" s="739"/>
      <c r="BE7" s="739"/>
      <c r="BF7" s="739"/>
      <c r="BG7" s="739"/>
      <c r="BH7" s="739"/>
      <c r="BI7" s="739"/>
      <c r="BJ7" s="739"/>
      <c r="BK7" s="739"/>
      <c r="BL7" s="739"/>
      <c r="BN7" s="52"/>
      <c r="BO7" s="860" t="s">
        <v>282</v>
      </c>
      <c r="BP7" s="867"/>
      <c r="BQ7" s="867"/>
      <c r="BR7" s="867"/>
      <c r="BS7" s="860" t="s">
        <v>283</v>
      </c>
      <c r="BT7" s="867"/>
      <c r="BU7" s="867"/>
      <c r="BV7" s="867"/>
      <c r="BW7" s="867"/>
      <c r="BX7" s="867"/>
      <c r="BY7" s="867"/>
      <c r="BZ7" s="867"/>
      <c r="CA7" s="867"/>
      <c r="CB7" s="867"/>
      <c r="CC7" s="867"/>
      <c r="CD7" s="867"/>
      <c r="CE7" s="867"/>
      <c r="CF7" s="867"/>
      <c r="CG7" s="867"/>
      <c r="CH7" s="867"/>
      <c r="CI7" s="867"/>
      <c r="CJ7" s="867"/>
      <c r="CK7" s="867"/>
      <c r="CL7" s="867"/>
      <c r="CM7" s="867"/>
      <c r="CN7" s="867"/>
      <c r="CO7" s="867"/>
      <c r="CP7" s="867"/>
      <c r="CQ7" s="867"/>
      <c r="CR7" s="867"/>
      <c r="CS7" s="868" t="s">
        <v>219</v>
      </c>
      <c r="CT7" s="854" t="s">
        <v>218</v>
      </c>
      <c r="CU7" s="860" t="s">
        <v>282</v>
      </c>
      <c r="CV7" s="739"/>
      <c r="CW7" s="739"/>
      <c r="CX7" s="739"/>
      <c r="CY7" s="860" t="s">
        <v>283</v>
      </c>
      <c r="CZ7" s="739"/>
      <c r="DA7" s="739"/>
      <c r="DB7" s="739"/>
      <c r="DC7" s="739"/>
      <c r="DD7" s="739"/>
      <c r="DE7" s="739"/>
      <c r="DF7" s="739"/>
      <c r="DG7" s="739"/>
      <c r="DH7" s="739"/>
      <c r="DI7" s="739"/>
      <c r="DJ7" s="739"/>
      <c r="DK7" s="739"/>
      <c r="DL7" s="739"/>
      <c r="DM7" s="739"/>
      <c r="DN7" s="739"/>
      <c r="DO7" s="739"/>
      <c r="DP7" s="739"/>
      <c r="DQ7" s="739"/>
      <c r="DR7" s="739"/>
      <c r="DS7" s="739"/>
      <c r="DT7" s="739"/>
      <c r="DU7" s="739"/>
      <c r="DV7" s="739"/>
      <c r="DW7" s="739"/>
      <c r="DX7" s="887" t="s">
        <v>219</v>
      </c>
      <c r="DY7" s="887" t="s">
        <v>218</v>
      </c>
      <c r="DZ7" s="80" t="s">
        <v>282</v>
      </c>
      <c r="EA7" s="81"/>
      <c r="EB7" s="81"/>
      <c r="EC7" s="82"/>
      <c r="ED7" s="80" t="s">
        <v>283</v>
      </c>
      <c r="EE7" s="81"/>
      <c r="EF7" s="81"/>
      <c r="EG7" s="81"/>
      <c r="EH7" s="81"/>
      <c r="EI7" s="81"/>
      <c r="EJ7" s="81"/>
      <c r="EK7" s="81"/>
      <c r="EL7" s="81"/>
      <c r="EM7" s="81"/>
      <c r="EN7" s="81"/>
      <c r="EO7" s="81"/>
      <c r="EP7" s="81"/>
      <c r="EQ7" s="81"/>
      <c r="ER7" s="81"/>
      <c r="ES7" s="81"/>
      <c r="ET7" s="81"/>
      <c r="EU7" s="81"/>
      <c r="EV7" s="81"/>
      <c r="EW7" s="81"/>
      <c r="EX7" s="81"/>
      <c r="EY7" s="81"/>
      <c r="EZ7" s="81"/>
      <c r="FA7" s="82"/>
      <c r="FB7" s="887" t="s">
        <v>219</v>
      </c>
      <c r="FC7" s="341"/>
      <c r="FD7" s="887" t="s">
        <v>218</v>
      </c>
      <c r="FE7" s="339"/>
      <c r="FF7" s="889" t="s">
        <v>282</v>
      </c>
      <c r="FG7" s="890"/>
      <c r="FH7" s="890"/>
      <c r="FI7" s="891"/>
      <c r="FJ7" s="885" t="s">
        <v>283</v>
      </c>
      <c r="FK7" s="886"/>
      <c r="FL7" s="886"/>
      <c r="FM7" s="886"/>
      <c r="FN7" s="886"/>
      <c r="FO7" s="886"/>
      <c r="FP7" s="886"/>
      <c r="FQ7" s="886"/>
      <c r="FR7" s="886"/>
      <c r="FS7" s="886"/>
      <c r="FT7" s="886"/>
      <c r="FU7" s="886"/>
      <c r="FV7" s="886"/>
      <c r="FW7" s="886"/>
      <c r="FX7" s="886"/>
      <c r="FY7" s="886"/>
      <c r="FZ7" s="886"/>
      <c r="GA7" s="886"/>
      <c r="GB7" s="886"/>
      <c r="GC7" s="886"/>
      <c r="GD7" s="886"/>
      <c r="GE7" s="886"/>
      <c r="GF7" s="886"/>
      <c r="GG7" s="886"/>
      <c r="GH7" s="886"/>
      <c r="GI7" s="886"/>
      <c r="GJ7" s="887" t="s">
        <v>219</v>
      </c>
      <c r="GK7" s="465"/>
      <c r="GL7" s="887" t="s">
        <v>218</v>
      </c>
      <c r="GM7" s="466"/>
      <c r="GN7" s="889" t="s">
        <v>282</v>
      </c>
      <c r="GO7" s="890"/>
      <c r="GP7" s="890"/>
      <c r="GQ7" s="891"/>
      <c r="GR7" s="885" t="s">
        <v>283</v>
      </c>
      <c r="GS7" s="886"/>
      <c r="GT7" s="886"/>
      <c r="GU7" s="886"/>
      <c r="GV7" s="886"/>
      <c r="GW7" s="886"/>
      <c r="GX7" s="886"/>
      <c r="GY7" s="886"/>
      <c r="GZ7" s="886"/>
      <c r="HA7" s="886"/>
      <c r="HB7" s="886"/>
      <c r="HC7" s="886"/>
      <c r="HD7" s="886"/>
      <c r="HE7" s="886"/>
      <c r="HF7" s="886"/>
      <c r="HG7" s="886"/>
      <c r="HH7" s="886"/>
      <c r="HI7" s="886"/>
      <c r="HJ7" s="886"/>
      <c r="HK7" s="886"/>
      <c r="HL7" s="886"/>
      <c r="HM7" s="886"/>
      <c r="HN7" s="886"/>
      <c r="HO7" s="886"/>
      <c r="HP7" s="886"/>
      <c r="HQ7" s="886"/>
      <c r="HR7" s="887" t="s">
        <v>219</v>
      </c>
      <c r="HS7" s="635"/>
      <c r="HT7" s="887" t="s">
        <v>218</v>
      </c>
      <c r="HU7" s="636"/>
      <c r="HV7" s="889" t="s">
        <v>282</v>
      </c>
      <c r="HW7" s="890"/>
      <c r="HX7" s="890"/>
      <c r="HY7" s="891"/>
      <c r="HZ7" s="885" t="s">
        <v>283</v>
      </c>
      <c r="IA7" s="886"/>
      <c r="IB7" s="886"/>
      <c r="IC7" s="886"/>
      <c r="ID7" s="886"/>
      <c r="IE7" s="886"/>
      <c r="IF7" s="886"/>
      <c r="IG7" s="886"/>
      <c r="IH7" s="886"/>
      <c r="II7" s="886"/>
      <c r="IJ7" s="886"/>
      <c r="IK7" s="886"/>
      <c r="IL7" s="886"/>
      <c r="IM7" s="886"/>
      <c r="IN7" s="886"/>
      <c r="IO7" s="886"/>
      <c r="IP7" s="886"/>
      <c r="IQ7" s="886"/>
      <c r="IR7" s="886"/>
      <c r="IS7" s="886"/>
      <c r="IT7" s="886"/>
      <c r="IU7" s="886"/>
      <c r="IV7" s="886"/>
      <c r="IW7" s="886"/>
      <c r="IX7" s="886"/>
      <c r="IY7" s="886"/>
    </row>
    <row r="8" spans="1:322" ht="24.9" customHeight="1" x14ac:dyDescent="0.25">
      <c r="A8" s="745"/>
      <c r="B8" s="745"/>
      <c r="C8" s="745"/>
      <c r="D8" s="865"/>
      <c r="E8" s="863"/>
      <c r="F8" s="128" t="s">
        <v>191</v>
      </c>
      <c r="G8" s="52" t="s">
        <v>79</v>
      </c>
      <c r="H8" s="52" t="s">
        <v>156</v>
      </c>
      <c r="I8" s="52" t="s">
        <v>95</v>
      </c>
      <c r="J8" s="52" t="s">
        <v>284</v>
      </c>
      <c r="K8" s="52" t="s">
        <v>285</v>
      </c>
      <c r="L8" s="52" t="s">
        <v>286</v>
      </c>
      <c r="M8" s="52" t="s">
        <v>293</v>
      </c>
      <c r="N8" s="52" t="s">
        <v>294</v>
      </c>
      <c r="O8" s="52" t="s">
        <v>295</v>
      </c>
      <c r="P8" s="52" t="s">
        <v>297</v>
      </c>
      <c r="Q8" s="52" t="s">
        <v>298</v>
      </c>
      <c r="R8" s="52" t="s">
        <v>299</v>
      </c>
      <c r="S8" s="52" t="s">
        <v>300</v>
      </c>
      <c r="T8" s="52" t="s">
        <v>301</v>
      </c>
      <c r="U8" s="52" t="s">
        <v>302</v>
      </c>
      <c r="V8" s="52" t="s">
        <v>303</v>
      </c>
      <c r="W8" s="52" t="s">
        <v>304</v>
      </c>
      <c r="X8" s="52" t="s">
        <v>305</v>
      </c>
      <c r="Y8" s="52" t="s">
        <v>306</v>
      </c>
      <c r="Z8" s="52" t="s">
        <v>307</v>
      </c>
      <c r="AA8" s="52" t="s">
        <v>308</v>
      </c>
      <c r="AB8" s="52" t="s">
        <v>309</v>
      </c>
      <c r="AC8" s="52" t="s">
        <v>310</v>
      </c>
      <c r="AD8" s="52" t="s">
        <v>311</v>
      </c>
      <c r="AE8" s="52" t="s">
        <v>312</v>
      </c>
      <c r="AF8" s="52" t="s">
        <v>313</v>
      </c>
      <c r="AG8" s="52" t="s">
        <v>314</v>
      </c>
      <c r="AH8" s="865"/>
      <c r="AI8" s="863"/>
      <c r="AJ8" s="22" t="s">
        <v>191</v>
      </c>
      <c r="AK8" s="22" t="s">
        <v>79</v>
      </c>
      <c r="AL8" s="22" t="s">
        <v>156</v>
      </c>
      <c r="AM8" s="22" t="s">
        <v>95</v>
      </c>
      <c r="AN8" s="22" t="s">
        <v>284</v>
      </c>
      <c r="AO8" s="22" t="s">
        <v>285</v>
      </c>
      <c r="AP8" s="22" t="s">
        <v>286</v>
      </c>
      <c r="AQ8" s="22" t="s">
        <v>293</v>
      </c>
      <c r="AR8" s="22" t="s">
        <v>294</v>
      </c>
      <c r="AS8" s="22" t="s">
        <v>295</v>
      </c>
      <c r="AT8" s="22" t="s">
        <v>297</v>
      </c>
      <c r="AU8" s="22" t="s">
        <v>298</v>
      </c>
      <c r="AV8" s="22" t="s">
        <v>299</v>
      </c>
      <c r="AW8" s="22" t="s">
        <v>300</v>
      </c>
      <c r="AX8" s="22" t="s">
        <v>301</v>
      </c>
      <c r="AY8" s="22" t="s">
        <v>302</v>
      </c>
      <c r="AZ8" s="22" t="s">
        <v>303</v>
      </c>
      <c r="BA8" s="22" t="s">
        <v>304</v>
      </c>
      <c r="BB8" s="22" t="s">
        <v>305</v>
      </c>
      <c r="BC8" s="22" t="s">
        <v>306</v>
      </c>
      <c r="BD8" s="22" t="s">
        <v>307</v>
      </c>
      <c r="BE8" s="22" t="s">
        <v>308</v>
      </c>
      <c r="BF8" s="22" t="s">
        <v>309</v>
      </c>
      <c r="BG8" s="22" t="s">
        <v>310</v>
      </c>
      <c r="BH8" s="22" t="s">
        <v>311</v>
      </c>
      <c r="BI8" s="22" t="s">
        <v>312</v>
      </c>
      <c r="BJ8" s="22" t="s">
        <v>313</v>
      </c>
      <c r="BK8" s="22" t="s">
        <v>314</v>
      </c>
      <c r="BL8" s="22" t="s">
        <v>320</v>
      </c>
      <c r="BM8" s="22" t="s">
        <v>219</v>
      </c>
      <c r="BN8" s="7" t="s">
        <v>218</v>
      </c>
      <c r="BO8" s="52" t="s">
        <v>191</v>
      </c>
      <c r="BP8" s="52" t="s">
        <v>79</v>
      </c>
      <c r="BQ8" s="52" t="s">
        <v>156</v>
      </c>
      <c r="BR8" s="52" t="s">
        <v>95</v>
      </c>
      <c r="BS8" s="52" t="s">
        <v>284</v>
      </c>
      <c r="BT8" s="52" t="s">
        <v>285</v>
      </c>
      <c r="BU8" s="52" t="s">
        <v>286</v>
      </c>
      <c r="BV8" s="52" t="s">
        <v>293</v>
      </c>
      <c r="BW8" s="52" t="s">
        <v>294</v>
      </c>
      <c r="BX8" s="52" t="s">
        <v>295</v>
      </c>
      <c r="BY8" s="52" t="s">
        <v>297</v>
      </c>
      <c r="BZ8" s="52" t="s">
        <v>298</v>
      </c>
      <c r="CA8" s="52" t="s">
        <v>299</v>
      </c>
      <c r="CB8" s="52" t="s">
        <v>300</v>
      </c>
      <c r="CC8" s="52" t="s">
        <v>301</v>
      </c>
      <c r="CD8" s="52" t="s">
        <v>302</v>
      </c>
      <c r="CE8" s="52" t="s">
        <v>303</v>
      </c>
      <c r="CF8" s="52" t="s">
        <v>304</v>
      </c>
      <c r="CG8" s="52" t="s">
        <v>305</v>
      </c>
      <c r="CH8" s="52" t="s">
        <v>306</v>
      </c>
      <c r="CI8" s="52" t="s">
        <v>307</v>
      </c>
      <c r="CJ8" s="52" t="s">
        <v>308</v>
      </c>
      <c r="CK8" s="52" t="s">
        <v>309</v>
      </c>
      <c r="CL8" s="52" t="s">
        <v>310</v>
      </c>
      <c r="CM8" s="52" t="s">
        <v>311</v>
      </c>
      <c r="CN8" s="52" t="s">
        <v>312</v>
      </c>
      <c r="CO8" s="52" t="s">
        <v>313</v>
      </c>
      <c r="CP8" s="52" t="s">
        <v>314</v>
      </c>
      <c r="CQ8" s="52" t="s">
        <v>320</v>
      </c>
      <c r="CR8" s="52" t="s">
        <v>321</v>
      </c>
      <c r="CS8" s="865"/>
      <c r="CT8" s="863"/>
      <c r="CU8" s="152">
        <v>1</v>
      </c>
      <c r="CV8" s="152">
        <v>2</v>
      </c>
      <c r="CW8" s="152">
        <v>3</v>
      </c>
      <c r="CX8" s="152">
        <v>4</v>
      </c>
      <c r="CY8" s="52" t="s">
        <v>284</v>
      </c>
      <c r="CZ8" s="52" t="s">
        <v>285</v>
      </c>
      <c r="DA8" s="52" t="s">
        <v>286</v>
      </c>
      <c r="DB8" s="52" t="s">
        <v>293</v>
      </c>
      <c r="DC8" s="52" t="s">
        <v>294</v>
      </c>
      <c r="DD8" s="52" t="s">
        <v>295</v>
      </c>
      <c r="DE8" s="52" t="s">
        <v>297</v>
      </c>
      <c r="DF8" s="52" t="s">
        <v>298</v>
      </c>
      <c r="DG8" s="52" t="s">
        <v>299</v>
      </c>
      <c r="DH8" s="52" t="s">
        <v>300</v>
      </c>
      <c r="DI8" s="52" t="s">
        <v>301</v>
      </c>
      <c r="DJ8" s="52" t="s">
        <v>302</v>
      </c>
      <c r="DK8" s="52" t="s">
        <v>303</v>
      </c>
      <c r="DL8" s="52" t="s">
        <v>304</v>
      </c>
      <c r="DM8" s="52" t="s">
        <v>305</v>
      </c>
      <c r="DN8" s="52" t="s">
        <v>306</v>
      </c>
      <c r="DO8" s="52" t="s">
        <v>307</v>
      </c>
      <c r="DP8" s="52" t="s">
        <v>308</v>
      </c>
      <c r="DQ8" s="52" t="s">
        <v>309</v>
      </c>
      <c r="DR8" s="52" t="s">
        <v>310</v>
      </c>
      <c r="DS8" s="52" t="s">
        <v>311</v>
      </c>
      <c r="DT8" s="52" t="s">
        <v>312</v>
      </c>
      <c r="DU8" s="52" t="s">
        <v>313</v>
      </c>
      <c r="DV8" s="52" t="s">
        <v>314</v>
      </c>
      <c r="DW8" s="52" t="s">
        <v>320</v>
      </c>
      <c r="DX8" s="888"/>
      <c r="DY8" s="888"/>
      <c r="DZ8" s="83" t="s">
        <v>191</v>
      </c>
      <c r="EA8" s="83" t="s">
        <v>79</v>
      </c>
      <c r="EB8" s="83" t="s">
        <v>156</v>
      </c>
      <c r="EC8" s="83" t="s">
        <v>95</v>
      </c>
      <c r="ED8" s="83" t="s">
        <v>284</v>
      </c>
      <c r="EE8" s="83" t="s">
        <v>285</v>
      </c>
      <c r="EF8" s="83" t="s">
        <v>286</v>
      </c>
      <c r="EG8" s="83" t="s">
        <v>293</v>
      </c>
      <c r="EH8" s="83" t="s">
        <v>294</v>
      </c>
      <c r="EI8" s="83" t="s">
        <v>295</v>
      </c>
      <c r="EJ8" s="83" t="s">
        <v>297</v>
      </c>
      <c r="EK8" s="83" t="s">
        <v>298</v>
      </c>
      <c r="EL8" s="83" t="s">
        <v>299</v>
      </c>
      <c r="EM8" s="83" t="s">
        <v>300</v>
      </c>
      <c r="EN8" s="83" t="s">
        <v>301</v>
      </c>
      <c r="EO8" s="83" t="s">
        <v>302</v>
      </c>
      <c r="EP8" s="83" t="s">
        <v>303</v>
      </c>
      <c r="EQ8" s="83" t="s">
        <v>304</v>
      </c>
      <c r="ER8" s="83" t="s">
        <v>305</v>
      </c>
      <c r="ES8" s="83" t="s">
        <v>306</v>
      </c>
      <c r="ET8" s="83" t="s">
        <v>307</v>
      </c>
      <c r="EU8" s="83" t="s">
        <v>308</v>
      </c>
      <c r="EV8" s="83" t="s">
        <v>309</v>
      </c>
      <c r="EW8" s="83" t="s">
        <v>310</v>
      </c>
      <c r="EX8" s="83" t="s">
        <v>311</v>
      </c>
      <c r="EY8" s="83" t="s">
        <v>312</v>
      </c>
      <c r="EZ8" s="83" t="s">
        <v>313</v>
      </c>
      <c r="FA8" s="83" t="s">
        <v>314</v>
      </c>
      <c r="FB8" s="888"/>
      <c r="FC8" s="372"/>
      <c r="FD8" s="888"/>
      <c r="FE8" s="341"/>
      <c r="FF8" s="83" t="s">
        <v>191</v>
      </c>
      <c r="FG8" s="83" t="s">
        <v>79</v>
      </c>
      <c r="FH8" s="83" t="s">
        <v>156</v>
      </c>
      <c r="FI8" s="83" t="s">
        <v>95</v>
      </c>
      <c r="FJ8" s="83" t="s">
        <v>284</v>
      </c>
      <c r="FK8" s="83" t="s">
        <v>285</v>
      </c>
      <c r="FL8" s="83" t="s">
        <v>286</v>
      </c>
      <c r="FM8" s="83" t="s">
        <v>293</v>
      </c>
      <c r="FN8" s="83" t="s">
        <v>294</v>
      </c>
      <c r="FO8" s="83" t="s">
        <v>295</v>
      </c>
      <c r="FP8" s="83" t="s">
        <v>297</v>
      </c>
      <c r="FQ8" s="83" t="s">
        <v>298</v>
      </c>
      <c r="FR8" s="83" t="s">
        <v>299</v>
      </c>
      <c r="FS8" s="83" t="s">
        <v>300</v>
      </c>
      <c r="FT8" s="83" t="s">
        <v>301</v>
      </c>
      <c r="FU8" s="83" t="s">
        <v>302</v>
      </c>
      <c r="FV8" s="83" t="s">
        <v>303</v>
      </c>
      <c r="FW8" s="83" t="s">
        <v>304</v>
      </c>
      <c r="FX8" s="83" t="s">
        <v>305</v>
      </c>
      <c r="FY8" s="83" t="s">
        <v>306</v>
      </c>
      <c r="FZ8" s="83" t="s">
        <v>307</v>
      </c>
      <c r="GA8" s="83" t="s">
        <v>308</v>
      </c>
      <c r="GB8" s="83" t="s">
        <v>309</v>
      </c>
      <c r="GC8" s="83" t="s">
        <v>310</v>
      </c>
      <c r="GD8" s="83" t="s">
        <v>311</v>
      </c>
      <c r="GE8" s="83" t="s">
        <v>312</v>
      </c>
      <c r="GF8" s="83" t="s">
        <v>313</v>
      </c>
      <c r="GG8" s="83" t="s">
        <v>314</v>
      </c>
      <c r="GH8" s="375" t="s">
        <v>320</v>
      </c>
      <c r="GI8" s="375" t="s">
        <v>321</v>
      </c>
      <c r="GJ8" s="888"/>
      <c r="GK8" s="372"/>
      <c r="GL8" s="888"/>
      <c r="GM8" s="465"/>
      <c r="GN8" s="83" t="s">
        <v>191</v>
      </c>
      <c r="GO8" s="83" t="s">
        <v>79</v>
      </c>
      <c r="GP8" s="83" t="s">
        <v>156</v>
      </c>
      <c r="GQ8" s="83" t="s">
        <v>95</v>
      </c>
      <c r="GR8" s="464" t="s">
        <v>284</v>
      </c>
      <c r="GS8" s="464" t="s">
        <v>285</v>
      </c>
      <c r="GT8" s="464" t="s">
        <v>286</v>
      </c>
      <c r="GU8" s="464" t="s">
        <v>293</v>
      </c>
      <c r="GV8" s="464" t="s">
        <v>294</v>
      </c>
      <c r="GW8" s="464" t="s">
        <v>295</v>
      </c>
      <c r="GX8" s="464" t="s">
        <v>297</v>
      </c>
      <c r="GY8" s="464" t="s">
        <v>298</v>
      </c>
      <c r="GZ8" s="464" t="s">
        <v>299</v>
      </c>
      <c r="HA8" s="464" t="s">
        <v>300</v>
      </c>
      <c r="HB8" s="464" t="s">
        <v>301</v>
      </c>
      <c r="HC8" s="464" t="s">
        <v>302</v>
      </c>
      <c r="HD8" s="464" t="s">
        <v>303</v>
      </c>
      <c r="HE8" s="464" t="s">
        <v>304</v>
      </c>
      <c r="HF8" s="464" t="s">
        <v>305</v>
      </c>
      <c r="HG8" s="464" t="s">
        <v>306</v>
      </c>
      <c r="HH8" s="464" t="s">
        <v>307</v>
      </c>
      <c r="HI8" s="464" t="s">
        <v>308</v>
      </c>
      <c r="HJ8" s="464" t="s">
        <v>309</v>
      </c>
      <c r="HK8" s="464" t="s">
        <v>310</v>
      </c>
      <c r="HL8" s="464" t="s">
        <v>311</v>
      </c>
      <c r="HM8" s="464" t="s">
        <v>312</v>
      </c>
      <c r="HN8" s="464" t="s">
        <v>313</v>
      </c>
      <c r="HO8" s="464" t="s">
        <v>314</v>
      </c>
      <c r="HP8" s="463" t="s">
        <v>320</v>
      </c>
      <c r="HQ8" s="463" t="s">
        <v>321</v>
      </c>
      <c r="HR8" s="888"/>
      <c r="HS8" s="372"/>
      <c r="HT8" s="888"/>
      <c r="HU8" s="635"/>
      <c r="HV8" s="83" t="s">
        <v>191</v>
      </c>
      <c r="HW8" s="83" t="s">
        <v>79</v>
      </c>
      <c r="HX8" s="83" t="s">
        <v>156</v>
      </c>
      <c r="HY8" s="83" t="s">
        <v>95</v>
      </c>
      <c r="HZ8" s="633" t="s">
        <v>284</v>
      </c>
      <c r="IA8" s="633" t="s">
        <v>285</v>
      </c>
      <c r="IB8" s="633" t="s">
        <v>286</v>
      </c>
      <c r="IC8" s="633" t="s">
        <v>293</v>
      </c>
      <c r="ID8" s="633" t="s">
        <v>294</v>
      </c>
      <c r="IE8" s="633" t="s">
        <v>295</v>
      </c>
      <c r="IF8" s="633" t="s">
        <v>297</v>
      </c>
      <c r="IG8" s="633" t="s">
        <v>298</v>
      </c>
      <c r="IH8" s="633" t="s">
        <v>299</v>
      </c>
      <c r="II8" s="633" t="s">
        <v>300</v>
      </c>
      <c r="IJ8" s="633" t="s">
        <v>301</v>
      </c>
      <c r="IK8" s="633" t="s">
        <v>302</v>
      </c>
      <c r="IL8" s="633" t="s">
        <v>303</v>
      </c>
      <c r="IM8" s="633" t="s">
        <v>304</v>
      </c>
      <c r="IN8" s="633" t="s">
        <v>305</v>
      </c>
      <c r="IO8" s="633" t="s">
        <v>306</v>
      </c>
      <c r="IP8" s="633" t="s">
        <v>307</v>
      </c>
      <c r="IQ8" s="633" t="s">
        <v>308</v>
      </c>
      <c r="IR8" s="633" t="s">
        <v>309</v>
      </c>
      <c r="IS8" s="633" t="s">
        <v>310</v>
      </c>
      <c r="IT8" s="633" t="s">
        <v>311</v>
      </c>
      <c r="IU8" s="633" t="s">
        <v>312</v>
      </c>
      <c r="IV8" s="633" t="s">
        <v>313</v>
      </c>
      <c r="IW8" s="633" t="s">
        <v>314</v>
      </c>
      <c r="IX8" s="634" t="s">
        <v>320</v>
      </c>
      <c r="IY8" s="634" t="s">
        <v>321</v>
      </c>
    </row>
    <row r="9" spans="1:322" s="134" customFormat="1" ht="187.5" customHeight="1" x14ac:dyDescent="0.25">
      <c r="A9" s="135"/>
      <c r="B9" s="135"/>
      <c r="C9" s="135"/>
      <c r="D9" s="136"/>
      <c r="E9" s="135"/>
      <c r="F9" s="135"/>
      <c r="G9" s="135"/>
      <c r="H9" s="135"/>
      <c r="I9" s="135"/>
      <c r="J9" s="169" t="s">
        <v>377</v>
      </c>
      <c r="K9" s="169" t="s">
        <v>378</v>
      </c>
      <c r="L9" s="169" t="s">
        <v>379</v>
      </c>
      <c r="M9" s="169" t="s">
        <v>380</v>
      </c>
      <c r="N9" s="169" t="s">
        <v>381</v>
      </c>
      <c r="O9" s="169" t="s">
        <v>382</v>
      </c>
      <c r="P9" s="169" t="s">
        <v>383</v>
      </c>
      <c r="Q9" s="169" t="s">
        <v>384</v>
      </c>
      <c r="R9" s="167" t="s">
        <v>786</v>
      </c>
      <c r="S9" s="167" t="s">
        <v>401</v>
      </c>
      <c r="T9" s="167" t="s">
        <v>395</v>
      </c>
      <c r="U9" s="167" t="s">
        <v>396</v>
      </c>
      <c r="V9" s="167" t="s">
        <v>392</v>
      </c>
      <c r="W9" s="167" t="s">
        <v>386</v>
      </c>
      <c r="X9" s="167" t="s">
        <v>393</v>
      </c>
      <c r="Y9" s="167" t="s">
        <v>387</v>
      </c>
      <c r="Z9" s="168" t="s">
        <v>399</v>
      </c>
      <c r="AA9" s="168" t="s">
        <v>388</v>
      </c>
      <c r="AB9" s="168" t="s">
        <v>394</v>
      </c>
      <c r="AC9" s="168" t="s">
        <v>400</v>
      </c>
      <c r="AD9" s="168" t="s">
        <v>397</v>
      </c>
      <c r="AE9" s="168" t="s">
        <v>398</v>
      </c>
      <c r="AF9" s="168" t="s">
        <v>391</v>
      </c>
      <c r="AG9" s="166" t="s">
        <v>385</v>
      </c>
      <c r="AH9" s="136"/>
      <c r="AI9" s="135"/>
      <c r="AJ9" s="136"/>
      <c r="AK9" s="136"/>
      <c r="AL9" s="136"/>
      <c r="AM9" s="136"/>
      <c r="AN9" s="169" t="s">
        <v>377</v>
      </c>
      <c r="AO9" s="169" t="s">
        <v>378</v>
      </c>
      <c r="AP9" s="169" t="s">
        <v>379</v>
      </c>
      <c r="AQ9" s="169" t="s">
        <v>380</v>
      </c>
      <c r="AR9" s="169" t="s">
        <v>381</v>
      </c>
      <c r="AS9" s="169" t="s">
        <v>383</v>
      </c>
      <c r="AT9" s="169" t="s">
        <v>384</v>
      </c>
      <c r="AU9" s="167" t="s">
        <v>377</v>
      </c>
      <c r="AV9" s="167" t="s">
        <v>401</v>
      </c>
      <c r="AW9" s="167" t="s">
        <v>395</v>
      </c>
      <c r="AX9" s="167" t="s">
        <v>396</v>
      </c>
      <c r="AY9" s="167" t="s">
        <v>392</v>
      </c>
      <c r="AZ9" s="167" t="s">
        <v>386</v>
      </c>
      <c r="BA9" s="167" t="s">
        <v>393</v>
      </c>
      <c r="BB9" s="167" t="s">
        <v>387</v>
      </c>
      <c r="BC9" s="168" t="s">
        <v>399</v>
      </c>
      <c r="BD9" s="168" t="s">
        <v>388</v>
      </c>
      <c r="BE9" s="168" t="s">
        <v>394</v>
      </c>
      <c r="BF9" s="168" t="s">
        <v>390</v>
      </c>
      <c r="BG9" s="168" t="s">
        <v>400</v>
      </c>
      <c r="BH9" s="168" t="s">
        <v>397</v>
      </c>
      <c r="BI9" s="168" t="s">
        <v>398</v>
      </c>
      <c r="BJ9" s="168" t="s">
        <v>391</v>
      </c>
      <c r="BK9" s="166" t="s">
        <v>385</v>
      </c>
      <c r="BL9" s="166" t="s">
        <v>389</v>
      </c>
      <c r="BM9" s="136"/>
      <c r="BN9" s="135"/>
      <c r="BO9" s="135"/>
      <c r="BP9" s="135"/>
      <c r="BQ9" s="135"/>
      <c r="BR9" s="135"/>
      <c r="BS9" s="168" t="s">
        <v>398</v>
      </c>
      <c r="BT9" s="169" t="s">
        <v>379</v>
      </c>
      <c r="BU9" s="167" t="s">
        <v>786</v>
      </c>
      <c r="BV9" s="168" t="s">
        <v>394</v>
      </c>
      <c r="BW9" s="166" t="s">
        <v>389</v>
      </c>
      <c r="BX9" s="169" t="s">
        <v>381</v>
      </c>
      <c r="BY9" s="169" t="s">
        <v>384</v>
      </c>
      <c r="BZ9" s="168" t="s">
        <v>391</v>
      </c>
      <c r="CA9" s="169" t="s">
        <v>377</v>
      </c>
      <c r="CB9" s="167" t="s">
        <v>396</v>
      </c>
      <c r="CC9" s="167" t="s">
        <v>392</v>
      </c>
      <c r="CD9" s="166" t="s">
        <v>385</v>
      </c>
      <c r="CE9" s="167" t="s">
        <v>395</v>
      </c>
      <c r="CF9" s="167" t="s">
        <v>386</v>
      </c>
      <c r="CG9" s="168" t="s">
        <v>400</v>
      </c>
      <c r="CH9" s="169" t="s">
        <v>383</v>
      </c>
      <c r="CI9" s="168" t="s">
        <v>388</v>
      </c>
      <c r="CJ9" s="168" t="s">
        <v>390</v>
      </c>
      <c r="CK9" s="168" t="s">
        <v>397</v>
      </c>
      <c r="CL9" s="169" t="s">
        <v>380</v>
      </c>
      <c r="CM9" s="169" t="s">
        <v>382</v>
      </c>
      <c r="CN9" s="167" t="s">
        <v>393</v>
      </c>
      <c r="CO9" s="167" t="s">
        <v>387</v>
      </c>
      <c r="CP9" s="169" t="s">
        <v>378</v>
      </c>
      <c r="CQ9" s="167" t="s">
        <v>401</v>
      </c>
      <c r="CR9" s="168" t="s">
        <v>399</v>
      </c>
      <c r="CS9" s="136"/>
      <c r="CT9" s="135"/>
      <c r="CU9" s="197"/>
      <c r="CV9" s="197"/>
      <c r="CW9" s="197"/>
      <c r="CX9" s="197"/>
      <c r="CY9" s="168" t="s">
        <v>391</v>
      </c>
      <c r="CZ9" s="169" t="s">
        <v>381</v>
      </c>
      <c r="DA9" s="169" t="s">
        <v>383</v>
      </c>
      <c r="DB9" s="167" t="s">
        <v>396</v>
      </c>
      <c r="DC9" s="168" t="s">
        <v>397</v>
      </c>
      <c r="DD9" s="168" t="s">
        <v>398</v>
      </c>
      <c r="DE9" s="169" t="s">
        <v>379</v>
      </c>
      <c r="DF9" s="168" t="s">
        <v>399</v>
      </c>
      <c r="DG9" s="168" t="s">
        <v>400</v>
      </c>
      <c r="DH9" s="169" t="s">
        <v>384</v>
      </c>
      <c r="DI9" s="167" t="s">
        <v>392</v>
      </c>
      <c r="DJ9" s="167" t="s">
        <v>393</v>
      </c>
      <c r="DK9" s="169" t="s">
        <v>380</v>
      </c>
      <c r="DL9" s="168" t="s">
        <v>394</v>
      </c>
      <c r="DM9" s="169" t="s">
        <v>377</v>
      </c>
      <c r="DN9" s="169" t="s">
        <v>378</v>
      </c>
      <c r="DO9" s="167" t="s">
        <v>395</v>
      </c>
      <c r="DP9" s="166" t="s">
        <v>385</v>
      </c>
      <c r="DQ9" s="167" t="s">
        <v>401</v>
      </c>
      <c r="DR9" s="167" t="s">
        <v>386</v>
      </c>
      <c r="DS9" s="167" t="s">
        <v>387</v>
      </c>
      <c r="DT9" s="168" t="s">
        <v>388</v>
      </c>
      <c r="DU9" s="169" t="s">
        <v>382</v>
      </c>
      <c r="DV9" s="166" t="s">
        <v>389</v>
      </c>
      <c r="DW9" s="168" t="s">
        <v>390</v>
      </c>
      <c r="DX9" s="198"/>
      <c r="DY9" s="198"/>
      <c r="DZ9" s="137"/>
      <c r="EA9" s="137"/>
      <c r="EB9" s="137"/>
      <c r="EC9" s="137"/>
      <c r="ED9" s="169" t="s">
        <v>383</v>
      </c>
      <c r="EE9" s="169" t="s">
        <v>377</v>
      </c>
      <c r="EF9" s="167" t="s">
        <v>387</v>
      </c>
      <c r="EG9" s="168" t="s">
        <v>394</v>
      </c>
      <c r="EH9" s="168" t="s">
        <v>400</v>
      </c>
      <c r="EI9" s="166" t="s">
        <v>389</v>
      </c>
      <c r="EJ9" s="169" t="s">
        <v>384</v>
      </c>
      <c r="EK9" s="168" t="s">
        <v>398</v>
      </c>
      <c r="EL9" s="169" t="s">
        <v>381</v>
      </c>
      <c r="EM9" s="167" t="s">
        <v>392</v>
      </c>
      <c r="EN9" s="167" t="s">
        <v>393</v>
      </c>
      <c r="EO9" s="168" t="s">
        <v>391</v>
      </c>
      <c r="EP9" s="169" t="s">
        <v>380</v>
      </c>
      <c r="EQ9" s="167" t="s">
        <v>395</v>
      </c>
      <c r="ER9" s="168" t="s">
        <v>397</v>
      </c>
      <c r="ES9" s="169" t="s">
        <v>379</v>
      </c>
      <c r="ET9" s="167" t="s">
        <v>396</v>
      </c>
      <c r="EU9" s="168" t="s">
        <v>388</v>
      </c>
      <c r="EV9" s="168" t="s">
        <v>390</v>
      </c>
      <c r="EW9" s="166" t="s">
        <v>385</v>
      </c>
      <c r="EX9" s="169" t="s">
        <v>378</v>
      </c>
      <c r="EY9" s="167" t="s">
        <v>401</v>
      </c>
      <c r="EZ9" s="167" t="s">
        <v>386</v>
      </c>
      <c r="FA9" s="168" t="s">
        <v>399</v>
      </c>
      <c r="FB9" s="198"/>
      <c r="FC9" s="376"/>
      <c r="FD9" s="198"/>
      <c r="FE9" s="340"/>
      <c r="FF9" s="340"/>
      <c r="FG9" s="340"/>
      <c r="FH9" s="340"/>
      <c r="FI9" s="340"/>
      <c r="FJ9" s="168" t="s">
        <v>400</v>
      </c>
      <c r="FK9" s="168" t="s">
        <v>391</v>
      </c>
      <c r="FL9" s="169" t="s">
        <v>378</v>
      </c>
      <c r="FM9" s="167" t="s">
        <v>395</v>
      </c>
      <c r="FN9" s="168" t="s">
        <v>394</v>
      </c>
      <c r="FO9" s="168" t="s">
        <v>397</v>
      </c>
      <c r="FP9" s="169" t="s">
        <v>377</v>
      </c>
      <c r="FQ9" s="167" t="s">
        <v>386</v>
      </c>
      <c r="FR9" s="167" t="s">
        <v>393</v>
      </c>
      <c r="FS9" s="168" t="s">
        <v>388</v>
      </c>
      <c r="FT9" s="166" t="s">
        <v>389</v>
      </c>
      <c r="FU9" s="167" t="s">
        <v>396</v>
      </c>
      <c r="FV9" s="168" t="s">
        <v>390</v>
      </c>
      <c r="FW9" s="166" t="s">
        <v>385</v>
      </c>
      <c r="FX9" s="169" t="s">
        <v>380</v>
      </c>
      <c r="FY9" s="167" t="s">
        <v>392</v>
      </c>
      <c r="FZ9" s="167" t="s">
        <v>387</v>
      </c>
      <c r="GA9" s="168" t="s">
        <v>398</v>
      </c>
      <c r="GB9" s="374" t="s">
        <v>382</v>
      </c>
      <c r="GC9" s="169" t="s">
        <v>381</v>
      </c>
      <c r="GD9" s="167" t="s">
        <v>401</v>
      </c>
      <c r="GE9" s="168" t="s">
        <v>399</v>
      </c>
      <c r="GF9" s="169" t="s">
        <v>379</v>
      </c>
      <c r="GG9" s="169" t="s">
        <v>383</v>
      </c>
      <c r="GH9" s="167" t="s">
        <v>402</v>
      </c>
      <c r="GI9" s="169" t="s">
        <v>384</v>
      </c>
      <c r="GJ9" s="198"/>
      <c r="GK9" s="376"/>
      <c r="GL9" s="198"/>
      <c r="GM9" s="467"/>
      <c r="GN9" s="467"/>
      <c r="GO9" s="467"/>
      <c r="GP9" s="467"/>
      <c r="GQ9" s="467"/>
      <c r="GR9" s="515" t="s">
        <v>380</v>
      </c>
      <c r="GS9" s="515" t="s">
        <v>381</v>
      </c>
      <c r="GT9" s="515" t="s">
        <v>384</v>
      </c>
      <c r="GU9" s="516" t="s">
        <v>392</v>
      </c>
      <c r="GV9" s="515" t="s">
        <v>378</v>
      </c>
      <c r="GW9" s="516" t="s">
        <v>395</v>
      </c>
      <c r="GX9" s="517" t="s">
        <v>397</v>
      </c>
      <c r="GY9" s="517" t="s">
        <v>394</v>
      </c>
      <c r="GZ9" s="517" t="s">
        <v>400</v>
      </c>
      <c r="HA9" s="516" t="s">
        <v>396</v>
      </c>
      <c r="HB9" s="518" t="s">
        <v>382</v>
      </c>
      <c r="HC9" s="516" t="s">
        <v>402</v>
      </c>
      <c r="HD9" s="516" t="s">
        <v>401</v>
      </c>
      <c r="HE9" s="516" t="s">
        <v>393</v>
      </c>
      <c r="HF9" s="516" t="s">
        <v>386</v>
      </c>
      <c r="HG9" s="517" t="s">
        <v>391</v>
      </c>
      <c r="HH9" s="515" t="s">
        <v>383</v>
      </c>
      <c r="HI9" s="517" t="s">
        <v>398</v>
      </c>
      <c r="HJ9" s="517" t="s">
        <v>388</v>
      </c>
      <c r="HK9" s="517" t="s">
        <v>399</v>
      </c>
      <c r="HL9" s="519" t="s">
        <v>389</v>
      </c>
      <c r="HM9" s="516" t="s">
        <v>387</v>
      </c>
      <c r="HN9" s="519" t="s">
        <v>385</v>
      </c>
      <c r="HO9" s="515" t="s">
        <v>377</v>
      </c>
      <c r="HP9" s="515" t="s">
        <v>379</v>
      </c>
      <c r="HQ9" s="517" t="s">
        <v>390</v>
      </c>
      <c r="HZ9" s="519" t="s">
        <v>389</v>
      </c>
      <c r="IA9" s="515" t="s">
        <v>378</v>
      </c>
      <c r="IB9" s="515" t="s">
        <v>379</v>
      </c>
      <c r="IC9" s="515" t="s">
        <v>380</v>
      </c>
      <c r="ID9" s="517" t="s">
        <v>398</v>
      </c>
      <c r="IE9" s="519" t="s">
        <v>385</v>
      </c>
      <c r="IF9" s="515" t="s">
        <v>381</v>
      </c>
      <c r="IG9" s="516" t="s">
        <v>386</v>
      </c>
      <c r="IH9" s="517" t="s">
        <v>388</v>
      </c>
      <c r="II9" s="516" t="s">
        <v>395</v>
      </c>
      <c r="IJ9" s="516" t="s">
        <v>396</v>
      </c>
      <c r="IK9" s="517" t="s">
        <v>399</v>
      </c>
      <c r="IL9" s="516" t="s">
        <v>392</v>
      </c>
      <c r="IM9" s="517" t="s">
        <v>400</v>
      </c>
      <c r="IN9" s="515" t="s">
        <v>384</v>
      </c>
      <c r="IO9" s="516" t="s">
        <v>402</v>
      </c>
      <c r="IP9" s="515" t="s">
        <v>383</v>
      </c>
      <c r="IQ9" s="516" t="s">
        <v>401</v>
      </c>
      <c r="IR9" s="516" t="s">
        <v>393</v>
      </c>
      <c r="IS9" s="518" t="s">
        <v>382</v>
      </c>
      <c r="IT9" s="516" t="s">
        <v>387</v>
      </c>
      <c r="IU9" s="517" t="s">
        <v>394</v>
      </c>
      <c r="IV9" s="517" t="s">
        <v>391</v>
      </c>
      <c r="IW9" s="517" t="s">
        <v>390</v>
      </c>
      <c r="IX9" s="517" t="s">
        <v>397</v>
      </c>
      <c r="IY9" s="515" t="s">
        <v>377</v>
      </c>
      <c r="IZ9" s="631"/>
      <c r="JA9" s="631"/>
      <c r="JB9" s="631"/>
      <c r="JC9" s="631"/>
      <c r="JD9" s="631"/>
      <c r="JE9" s="631"/>
      <c r="JF9" s="631"/>
      <c r="JG9" s="631"/>
      <c r="JH9" s="631"/>
      <c r="JI9" s="631"/>
      <c r="JJ9" s="631"/>
      <c r="JK9" s="631"/>
      <c r="JL9" s="631"/>
      <c r="JM9" s="631"/>
      <c r="JN9" s="631"/>
      <c r="JO9" s="631"/>
      <c r="JP9" s="631"/>
      <c r="JQ9" s="631"/>
      <c r="JR9" s="631"/>
      <c r="JS9" s="631"/>
      <c r="JT9" s="631"/>
      <c r="JU9" s="631"/>
      <c r="JV9" s="631"/>
      <c r="JW9" s="631"/>
      <c r="JX9" s="631"/>
      <c r="JY9" s="631"/>
      <c r="JZ9" s="631"/>
      <c r="KA9" s="631"/>
      <c r="KB9" s="631"/>
      <c r="KC9" s="631"/>
      <c r="KD9" s="631"/>
      <c r="KE9" s="631"/>
      <c r="KF9" s="631"/>
      <c r="KG9" s="631"/>
      <c r="KH9" s="631"/>
      <c r="KI9" s="631"/>
      <c r="KJ9" s="631"/>
      <c r="KK9" s="631"/>
      <c r="KL9" s="631"/>
      <c r="KM9" s="631"/>
      <c r="KN9" s="631"/>
      <c r="KO9" s="631"/>
      <c r="KP9" s="631"/>
      <c r="KQ9" s="631"/>
      <c r="KR9" s="631"/>
      <c r="KS9" s="631"/>
      <c r="KT9" s="631"/>
      <c r="KU9" s="631"/>
      <c r="KV9" s="631"/>
      <c r="KW9" s="631"/>
      <c r="KX9" s="631"/>
      <c r="KY9" s="631"/>
      <c r="KZ9" s="631"/>
      <c r="LA9" s="631"/>
      <c r="LB9" s="631"/>
      <c r="LC9" s="631"/>
      <c r="LD9" s="631"/>
      <c r="LE9" s="631"/>
      <c r="LF9" s="631"/>
      <c r="LG9" s="631"/>
      <c r="LH9" s="631"/>
      <c r="LI9" s="631"/>
      <c r="LJ9" s="631"/>
    </row>
    <row r="10" spans="1:322" ht="24.9" customHeight="1" x14ac:dyDescent="0.25">
      <c r="A10" s="185" t="s">
        <v>10</v>
      </c>
      <c r="B10" s="3"/>
      <c r="C10" s="3"/>
      <c r="D10" s="25">
        <v>54</v>
      </c>
      <c r="E10" s="25">
        <v>9</v>
      </c>
      <c r="F10" s="97">
        <v>0.09</v>
      </c>
      <c r="G10" s="97">
        <v>0.5</v>
      </c>
      <c r="H10" s="97">
        <v>0.38</v>
      </c>
      <c r="I10" s="97">
        <v>0.03</v>
      </c>
      <c r="J10" s="97">
        <v>0.38</v>
      </c>
      <c r="K10" s="97">
        <v>0.39</v>
      </c>
      <c r="L10" s="97">
        <v>0.73</v>
      </c>
      <c r="M10" s="97">
        <v>0.27</v>
      </c>
      <c r="N10" s="97">
        <v>0.33</v>
      </c>
      <c r="O10" s="97">
        <v>0.67</v>
      </c>
      <c r="P10" s="97">
        <v>0.39</v>
      </c>
      <c r="Q10" s="97">
        <v>0.41</v>
      </c>
      <c r="R10" s="97">
        <v>0.53</v>
      </c>
      <c r="S10" s="97">
        <v>0.6</v>
      </c>
      <c r="T10" s="97">
        <v>0.47</v>
      </c>
      <c r="U10" s="97">
        <v>0.6</v>
      </c>
      <c r="V10" s="97">
        <v>0.11</v>
      </c>
      <c r="W10" s="97">
        <v>0.2</v>
      </c>
      <c r="X10" s="97">
        <v>0.51</v>
      </c>
      <c r="Y10" s="97">
        <v>0.52</v>
      </c>
      <c r="Z10" s="97">
        <v>0.79</v>
      </c>
      <c r="AA10" s="97">
        <v>0.14000000000000001</v>
      </c>
      <c r="AB10" s="97">
        <v>0.45</v>
      </c>
      <c r="AC10" s="97">
        <v>0.31</v>
      </c>
      <c r="AD10" s="97">
        <v>0.47</v>
      </c>
      <c r="AE10" s="97">
        <v>0.44</v>
      </c>
      <c r="AF10" s="97">
        <v>0.5</v>
      </c>
      <c r="AG10" s="97">
        <v>0.52</v>
      </c>
      <c r="AH10" s="25">
        <v>52</v>
      </c>
      <c r="AI10" s="25">
        <v>10</v>
      </c>
      <c r="AJ10" s="84">
        <v>0.12</v>
      </c>
      <c r="AK10" s="84">
        <v>0.49</v>
      </c>
      <c r="AL10" s="84">
        <v>0.36</v>
      </c>
      <c r="AM10" s="84">
        <v>0.03</v>
      </c>
      <c r="AN10" s="84">
        <v>0.28000000000000003</v>
      </c>
      <c r="AO10" s="84">
        <v>0.45</v>
      </c>
      <c r="AP10" s="84">
        <v>0.56000000000000005</v>
      </c>
      <c r="AQ10" s="84">
        <v>0.38</v>
      </c>
      <c r="AR10" s="84">
        <v>0.54</v>
      </c>
      <c r="AS10" s="84">
        <v>0.51</v>
      </c>
      <c r="AT10" s="84">
        <v>0.51</v>
      </c>
      <c r="AU10" s="84">
        <v>0.51</v>
      </c>
      <c r="AV10" s="84">
        <v>0.57999999999999996</v>
      </c>
      <c r="AW10" s="84">
        <v>0.47</v>
      </c>
      <c r="AX10" s="84">
        <v>0.53</v>
      </c>
      <c r="AY10" s="84">
        <v>0.32</v>
      </c>
      <c r="AZ10" s="84">
        <v>0.28999999999999998</v>
      </c>
      <c r="BA10" s="84">
        <v>0.47</v>
      </c>
      <c r="BB10" s="84">
        <v>0.63</v>
      </c>
      <c r="BC10" s="84">
        <v>0.62</v>
      </c>
      <c r="BD10" s="84">
        <v>0.41</v>
      </c>
      <c r="BE10" s="84">
        <v>0.55000000000000004</v>
      </c>
      <c r="BF10" s="84">
        <v>0.59</v>
      </c>
      <c r="BG10" s="84">
        <v>0.49</v>
      </c>
      <c r="BH10" s="84">
        <v>0.42</v>
      </c>
      <c r="BI10" s="84">
        <v>0.41</v>
      </c>
      <c r="BJ10" s="84">
        <v>0.36</v>
      </c>
      <c r="BK10" s="84">
        <v>0.43</v>
      </c>
      <c r="BL10" s="84">
        <v>0.46</v>
      </c>
      <c r="BM10" s="25">
        <v>51</v>
      </c>
      <c r="BN10" s="25">
        <v>10</v>
      </c>
      <c r="BO10" s="97">
        <v>0.17</v>
      </c>
      <c r="BP10" s="97">
        <v>0.5</v>
      </c>
      <c r="BQ10" s="97">
        <v>0.31</v>
      </c>
      <c r="BR10" s="97">
        <v>0.03</v>
      </c>
      <c r="BS10" s="97">
        <v>0.36</v>
      </c>
      <c r="BT10" s="97">
        <v>0.53</v>
      </c>
      <c r="BU10" s="97">
        <v>0.64</v>
      </c>
      <c r="BV10" s="97">
        <v>0.37</v>
      </c>
      <c r="BW10" s="97">
        <v>0.61</v>
      </c>
      <c r="BX10" s="97">
        <v>0.36</v>
      </c>
      <c r="BY10" s="97">
        <v>0.44</v>
      </c>
      <c r="BZ10" s="97">
        <v>0.5</v>
      </c>
      <c r="CA10" s="97">
        <v>0.45</v>
      </c>
      <c r="CB10" s="97">
        <v>0.36</v>
      </c>
      <c r="CC10" s="97">
        <v>0.21</v>
      </c>
      <c r="CD10" s="97">
        <v>0.41</v>
      </c>
      <c r="CE10" s="97">
        <v>0.34</v>
      </c>
      <c r="CF10" s="97">
        <v>0.6</v>
      </c>
      <c r="CG10" s="97">
        <v>0.56999999999999995</v>
      </c>
      <c r="CH10" s="97">
        <v>0.45</v>
      </c>
      <c r="CI10" s="97">
        <v>0.56000000000000005</v>
      </c>
      <c r="CJ10" s="97">
        <v>0.34</v>
      </c>
      <c r="CK10" s="97">
        <v>0.64</v>
      </c>
      <c r="CL10" s="97">
        <v>0.33</v>
      </c>
      <c r="CM10" s="97">
        <v>0.44</v>
      </c>
      <c r="CN10" s="97">
        <v>0.45</v>
      </c>
      <c r="CO10" s="97">
        <v>0.45</v>
      </c>
      <c r="CP10" s="97">
        <v>0.36</v>
      </c>
      <c r="CQ10" s="97">
        <v>0.53</v>
      </c>
      <c r="CR10" s="97">
        <v>0.54</v>
      </c>
      <c r="CS10" s="25">
        <v>50</v>
      </c>
      <c r="CT10" s="25">
        <v>11</v>
      </c>
      <c r="CU10" s="63">
        <v>0.21</v>
      </c>
      <c r="CV10" s="63">
        <v>0.5</v>
      </c>
      <c r="CW10" s="63">
        <v>0.27</v>
      </c>
      <c r="CX10" s="63">
        <v>0.03</v>
      </c>
      <c r="CY10" s="63">
        <v>0.49</v>
      </c>
      <c r="CZ10" s="63">
        <v>0.31</v>
      </c>
      <c r="DA10" s="63">
        <v>0.55000000000000004</v>
      </c>
      <c r="DB10" s="63">
        <v>0.36</v>
      </c>
      <c r="DC10" s="63">
        <v>0.45</v>
      </c>
      <c r="DD10" s="63">
        <v>0.6</v>
      </c>
      <c r="DE10" s="63">
        <v>0.47</v>
      </c>
      <c r="DF10" s="63">
        <v>0.55000000000000004</v>
      </c>
      <c r="DG10" s="63">
        <v>0.45</v>
      </c>
      <c r="DH10" s="63">
        <v>0.37</v>
      </c>
      <c r="DI10" s="63">
        <v>0.53</v>
      </c>
      <c r="DJ10" s="63">
        <v>0.49</v>
      </c>
      <c r="DK10" s="63">
        <v>0.38</v>
      </c>
      <c r="DL10" s="63">
        <v>0.37</v>
      </c>
      <c r="DM10" s="63">
        <v>0.5</v>
      </c>
      <c r="DN10" s="63">
        <v>0.49</v>
      </c>
      <c r="DO10" s="63">
        <v>0.44</v>
      </c>
      <c r="DP10" s="63">
        <v>0.44</v>
      </c>
      <c r="DQ10" s="63">
        <v>0.55000000000000004</v>
      </c>
      <c r="DR10" s="63">
        <v>0.21</v>
      </c>
      <c r="DS10" s="63">
        <v>0.4</v>
      </c>
      <c r="DT10" s="63">
        <v>0.56999999999999995</v>
      </c>
      <c r="DU10" s="63">
        <v>0.51</v>
      </c>
      <c r="DV10" s="63">
        <v>0.56999999999999995</v>
      </c>
      <c r="DW10" s="63">
        <v>0.35</v>
      </c>
      <c r="DX10" s="26">
        <v>49</v>
      </c>
      <c r="DY10" s="26">
        <v>10</v>
      </c>
      <c r="DZ10" s="87">
        <v>0.23</v>
      </c>
      <c r="EA10" s="87">
        <v>0.5</v>
      </c>
      <c r="EB10" s="87">
        <v>0.25</v>
      </c>
      <c r="EC10" s="87">
        <v>0.02</v>
      </c>
      <c r="ED10" s="87">
        <v>0.5</v>
      </c>
      <c r="EE10" s="87">
        <v>0.46</v>
      </c>
      <c r="EF10" s="87">
        <v>0.51</v>
      </c>
      <c r="EG10" s="87">
        <v>0.37</v>
      </c>
      <c r="EH10" s="87">
        <v>0.45</v>
      </c>
      <c r="EI10" s="87">
        <v>0.51</v>
      </c>
      <c r="EJ10" s="87">
        <v>0.59</v>
      </c>
      <c r="EK10" s="87">
        <v>0.28999999999999998</v>
      </c>
      <c r="EL10" s="87">
        <v>0.47</v>
      </c>
      <c r="EM10" s="87">
        <v>0.65</v>
      </c>
      <c r="EN10" s="87">
        <v>0.46</v>
      </c>
      <c r="EO10" s="87">
        <v>0.56000000000000005</v>
      </c>
      <c r="EP10" s="87">
        <v>0.41</v>
      </c>
      <c r="EQ10" s="87">
        <v>0.31</v>
      </c>
      <c r="ER10" s="87">
        <v>0.6</v>
      </c>
      <c r="ES10" s="87">
        <v>0.48</v>
      </c>
      <c r="ET10" s="87">
        <v>0.36</v>
      </c>
      <c r="EU10" s="87">
        <v>0.56999999999999995</v>
      </c>
      <c r="EV10" s="87">
        <v>0.41</v>
      </c>
      <c r="EW10" s="87">
        <v>0.34</v>
      </c>
      <c r="EX10" s="87">
        <v>0.68</v>
      </c>
      <c r="EY10" s="87">
        <v>0.59</v>
      </c>
      <c r="EZ10" s="87">
        <v>0.26</v>
      </c>
      <c r="FA10" s="87">
        <v>0.61</v>
      </c>
      <c r="FB10" s="345">
        <v>49</v>
      </c>
      <c r="FC10" s="344" t="s">
        <v>910</v>
      </c>
      <c r="FD10" s="345">
        <v>10</v>
      </c>
      <c r="FE10" s="344" t="s">
        <v>910</v>
      </c>
      <c r="FF10" s="368">
        <v>0.22</v>
      </c>
      <c r="FG10" s="368">
        <v>0.53</v>
      </c>
      <c r="FH10" s="368">
        <v>0.23</v>
      </c>
      <c r="FI10" s="368">
        <v>0.02</v>
      </c>
      <c r="FJ10" s="368">
        <v>0.49</v>
      </c>
      <c r="FK10" s="368">
        <v>0.65</v>
      </c>
      <c r="FL10" s="368">
        <v>0.51</v>
      </c>
      <c r="FM10" s="368">
        <v>0.45</v>
      </c>
      <c r="FN10" s="368">
        <v>0.32</v>
      </c>
      <c r="FO10" s="368">
        <v>0.37</v>
      </c>
      <c r="FP10" s="368">
        <v>0.42</v>
      </c>
      <c r="FQ10" s="368">
        <v>0.43</v>
      </c>
      <c r="FR10" s="368">
        <v>0.61</v>
      </c>
      <c r="FS10" s="368">
        <v>0.51</v>
      </c>
      <c r="FT10" s="368">
        <v>0.51</v>
      </c>
      <c r="FU10" s="368">
        <v>0.43</v>
      </c>
      <c r="FV10" s="368">
        <v>0.59</v>
      </c>
      <c r="FW10" s="368">
        <v>0.56000000000000005</v>
      </c>
      <c r="FX10" s="368">
        <v>0.48</v>
      </c>
      <c r="FY10" s="368">
        <v>0.4</v>
      </c>
      <c r="FZ10" s="368">
        <v>0.43</v>
      </c>
      <c r="GA10" s="368">
        <v>0.51</v>
      </c>
      <c r="GB10" s="368">
        <v>0.54</v>
      </c>
      <c r="GC10" s="368">
        <v>0.46</v>
      </c>
      <c r="GD10" s="368">
        <v>0.6</v>
      </c>
      <c r="GE10" s="368">
        <v>0.55000000000000004</v>
      </c>
      <c r="GF10" s="368">
        <v>0.49</v>
      </c>
      <c r="GG10" s="368">
        <v>0.48</v>
      </c>
      <c r="GH10" s="368">
        <v>0.57999999999999996</v>
      </c>
      <c r="GI10" s="368">
        <v>0.31</v>
      </c>
      <c r="GJ10" s="478">
        <v>50</v>
      </c>
      <c r="GK10" s="481" t="s">
        <v>910</v>
      </c>
      <c r="GL10" s="478">
        <v>10</v>
      </c>
      <c r="GM10" s="481" t="s">
        <v>910</v>
      </c>
      <c r="GN10" s="422">
        <v>0.21</v>
      </c>
      <c r="GO10" s="422">
        <v>0.5</v>
      </c>
      <c r="GP10" s="422">
        <v>0.27</v>
      </c>
      <c r="GQ10" s="422">
        <v>0.03</v>
      </c>
      <c r="GR10" s="422">
        <v>0.5</v>
      </c>
      <c r="GS10" s="422">
        <v>0.55000000000000004</v>
      </c>
      <c r="GT10" s="422">
        <v>0.61</v>
      </c>
      <c r="GU10" s="422">
        <v>0.26</v>
      </c>
      <c r="GV10" s="422">
        <v>0.56000000000000005</v>
      </c>
      <c r="GW10" s="422">
        <v>0.5</v>
      </c>
      <c r="GX10" s="422">
        <v>0.48</v>
      </c>
      <c r="GY10" s="481" t="s">
        <v>287</v>
      </c>
      <c r="GZ10" s="422">
        <v>0.34</v>
      </c>
      <c r="HA10" s="422">
        <v>0.65</v>
      </c>
      <c r="HB10" s="422">
        <v>0.48</v>
      </c>
      <c r="HC10" s="422">
        <v>0.54</v>
      </c>
      <c r="HD10" s="422">
        <v>0.56999999999999995</v>
      </c>
      <c r="HE10" s="422">
        <v>0.47</v>
      </c>
      <c r="HF10" s="422">
        <v>0.5</v>
      </c>
      <c r="HG10" s="422">
        <v>0.65</v>
      </c>
      <c r="HH10" s="422">
        <v>0.4</v>
      </c>
      <c r="HI10" s="422">
        <v>0.54</v>
      </c>
      <c r="HJ10" s="422">
        <v>0.59</v>
      </c>
      <c r="HK10" s="422">
        <v>0.53</v>
      </c>
      <c r="HL10" s="422">
        <v>0.44</v>
      </c>
      <c r="HM10" s="422">
        <v>0.51</v>
      </c>
      <c r="HN10" s="422">
        <v>0.49</v>
      </c>
      <c r="HO10" s="422">
        <v>0.45</v>
      </c>
      <c r="HP10" s="481" t="s">
        <v>287</v>
      </c>
      <c r="HQ10" s="422">
        <v>0.44</v>
      </c>
      <c r="HR10" s="626">
        <v>50</v>
      </c>
      <c r="HS10" s="637" t="s">
        <v>910</v>
      </c>
      <c r="HT10" s="626">
        <v>10</v>
      </c>
      <c r="HU10" s="637" t="s">
        <v>910</v>
      </c>
      <c r="HV10" s="641">
        <v>0.19</v>
      </c>
      <c r="HW10" s="641">
        <v>0.49</v>
      </c>
      <c r="HX10" s="641">
        <v>0.28999999999999998</v>
      </c>
      <c r="HY10" s="641">
        <v>0.03</v>
      </c>
      <c r="HZ10" s="641">
        <v>0.41</v>
      </c>
      <c r="IA10" s="641">
        <v>0.52</v>
      </c>
      <c r="IB10" s="641">
        <v>0.36</v>
      </c>
      <c r="IC10" s="641">
        <v>0.51</v>
      </c>
      <c r="ID10" s="641">
        <v>0.63</v>
      </c>
      <c r="IE10" s="641">
        <v>0.38</v>
      </c>
      <c r="IF10" s="641">
        <v>0.42</v>
      </c>
      <c r="IG10" s="641">
        <v>0.55000000000000004</v>
      </c>
      <c r="IH10" s="641">
        <v>0.53</v>
      </c>
      <c r="II10" s="641">
        <v>0.37</v>
      </c>
      <c r="IJ10" s="641">
        <v>0.32</v>
      </c>
      <c r="IK10" s="641">
        <v>0.59</v>
      </c>
      <c r="IL10" s="641">
        <v>0.36</v>
      </c>
      <c r="IM10" s="641">
        <v>0.57999999999999996</v>
      </c>
      <c r="IN10" s="641">
        <v>0.47</v>
      </c>
      <c r="IO10" s="641">
        <v>0.52</v>
      </c>
      <c r="IP10" s="641">
        <v>0.44</v>
      </c>
      <c r="IQ10" s="641">
        <v>0.64</v>
      </c>
      <c r="IR10" s="641">
        <v>0.56999999999999995</v>
      </c>
      <c r="IS10" s="641">
        <v>0.53</v>
      </c>
      <c r="IT10" s="641">
        <v>0.45</v>
      </c>
      <c r="IU10" s="637" t="s">
        <v>287</v>
      </c>
      <c r="IV10" s="641">
        <v>0.63</v>
      </c>
      <c r="IW10" s="641">
        <v>0.43</v>
      </c>
      <c r="IX10" s="641">
        <v>0.49</v>
      </c>
      <c r="IY10" s="641">
        <v>0.52</v>
      </c>
    </row>
    <row r="11" spans="1:322" ht="24.9" customHeight="1" x14ac:dyDescent="0.25">
      <c r="A11" s="186" t="s">
        <v>0</v>
      </c>
      <c r="B11" s="4"/>
      <c r="C11" s="4"/>
      <c r="D11" s="28">
        <v>54</v>
      </c>
      <c r="E11" s="28">
        <v>8</v>
      </c>
      <c r="F11" s="93">
        <v>0.05</v>
      </c>
      <c r="G11" s="93">
        <v>0.54</v>
      </c>
      <c r="H11" s="93">
        <v>0.4</v>
      </c>
      <c r="I11" s="93">
        <v>0.01</v>
      </c>
      <c r="J11" s="93">
        <v>0.39</v>
      </c>
      <c r="K11" s="93">
        <v>0.37</v>
      </c>
      <c r="L11" s="93">
        <v>0.7</v>
      </c>
      <c r="M11" s="93">
        <v>0.21</v>
      </c>
      <c r="N11" s="93">
        <v>0.28999999999999998</v>
      </c>
      <c r="O11" s="93">
        <v>0.62</v>
      </c>
      <c r="P11" s="93">
        <v>0.31</v>
      </c>
      <c r="Q11" s="93">
        <v>0.42</v>
      </c>
      <c r="R11" s="93">
        <v>0.52</v>
      </c>
      <c r="S11" s="93">
        <v>0.59</v>
      </c>
      <c r="T11" s="93">
        <v>0.45</v>
      </c>
      <c r="U11" s="93">
        <v>0.57999999999999996</v>
      </c>
      <c r="V11" s="93">
        <v>7.0000000000000007E-2</v>
      </c>
      <c r="W11" s="93">
        <v>0.15</v>
      </c>
      <c r="X11" s="93">
        <v>0.48</v>
      </c>
      <c r="Y11" s="93">
        <v>0.49</v>
      </c>
      <c r="Z11" s="93">
        <v>0.75</v>
      </c>
      <c r="AA11" s="93">
        <v>0.1</v>
      </c>
      <c r="AB11" s="93">
        <v>0.44</v>
      </c>
      <c r="AC11" s="93">
        <v>0.24</v>
      </c>
      <c r="AD11" s="93">
        <v>0.44</v>
      </c>
      <c r="AE11" s="93">
        <v>0.4</v>
      </c>
      <c r="AF11" s="93">
        <v>0.53</v>
      </c>
      <c r="AG11" s="93">
        <v>0.48</v>
      </c>
      <c r="AH11" s="28">
        <v>53</v>
      </c>
      <c r="AI11" s="28">
        <v>8</v>
      </c>
      <c r="AJ11" s="85">
        <v>0.08</v>
      </c>
      <c r="AK11" s="85">
        <v>0.53</v>
      </c>
      <c r="AL11" s="85">
        <v>0.38</v>
      </c>
      <c r="AM11" s="85">
        <v>0.01</v>
      </c>
      <c r="AN11" s="85">
        <v>0.27</v>
      </c>
      <c r="AO11" s="85">
        <v>0.45</v>
      </c>
      <c r="AP11" s="85">
        <v>0.56000000000000005</v>
      </c>
      <c r="AQ11" s="85">
        <v>0.37</v>
      </c>
      <c r="AR11" s="85">
        <v>0.54</v>
      </c>
      <c r="AS11" s="85">
        <v>0.5</v>
      </c>
      <c r="AT11" s="85">
        <v>0.5</v>
      </c>
      <c r="AU11" s="85">
        <v>0.5</v>
      </c>
      <c r="AV11" s="85">
        <v>0.59</v>
      </c>
      <c r="AW11" s="85">
        <v>0.46</v>
      </c>
      <c r="AX11" s="85">
        <v>0.54</v>
      </c>
      <c r="AY11" s="85">
        <v>0.3</v>
      </c>
      <c r="AZ11" s="85">
        <v>0.27</v>
      </c>
      <c r="BA11" s="85">
        <v>0.47</v>
      </c>
      <c r="BB11" s="85">
        <v>0.65</v>
      </c>
      <c r="BC11" s="85">
        <v>0.64</v>
      </c>
      <c r="BD11" s="85">
        <v>0.4</v>
      </c>
      <c r="BE11" s="85">
        <v>0.53</v>
      </c>
      <c r="BF11" s="85">
        <v>0.57999999999999996</v>
      </c>
      <c r="BG11" s="85">
        <v>0.48</v>
      </c>
      <c r="BH11" s="85">
        <v>0.42</v>
      </c>
      <c r="BI11" s="85">
        <v>0.39</v>
      </c>
      <c r="BJ11" s="85">
        <v>0.34</v>
      </c>
      <c r="BK11" s="85">
        <v>0.43</v>
      </c>
      <c r="BL11" s="85">
        <v>0.46</v>
      </c>
      <c r="BM11" s="28">
        <v>51</v>
      </c>
      <c r="BN11" s="28">
        <v>9</v>
      </c>
      <c r="BO11" s="93">
        <v>0.11</v>
      </c>
      <c r="BP11" s="93">
        <v>0.56999999999999995</v>
      </c>
      <c r="BQ11" s="93">
        <v>0.31</v>
      </c>
      <c r="BR11" s="93">
        <v>0.01</v>
      </c>
      <c r="BS11" s="93">
        <v>0.34</v>
      </c>
      <c r="BT11" s="93">
        <v>0.55000000000000004</v>
      </c>
      <c r="BU11" s="93">
        <v>0.64</v>
      </c>
      <c r="BV11" s="93">
        <v>0.32</v>
      </c>
      <c r="BW11" s="93">
        <v>0.63</v>
      </c>
      <c r="BX11" s="93">
        <v>0.35</v>
      </c>
      <c r="BY11" s="93">
        <v>0.43</v>
      </c>
      <c r="BZ11" s="93">
        <v>0.52</v>
      </c>
      <c r="CA11" s="93">
        <v>0.45</v>
      </c>
      <c r="CB11" s="93">
        <v>0.35</v>
      </c>
      <c r="CC11" s="93">
        <v>0.19</v>
      </c>
      <c r="CD11" s="93">
        <v>0.41</v>
      </c>
      <c r="CE11" s="93">
        <v>0.33</v>
      </c>
      <c r="CF11" s="93">
        <v>0.6</v>
      </c>
      <c r="CG11" s="93">
        <v>0.57999999999999996</v>
      </c>
      <c r="CH11" s="93">
        <v>0.44</v>
      </c>
      <c r="CI11" s="93">
        <v>0.56000000000000005</v>
      </c>
      <c r="CJ11" s="93">
        <v>0.34</v>
      </c>
      <c r="CK11" s="93">
        <v>0.67</v>
      </c>
      <c r="CL11" s="93">
        <v>0.3</v>
      </c>
      <c r="CM11" s="93">
        <v>0.44</v>
      </c>
      <c r="CN11" s="93">
        <v>0.45</v>
      </c>
      <c r="CO11" s="93">
        <v>0.43</v>
      </c>
      <c r="CP11" s="93">
        <v>0.35</v>
      </c>
      <c r="CQ11" s="93">
        <v>0.53</v>
      </c>
      <c r="CR11" s="93">
        <v>0.55000000000000004</v>
      </c>
      <c r="CS11" s="28">
        <v>50</v>
      </c>
      <c r="CT11" s="28">
        <v>9</v>
      </c>
      <c r="CU11" s="64">
        <v>0.14000000000000001</v>
      </c>
      <c r="CV11" s="64">
        <v>0.6</v>
      </c>
      <c r="CW11" s="64">
        <v>0.25</v>
      </c>
      <c r="CX11" s="64">
        <v>0.01</v>
      </c>
      <c r="CY11" s="64">
        <v>0.5</v>
      </c>
      <c r="CZ11" s="64">
        <v>0.28999999999999998</v>
      </c>
      <c r="DA11" s="64">
        <v>0.56999999999999995</v>
      </c>
      <c r="DB11" s="64">
        <v>0.35</v>
      </c>
      <c r="DC11" s="64">
        <v>0.45</v>
      </c>
      <c r="DD11" s="64">
        <v>0.62</v>
      </c>
      <c r="DE11" s="64">
        <v>0.46</v>
      </c>
      <c r="DF11" s="64">
        <v>0.54</v>
      </c>
      <c r="DG11" s="64">
        <v>0.44</v>
      </c>
      <c r="DH11" s="64">
        <v>0.36</v>
      </c>
      <c r="DI11" s="64">
        <v>0.52</v>
      </c>
      <c r="DJ11" s="64">
        <v>0.5</v>
      </c>
      <c r="DK11" s="64">
        <v>0.36</v>
      </c>
      <c r="DL11" s="64">
        <v>0.35</v>
      </c>
      <c r="DM11" s="64">
        <v>0.51</v>
      </c>
      <c r="DN11" s="64">
        <v>0.49</v>
      </c>
      <c r="DO11" s="64">
        <v>0.43</v>
      </c>
      <c r="DP11" s="64">
        <v>0.45</v>
      </c>
      <c r="DQ11" s="64">
        <v>0.56000000000000005</v>
      </c>
      <c r="DR11" s="64">
        <v>0.19</v>
      </c>
      <c r="DS11" s="64">
        <v>0.38</v>
      </c>
      <c r="DT11" s="64">
        <v>0.56999999999999995</v>
      </c>
      <c r="DU11" s="64">
        <v>0.5</v>
      </c>
      <c r="DV11" s="64">
        <v>0.59</v>
      </c>
      <c r="DW11" s="64">
        <v>0.34</v>
      </c>
      <c r="DX11" s="79">
        <v>50</v>
      </c>
      <c r="DY11" s="79">
        <v>9</v>
      </c>
      <c r="DZ11" s="88">
        <v>0.16</v>
      </c>
      <c r="EA11" s="88">
        <v>0.56000000000000005</v>
      </c>
      <c r="EB11" s="88">
        <v>0.27</v>
      </c>
      <c r="EC11" s="88">
        <v>0.01</v>
      </c>
      <c r="ED11" s="88">
        <v>0.48</v>
      </c>
      <c r="EE11" s="88">
        <v>0.46</v>
      </c>
      <c r="EF11" s="88">
        <v>0.5</v>
      </c>
      <c r="EG11" s="88">
        <v>0.35</v>
      </c>
      <c r="EH11" s="88">
        <v>0.42</v>
      </c>
      <c r="EI11" s="88">
        <v>0.5</v>
      </c>
      <c r="EJ11" s="88">
        <v>0.56999999999999995</v>
      </c>
      <c r="EK11" s="88">
        <v>0.27</v>
      </c>
      <c r="EL11" s="88">
        <v>0.45</v>
      </c>
      <c r="EM11" s="88">
        <v>0.64</v>
      </c>
      <c r="EN11" s="88">
        <v>0.44</v>
      </c>
      <c r="EO11" s="88">
        <v>0.56999999999999995</v>
      </c>
      <c r="EP11" s="88">
        <v>0.38</v>
      </c>
      <c r="EQ11" s="88">
        <v>0.28000000000000003</v>
      </c>
      <c r="ER11" s="88">
        <v>0.6</v>
      </c>
      <c r="ES11" s="88">
        <v>0.46</v>
      </c>
      <c r="ET11" s="88">
        <v>0.33</v>
      </c>
      <c r="EU11" s="88">
        <v>0.59</v>
      </c>
      <c r="EV11" s="88">
        <v>0.39</v>
      </c>
      <c r="EW11" s="88">
        <v>0.32</v>
      </c>
      <c r="EX11" s="88">
        <v>0.67</v>
      </c>
      <c r="EY11" s="88">
        <v>0.57999999999999996</v>
      </c>
      <c r="EZ11" s="88">
        <v>0.22</v>
      </c>
      <c r="FA11" s="88">
        <v>0.6</v>
      </c>
      <c r="FB11" s="346">
        <v>50</v>
      </c>
      <c r="FC11" s="342" t="s">
        <v>11</v>
      </c>
      <c r="FD11" s="346">
        <v>9</v>
      </c>
      <c r="FE11" s="342" t="s">
        <v>11</v>
      </c>
      <c r="FF11" s="369">
        <v>0.14000000000000001</v>
      </c>
      <c r="FG11" s="369">
        <v>0.6</v>
      </c>
      <c r="FH11" s="369">
        <v>0.25</v>
      </c>
      <c r="FI11" s="369">
        <v>0.01</v>
      </c>
      <c r="FJ11" s="369">
        <v>0.46</v>
      </c>
      <c r="FK11" s="369">
        <v>0.66</v>
      </c>
      <c r="FL11" s="369">
        <v>0.49</v>
      </c>
      <c r="FM11" s="369">
        <v>0.42</v>
      </c>
      <c r="FN11" s="369">
        <v>0.28999999999999998</v>
      </c>
      <c r="FO11" s="369">
        <v>0.33</v>
      </c>
      <c r="FP11" s="369">
        <v>0.39</v>
      </c>
      <c r="FQ11" s="369">
        <v>0.41</v>
      </c>
      <c r="FR11" s="369">
        <v>0.59</v>
      </c>
      <c r="FS11" s="369">
        <v>0.51</v>
      </c>
      <c r="FT11" s="369">
        <v>0.5</v>
      </c>
      <c r="FU11" s="369">
        <v>0.38</v>
      </c>
      <c r="FV11" s="369">
        <v>0.6</v>
      </c>
      <c r="FW11" s="369">
        <v>0.56000000000000005</v>
      </c>
      <c r="FX11" s="369">
        <v>0.46</v>
      </c>
      <c r="FY11" s="369">
        <v>0.37</v>
      </c>
      <c r="FZ11" s="369">
        <v>0.42</v>
      </c>
      <c r="GA11" s="369">
        <v>0.5</v>
      </c>
      <c r="GB11" s="369">
        <v>0.53</v>
      </c>
      <c r="GC11" s="369">
        <v>0.45</v>
      </c>
      <c r="GD11" s="369">
        <v>0.6</v>
      </c>
      <c r="GE11" s="369">
        <v>0.54</v>
      </c>
      <c r="GF11" s="369">
        <v>0.47</v>
      </c>
      <c r="GG11" s="369">
        <v>0.45</v>
      </c>
      <c r="GH11" s="369">
        <v>0.56000000000000005</v>
      </c>
      <c r="GI11" s="369">
        <v>0.28999999999999998</v>
      </c>
      <c r="GJ11" s="479">
        <v>51</v>
      </c>
      <c r="GK11" s="482" t="s">
        <v>11</v>
      </c>
      <c r="GL11" s="479">
        <v>9</v>
      </c>
      <c r="GM11" s="482" t="s">
        <v>11</v>
      </c>
      <c r="GN11" s="423">
        <v>0.14000000000000001</v>
      </c>
      <c r="GO11" s="423">
        <v>0.55000000000000004</v>
      </c>
      <c r="GP11" s="423">
        <v>0.28999999999999998</v>
      </c>
      <c r="GQ11" s="423">
        <v>0.01</v>
      </c>
      <c r="GR11" s="423">
        <v>0.48</v>
      </c>
      <c r="GS11" s="423">
        <v>0.53</v>
      </c>
      <c r="GT11" s="423">
        <v>0.61</v>
      </c>
      <c r="GU11" s="423">
        <v>0.24</v>
      </c>
      <c r="GV11" s="423">
        <v>0.55000000000000004</v>
      </c>
      <c r="GW11" s="423">
        <v>0.48</v>
      </c>
      <c r="GX11" s="423">
        <v>0.46</v>
      </c>
      <c r="GY11" s="482" t="s">
        <v>287</v>
      </c>
      <c r="GZ11" s="423">
        <v>0.32</v>
      </c>
      <c r="HA11" s="423">
        <v>0.67</v>
      </c>
      <c r="HB11" s="423">
        <v>0.46</v>
      </c>
      <c r="HC11" s="423">
        <v>0.52</v>
      </c>
      <c r="HD11" s="423">
        <v>0.56999999999999995</v>
      </c>
      <c r="HE11" s="423">
        <v>0.46</v>
      </c>
      <c r="HF11" s="423">
        <v>0.48</v>
      </c>
      <c r="HG11" s="423">
        <v>0.66</v>
      </c>
      <c r="HH11" s="423">
        <v>0.38</v>
      </c>
      <c r="HI11" s="423">
        <v>0.52</v>
      </c>
      <c r="HJ11" s="423">
        <v>0.57999999999999996</v>
      </c>
      <c r="HK11" s="423">
        <v>0.51</v>
      </c>
      <c r="HL11" s="423">
        <v>0.42</v>
      </c>
      <c r="HM11" s="423">
        <v>0.49</v>
      </c>
      <c r="HN11" s="423">
        <v>0.48</v>
      </c>
      <c r="HO11" s="423">
        <v>0.43</v>
      </c>
      <c r="HP11" s="482" t="s">
        <v>287</v>
      </c>
      <c r="HQ11" s="423">
        <v>0.41</v>
      </c>
      <c r="HR11" s="627">
        <v>51</v>
      </c>
      <c r="HS11" s="638" t="s">
        <v>11</v>
      </c>
      <c r="HT11" s="627">
        <v>9</v>
      </c>
      <c r="HU11" s="638" t="s">
        <v>11</v>
      </c>
      <c r="HV11" s="642">
        <v>0.13</v>
      </c>
      <c r="HW11" s="642">
        <v>0.54</v>
      </c>
      <c r="HX11" s="642">
        <v>0.32</v>
      </c>
      <c r="HY11" s="642">
        <v>0.02</v>
      </c>
      <c r="HZ11" s="642">
        <v>0.38</v>
      </c>
      <c r="IA11" s="642">
        <v>0.52</v>
      </c>
      <c r="IB11" s="642">
        <v>0.34</v>
      </c>
      <c r="IC11" s="642">
        <v>0.49</v>
      </c>
      <c r="ID11" s="642">
        <v>0.63</v>
      </c>
      <c r="IE11" s="642">
        <v>0.34</v>
      </c>
      <c r="IF11" s="642">
        <v>0.4</v>
      </c>
      <c r="IG11" s="642">
        <v>0.55000000000000004</v>
      </c>
      <c r="IH11" s="642">
        <v>0.51</v>
      </c>
      <c r="II11" s="642">
        <v>0.33</v>
      </c>
      <c r="IJ11" s="642">
        <v>0.28000000000000003</v>
      </c>
      <c r="IK11" s="642">
        <v>0.57999999999999996</v>
      </c>
      <c r="IL11" s="642">
        <v>0.34</v>
      </c>
      <c r="IM11" s="642">
        <v>0.56999999999999995</v>
      </c>
      <c r="IN11" s="642">
        <v>0.44</v>
      </c>
      <c r="IO11" s="642">
        <v>0.53</v>
      </c>
      <c r="IP11" s="642">
        <v>0.41</v>
      </c>
      <c r="IQ11" s="642">
        <v>0.64</v>
      </c>
      <c r="IR11" s="642">
        <v>0.55000000000000004</v>
      </c>
      <c r="IS11" s="642">
        <v>0.52</v>
      </c>
      <c r="IT11" s="642">
        <v>0.43</v>
      </c>
      <c r="IU11" s="638" t="s">
        <v>287</v>
      </c>
      <c r="IV11" s="642">
        <v>0.62</v>
      </c>
      <c r="IW11" s="642">
        <v>0.41</v>
      </c>
      <c r="IX11" s="642">
        <v>0.49</v>
      </c>
      <c r="IY11" s="642">
        <v>0.51</v>
      </c>
    </row>
    <row r="12" spans="1:322" ht="24.9" customHeight="1" x14ac:dyDescent="0.25">
      <c r="A12" s="187" t="s">
        <v>12</v>
      </c>
      <c r="B12" s="6"/>
      <c r="C12" s="6"/>
      <c r="D12" s="30">
        <v>53</v>
      </c>
      <c r="E12" s="30">
        <v>7</v>
      </c>
      <c r="F12" s="98">
        <v>0.06</v>
      </c>
      <c r="G12" s="98">
        <v>0.59</v>
      </c>
      <c r="H12" s="98">
        <v>0.35</v>
      </c>
      <c r="I12" s="98">
        <v>0.01</v>
      </c>
      <c r="J12" s="65">
        <f>AVERAGEIFS(J$36:J$167,$B$36:$B$167,"=oficial")</f>
        <v>0.4200000000000001</v>
      </c>
      <c r="K12" s="65">
        <f t="shared" ref="K12:AG12" si="0">AVERAGEIFS(K$36:K$167,$B$36:$B$167,"=oficial")</f>
        <v>0.40739130434782606</v>
      </c>
      <c r="L12" s="65">
        <f t="shared" si="0"/>
        <v>0.75086956521739112</v>
      </c>
      <c r="M12" s="65">
        <f t="shared" si="0"/>
        <v>0.24739130434782614</v>
      </c>
      <c r="N12" s="65">
        <f t="shared" si="0"/>
        <v>0.3113043478260869</v>
      </c>
      <c r="O12" s="65">
        <f t="shared" si="0"/>
        <v>0.6591304347826088</v>
      </c>
      <c r="P12" s="65">
        <f t="shared" si="0"/>
        <v>0.34391304347826085</v>
      </c>
      <c r="Q12" s="65">
        <f t="shared" si="0"/>
        <v>0.43347826086956531</v>
      </c>
      <c r="R12" s="65">
        <f t="shared" si="0"/>
        <v>0.54434782608695653</v>
      </c>
      <c r="S12" s="65">
        <f t="shared" si="0"/>
        <v>0.60434782608695636</v>
      </c>
      <c r="T12" s="65">
        <f t="shared" si="0"/>
        <v>0.47347826086956524</v>
      </c>
      <c r="U12" s="65">
        <f t="shared" si="0"/>
        <v>0.6100000000000001</v>
      </c>
      <c r="V12" s="65">
        <f t="shared" si="0"/>
        <v>7.7391304347826123E-2</v>
      </c>
      <c r="W12" s="65">
        <f t="shared" si="0"/>
        <v>0.17391304347826086</v>
      </c>
      <c r="X12" s="65">
        <f t="shared" si="0"/>
        <v>0.51434782608695651</v>
      </c>
      <c r="Y12" s="65">
        <f t="shared" si="0"/>
        <v>0.49260869565217397</v>
      </c>
      <c r="Z12" s="65">
        <f t="shared" si="0"/>
        <v>0.84</v>
      </c>
      <c r="AA12" s="65">
        <f t="shared" si="0"/>
        <v>0.11434782608695654</v>
      </c>
      <c r="AB12" s="65">
        <f t="shared" si="0"/>
        <v>0.45826086956521744</v>
      </c>
      <c r="AC12" s="65">
        <f t="shared" si="0"/>
        <v>0.27130434782608692</v>
      </c>
      <c r="AD12" s="65">
        <f t="shared" si="0"/>
        <v>0.45434782608695651</v>
      </c>
      <c r="AE12" s="65">
        <f t="shared" si="0"/>
        <v>0.45347826086956522</v>
      </c>
      <c r="AF12" s="65">
        <f t="shared" si="0"/>
        <v>0.55260869565217374</v>
      </c>
      <c r="AG12" s="65">
        <f t="shared" si="0"/>
        <v>0.50782608695652176</v>
      </c>
      <c r="AH12" s="30">
        <v>52</v>
      </c>
      <c r="AI12" s="30">
        <v>8</v>
      </c>
      <c r="AJ12" s="86">
        <v>0.09</v>
      </c>
      <c r="AK12" s="86">
        <v>0.56999999999999995</v>
      </c>
      <c r="AL12" s="86">
        <v>0.33</v>
      </c>
      <c r="AM12" s="86">
        <v>0.01</v>
      </c>
      <c r="AN12" s="65">
        <f>AVERAGEIFS(AN$36:AN$167,$B$36:$B$167,"=oficial")</f>
        <v>0.30260869565217396</v>
      </c>
      <c r="AO12" s="65">
        <f t="shared" ref="AO12:BL12" si="1">AVERAGEIFS(AO$36:AO$167,$B$36:$B$167,"=oficial")</f>
        <v>0.47652173913043483</v>
      </c>
      <c r="AP12" s="65">
        <f t="shared" si="1"/>
        <v>0.59</v>
      </c>
      <c r="AQ12" s="65">
        <f t="shared" si="1"/>
        <v>0.41608695652173916</v>
      </c>
      <c r="AR12" s="65">
        <f t="shared" si="1"/>
        <v>0.56739130434782614</v>
      </c>
      <c r="AS12" s="65">
        <f t="shared" si="1"/>
        <v>0.52391304347826095</v>
      </c>
      <c r="AT12" s="65">
        <f t="shared" si="1"/>
        <v>0.52521739130434775</v>
      </c>
      <c r="AU12" s="65">
        <f t="shared" si="1"/>
        <v>0.53043478260869559</v>
      </c>
      <c r="AV12" s="65">
        <f t="shared" si="1"/>
        <v>0.62000000000000011</v>
      </c>
      <c r="AW12" s="65">
        <f t="shared" si="1"/>
        <v>0.49217391304347835</v>
      </c>
      <c r="AX12" s="65">
        <f t="shared" si="1"/>
        <v>0.58565217391304347</v>
      </c>
      <c r="AY12" s="65">
        <f t="shared" si="1"/>
        <v>0.32217391304347825</v>
      </c>
      <c r="AZ12" s="65">
        <f t="shared" si="1"/>
        <v>0.28608695652173916</v>
      </c>
      <c r="BA12" s="65">
        <f t="shared" si="1"/>
        <v>0.50260869565217392</v>
      </c>
      <c r="BB12" s="65">
        <f t="shared" si="1"/>
        <v>0.66739130434782612</v>
      </c>
      <c r="BC12" s="65">
        <f t="shared" si="1"/>
        <v>0.65869565217391313</v>
      </c>
      <c r="BD12" s="65">
        <f t="shared" si="1"/>
        <v>0.42434782608695659</v>
      </c>
      <c r="BE12" s="65">
        <f t="shared" si="1"/>
        <v>0.55130434782608684</v>
      </c>
      <c r="BF12" s="65">
        <f t="shared" si="1"/>
        <v>0.5939130434782609</v>
      </c>
      <c r="BG12" s="65">
        <f t="shared" si="1"/>
        <v>0.51695652173913043</v>
      </c>
      <c r="BH12" s="65">
        <f t="shared" si="1"/>
        <v>0.44347826086956532</v>
      </c>
      <c r="BI12" s="65">
        <f t="shared" si="1"/>
        <v>0.41608695652173922</v>
      </c>
      <c r="BJ12" s="65">
        <f t="shared" si="1"/>
        <v>0.36956521739130427</v>
      </c>
      <c r="BK12" s="65">
        <f t="shared" si="1"/>
        <v>0.46347826086956517</v>
      </c>
      <c r="BL12" s="65">
        <f t="shared" si="1"/>
        <v>0.50217391304347825</v>
      </c>
      <c r="BM12" s="30">
        <v>50</v>
      </c>
      <c r="BN12" s="30">
        <v>8</v>
      </c>
      <c r="BO12" s="98">
        <v>0.14000000000000001</v>
      </c>
      <c r="BP12" s="98">
        <v>0.6</v>
      </c>
      <c r="BQ12" s="98">
        <v>0.25</v>
      </c>
      <c r="BR12" s="98">
        <v>0.01</v>
      </c>
      <c r="BS12" s="65">
        <f>AVERAGEIFS(BS$36:BS$167,$B$36:$B$167,"=oficial")</f>
        <v>0.36086956521739127</v>
      </c>
      <c r="BT12" s="65">
        <f t="shared" ref="BT12:CR12" si="2">AVERAGEIFS(BT$36:BT$167,$B$36:$B$167,"=oficial")</f>
        <v>0.57869565217391294</v>
      </c>
      <c r="BU12" s="65">
        <f t="shared" si="2"/>
        <v>0.67565217391304366</v>
      </c>
      <c r="BV12" s="65">
        <f t="shared" si="2"/>
        <v>0.38739130434782615</v>
      </c>
      <c r="BW12" s="65">
        <f t="shared" si="2"/>
        <v>0.64608695652173931</v>
      </c>
      <c r="BX12" s="65">
        <f t="shared" si="2"/>
        <v>0.39</v>
      </c>
      <c r="BY12" s="65">
        <f t="shared" si="2"/>
        <v>0.45695652173913048</v>
      </c>
      <c r="BZ12" s="65">
        <f t="shared" si="2"/>
        <v>0.54130434782608694</v>
      </c>
      <c r="CA12" s="65">
        <f t="shared" si="2"/>
        <v>0.48434782608695665</v>
      </c>
      <c r="CB12" s="65">
        <f t="shared" si="2"/>
        <v>0.39739130434782605</v>
      </c>
      <c r="CC12" s="65">
        <f t="shared" si="2"/>
        <v>0.22782608695652176</v>
      </c>
      <c r="CD12" s="65">
        <f t="shared" si="2"/>
        <v>0.45695652173913048</v>
      </c>
      <c r="CE12" s="65">
        <f t="shared" si="2"/>
        <v>0.37304347826086959</v>
      </c>
      <c r="CF12" s="65">
        <f t="shared" si="2"/>
        <v>0.61739130434782619</v>
      </c>
      <c r="CG12" s="65">
        <f t="shared" si="2"/>
        <v>0.62043478260869545</v>
      </c>
      <c r="CH12" s="65">
        <f t="shared" si="2"/>
        <v>0.47521739130434787</v>
      </c>
      <c r="CI12" s="65">
        <f t="shared" si="2"/>
        <v>0.59565217391304348</v>
      </c>
      <c r="CJ12" s="65">
        <f t="shared" si="2"/>
        <v>0.3734782608695652</v>
      </c>
      <c r="CK12" s="65">
        <f t="shared" si="2"/>
        <v>0.70260869565217376</v>
      </c>
      <c r="CL12" s="65">
        <f t="shared" si="2"/>
        <v>0.3460869565217391</v>
      </c>
      <c r="CM12" s="65">
        <f t="shared" si="2"/>
        <v>0.48391304347826097</v>
      </c>
      <c r="CN12" s="65">
        <f t="shared" si="2"/>
        <v>0.48869565217391298</v>
      </c>
      <c r="CO12" s="65">
        <f t="shared" si="2"/>
        <v>0.4560869565217392</v>
      </c>
      <c r="CP12" s="65">
        <f t="shared" si="2"/>
        <v>0.38869565217391311</v>
      </c>
      <c r="CQ12" s="65">
        <f t="shared" si="2"/>
        <v>0.55086956521739139</v>
      </c>
      <c r="CR12" s="65">
        <f t="shared" si="2"/>
        <v>0.5808695652173913</v>
      </c>
      <c r="CS12" s="30">
        <v>49</v>
      </c>
      <c r="CT12" s="30">
        <v>9</v>
      </c>
      <c r="CU12" s="65">
        <v>0.18</v>
      </c>
      <c r="CV12" s="65">
        <v>0.61</v>
      </c>
      <c r="CW12" s="65">
        <v>0.2</v>
      </c>
      <c r="CX12" s="65">
        <v>0.01</v>
      </c>
      <c r="CY12" s="65">
        <f>AVERAGEIFS(CY$36:CY$167,$B$36:$B$167,"=oficial")</f>
        <v>0.52521739130434786</v>
      </c>
      <c r="CZ12" s="65">
        <f t="shared" ref="CZ12:DW12" si="3">AVERAGEIFS(CZ$36:CZ$167,$B$36:$B$167,"=oficial")</f>
        <v>0.32478260869565212</v>
      </c>
      <c r="DA12" s="65">
        <f t="shared" si="3"/>
        <v>0.5982608695652174</v>
      </c>
      <c r="DB12" s="65">
        <f t="shared" si="3"/>
        <v>0.39130434782608697</v>
      </c>
      <c r="DC12" s="65">
        <f t="shared" si="3"/>
        <v>0.47695652173913056</v>
      </c>
      <c r="DD12" s="65">
        <f t="shared" si="3"/>
        <v>0.64086956521739114</v>
      </c>
      <c r="DE12" s="65">
        <f t="shared" si="3"/>
        <v>0.50043478260869567</v>
      </c>
      <c r="DF12" s="65">
        <f t="shared" si="3"/>
        <v>0.56608695652173924</v>
      </c>
      <c r="DG12" s="65">
        <f t="shared" si="3"/>
        <v>0.47652173913043483</v>
      </c>
      <c r="DH12" s="65">
        <f t="shared" si="3"/>
        <v>0.3952173913043478</v>
      </c>
      <c r="DI12" s="65">
        <f t="shared" si="3"/>
        <v>0.56260869565217408</v>
      </c>
      <c r="DJ12" s="65">
        <f t="shared" si="3"/>
        <v>0.53652173913043477</v>
      </c>
      <c r="DK12" s="65">
        <f t="shared" si="3"/>
        <v>0.40521739130434792</v>
      </c>
      <c r="DL12" s="65">
        <f t="shared" si="3"/>
        <v>0.3908695652173913</v>
      </c>
      <c r="DM12" s="65">
        <f t="shared" si="3"/>
        <v>0.54565217391304355</v>
      </c>
      <c r="DN12" s="65">
        <f t="shared" si="3"/>
        <v>0.51347826086956516</v>
      </c>
      <c r="DO12" s="65">
        <f t="shared" si="3"/>
        <v>0.47130434782608704</v>
      </c>
      <c r="DP12" s="65">
        <f t="shared" si="3"/>
        <v>0.47130434782608693</v>
      </c>
      <c r="DQ12" s="65">
        <f t="shared" si="3"/>
        <v>0.58782608695652161</v>
      </c>
      <c r="DR12" s="65">
        <f t="shared" si="3"/>
        <v>0.22260869565217395</v>
      </c>
      <c r="DS12" s="65">
        <f t="shared" si="3"/>
        <v>0.40869565217391313</v>
      </c>
      <c r="DT12" s="65">
        <f t="shared" si="3"/>
        <v>0.5969565217391305</v>
      </c>
      <c r="DU12" s="65">
        <f t="shared" si="3"/>
        <v>0.55434782608695665</v>
      </c>
      <c r="DV12" s="65">
        <f t="shared" si="3"/>
        <v>0.61391304347826081</v>
      </c>
      <c r="DW12" s="65">
        <f t="shared" si="3"/>
        <v>0.37304347826086948</v>
      </c>
      <c r="DX12" s="90">
        <v>49</v>
      </c>
      <c r="DY12" s="90">
        <v>9</v>
      </c>
      <c r="DZ12" s="89">
        <v>0.19</v>
      </c>
      <c r="EA12" s="89">
        <v>0.59</v>
      </c>
      <c r="EB12" s="89">
        <v>0.22</v>
      </c>
      <c r="EC12" s="89">
        <v>0.01</v>
      </c>
      <c r="ED12" s="65">
        <f t="shared" ref="ED12:FA12" si="4">AVERAGEIFS(ED$36:ED$167,$B$36:$B$167,"=oficial")</f>
        <v>0.50217391304347836</v>
      </c>
      <c r="EE12" s="65">
        <f t="shared" si="4"/>
        <v>0.47739130434782617</v>
      </c>
      <c r="EF12" s="65">
        <f t="shared" si="4"/>
        <v>0.51695652173913043</v>
      </c>
      <c r="EG12" s="65">
        <f t="shared" si="4"/>
        <v>0.38130434782608702</v>
      </c>
      <c r="EH12" s="65">
        <f t="shared" si="4"/>
        <v>0.46</v>
      </c>
      <c r="EI12" s="65">
        <f t="shared" si="4"/>
        <v>0.53391304347826096</v>
      </c>
      <c r="EJ12" s="65">
        <f t="shared" si="4"/>
        <v>0.59826086956521751</v>
      </c>
      <c r="EK12" s="65">
        <f t="shared" si="4"/>
        <v>0.31000000000000005</v>
      </c>
      <c r="EL12" s="65">
        <f t="shared" si="4"/>
        <v>0.48434782608695665</v>
      </c>
      <c r="EM12" s="65">
        <f t="shared" si="4"/>
        <v>0.66608695652173899</v>
      </c>
      <c r="EN12" s="65">
        <f t="shared" si="4"/>
        <v>0.50956521739130434</v>
      </c>
      <c r="EO12" s="65">
        <f t="shared" si="4"/>
        <v>0.59217391304347822</v>
      </c>
      <c r="EP12" s="65">
        <f t="shared" si="4"/>
        <v>0.41521739130434787</v>
      </c>
      <c r="EQ12" s="65">
        <f t="shared" si="4"/>
        <v>0.33217391304347826</v>
      </c>
      <c r="ER12" s="65">
        <f t="shared" si="4"/>
        <v>0.62173913043478257</v>
      </c>
      <c r="ES12" s="65">
        <f t="shared" si="4"/>
        <v>0.49521739130434778</v>
      </c>
      <c r="ET12" s="65">
        <f t="shared" si="4"/>
        <v>0.36608695652173912</v>
      </c>
      <c r="EU12" s="65">
        <f t="shared" si="4"/>
        <v>0.63043478260869568</v>
      </c>
      <c r="EV12" s="65">
        <f t="shared" si="4"/>
        <v>0.44521739130434784</v>
      </c>
      <c r="EW12" s="65">
        <f t="shared" si="4"/>
        <v>0.34521739130434781</v>
      </c>
      <c r="EX12" s="65">
        <f t="shared" si="4"/>
        <v>0.6821739130434783</v>
      </c>
      <c r="EY12" s="65">
        <f t="shared" si="4"/>
        <v>0.61652173913043484</v>
      </c>
      <c r="EZ12" s="65">
        <f t="shared" si="4"/>
        <v>0.2695652173913044</v>
      </c>
      <c r="FA12" s="65">
        <f t="shared" si="4"/>
        <v>0.63260869565217381</v>
      </c>
      <c r="FB12" s="347">
        <v>48</v>
      </c>
      <c r="FC12" s="343" t="s">
        <v>910</v>
      </c>
      <c r="FD12" s="347">
        <v>8</v>
      </c>
      <c r="FE12" s="343" t="s">
        <v>910</v>
      </c>
      <c r="FF12" s="370">
        <v>0.17</v>
      </c>
      <c r="FG12" s="370">
        <v>0.64</v>
      </c>
      <c r="FH12" s="370">
        <v>0.18</v>
      </c>
      <c r="FI12" s="370">
        <v>0</v>
      </c>
      <c r="FJ12" s="65">
        <f>AVERAGEIFS(FJ$36:FJ$167,$B$36:$B$167,"=oficial")</f>
        <v>0.51347826086956527</v>
      </c>
      <c r="FK12" s="65">
        <f t="shared" ref="FK12:GI12" si="5">AVERAGEIFS(FK$36:FK$167,$B$36:$B$167,"=oficial")</f>
        <v>0.68608695652173901</v>
      </c>
      <c r="FL12" s="65">
        <f t="shared" si="5"/>
        <v>0.53391304347826096</v>
      </c>
      <c r="FM12" s="65">
        <f t="shared" si="5"/>
        <v>0.47434782608695653</v>
      </c>
      <c r="FN12" s="65">
        <f t="shared" si="5"/>
        <v>0.32565217391304346</v>
      </c>
      <c r="FO12" s="65">
        <f t="shared" si="5"/>
        <v>0.37391304347826088</v>
      </c>
      <c r="FP12" s="65">
        <f t="shared" si="5"/>
        <v>0.43608695652173912</v>
      </c>
      <c r="FQ12" s="65">
        <f t="shared" si="5"/>
        <v>0.42956521739130421</v>
      </c>
      <c r="FR12" s="65">
        <f t="shared" si="5"/>
        <v>0.6169565217391304</v>
      </c>
      <c r="FS12" s="65">
        <f t="shared" si="5"/>
        <v>0.54521739130434799</v>
      </c>
      <c r="FT12" s="65">
        <f t="shared" si="5"/>
        <v>0.54695652173913045</v>
      </c>
      <c r="FU12" s="65">
        <f t="shared" si="5"/>
        <v>0.42478260869565221</v>
      </c>
      <c r="FV12" s="65">
        <f t="shared" si="5"/>
        <v>0.6460869565217392</v>
      </c>
      <c r="FW12" s="65">
        <f t="shared" si="5"/>
        <v>0.6</v>
      </c>
      <c r="FX12" s="65">
        <f t="shared" si="5"/>
        <v>0.52434782608695651</v>
      </c>
      <c r="FY12" s="65">
        <f t="shared" si="5"/>
        <v>0.40347826086956518</v>
      </c>
      <c r="FZ12" s="65">
        <f t="shared" si="5"/>
        <v>0.44608695652173902</v>
      </c>
      <c r="GA12" s="65">
        <f t="shared" si="5"/>
        <v>0.52956521739130447</v>
      </c>
      <c r="GB12" s="65">
        <f t="shared" si="5"/>
        <v>0.56608695652173913</v>
      </c>
      <c r="GC12" s="65">
        <f t="shared" si="5"/>
        <v>0.4934782608695652</v>
      </c>
      <c r="GD12" s="65">
        <f t="shared" si="5"/>
        <v>0.62478260869565216</v>
      </c>
      <c r="GE12" s="65">
        <f t="shared" si="5"/>
        <v>0.5795652173913044</v>
      </c>
      <c r="GF12" s="65">
        <f t="shared" si="5"/>
        <v>0.52260869565217394</v>
      </c>
      <c r="GG12" s="65">
        <f t="shared" si="5"/>
        <v>0.50130434782608713</v>
      </c>
      <c r="GH12" s="65">
        <f t="shared" si="5"/>
        <v>0.60391304347826102</v>
      </c>
      <c r="GI12" s="65">
        <f t="shared" si="5"/>
        <v>0.32173913043478258</v>
      </c>
      <c r="GJ12" s="480">
        <v>49</v>
      </c>
      <c r="GK12" s="483" t="s">
        <v>910</v>
      </c>
      <c r="GL12" s="480">
        <v>9</v>
      </c>
      <c r="GM12" s="483" t="s">
        <v>910</v>
      </c>
      <c r="GN12" s="426">
        <v>0.17</v>
      </c>
      <c r="GO12" s="426">
        <v>0.59</v>
      </c>
      <c r="GP12" s="426">
        <v>0.23</v>
      </c>
      <c r="GQ12" s="426">
        <v>0.01</v>
      </c>
      <c r="GR12" s="65">
        <f>AVERAGEIFS(GR$36:GR$167,$B$36:$B$167,"=oficial")</f>
        <v>0.51111111111111096</v>
      </c>
      <c r="GS12" s="65">
        <f t="shared" ref="GS12:HQ12" si="6">AVERAGEIFS(GS$36:GS$167,$B$36:$B$167,"=oficial")</f>
        <v>0.57925925925925925</v>
      </c>
      <c r="GT12" s="65">
        <f t="shared" si="6"/>
        <v>0.64777777777777801</v>
      </c>
      <c r="GU12" s="65">
        <f t="shared" si="6"/>
        <v>0.26962962962962961</v>
      </c>
      <c r="GV12" s="65">
        <f t="shared" si="6"/>
        <v>0.58666666666666667</v>
      </c>
      <c r="GW12" s="65">
        <f t="shared" si="6"/>
        <v>0.51999999999999991</v>
      </c>
      <c r="GX12" s="65">
        <f t="shared" si="6"/>
        <v>0.5033333333333333</v>
      </c>
      <c r="GY12" s="65" t="e">
        <f t="shared" si="6"/>
        <v>#DIV/0!</v>
      </c>
      <c r="GZ12" s="65">
        <f t="shared" si="6"/>
        <v>0.37592592592592589</v>
      </c>
      <c r="HA12" s="65">
        <f t="shared" si="6"/>
        <v>0.67814814814814828</v>
      </c>
      <c r="HB12" s="65">
        <f t="shared" si="6"/>
        <v>0.50037037037037035</v>
      </c>
      <c r="HC12" s="65">
        <f t="shared" si="6"/>
        <v>0.5503703703703704</v>
      </c>
      <c r="HD12" s="65">
        <f t="shared" si="6"/>
        <v>0.60370370370370374</v>
      </c>
      <c r="HE12" s="65">
        <f t="shared" si="6"/>
        <v>0.49814814814814812</v>
      </c>
      <c r="HF12" s="65">
        <f t="shared" si="6"/>
        <v>0.5192592592592592</v>
      </c>
      <c r="HG12" s="65">
        <f t="shared" si="6"/>
        <v>0.67777777777777781</v>
      </c>
      <c r="HH12" s="65">
        <f t="shared" si="6"/>
        <v>0.42740740740740746</v>
      </c>
      <c r="HI12" s="65">
        <f t="shared" si="6"/>
        <v>0.56407407407407406</v>
      </c>
      <c r="HJ12" s="65">
        <f t="shared" si="6"/>
        <v>0.61407407407407411</v>
      </c>
      <c r="HK12" s="65">
        <f t="shared" si="6"/>
        <v>0.53925925925925933</v>
      </c>
      <c r="HL12" s="65">
        <f t="shared" si="6"/>
        <v>0.45925925925925926</v>
      </c>
      <c r="HM12" s="65">
        <f t="shared" si="6"/>
        <v>0.51481481481481495</v>
      </c>
      <c r="HN12" s="65">
        <f t="shared" si="6"/>
        <v>0.51740740740740743</v>
      </c>
      <c r="HO12" s="65">
        <f t="shared" si="6"/>
        <v>0.47444444444444439</v>
      </c>
      <c r="HP12" s="65" t="e">
        <f t="shared" si="6"/>
        <v>#DIV/0!</v>
      </c>
      <c r="HQ12" s="65">
        <f t="shared" si="6"/>
        <v>0.44888888888888895</v>
      </c>
      <c r="HR12" s="628">
        <v>50</v>
      </c>
      <c r="HS12" s="639" t="s">
        <v>910</v>
      </c>
      <c r="HT12" s="628">
        <v>9</v>
      </c>
      <c r="HU12" s="639" t="s">
        <v>910</v>
      </c>
      <c r="HV12" s="643">
        <v>0.16</v>
      </c>
      <c r="HW12" s="643">
        <v>0.57999999999999996</v>
      </c>
      <c r="HX12" s="643">
        <v>0.25</v>
      </c>
      <c r="HY12" s="643">
        <v>0.01</v>
      </c>
      <c r="HZ12" s="639" t="s">
        <v>287</v>
      </c>
      <c r="IA12" s="639" t="s">
        <v>287</v>
      </c>
      <c r="IB12" s="639" t="s">
        <v>287</v>
      </c>
      <c r="IC12" s="639" t="s">
        <v>287</v>
      </c>
      <c r="ID12" s="639" t="s">
        <v>287</v>
      </c>
      <c r="IE12" s="639" t="s">
        <v>287</v>
      </c>
      <c r="IF12" s="639" t="s">
        <v>287</v>
      </c>
      <c r="IG12" s="639" t="s">
        <v>287</v>
      </c>
      <c r="IH12" s="639" t="s">
        <v>287</v>
      </c>
      <c r="II12" s="639" t="s">
        <v>287</v>
      </c>
      <c r="IJ12" s="639" t="s">
        <v>287</v>
      </c>
      <c r="IK12" s="639" t="s">
        <v>287</v>
      </c>
      <c r="IL12" s="639" t="s">
        <v>287</v>
      </c>
      <c r="IM12" s="639" t="s">
        <v>287</v>
      </c>
      <c r="IN12" s="639" t="s">
        <v>287</v>
      </c>
      <c r="IO12" s="639" t="s">
        <v>287</v>
      </c>
      <c r="IP12" s="639" t="s">
        <v>287</v>
      </c>
      <c r="IQ12" s="639" t="s">
        <v>287</v>
      </c>
      <c r="IR12" s="639" t="s">
        <v>287</v>
      </c>
      <c r="IS12" s="639" t="s">
        <v>287</v>
      </c>
      <c r="IT12" s="639" t="s">
        <v>287</v>
      </c>
      <c r="IU12" s="639" t="s">
        <v>287</v>
      </c>
      <c r="IV12" s="639" t="s">
        <v>287</v>
      </c>
      <c r="IW12" s="639" t="s">
        <v>287</v>
      </c>
      <c r="IX12" s="639" t="s">
        <v>287</v>
      </c>
      <c r="IY12" s="639" t="s">
        <v>287</v>
      </c>
    </row>
    <row r="13" spans="1:322" ht="97.2" customHeight="1" x14ac:dyDescent="0.25">
      <c r="A13" s="187" t="s">
        <v>13</v>
      </c>
      <c r="B13" s="6"/>
      <c r="C13" s="6"/>
      <c r="D13" s="30">
        <v>54</v>
      </c>
      <c r="E13" s="30">
        <v>7</v>
      </c>
      <c r="F13" s="98">
        <v>0</v>
      </c>
      <c r="G13" s="98">
        <v>0.59</v>
      </c>
      <c r="H13" s="98">
        <v>0.41</v>
      </c>
      <c r="I13" s="98">
        <v>0</v>
      </c>
      <c r="J13" s="65">
        <f>J95</f>
        <v>0.46</v>
      </c>
      <c r="K13" s="65">
        <f t="shared" ref="K13:O13" si="7">K95</f>
        <v>0.35</v>
      </c>
      <c r="L13" s="65">
        <f t="shared" si="7"/>
        <v>0.8</v>
      </c>
      <c r="M13" s="65">
        <f t="shared" si="7"/>
        <v>0.19</v>
      </c>
      <c r="N13" s="65">
        <f t="shared" si="7"/>
        <v>0.27</v>
      </c>
      <c r="O13" s="65">
        <f t="shared" si="7"/>
        <v>0.57999999999999996</v>
      </c>
      <c r="P13" s="65">
        <f t="shared" ref="P13:AG13" si="8">P95</f>
        <v>0.3</v>
      </c>
      <c r="Q13" s="65">
        <f t="shared" si="8"/>
        <v>0.49</v>
      </c>
      <c r="R13" s="65">
        <f t="shared" si="8"/>
        <v>0.52</v>
      </c>
      <c r="S13" s="65">
        <f t="shared" si="8"/>
        <v>0.65</v>
      </c>
      <c r="T13" s="65">
        <f t="shared" si="8"/>
        <v>0.45</v>
      </c>
      <c r="U13" s="65">
        <f t="shared" si="8"/>
        <v>0.55000000000000004</v>
      </c>
      <c r="V13" s="65">
        <f t="shared" si="8"/>
        <v>0.08</v>
      </c>
      <c r="W13" s="65">
        <f t="shared" si="8"/>
        <v>0.06</v>
      </c>
      <c r="X13" s="65">
        <f t="shared" si="8"/>
        <v>0.53</v>
      </c>
      <c r="Y13" s="65">
        <f t="shared" si="8"/>
        <v>0.43</v>
      </c>
      <c r="Z13" s="65">
        <f t="shared" si="8"/>
        <v>1</v>
      </c>
      <c r="AA13" s="65">
        <f t="shared" si="8"/>
        <v>0.02</v>
      </c>
      <c r="AB13" s="65">
        <f t="shared" si="8"/>
        <v>0.45</v>
      </c>
      <c r="AC13" s="65">
        <f t="shared" si="8"/>
        <v>0.22</v>
      </c>
      <c r="AD13" s="65">
        <f t="shared" si="8"/>
        <v>0.45</v>
      </c>
      <c r="AE13" s="65">
        <f t="shared" si="8"/>
        <v>0.47</v>
      </c>
      <c r="AF13" s="65">
        <f t="shared" si="8"/>
        <v>0.49</v>
      </c>
      <c r="AG13" s="65">
        <f t="shared" si="8"/>
        <v>0.53</v>
      </c>
      <c r="AH13" s="30">
        <v>51</v>
      </c>
      <c r="AI13" s="30">
        <v>7</v>
      </c>
      <c r="AJ13" s="86">
        <v>0.1</v>
      </c>
      <c r="AK13" s="86">
        <v>0.62</v>
      </c>
      <c r="AL13" s="86">
        <v>0.28999999999999998</v>
      </c>
      <c r="AM13" s="86">
        <v>0</v>
      </c>
      <c r="AN13" s="65">
        <f>AN95</f>
        <v>0.28000000000000003</v>
      </c>
      <c r="AO13" s="65">
        <f t="shared" ref="AO13:BL13" si="9">AO95</f>
        <v>0.52</v>
      </c>
      <c r="AP13" s="65">
        <f t="shared" si="9"/>
        <v>0.56999999999999995</v>
      </c>
      <c r="AQ13" s="65">
        <f t="shared" si="9"/>
        <v>0.43</v>
      </c>
      <c r="AR13" s="65">
        <f t="shared" si="9"/>
        <v>0.62</v>
      </c>
      <c r="AS13" s="65">
        <f t="shared" si="9"/>
        <v>0.48</v>
      </c>
      <c r="AT13" s="65">
        <f t="shared" si="9"/>
        <v>0.56999999999999995</v>
      </c>
      <c r="AU13" s="65">
        <f t="shared" si="9"/>
        <v>0.56999999999999995</v>
      </c>
      <c r="AV13" s="65">
        <f t="shared" si="9"/>
        <v>0.59</v>
      </c>
      <c r="AW13" s="65">
        <f t="shared" si="9"/>
        <v>0.55000000000000004</v>
      </c>
      <c r="AX13" s="65">
        <f t="shared" si="9"/>
        <v>0.6</v>
      </c>
      <c r="AY13" s="65">
        <f t="shared" si="9"/>
        <v>0.28999999999999998</v>
      </c>
      <c r="AZ13" s="65">
        <f t="shared" si="9"/>
        <v>0.24</v>
      </c>
      <c r="BA13" s="65">
        <f t="shared" si="9"/>
        <v>0.54</v>
      </c>
      <c r="BB13" s="65">
        <f t="shared" si="9"/>
        <v>0.67</v>
      </c>
      <c r="BC13" s="65">
        <f t="shared" si="9"/>
        <v>0.73</v>
      </c>
      <c r="BD13" s="65">
        <f t="shared" si="9"/>
        <v>0.39</v>
      </c>
      <c r="BE13" s="65">
        <f t="shared" si="9"/>
        <v>0.65</v>
      </c>
      <c r="BF13" s="65">
        <f t="shared" si="9"/>
        <v>0.52</v>
      </c>
      <c r="BG13" s="65">
        <f t="shared" si="9"/>
        <v>0.63</v>
      </c>
      <c r="BH13" s="65">
        <f t="shared" si="9"/>
        <v>0.42</v>
      </c>
      <c r="BI13" s="65">
        <f t="shared" si="9"/>
        <v>0.4</v>
      </c>
      <c r="BJ13" s="65">
        <f t="shared" si="9"/>
        <v>0.38</v>
      </c>
      <c r="BK13" s="65">
        <f t="shared" si="9"/>
        <v>0.46</v>
      </c>
      <c r="BL13" s="65">
        <f t="shared" si="9"/>
        <v>0.5</v>
      </c>
      <c r="BM13" s="30">
        <v>50</v>
      </c>
      <c r="BN13" s="30">
        <v>9</v>
      </c>
      <c r="BO13" s="98">
        <v>0.12</v>
      </c>
      <c r="BP13" s="98">
        <v>0.62</v>
      </c>
      <c r="BQ13" s="98">
        <v>0.26</v>
      </c>
      <c r="BR13" s="98">
        <v>0</v>
      </c>
      <c r="BS13" s="65">
        <f>BS95</f>
        <v>0.31</v>
      </c>
      <c r="BT13" s="65">
        <f t="shared" ref="BT13:CR13" si="10">BT95</f>
        <v>0.63</v>
      </c>
      <c r="BU13" s="65">
        <f t="shared" si="10"/>
        <v>0.77</v>
      </c>
      <c r="BV13" s="65">
        <f t="shared" si="10"/>
        <v>0.44</v>
      </c>
      <c r="BW13" s="65">
        <f t="shared" si="10"/>
        <v>0.6</v>
      </c>
      <c r="BX13" s="65">
        <f t="shared" si="10"/>
        <v>0.34</v>
      </c>
      <c r="BY13" s="65">
        <f t="shared" si="10"/>
        <v>0.52</v>
      </c>
      <c r="BZ13" s="65">
        <f t="shared" si="10"/>
        <v>0.51</v>
      </c>
      <c r="CA13" s="65">
        <f t="shared" si="10"/>
        <v>0.46</v>
      </c>
      <c r="CB13" s="65">
        <f t="shared" si="10"/>
        <v>0.45</v>
      </c>
      <c r="CC13" s="65">
        <f t="shared" si="10"/>
        <v>0.15</v>
      </c>
      <c r="CD13" s="65">
        <f t="shared" si="10"/>
        <v>0.41</v>
      </c>
      <c r="CE13" s="65">
        <f t="shared" si="10"/>
        <v>0.34</v>
      </c>
      <c r="CF13" s="65">
        <f t="shared" si="10"/>
        <v>0.69</v>
      </c>
      <c r="CG13" s="65">
        <f t="shared" si="10"/>
        <v>0.69</v>
      </c>
      <c r="CH13" s="65">
        <f t="shared" si="10"/>
        <v>0.42</v>
      </c>
      <c r="CI13" s="65">
        <f t="shared" si="10"/>
        <v>0.62</v>
      </c>
      <c r="CJ13" s="65">
        <f t="shared" si="10"/>
        <v>0.43</v>
      </c>
      <c r="CK13" s="65">
        <f t="shared" si="10"/>
        <v>0.73</v>
      </c>
      <c r="CL13" s="65">
        <f t="shared" si="10"/>
        <v>0.37</v>
      </c>
      <c r="CM13" s="65">
        <f t="shared" si="10"/>
        <v>0.44</v>
      </c>
      <c r="CN13" s="65">
        <f t="shared" si="10"/>
        <v>0.49</v>
      </c>
      <c r="CO13" s="65">
        <f t="shared" si="10"/>
        <v>0.36</v>
      </c>
      <c r="CP13" s="65">
        <f t="shared" si="10"/>
        <v>0.31</v>
      </c>
      <c r="CQ13" s="65">
        <f t="shared" si="10"/>
        <v>0.59</v>
      </c>
      <c r="CR13" s="65">
        <f t="shared" si="10"/>
        <v>0.51</v>
      </c>
      <c r="CS13" s="30">
        <v>49</v>
      </c>
      <c r="CT13" s="30">
        <v>9</v>
      </c>
      <c r="CU13" s="65">
        <v>0.18</v>
      </c>
      <c r="CV13" s="65">
        <v>0.56999999999999995</v>
      </c>
      <c r="CW13" s="65">
        <v>0.25</v>
      </c>
      <c r="CX13" s="65">
        <v>0</v>
      </c>
      <c r="CY13" s="65">
        <f>CY95</f>
        <v>0.48</v>
      </c>
      <c r="CZ13" s="65">
        <f t="shared" ref="CZ13:DW13" si="11">CZ95</f>
        <v>0.3</v>
      </c>
      <c r="DA13" s="65">
        <f t="shared" si="11"/>
        <v>0.66</v>
      </c>
      <c r="DB13" s="65">
        <f t="shared" si="11"/>
        <v>0.42</v>
      </c>
      <c r="DC13" s="65">
        <f t="shared" si="11"/>
        <v>0.48</v>
      </c>
      <c r="DD13" s="65">
        <f t="shared" si="11"/>
        <v>0.62</v>
      </c>
      <c r="DE13" s="65">
        <f t="shared" si="11"/>
        <v>0.53</v>
      </c>
      <c r="DF13" s="65">
        <f t="shared" si="11"/>
        <v>0.57999999999999996</v>
      </c>
      <c r="DG13" s="65">
        <f t="shared" si="11"/>
        <v>0.44</v>
      </c>
      <c r="DH13" s="65">
        <f t="shared" si="11"/>
        <v>0.41</v>
      </c>
      <c r="DI13" s="65">
        <f t="shared" si="11"/>
        <v>0.51</v>
      </c>
      <c r="DJ13" s="65">
        <f t="shared" si="11"/>
        <v>0.56000000000000005</v>
      </c>
      <c r="DK13" s="65">
        <f t="shared" si="11"/>
        <v>0.44</v>
      </c>
      <c r="DL13" s="65">
        <f t="shared" si="11"/>
        <v>0.33</v>
      </c>
      <c r="DM13" s="65">
        <f t="shared" si="11"/>
        <v>0.56000000000000005</v>
      </c>
      <c r="DN13" s="65">
        <f t="shared" si="11"/>
        <v>0.49</v>
      </c>
      <c r="DO13" s="65">
        <f t="shared" si="11"/>
        <v>0.53</v>
      </c>
      <c r="DP13" s="65">
        <f t="shared" si="11"/>
        <v>0.44</v>
      </c>
      <c r="DQ13" s="65">
        <f t="shared" si="11"/>
        <v>0.55000000000000004</v>
      </c>
      <c r="DR13" s="65">
        <f t="shared" si="11"/>
        <v>0.18</v>
      </c>
      <c r="DS13" s="65">
        <f t="shared" si="11"/>
        <v>0.44</v>
      </c>
      <c r="DT13" s="65">
        <f t="shared" si="11"/>
        <v>0.57999999999999996</v>
      </c>
      <c r="DU13" s="65">
        <f t="shared" si="11"/>
        <v>0.56000000000000005</v>
      </c>
      <c r="DV13" s="65">
        <f t="shared" si="11"/>
        <v>0.55000000000000004</v>
      </c>
      <c r="DW13" s="65">
        <f t="shared" si="11"/>
        <v>0.37</v>
      </c>
      <c r="DX13" s="90">
        <v>48</v>
      </c>
      <c r="DY13" s="90">
        <v>9</v>
      </c>
      <c r="DZ13" s="89">
        <v>0.21</v>
      </c>
      <c r="EA13" s="89">
        <v>0.61</v>
      </c>
      <c r="EB13" s="89">
        <v>0.18</v>
      </c>
      <c r="EC13" s="89">
        <v>0</v>
      </c>
      <c r="ED13" s="65">
        <f t="shared" ref="ED13:FA13" si="12">ED95</f>
        <v>0.48</v>
      </c>
      <c r="EE13" s="65">
        <f t="shared" si="12"/>
        <v>0.52</v>
      </c>
      <c r="EF13" s="65">
        <f t="shared" si="12"/>
        <v>0.42</v>
      </c>
      <c r="EG13" s="65">
        <f t="shared" si="12"/>
        <v>0.35</v>
      </c>
      <c r="EH13" s="65">
        <f t="shared" si="12"/>
        <v>0.46</v>
      </c>
      <c r="EI13" s="65">
        <f t="shared" si="12"/>
        <v>0.51</v>
      </c>
      <c r="EJ13" s="65">
        <f t="shared" si="12"/>
        <v>0.55000000000000004</v>
      </c>
      <c r="EK13" s="65">
        <f t="shared" si="12"/>
        <v>0.2</v>
      </c>
      <c r="EL13" s="65">
        <f t="shared" si="12"/>
        <v>0.46</v>
      </c>
      <c r="EM13" s="65">
        <f t="shared" si="12"/>
        <v>0.5</v>
      </c>
      <c r="EN13" s="65">
        <f t="shared" si="12"/>
        <v>0.56000000000000005</v>
      </c>
      <c r="EO13" s="65">
        <f t="shared" si="12"/>
        <v>0.56999999999999995</v>
      </c>
      <c r="EP13" s="65">
        <f t="shared" si="12"/>
        <v>0.51</v>
      </c>
      <c r="EQ13" s="65">
        <f t="shared" si="12"/>
        <v>0.27</v>
      </c>
      <c r="ER13" s="65">
        <f t="shared" si="12"/>
        <v>0.62</v>
      </c>
      <c r="ES13" s="65">
        <f t="shared" si="12"/>
        <v>0.48</v>
      </c>
      <c r="ET13" s="65">
        <f t="shared" si="12"/>
        <v>0.4</v>
      </c>
      <c r="EU13" s="65">
        <f t="shared" si="12"/>
        <v>0.63</v>
      </c>
      <c r="EV13" s="65">
        <f t="shared" si="12"/>
        <v>0.44</v>
      </c>
      <c r="EW13" s="65">
        <f t="shared" si="12"/>
        <v>0.3</v>
      </c>
      <c r="EX13" s="65">
        <f t="shared" si="12"/>
        <v>0.78</v>
      </c>
      <c r="EY13" s="65">
        <f t="shared" si="12"/>
        <v>0.65</v>
      </c>
      <c r="EZ13" s="65">
        <f t="shared" si="12"/>
        <v>0.24</v>
      </c>
      <c r="FA13" s="65">
        <f t="shared" si="12"/>
        <v>0.64</v>
      </c>
      <c r="FB13" s="347">
        <v>48</v>
      </c>
      <c r="FC13" s="343" t="s">
        <v>910</v>
      </c>
      <c r="FD13" s="347">
        <v>9</v>
      </c>
      <c r="FE13" s="343" t="s">
        <v>910</v>
      </c>
      <c r="FF13" s="370">
        <v>0.25</v>
      </c>
      <c r="FG13" s="370">
        <v>0.55000000000000004</v>
      </c>
      <c r="FH13" s="370">
        <v>0.2</v>
      </c>
      <c r="FI13" s="370">
        <v>0</v>
      </c>
      <c r="FJ13" s="65">
        <f>FJ95</f>
        <v>0.53</v>
      </c>
      <c r="FK13" s="65">
        <f t="shared" ref="FK13:GG13" si="13">FK95</f>
        <v>0.67</v>
      </c>
      <c r="FL13" s="65">
        <f t="shared" si="13"/>
        <v>0.56999999999999995</v>
      </c>
      <c r="FM13" s="65">
        <f t="shared" si="13"/>
        <v>0.43</v>
      </c>
      <c r="FN13" s="65">
        <f t="shared" si="13"/>
        <v>0.34</v>
      </c>
      <c r="FO13" s="65">
        <f t="shared" si="13"/>
        <v>0.41</v>
      </c>
      <c r="FP13" s="65">
        <f t="shared" si="13"/>
        <v>0.43</v>
      </c>
      <c r="FQ13" s="65">
        <f t="shared" si="13"/>
        <v>0.4</v>
      </c>
      <c r="FR13" s="65">
        <f t="shared" si="13"/>
        <v>0.59</v>
      </c>
      <c r="FS13" s="65">
        <f t="shared" si="13"/>
        <v>0.56999999999999995</v>
      </c>
      <c r="FT13" s="65">
        <f t="shared" si="13"/>
        <v>0.53</v>
      </c>
      <c r="FU13" s="65">
        <f t="shared" si="13"/>
        <v>0.38</v>
      </c>
      <c r="FV13" s="65">
        <f t="shared" si="13"/>
        <v>0.67</v>
      </c>
      <c r="FW13" s="65">
        <f t="shared" si="13"/>
        <v>0.56999999999999995</v>
      </c>
      <c r="FX13" s="65">
        <f t="shared" si="13"/>
        <v>0.49</v>
      </c>
      <c r="FY13" s="65">
        <f t="shared" si="13"/>
        <v>0.41</v>
      </c>
      <c r="FZ13" s="65">
        <f t="shared" si="13"/>
        <v>0.39</v>
      </c>
      <c r="GA13" s="65">
        <f t="shared" si="13"/>
        <v>0.6</v>
      </c>
      <c r="GB13" s="65">
        <f t="shared" si="13"/>
        <v>0.54</v>
      </c>
      <c r="GC13" s="65">
        <f t="shared" si="13"/>
        <v>0.5</v>
      </c>
      <c r="GD13" s="65">
        <f t="shared" si="13"/>
        <v>0.6</v>
      </c>
      <c r="GE13" s="65">
        <f t="shared" si="13"/>
        <v>0.52</v>
      </c>
      <c r="GF13" s="65">
        <f t="shared" si="13"/>
        <v>0.62</v>
      </c>
      <c r="GG13" s="65">
        <f t="shared" si="13"/>
        <v>0.43</v>
      </c>
      <c r="GH13" s="65">
        <f t="shared" ref="GH13:GI13" si="14">GH95</f>
        <v>0.64</v>
      </c>
      <c r="GI13" s="65">
        <f t="shared" si="14"/>
        <v>0.3</v>
      </c>
      <c r="GJ13" s="480">
        <v>50</v>
      </c>
      <c r="GK13" s="483" t="s">
        <v>910</v>
      </c>
      <c r="GL13" s="480">
        <v>9</v>
      </c>
      <c r="GM13" s="483" t="s">
        <v>910</v>
      </c>
      <c r="GN13" s="426">
        <v>0.18</v>
      </c>
      <c r="GO13" s="426">
        <v>0.57999999999999996</v>
      </c>
      <c r="GP13" s="426">
        <v>0.25</v>
      </c>
      <c r="GQ13" s="426">
        <v>0</v>
      </c>
      <c r="GR13" s="65">
        <f>GR95</f>
        <v>0.49</v>
      </c>
      <c r="GS13" s="65">
        <f t="shared" ref="GS13:HQ13" si="15">GS95</f>
        <v>0.63</v>
      </c>
      <c r="GT13" s="65">
        <f t="shared" si="15"/>
        <v>0.59</v>
      </c>
      <c r="GU13" s="65">
        <f t="shared" si="15"/>
        <v>0.1</v>
      </c>
      <c r="GV13" s="65">
        <f t="shared" si="15"/>
        <v>0.55000000000000004</v>
      </c>
      <c r="GW13" s="65">
        <f t="shared" si="15"/>
        <v>0.48</v>
      </c>
      <c r="GX13" s="65">
        <f t="shared" si="15"/>
        <v>0.52</v>
      </c>
      <c r="GY13" s="65" t="str">
        <f t="shared" si="15"/>
        <v>N.D.</v>
      </c>
      <c r="GZ13" s="65">
        <f t="shared" si="15"/>
        <v>0.28999999999999998</v>
      </c>
      <c r="HA13" s="65">
        <f t="shared" si="15"/>
        <v>0.86</v>
      </c>
      <c r="HB13" s="65">
        <f t="shared" si="15"/>
        <v>0.51</v>
      </c>
      <c r="HC13" s="65">
        <f t="shared" si="15"/>
        <v>0.51</v>
      </c>
      <c r="HD13" s="65">
        <f t="shared" si="15"/>
        <v>0.54</v>
      </c>
      <c r="HE13" s="65">
        <f t="shared" si="15"/>
        <v>0.49</v>
      </c>
      <c r="HF13" s="65">
        <f t="shared" si="15"/>
        <v>0.55000000000000004</v>
      </c>
      <c r="HG13" s="65">
        <f t="shared" si="15"/>
        <v>0.63</v>
      </c>
      <c r="HH13" s="65">
        <f t="shared" si="15"/>
        <v>0.41</v>
      </c>
      <c r="HI13" s="65">
        <f t="shared" si="15"/>
        <v>0.56000000000000005</v>
      </c>
      <c r="HJ13" s="65">
        <f t="shared" si="15"/>
        <v>0.61</v>
      </c>
      <c r="HK13" s="65">
        <f t="shared" si="15"/>
        <v>0.47</v>
      </c>
      <c r="HL13" s="65">
        <f t="shared" si="15"/>
        <v>0.38</v>
      </c>
      <c r="HM13" s="65">
        <f t="shared" si="15"/>
        <v>0.57999999999999996</v>
      </c>
      <c r="HN13" s="65">
        <f t="shared" si="15"/>
        <v>0.59</v>
      </c>
      <c r="HO13" s="65">
        <f t="shared" si="15"/>
        <v>0.46</v>
      </c>
      <c r="HP13" s="65" t="str">
        <f t="shared" si="15"/>
        <v>N.D.</v>
      </c>
      <c r="HQ13" s="65">
        <f t="shared" si="15"/>
        <v>0.47</v>
      </c>
      <c r="HR13" s="628">
        <v>47</v>
      </c>
      <c r="HS13" s="639" t="s">
        <v>912</v>
      </c>
      <c r="HT13" s="628">
        <v>8</v>
      </c>
      <c r="HU13" s="639" t="s">
        <v>910</v>
      </c>
      <c r="HV13" s="643">
        <v>0.24</v>
      </c>
      <c r="HW13" s="643">
        <v>0.6</v>
      </c>
      <c r="HX13" s="643">
        <v>0.16</v>
      </c>
      <c r="HY13" s="643">
        <v>0</v>
      </c>
      <c r="HZ13" s="639" t="s">
        <v>287</v>
      </c>
      <c r="IA13" s="639" t="s">
        <v>287</v>
      </c>
      <c r="IB13" s="639" t="s">
        <v>287</v>
      </c>
      <c r="IC13" s="639" t="s">
        <v>287</v>
      </c>
      <c r="ID13" s="639" t="s">
        <v>287</v>
      </c>
      <c r="IE13" s="639" t="s">
        <v>287</v>
      </c>
      <c r="IF13" s="639" t="s">
        <v>287</v>
      </c>
      <c r="IG13" s="639" t="s">
        <v>287</v>
      </c>
      <c r="IH13" s="639" t="s">
        <v>287</v>
      </c>
      <c r="II13" s="639" t="s">
        <v>287</v>
      </c>
      <c r="IJ13" s="639" t="s">
        <v>287</v>
      </c>
      <c r="IK13" s="639" t="s">
        <v>287</v>
      </c>
      <c r="IL13" s="639" t="s">
        <v>287</v>
      </c>
      <c r="IM13" s="639" t="s">
        <v>287</v>
      </c>
      <c r="IN13" s="639" t="s">
        <v>287</v>
      </c>
      <c r="IO13" s="639" t="s">
        <v>287</v>
      </c>
      <c r="IP13" s="639" t="s">
        <v>287</v>
      </c>
      <c r="IQ13" s="639" t="s">
        <v>287</v>
      </c>
      <c r="IR13" s="639" t="s">
        <v>287</v>
      </c>
      <c r="IS13" s="639" t="s">
        <v>287</v>
      </c>
      <c r="IT13" s="639" t="s">
        <v>287</v>
      </c>
      <c r="IU13" s="639" t="s">
        <v>287</v>
      </c>
      <c r="IV13" s="639" t="s">
        <v>287</v>
      </c>
      <c r="IW13" s="639" t="s">
        <v>287</v>
      </c>
      <c r="IX13" s="639" t="s">
        <v>287</v>
      </c>
      <c r="IY13" s="639" t="s">
        <v>287</v>
      </c>
    </row>
    <row r="14" spans="1:322" ht="24.9" customHeight="1" x14ac:dyDescent="0.25">
      <c r="A14" s="187" t="s">
        <v>14</v>
      </c>
      <c r="B14" s="6"/>
      <c r="C14" s="6"/>
      <c r="D14" s="30">
        <v>55</v>
      </c>
      <c r="E14" s="30">
        <v>8</v>
      </c>
      <c r="F14" s="98">
        <v>0.03</v>
      </c>
      <c r="G14" s="98">
        <v>0.5</v>
      </c>
      <c r="H14" s="98">
        <v>0.46</v>
      </c>
      <c r="I14" s="98">
        <v>0.01</v>
      </c>
      <c r="J14" s="65">
        <f>AVERAGEIFS(J$36:J$167,$B$36:$B$167,"=no oficial")</f>
        <v>0.36632911392405065</v>
      </c>
      <c r="K14" s="65">
        <f t="shared" ref="K14" si="16">AVERAGEIFS(K$36:K$167,$B$36:$B$167,"=no oficial")</f>
        <v>0.34177215189873411</v>
      </c>
      <c r="L14" s="65">
        <f>AVERAGEIFS(L$36:L$167,$B$36:$B$167,"=no oficial")</f>
        <v>0.71594936708860746</v>
      </c>
      <c r="M14" s="65">
        <f>AVERAGEIFS(M$36:M$167,$B$36:$B$167,"=no oficial")</f>
        <v>0.19683544303797471</v>
      </c>
      <c r="N14" s="65">
        <f t="shared" ref="N14:AG14" si="17">AVERAGEIFS(N$36:N$167,$B$36:$B$167,"=no oficial")</f>
        <v>0.27696202531645575</v>
      </c>
      <c r="O14" s="65">
        <f t="shared" si="17"/>
        <v>0.64974683544303802</v>
      </c>
      <c r="P14" s="65">
        <f t="shared" si="17"/>
        <v>0.32987341772151901</v>
      </c>
      <c r="Q14" s="65">
        <f t="shared" si="17"/>
        <v>0.38683544303797474</v>
      </c>
      <c r="R14" s="65">
        <f t="shared" si="17"/>
        <v>0.50405063291139252</v>
      </c>
      <c r="S14" s="65">
        <f t="shared" si="17"/>
        <v>0.57518987341772154</v>
      </c>
      <c r="T14" s="65">
        <f t="shared" si="17"/>
        <v>0.44835443037974676</v>
      </c>
      <c r="U14" s="65">
        <f t="shared" si="17"/>
        <v>0.57518987341772143</v>
      </c>
      <c r="V14" s="65">
        <f t="shared" si="17"/>
        <v>6.5569620253164568E-2</v>
      </c>
      <c r="W14" s="65">
        <f t="shared" si="17"/>
        <v>0.1374683544303798</v>
      </c>
      <c r="X14" s="65">
        <f t="shared" si="17"/>
        <v>0.4843037974683545</v>
      </c>
      <c r="Y14" s="65">
        <f t="shared" si="17"/>
        <v>0.47354430379746842</v>
      </c>
      <c r="Z14" s="65">
        <f t="shared" si="17"/>
        <v>0.71454545454545448</v>
      </c>
      <c r="AA14" s="65">
        <f t="shared" si="17"/>
        <v>9.8227848101265822E-2</v>
      </c>
      <c r="AB14" s="65">
        <f t="shared" si="17"/>
        <v>0.43405063291139251</v>
      </c>
      <c r="AC14" s="65">
        <f t="shared" si="17"/>
        <v>0.240632911392405</v>
      </c>
      <c r="AD14" s="65">
        <f t="shared" si="17"/>
        <v>0.43215189873417714</v>
      </c>
      <c r="AE14" s="65">
        <f t="shared" si="17"/>
        <v>0.39696202531645564</v>
      </c>
      <c r="AF14" s="65">
        <f t="shared" si="17"/>
        <v>0.48405063291139244</v>
      </c>
      <c r="AG14" s="65">
        <f t="shared" si="17"/>
        <v>0.49556962025316464</v>
      </c>
      <c r="AH14" s="30">
        <v>54</v>
      </c>
      <c r="AI14" s="30">
        <v>8</v>
      </c>
      <c r="AJ14" s="86">
        <v>0.06</v>
      </c>
      <c r="AK14" s="86">
        <v>0.49</v>
      </c>
      <c r="AL14" s="86">
        <v>0.44</v>
      </c>
      <c r="AM14" s="86">
        <v>0.02</v>
      </c>
      <c r="AN14" s="65">
        <f>AVERAGEIFS(AN$36:AN$167,$B$36:$B$167,"=no oficial")</f>
        <v>0.25797468354430381</v>
      </c>
      <c r="AO14" s="65">
        <f t="shared" ref="AO14:BL14" si="18">AVERAGEIFS(AO$36:AO$167,$B$36:$B$167,"=no oficial")</f>
        <v>0.43620253164556955</v>
      </c>
      <c r="AP14" s="65">
        <f t="shared" si="18"/>
        <v>0.55316455696202527</v>
      </c>
      <c r="AQ14" s="65">
        <f t="shared" si="18"/>
        <v>0.35341772151898732</v>
      </c>
      <c r="AR14" s="65">
        <f t="shared" si="18"/>
        <v>0.53696202531645565</v>
      </c>
      <c r="AS14" s="65">
        <f t="shared" si="18"/>
        <v>0.49860759493670886</v>
      </c>
      <c r="AT14" s="65">
        <f t="shared" si="18"/>
        <v>0.4869620253164556</v>
      </c>
      <c r="AU14" s="65">
        <f t="shared" si="18"/>
        <v>0.49721518987341756</v>
      </c>
      <c r="AV14" s="65">
        <f t="shared" si="18"/>
        <v>0.57620253164556978</v>
      </c>
      <c r="AW14" s="65">
        <f t="shared" si="18"/>
        <v>0.46923076923076934</v>
      </c>
      <c r="AX14" s="65">
        <f t="shared" si="18"/>
        <v>0.52641025641025663</v>
      </c>
      <c r="AY14" s="65">
        <f t="shared" si="18"/>
        <v>0.3024050632911392</v>
      </c>
      <c r="AZ14" s="65">
        <f t="shared" si="18"/>
        <v>0.27405063291139253</v>
      </c>
      <c r="BA14" s="65">
        <f t="shared" si="18"/>
        <v>0.45797468354430398</v>
      </c>
      <c r="BB14" s="65">
        <f t="shared" si="18"/>
        <v>0.63417721518987347</v>
      </c>
      <c r="BC14" s="65">
        <f t="shared" si="18"/>
        <v>0.6232911392405065</v>
      </c>
      <c r="BD14" s="65">
        <f t="shared" si="18"/>
        <v>0.39367088607594941</v>
      </c>
      <c r="BE14" s="65">
        <f t="shared" si="18"/>
        <v>0.54658227848101271</v>
      </c>
      <c r="BF14" s="65">
        <f t="shared" si="18"/>
        <v>0.60628205128205137</v>
      </c>
      <c r="BG14" s="65">
        <f t="shared" si="18"/>
        <v>0.47240506329113924</v>
      </c>
      <c r="BH14" s="65">
        <f t="shared" si="18"/>
        <v>0.41594936708860758</v>
      </c>
      <c r="BI14" s="65">
        <f t="shared" si="18"/>
        <v>0.39088607594936697</v>
      </c>
      <c r="BJ14" s="65">
        <f t="shared" si="18"/>
        <v>0.34632911392405069</v>
      </c>
      <c r="BK14" s="65">
        <f t="shared" si="18"/>
        <v>0.41860759493670885</v>
      </c>
      <c r="BL14" s="65">
        <f t="shared" si="18"/>
        <v>0.44166666666666671</v>
      </c>
      <c r="BM14" s="30">
        <v>53</v>
      </c>
      <c r="BN14" s="30">
        <v>9</v>
      </c>
      <c r="BO14" s="98">
        <v>0.08</v>
      </c>
      <c r="BP14" s="98">
        <v>0.53</v>
      </c>
      <c r="BQ14" s="98">
        <v>0.38</v>
      </c>
      <c r="BR14" s="98">
        <v>0.02</v>
      </c>
      <c r="BS14" s="65">
        <f>AVERAGEIFS(BS$36:BS$167,$B$36:$B$167,"=no oficial")</f>
        <v>0.32087499999999991</v>
      </c>
      <c r="BT14" s="65">
        <f t="shared" ref="BT14:CR14" si="19">AVERAGEIFS(BT$36:BT$167,$B$36:$B$167,"=no oficial")</f>
        <v>0.55291139240506348</v>
      </c>
      <c r="BU14" s="65">
        <f t="shared" si="19"/>
        <v>0.61848101265822797</v>
      </c>
      <c r="BV14" s="65">
        <f t="shared" si="19"/>
        <v>0.29699999999999999</v>
      </c>
      <c r="BW14" s="65">
        <f t="shared" si="19"/>
        <v>0.61987499999999995</v>
      </c>
      <c r="BX14" s="65">
        <f t="shared" si="19"/>
        <v>0.34237499999999993</v>
      </c>
      <c r="BY14" s="65">
        <f t="shared" si="19"/>
        <v>0.41862499999999991</v>
      </c>
      <c r="BZ14" s="65">
        <f t="shared" si="19"/>
        <v>0.5036250000000001</v>
      </c>
      <c r="CA14" s="65">
        <f t="shared" si="19"/>
        <v>0.43687499999999985</v>
      </c>
      <c r="CB14" s="65">
        <f t="shared" si="19"/>
        <v>0.33574999999999983</v>
      </c>
      <c r="CC14" s="65">
        <f t="shared" si="19"/>
        <v>0.17712499999999992</v>
      </c>
      <c r="CD14" s="65">
        <f t="shared" si="19"/>
        <v>0.38774999999999993</v>
      </c>
      <c r="CE14" s="65">
        <f t="shared" si="19"/>
        <v>0.31262499999999993</v>
      </c>
      <c r="CF14" s="65">
        <f t="shared" si="19"/>
        <v>0.58537500000000009</v>
      </c>
      <c r="CG14" s="65">
        <f t="shared" si="19"/>
        <v>0.57337499999999986</v>
      </c>
      <c r="CH14" s="65">
        <f t="shared" si="19"/>
        <v>0.42700000000000021</v>
      </c>
      <c r="CI14" s="65">
        <f t="shared" si="19"/>
        <v>0.55212500000000009</v>
      </c>
      <c r="CJ14" s="65">
        <f t="shared" si="19"/>
        <v>0.33875</v>
      </c>
      <c r="CK14" s="65">
        <f t="shared" si="19"/>
        <v>0.66275000000000017</v>
      </c>
      <c r="CL14" s="65">
        <f t="shared" si="19"/>
        <v>0.28562499999999996</v>
      </c>
      <c r="CM14" s="65">
        <f t="shared" si="19"/>
        <v>0.41762500000000002</v>
      </c>
      <c r="CN14" s="65">
        <f t="shared" si="19"/>
        <v>0.43412499999999998</v>
      </c>
      <c r="CO14" s="65">
        <f t="shared" si="19"/>
        <v>0.42362500000000003</v>
      </c>
      <c r="CP14" s="65">
        <f t="shared" si="19"/>
        <v>0.32374999999999993</v>
      </c>
      <c r="CQ14" s="65">
        <f t="shared" si="19"/>
        <v>0.52924999999999978</v>
      </c>
      <c r="CR14" s="65">
        <f t="shared" si="19"/>
        <v>0.51500000000000001</v>
      </c>
      <c r="CS14" s="30">
        <v>52</v>
      </c>
      <c r="CT14" s="30">
        <v>9</v>
      </c>
      <c r="CU14" s="65">
        <v>0.1</v>
      </c>
      <c r="CV14" s="65">
        <v>0.56999999999999995</v>
      </c>
      <c r="CW14" s="65">
        <v>0.31</v>
      </c>
      <c r="CX14" s="65">
        <v>0.02</v>
      </c>
      <c r="CY14" s="65">
        <f>AVERAGEIFS(CY$36:CY$167,$B$36:$B$167,"=no oficial")</f>
        <v>0.48378048780487815</v>
      </c>
      <c r="CZ14" s="65">
        <f t="shared" ref="CZ14:DW14" si="20">AVERAGEIFS(CZ$36:CZ$167,$B$36:$B$167,"=no oficial")</f>
        <v>0.28256097560975602</v>
      </c>
      <c r="DA14" s="65">
        <f t="shared" si="20"/>
        <v>0.54463414634146323</v>
      </c>
      <c r="DB14" s="65">
        <f t="shared" si="20"/>
        <v>0.34585365853658523</v>
      </c>
      <c r="DC14" s="65">
        <f t="shared" si="20"/>
        <v>0.42451219512195115</v>
      </c>
      <c r="DD14" s="65">
        <f t="shared" si="20"/>
        <v>0.61060975609756085</v>
      </c>
      <c r="DE14" s="65">
        <f t="shared" si="20"/>
        <v>0.43658536585365848</v>
      </c>
      <c r="DF14" s="65">
        <f t="shared" si="20"/>
        <v>0.52585365853658539</v>
      </c>
      <c r="DG14" s="65">
        <f t="shared" si="20"/>
        <v>0.41597560975609754</v>
      </c>
      <c r="DH14" s="65">
        <f t="shared" si="20"/>
        <v>0.35597560975609754</v>
      </c>
      <c r="DI14" s="65">
        <f t="shared" si="20"/>
        <v>0.496219512195122</v>
      </c>
      <c r="DJ14" s="65">
        <f t="shared" si="20"/>
        <v>0.50439024390243892</v>
      </c>
      <c r="DK14" s="65">
        <f t="shared" si="20"/>
        <v>0.35695121951219505</v>
      </c>
      <c r="DL14" s="65">
        <f t="shared" si="20"/>
        <v>0.33358024691358018</v>
      </c>
      <c r="DM14" s="65">
        <f t="shared" si="20"/>
        <v>0.49731707317073198</v>
      </c>
      <c r="DN14" s="65">
        <f t="shared" si="20"/>
        <v>0.47292682926829288</v>
      </c>
      <c r="DO14" s="65">
        <f t="shared" si="20"/>
        <v>0.41402439024390247</v>
      </c>
      <c r="DP14" s="65">
        <f t="shared" si="20"/>
        <v>0.44085365853658537</v>
      </c>
      <c r="DQ14" s="65">
        <f t="shared" si="20"/>
        <v>0.5331707317073171</v>
      </c>
      <c r="DR14" s="65">
        <f t="shared" si="20"/>
        <v>0.1734146341463414</v>
      </c>
      <c r="DS14" s="65">
        <f t="shared" si="20"/>
        <v>0.36682926829268303</v>
      </c>
      <c r="DT14" s="65">
        <f t="shared" si="20"/>
        <v>0.56939024390243886</v>
      </c>
      <c r="DU14" s="65">
        <f t="shared" si="20"/>
        <v>0.47231707317073185</v>
      </c>
      <c r="DV14" s="65">
        <f t="shared" si="20"/>
        <v>0.56378048780487788</v>
      </c>
      <c r="DW14" s="65">
        <f t="shared" si="20"/>
        <v>0.3148780487804877</v>
      </c>
      <c r="DX14" s="90">
        <v>51</v>
      </c>
      <c r="DY14" s="90">
        <v>9</v>
      </c>
      <c r="DZ14" s="89">
        <v>0.14000000000000001</v>
      </c>
      <c r="EA14" s="89">
        <v>0.53</v>
      </c>
      <c r="EB14" s="89">
        <v>0.32</v>
      </c>
      <c r="EC14" s="89">
        <v>0.01</v>
      </c>
      <c r="ED14" s="65">
        <f t="shared" ref="ED14:FA14" si="21">AVERAGEIFS(ED$36:ED$167,$B$36:$B$167,"=no oficial")</f>
        <v>0.49390804597701154</v>
      </c>
      <c r="EE14" s="65">
        <f t="shared" si="21"/>
        <v>0.46275862068965518</v>
      </c>
      <c r="EF14" s="65">
        <f t="shared" si="21"/>
        <v>0.46620689655172415</v>
      </c>
      <c r="EG14" s="65">
        <f t="shared" si="21"/>
        <v>0.30988505747126427</v>
      </c>
      <c r="EH14" s="65">
        <f t="shared" si="21"/>
        <v>0.42034482758620689</v>
      </c>
      <c r="EI14" s="65">
        <f t="shared" si="21"/>
        <v>0.47724137931034472</v>
      </c>
      <c r="EJ14" s="65">
        <f t="shared" si="21"/>
        <v>0.55632183908045985</v>
      </c>
      <c r="EK14" s="65">
        <f t="shared" si="21"/>
        <v>0.27666666666666673</v>
      </c>
      <c r="EL14" s="65">
        <f t="shared" si="21"/>
        <v>0.45264367816091955</v>
      </c>
      <c r="EM14" s="65">
        <f t="shared" si="21"/>
        <v>0.6308139534883721</v>
      </c>
      <c r="EN14" s="65">
        <f t="shared" si="21"/>
        <v>0.39873563218390812</v>
      </c>
      <c r="EO14" s="65">
        <f t="shared" si="21"/>
        <v>0.55494252873563232</v>
      </c>
      <c r="EP14" s="65">
        <f t="shared" si="21"/>
        <v>0.380919540229885</v>
      </c>
      <c r="EQ14" s="65">
        <f t="shared" si="21"/>
        <v>0.27906976744186046</v>
      </c>
      <c r="ER14" s="65">
        <f t="shared" si="21"/>
        <v>0.58413793103448297</v>
      </c>
      <c r="ES14" s="65">
        <f t="shared" si="21"/>
        <v>0.45045977011494243</v>
      </c>
      <c r="ET14" s="65">
        <f t="shared" si="21"/>
        <v>0.30816091954022989</v>
      </c>
      <c r="EU14" s="65">
        <f t="shared" si="21"/>
        <v>0.58839080459770121</v>
      </c>
      <c r="EV14" s="65">
        <f t="shared" si="21"/>
        <v>0.3339285714285713</v>
      </c>
      <c r="EW14" s="65">
        <f t="shared" si="21"/>
        <v>0.32080459770114944</v>
      </c>
      <c r="EX14" s="65">
        <f t="shared" si="21"/>
        <v>0.6643373493975907</v>
      </c>
      <c r="EY14" s="65">
        <f t="shared" si="21"/>
        <v>0.57011494252873562</v>
      </c>
      <c r="EZ14" s="65">
        <f t="shared" si="21"/>
        <v>0.2084705882352941</v>
      </c>
      <c r="FA14" s="65">
        <f t="shared" si="21"/>
        <v>0.60333333333333306</v>
      </c>
      <c r="FB14" s="347">
        <v>51</v>
      </c>
      <c r="FC14" s="343" t="s">
        <v>910</v>
      </c>
      <c r="FD14" s="347">
        <v>9</v>
      </c>
      <c r="FE14" s="343" t="s">
        <v>910</v>
      </c>
      <c r="FF14" s="370">
        <v>0.1</v>
      </c>
      <c r="FG14" s="370">
        <v>0.56999999999999995</v>
      </c>
      <c r="FH14" s="370">
        <v>0.32</v>
      </c>
      <c r="FI14" s="370">
        <v>0.01</v>
      </c>
      <c r="FJ14" s="65">
        <f>AVERAGEIFS(FJ$36:FJ$167,$B$36:$B$167,"=no oficial")</f>
        <v>0.44069767441860463</v>
      </c>
      <c r="FK14" s="65">
        <f t="shared" ref="FK14" si="22">AVERAGEIFS(FK$36:FK$167,$B$36:$B$167,"=no oficial")</f>
        <v>0.6416279069767441</v>
      </c>
      <c r="FL14" s="65">
        <f>AVERAGEIFS(FL$36:FL$167,$B$36:$B$167,"=no oficial")</f>
        <v>0.48116279069767459</v>
      </c>
      <c r="FM14" s="65">
        <f>AVERAGEIFS(FM$36:FM$167,$B$36:$B$167,"=no oficial")</f>
        <v>0.41588235294117643</v>
      </c>
      <c r="FN14" s="65">
        <f t="shared" ref="FN14:GI14" si="23">AVERAGEIFS(FN$36:FN$167,$B$36:$B$167,"=no oficial")</f>
        <v>0.26917647058823535</v>
      </c>
      <c r="FO14" s="65">
        <f t="shared" si="23"/>
        <v>0.30779069767441869</v>
      </c>
      <c r="FP14" s="65">
        <f t="shared" si="23"/>
        <v>0.3643023255813953</v>
      </c>
      <c r="FQ14" s="65">
        <f t="shared" si="23"/>
        <v>0.39813953488372089</v>
      </c>
      <c r="FR14" s="65">
        <f t="shared" si="23"/>
        <v>0.57081395348837194</v>
      </c>
      <c r="FS14" s="65">
        <f t="shared" si="23"/>
        <v>0.50717647058823523</v>
      </c>
      <c r="FT14" s="65">
        <f t="shared" si="23"/>
        <v>0.4913953488372092</v>
      </c>
      <c r="FU14" s="65">
        <f t="shared" si="23"/>
        <v>0.35642857142857137</v>
      </c>
      <c r="FV14" s="65">
        <f t="shared" si="23"/>
        <v>0.58058139534883724</v>
      </c>
      <c r="FW14" s="65">
        <f t="shared" si="23"/>
        <v>0.52674418604651163</v>
      </c>
      <c r="FX14" s="65">
        <f t="shared" si="23"/>
        <v>0.45117647058823529</v>
      </c>
      <c r="FY14" s="65">
        <f t="shared" si="23"/>
        <v>0.35499999999999987</v>
      </c>
      <c r="FZ14" s="65">
        <f t="shared" si="23"/>
        <v>0.39604651162790716</v>
      </c>
      <c r="GA14" s="65">
        <f t="shared" si="23"/>
        <v>0.46752941176470575</v>
      </c>
      <c r="GB14" s="65">
        <f t="shared" si="23"/>
        <v>0.51848837209302312</v>
      </c>
      <c r="GC14" s="65">
        <f t="shared" si="23"/>
        <v>0.43127906976744179</v>
      </c>
      <c r="GD14" s="65">
        <f t="shared" si="23"/>
        <v>0.59023255813953479</v>
      </c>
      <c r="GE14" s="65">
        <f t="shared" si="23"/>
        <v>0.48569767441860467</v>
      </c>
      <c r="GF14" s="65">
        <f t="shared" si="23"/>
        <v>0.43117647058823544</v>
      </c>
      <c r="GG14" s="65">
        <f t="shared" si="23"/>
        <v>0.43999999999999989</v>
      </c>
      <c r="GH14" s="65">
        <f t="shared" si="23"/>
        <v>0.54220930232558162</v>
      </c>
      <c r="GI14" s="65">
        <f t="shared" si="23"/>
        <v>0.26162790697674421</v>
      </c>
      <c r="GJ14" s="480">
        <v>52</v>
      </c>
      <c r="GK14" s="483" t="s">
        <v>910</v>
      </c>
      <c r="GL14" s="480">
        <v>9</v>
      </c>
      <c r="GM14" s="483" t="s">
        <v>910</v>
      </c>
      <c r="GN14" s="426">
        <v>0.12</v>
      </c>
      <c r="GO14" s="426">
        <v>0.5</v>
      </c>
      <c r="GP14" s="426">
        <v>0.36</v>
      </c>
      <c r="GQ14" s="426">
        <v>0.02</v>
      </c>
      <c r="GR14" s="65">
        <f>AVERAGEIFS(GR$36:GR$167,$B$36:$B$167,"=no oficial")</f>
        <v>0.46370786516853935</v>
      </c>
      <c r="GS14" s="65">
        <f t="shared" ref="GS14:HQ14" si="24">AVERAGEIFS(GS$36:GS$167,$B$36:$B$167,"=no oficial")</f>
        <v>0.51157303370786511</v>
      </c>
      <c r="GT14" s="65">
        <f t="shared" si="24"/>
        <v>0.59786516853932614</v>
      </c>
      <c r="GU14" s="65">
        <f t="shared" si="24"/>
        <v>0.21586206896551721</v>
      </c>
      <c r="GV14" s="65">
        <f t="shared" si="24"/>
        <v>0.5287640449438199</v>
      </c>
      <c r="GW14" s="65">
        <f t="shared" si="24"/>
        <v>0.43797752808988782</v>
      </c>
      <c r="GX14" s="65">
        <f t="shared" si="24"/>
        <v>0.45011235955056189</v>
      </c>
      <c r="GY14" s="65" t="e">
        <f t="shared" si="24"/>
        <v>#DIV/0!</v>
      </c>
      <c r="GZ14" s="65">
        <f t="shared" si="24"/>
        <v>0.27988764044943815</v>
      </c>
      <c r="HA14" s="65">
        <f t="shared" si="24"/>
        <v>0.669545454545455</v>
      </c>
      <c r="HB14" s="65">
        <f t="shared" si="24"/>
        <v>0.44764044943820219</v>
      </c>
      <c r="HC14" s="65">
        <f t="shared" si="24"/>
        <v>0.5028089887640449</v>
      </c>
      <c r="HD14" s="65">
        <f t="shared" si="24"/>
        <v>0.53674157303370762</v>
      </c>
      <c r="HE14" s="65">
        <f t="shared" si="24"/>
        <v>0.44730337078651689</v>
      </c>
      <c r="HF14" s="65">
        <f t="shared" si="24"/>
        <v>0.44887640449438199</v>
      </c>
      <c r="HG14" s="65">
        <f t="shared" si="24"/>
        <v>0.64775280898876375</v>
      </c>
      <c r="HH14" s="65">
        <f t="shared" si="24"/>
        <v>0.3723595505617977</v>
      </c>
      <c r="HI14" s="65">
        <f t="shared" si="24"/>
        <v>0.51943820224719095</v>
      </c>
      <c r="HJ14" s="65">
        <f t="shared" si="24"/>
        <v>0.58101123595505622</v>
      </c>
      <c r="HK14" s="65">
        <f t="shared" si="24"/>
        <v>0.50404494382022458</v>
      </c>
      <c r="HL14" s="65">
        <f t="shared" si="24"/>
        <v>0.38865168539325845</v>
      </c>
      <c r="HM14" s="65">
        <f t="shared" si="24"/>
        <v>0.47797752808988764</v>
      </c>
      <c r="HN14" s="65">
        <f t="shared" si="24"/>
        <v>0.46943820224719096</v>
      </c>
      <c r="HO14" s="65">
        <f t="shared" si="24"/>
        <v>0.40269662921348343</v>
      </c>
      <c r="HP14" s="65" t="e">
        <f t="shared" si="24"/>
        <v>#DIV/0!</v>
      </c>
      <c r="HQ14" s="65">
        <f t="shared" si="24"/>
        <v>0.40393258426966311</v>
      </c>
      <c r="HR14" s="628">
        <v>53</v>
      </c>
      <c r="HS14" s="639" t="s">
        <v>910</v>
      </c>
      <c r="HT14" s="628">
        <v>9</v>
      </c>
      <c r="HU14" s="639" t="s">
        <v>910</v>
      </c>
      <c r="HV14" s="643">
        <v>0.09</v>
      </c>
      <c r="HW14" s="643">
        <v>0.49</v>
      </c>
      <c r="HX14" s="643">
        <v>0.4</v>
      </c>
      <c r="HY14" s="643">
        <v>0.02</v>
      </c>
      <c r="HZ14" s="639" t="s">
        <v>287</v>
      </c>
      <c r="IA14" s="639" t="s">
        <v>287</v>
      </c>
      <c r="IB14" s="639" t="s">
        <v>287</v>
      </c>
      <c r="IC14" s="639" t="s">
        <v>287</v>
      </c>
      <c r="ID14" s="639" t="s">
        <v>287</v>
      </c>
      <c r="IE14" s="639" t="s">
        <v>287</v>
      </c>
      <c r="IF14" s="639" t="s">
        <v>287</v>
      </c>
      <c r="IG14" s="639" t="s">
        <v>287</v>
      </c>
      <c r="IH14" s="639" t="s">
        <v>287</v>
      </c>
      <c r="II14" s="639" t="s">
        <v>287</v>
      </c>
      <c r="IJ14" s="639" t="s">
        <v>287</v>
      </c>
      <c r="IK14" s="639" t="s">
        <v>287</v>
      </c>
      <c r="IL14" s="639" t="s">
        <v>287</v>
      </c>
      <c r="IM14" s="639" t="s">
        <v>287</v>
      </c>
      <c r="IN14" s="639" t="s">
        <v>287</v>
      </c>
      <c r="IO14" s="639" t="s">
        <v>287</v>
      </c>
      <c r="IP14" s="639" t="s">
        <v>287</v>
      </c>
      <c r="IQ14" s="639" t="s">
        <v>287</v>
      </c>
      <c r="IR14" s="639" t="s">
        <v>287</v>
      </c>
      <c r="IS14" s="639" t="s">
        <v>287</v>
      </c>
      <c r="IT14" s="639" t="s">
        <v>287</v>
      </c>
      <c r="IU14" s="639" t="s">
        <v>287</v>
      </c>
      <c r="IV14" s="639" t="s">
        <v>287</v>
      </c>
      <c r="IW14" s="639" t="s">
        <v>287</v>
      </c>
      <c r="IX14" s="639" t="s">
        <v>287</v>
      </c>
      <c r="IY14" s="639" t="s">
        <v>287</v>
      </c>
    </row>
    <row r="15" spans="1:322" ht="24.9" customHeight="1" x14ac:dyDescent="0.25">
      <c r="A15" s="187" t="s">
        <v>15</v>
      </c>
      <c r="B15" s="6"/>
      <c r="C15" s="6"/>
      <c r="D15" s="30">
        <v>52</v>
      </c>
      <c r="E15" s="30">
        <v>7</v>
      </c>
      <c r="F15" s="98">
        <v>0.06</v>
      </c>
      <c r="G15" s="98">
        <v>0.63</v>
      </c>
      <c r="H15" s="98">
        <v>0.31</v>
      </c>
      <c r="I15" s="98">
        <v>0</v>
      </c>
      <c r="J15" s="11" t="s">
        <v>287</v>
      </c>
      <c r="K15" s="11" t="s">
        <v>287</v>
      </c>
      <c r="L15" s="11" t="s">
        <v>287</v>
      </c>
      <c r="M15" s="94" t="s">
        <v>287</v>
      </c>
      <c r="N15" s="94" t="s">
        <v>287</v>
      </c>
      <c r="O15" s="94" t="s">
        <v>287</v>
      </c>
      <c r="P15" s="94" t="s">
        <v>287</v>
      </c>
      <c r="Q15" s="94" t="s">
        <v>287</v>
      </c>
      <c r="R15" s="94" t="s">
        <v>287</v>
      </c>
      <c r="S15" s="94" t="s">
        <v>287</v>
      </c>
      <c r="T15" s="94" t="s">
        <v>287</v>
      </c>
      <c r="U15" s="94" t="s">
        <v>287</v>
      </c>
      <c r="V15" s="94" t="s">
        <v>287</v>
      </c>
      <c r="W15" s="94" t="s">
        <v>287</v>
      </c>
      <c r="X15" s="94" t="s">
        <v>287</v>
      </c>
      <c r="Y15" s="94" t="s">
        <v>287</v>
      </c>
      <c r="Z15" s="94" t="s">
        <v>287</v>
      </c>
      <c r="AA15" s="94" t="s">
        <v>287</v>
      </c>
      <c r="AB15" s="94" t="s">
        <v>287</v>
      </c>
      <c r="AC15" s="94" t="s">
        <v>287</v>
      </c>
      <c r="AD15" s="94" t="s">
        <v>287</v>
      </c>
      <c r="AE15" s="94" t="s">
        <v>287</v>
      </c>
      <c r="AF15" s="94" t="s">
        <v>287</v>
      </c>
      <c r="AG15" s="94" t="s">
        <v>287</v>
      </c>
      <c r="AH15" s="30">
        <v>52</v>
      </c>
      <c r="AI15" s="30">
        <v>8</v>
      </c>
      <c r="AJ15" s="86">
        <v>0.09</v>
      </c>
      <c r="AK15" s="86">
        <v>0.57999999999999996</v>
      </c>
      <c r="AL15" s="86">
        <v>0.32</v>
      </c>
      <c r="AM15" s="86">
        <v>0.01</v>
      </c>
      <c r="AN15" s="11" t="s">
        <v>287</v>
      </c>
      <c r="AO15" s="11" t="s">
        <v>287</v>
      </c>
      <c r="AP15" s="11" t="s">
        <v>287</v>
      </c>
      <c r="AQ15" s="11" t="s">
        <v>287</v>
      </c>
      <c r="AR15" s="11" t="s">
        <v>287</v>
      </c>
      <c r="AS15" s="11" t="s">
        <v>287</v>
      </c>
      <c r="AT15" s="11" t="s">
        <v>287</v>
      </c>
      <c r="AU15" s="11" t="s">
        <v>287</v>
      </c>
      <c r="AV15" s="11" t="s">
        <v>287</v>
      </c>
      <c r="AW15" s="11" t="s">
        <v>287</v>
      </c>
      <c r="AX15" s="11" t="s">
        <v>287</v>
      </c>
      <c r="AY15" s="11" t="s">
        <v>287</v>
      </c>
      <c r="AZ15" s="11" t="s">
        <v>287</v>
      </c>
      <c r="BA15" s="11" t="s">
        <v>287</v>
      </c>
      <c r="BB15" s="11" t="s">
        <v>287</v>
      </c>
      <c r="BC15" s="11" t="s">
        <v>287</v>
      </c>
      <c r="BD15" s="11" t="s">
        <v>287</v>
      </c>
      <c r="BE15" s="11" t="s">
        <v>287</v>
      </c>
      <c r="BF15" s="11" t="s">
        <v>287</v>
      </c>
      <c r="BG15" s="11" t="s">
        <v>287</v>
      </c>
      <c r="BH15" s="11" t="s">
        <v>287</v>
      </c>
      <c r="BI15" s="11" t="s">
        <v>287</v>
      </c>
      <c r="BJ15" s="11" t="s">
        <v>287</v>
      </c>
      <c r="BK15" s="11" t="s">
        <v>287</v>
      </c>
      <c r="BL15" s="11" t="s">
        <v>287</v>
      </c>
      <c r="BM15" s="30">
        <v>50</v>
      </c>
      <c r="BN15" s="30">
        <v>8</v>
      </c>
      <c r="BO15" s="98">
        <v>0.15</v>
      </c>
      <c r="BP15" s="98">
        <v>0.6</v>
      </c>
      <c r="BQ15" s="98">
        <v>0.24</v>
      </c>
      <c r="BR15" s="98">
        <v>0</v>
      </c>
      <c r="BS15" s="11" t="s">
        <v>287</v>
      </c>
      <c r="BT15" s="11" t="s">
        <v>287</v>
      </c>
      <c r="BU15" s="11" t="s">
        <v>287</v>
      </c>
      <c r="BV15" s="11" t="s">
        <v>287</v>
      </c>
      <c r="BW15" s="11" t="s">
        <v>287</v>
      </c>
      <c r="BX15" s="11" t="s">
        <v>287</v>
      </c>
      <c r="BY15" s="11" t="s">
        <v>287</v>
      </c>
      <c r="BZ15" s="11" t="s">
        <v>287</v>
      </c>
      <c r="CA15" s="11" t="s">
        <v>287</v>
      </c>
      <c r="CB15" s="11" t="s">
        <v>287</v>
      </c>
      <c r="CC15" s="11" t="s">
        <v>287</v>
      </c>
      <c r="CD15" s="11" t="s">
        <v>287</v>
      </c>
      <c r="CE15" s="11" t="s">
        <v>287</v>
      </c>
      <c r="CF15" s="11" t="s">
        <v>287</v>
      </c>
      <c r="CG15" s="11" t="s">
        <v>287</v>
      </c>
      <c r="CH15" s="11" t="s">
        <v>287</v>
      </c>
      <c r="CI15" s="11" t="s">
        <v>287</v>
      </c>
      <c r="CJ15" s="11" t="s">
        <v>287</v>
      </c>
      <c r="CK15" s="11" t="s">
        <v>287</v>
      </c>
      <c r="CL15" s="11" t="s">
        <v>287</v>
      </c>
      <c r="CM15" s="11" t="s">
        <v>287</v>
      </c>
      <c r="CN15" s="11" t="s">
        <v>287</v>
      </c>
      <c r="CO15" s="11" t="s">
        <v>287</v>
      </c>
      <c r="CP15" s="11" t="s">
        <v>287</v>
      </c>
      <c r="CQ15" s="11" t="s">
        <v>287</v>
      </c>
      <c r="CR15" s="11" t="s">
        <v>287</v>
      </c>
      <c r="CS15" s="30">
        <v>48</v>
      </c>
      <c r="CT15" s="30">
        <v>9</v>
      </c>
      <c r="CU15" s="65">
        <v>0.18</v>
      </c>
      <c r="CV15" s="65">
        <v>0.61</v>
      </c>
      <c r="CW15" s="65">
        <v>0.2</v>
      </c>
      <c r="CX15" s="65">
        <v>0.01</v>
      </c>
      <c r="CY15" s="11" t="s">
        <v>287</v>
      </c>
      <c r="CZ15" s="11" t="s">
        <v>287</v>
      </c>
      <c r="DA15" s="11" t="s">
        <v>287</v>
      </c>
      <c r="DB15" s="11" t="s">
        <v>287</v>
      </c>
      <c r="DC15" s="11" t="s">
        <v>287</v>
      </c>
      <c r="DD15" s="11" t="s">
        <v>287</v>
      </c>
      <c r="DE15" s="11" t="s">
        <v>287</v>
      </c>
      <c r="DF15" s="11" t="s">
        <v>287</v>
      </c>
      <c r="DG15" s="11" t="s">
        <v>287</v>
      </c>
      <c r="DH15" s="11" t="s">
        <v>287</v>
      </c>
      <c r="DI15" s="11" t="s">
        <v>287</v>
      </c>
      <c r="DJ15" s="11" t="s">
        <v>287</v>
      </c>
      <c r="DK15" s="11" t="s">
        <v>287</v>
      </c>
      <c r="DL15" s="11" t="s">
        <v>287</v>
      </c>
      <c r="DM15" s="11" t="s">
        <v>287</v>
      </c>
      <c r="DN15" s="11" t="s">
        <v>287</v>
      </c>
      <c r="DO15" s="11" t="s">
        <v>287</v>
      </c>
      <c r="DP15" s="11" t="s">
        <v>287</v>
      </c>
      <c r="DQ15" s="11" t="s">
        <v>287</v>
      </c>
      <c r="DR15" s="11" t="s">
        <v>287</v>
      </c>
      <c r="DS15" s="11" t="s">
        <v>287</v>
      </c>
      <c r="DT15" s="11" t="s">
        <v>287</v>
      </c>
      <c r="DU15" s="11" t="s">
        <v>287</v>
      </c>
      <c r="DV15" s="11" t="s">
        <v>287</v>
      </c>
      <c r="DW15" s="11" t="s">
        <v>287</v>
      </c>
      <c r="DX15" s="90">
        <v>48</v>
      </c>
      <c r="DY15" s="90">
        <v>9</v>
      </c>
      <c r="DZ15" s="89">
        <v>0.21</v>
      </c>
      <c r="EA15" s="89">
        <v>0.59</v>
      </c>
      <c r="EB15" s="89">
        <v>0.19</v>
      </c>
      <c r="EC15" s="89">
        <v>0</v>
      </c>
      <c r="ED15" s="11" t="s">
        <v>287</v>
      </c>
      <c r="EE15" s="11" t="s">
        <v>287</v>
      </c>
      <c r="EF15" s="11" t="s">
        <v>287</v>
      </c>
      <c r="EG15" s="11" t="s">
        <v>287</v>
      </c>
      <c r="EH15" s="11" t="s">
        <v>287</v>
      </c>
      <c r="EI15" s="11" t="s">
        <v>287</v>
      </c>
      <c r="EJ15" s="11" t="s">
        <v>287</v>
      </c>
      <c r="EK15" s="11" t="s">
        <v>287</v>
      </c>
      <c r="EL15" s="11" t="s">
        <v>287</v>
      </c>
      <c r="EM15" s="11" t="s">
        <v>287</v>
      </c>
      <c r="EN15" s="11" t="s">
        <v>287</v>
      </c>
      <c r="EO15" s="11" t="s">
        <v>287</v>
      </c>
      <c r="EP15" s="11" t="s">
        <v>287</v>
      </c>
      <c r="EQ15" s="11" t="s">
        <v>287</v>
      </c>
      <c r="ER15" s="11" t="s">
        <v>287</v>
      </c>
      <c r="ES15" s="11" t="s">
        <v>287</v>
      </c>
      <c r="ET15" s="11" t="s">
        <v>287</v>
      </c>
      <c r="EU15" s="11" t="s">
        <v>287</v>
      </c>
      <c r="EV15" s="11" t="s">
        <v>287</v>
      </c>
      <c r="EW15" s="11" t="s">
        <v>287</v>
      </c>
      <c r="EX15" s="11" t="s">
        <v>287</v>
      </c>
      <c r="EY15" s="11" t="s">
        <v>287</v>
      </c>
      <c r="EZ15" s="11" t="s">
        <v>287</v>
      </c>
      <c r="FA15" s="11" t="s">
        <v>287</v>
      </c>
      <c r="FB15" s="347">
        <v>47</v>
      </c>
      <c r="FC15" s="343" t="s">
        <v>910</v>
      </c>
      <c r="FD15" s="347">
        <v>8</v>
      </c>
      <c r="FE15" s="343" t="s">
        <v>910</v>
      </c>
      <c r="FF15" s="370">
        <v>0.2</v>
      </c>
      <c r="FG15" s="370">
        <v>0.64</v>
      </c>
      <c r="FH15" s="370">
        <v>0.15</v>
      </c>
      <c r="FI15" s="370">
        <v>0</v>
      </c>
      <c r="FJ15" s="343" t="s">
        <v>287</v>
      </c>
      <c r="FK15" s="343" t="s">
        <v>287</v>
      </c>
      <c r="FL15" s="343" t="s">
        <v>287</v>
      </c>
      <c r="FM15" s="343" t="s">
        <v>287</v>
      </c>
      <c r="FN15" s="343" t="s">
        <v>287</v>
      </c>
      <c r="FO15" s="343" t="s">
        <v>287</v>
      </c>
      <c r="FP15" s="343" t="s">
        <v>287</v>
      </c>
      <c r="FQ15" s="343" t="s">
        <v>287</v>
      </c>
      <c r="FR15" s="343" t="s">
        <v>287</v>
      </c>
      <c r="FS15" s="343" t="s">
        <v>287</v>
      </c>
      <c r="FT15" s="343" t="s">
        <v>287</v>
      </c>
      <c r="FU15" s="343" t="s">
        <v>287</v>
      </c>
      <c r="FV15" s="343" t="s">
        <v>287</v>
      </c>
      <c r="FW15" s="343" t="s">
        <v>287</v>
      </c>
      <c r="FX15" s="343" t="s">
        <v>287</v>
      </c>
      <c r="FY15" s="343" t="s">
        <v>287</v>
      </c>
      <c r="FZ15" s="343" t="s">
        <v>287</v>
      </c>
      <c r="GA15" s="343" t="s">
        <v>287</v>
      </c>
      <c r="GB15" s="343" t="s">
        <v>287</v>
      </c>
      <c r="GC15" s="343" t="s">
        <v>287</v>
      </c>
      <c r="GD15" s="343" t="s">
        <v>287</v>
      </c>
      <c r="GE15" s="343" t="s">
        <v>287</v>
      </c>
      <c r="GF15" s="343" t="s">
        <v>287</v>
      </c>
      <c r="GG15" s="343" t="s">
        <v>287</v>
      </c>
      <c r="GH15" s="343" t="s">
        <v>287</v>
      </c>
      <c r="GI15" s="343" t="s">
        <v>287</v>
      </c>
      <c r="GJ15" s="480">
        <v>48</v>
      </c>
      <c r="GK15" s="483" t="s">
        <v>910</v>
      </c>
      <c r="GL15" s="480">
        <v>9</v>
      </c>
      <c r="GM15" s="483" t="s">
        <v>910</v>
      </c>
      <c r="GN15" s="426">
        <v>0.2</v>
      </c>
      <c r="GO15" s="426">
        <v>0.59</v>
      </c>
      <c r="GP15" s="426">
        <v>0.2</v>
      </c>
      <c r="GQ15" s="426">
        <v>0.01</v>
      </c>
      <c r="GR15" s="483" t="s">
        <v>287</v>
      </c>
      <c r="GS15" s="483" t="s">
        <v>287</v>
      </c>
      <c r="GT15" s="483" t="s">
        <v>287</v>
      </c>
      <c r="GU15" s="483" t="s">
        <v>287</v>
      </c>
      <c r="GV15" s="483" t="s">
        <v>287</v>
      </c>
      <c r="GW15" s="483" t="s">
        <v>287</v>
      </c>
      <c r="GX15" s="483" t="s">
        <v>287</v>
      </c>
      <c r="GY15" s="483" t="s">
        <v>287</v>
      </c>
      <c r="GZ15" s="483" t="s">
        <v>287</v>
      </c>
      <c r="HA15" s="483" t="s">
        <v>287</v>
      </c>
      <c r="HB15" s="483" t="s">
        <v>287</v>
      </c>
      <c r="HC15" s="483" t="s">
        <v>287</v>
      </c>
      <c r="HD15" s="483" t="s">
        <v>287</v>
      </c>
      <c r="HE15" s="483" t="s">
        <v>287</v>
      </c>
      <c r="HF15" s="483" t="s">
        <v>287</v>
      </c>
      <c r="HG15" s="483" t="s">
        <v>287</v>
      </c>
      <c r="HH15" s="483" t="s">
        <v>287</v>
      </c>
      <c r="HI15" s="483" t="s">
        <v>287</v>
      </c>
      <c r="HJ15" s="483" t="s">
        <v>287</v>
      </c>
      <c r="HK15" s="483" t="s">
        <v>287</v>
      </c>
      <c r="HL15" s="483" t="s">
        <v>287</v>
      </c>
      <c r="HM15" s="483" t="s">
        <v>287</v>
      </c>
      <c r="HN15" s="483" t="s">
        <v>287</v>
      </c>
      <c r="HO15" s="483" t="s">
        <v>287</v>
      </c>
      <c r="HP15" s="483" t="s">
        <v>287</v>
      </c>
      <c r="HQ15" s="483" t="s">
        <v>287</v>
      </c>
      <c r="HR15" s="628">
        <v>49</v>
      </c>
      <c r="HS15" s="639" t="s">
        <v>910</v>
      </c>
      <c r="HT15" s="628">
        <v>9</v>
      </c>
      <c r="HU15" s="639" t="s">
        <v>910</v>
      </c>
      <c r="HV15" s="643">
        <v>0.17</v>
      </c>
      <c r="HW15" s="643">
        <v>0.6</v>
      </c>
      <c r="HX15" s="643">
        <v>0.22</v>
      </c>
      <c r="HY15" s="643">
        <v>0.01</v>
      </c>
      <c r="HZ15" s="639" t="s">
        <v>287</v>
      </c>
      <c r="IA15" s="639" t="s">
        <v>287</v>
      </c>
      <c r="IB15" s="639" t="s">
        <v>287</v>
      </c>
      <c r="IC15" s="639" t="s">
        <v>287</v>
      </c>
      <c r="ID15" s="639" t="s">
        <v>287</v>
      </c>
      <c r="IE15" s="639" t="s">
        <v>287</v>
      </c>
      <c r="IF15" s="639" t="s">
        <v>287</v>
      </c>
      <c r="IG15" s="639" t="s">
        <v>287</v>
      </c>
      <c r="IH15" s="639" t="s">
        <v>287</v>
      </c>
      <c r="II15" s="639" t="s">
        <v>287</v>
      </c>
      <c r="IJ15" s="639" t="s">
        <v>287</v>
      </c>
      <c r="IK15" s="639" t="s">
        <v>287</v>
      </c>
      <c r="IL15" s="639" t="s">
        <v>287</v>
      </c>
      <c r="IM15" s="639" t="s">
        <v>287</v>
      </c>
      <c r="IN15" s="639" t="s">
        <v>287</v>
      </c>
      <c r="IO15" s="639" t="s">
        <v>287</v>
      </c>
      <c r="IP15" s="639" t="s">
        <v>287</v>
      </c>
      <c r="IQ15" s="639" t="s">
        <v>287</v>
      </c>
      <c r="IR15" s="639" t="s">
        <v>287</v>
      </c>
      <c r="IS15" s="639" t="s">
        <v>287</v>
      </c>
      <c r="IT15" s="639" t="s">
        <v>287</v>
      </c>
      <c r="IU15" s="639" t="s">
        <v>287</v>
      </c>
      <c r="IV15" s="639" t="s">
        <v>287</v>
      </c>
      <c r="IW15" s="639" t="s">
        <v>287</v>
      </c>
      <c r="IX15" s="639" t="s">
        <v>287</v>
      </c>
      <c r="IY15" s="639" t="s">
        <v>287</v>
      </c>
    </row>
    <row r="16" spans="1:322" ht="24.9" customHeight="1" x14ac:dyDescent="0.25">
      <c r="A16" s="187" t="s">
        <v>16</v>
      </c>
      <c r="B16" s="6"/>
      <c r="C16" s="6"/>
      <c r="D16" s="30">
        <v>55</v>
      </c>
      <c r="E16" s="30">
        <v>8</v>
      </c>
      <c r="F16" s="98">
        <v>0.04</v>
      </c>
      <c r="G16" s="98">
        <v>0.51</v>
      </c>
      <c r="H16" s="98">
        <v>0.44</v>
      </c>
      <c r="I16" s="98">
        <v>0.01</v>
      </c>
      <c r="J16" s="11" t="s">
        <v>287</v>
      </c>
      <c r="K16" s="11" t="s">
        <v>287</v>
      </c>
      <c r="L16" s="11" t="s">
        <v>287</v>
      </c>
      <c r="M16" s="94" t="s">
        <v>287</v>
      </c>
      <c r="N16" s="94" t="s">
        <v>287</v>
      </c>
      <c r="O16" s="94" t="s">
        <v>287</v>
      </c>
      <c r="P16" s="94" t="s">
        <v>287</v>
      </c>
      <c r="Q16" s="94" t="s">
        <v>287</v>
      </c>
      <c r="R16" s="94" t="s">
        <v>287</v>
      </c>
      <c r="S16" s="94" t="s">
        <v>287</v>
      </c>
      <c r="T16" s="94" t="s">
        <v>287</v>
      </c>
      <c r="U16" s="94" t="s">
        <v>287</v>
      </c>
      <c r="V16" s="94" t="s">
        <v>287</v>
      </c>
      <c r="W16" s="94" t="s">
        <v>287</v>
      </c>
      <c r="X16" s="94" t="s">
        <v>287</v>
      </c>
      <c r="Y16" s="94" t="s">
        <v>287</v>
      </c>
      <c r="Z16" s="94" t="s">
        <v>287</v>
      </c>
      <c r="AA16" s="94" t="s">
        <v>287</v>
      </c>
      <c r="AB16" s="94" t="s">
        <v>287</v>
      </c>
      <c r="AC16" s="94" t="s">
        <v>287</v>
      </c>
      <c r="AD16" s="94" t="s">
        <v>287</v>
      </c>
      <c r="AE16" s="94" t="s">
        <v>287</v>
      </c>
      <c r="AF16" s="94" t="s">
        <v>287</v>
      </c>
      <c r="AG16" s="94" t="s">
        <v>287</v>
      </c>
      <c r="AH16" s="30">
        <v>54</v>
      </c>
      <c r="AI16" s="30">
        <v>8</v>
      </c>
      <c r="AJ16" s="86">
        <v>0.06</v>
      </c>
      <c r="AK16" s="86">
        <v>0.5</v>
      </c>
      <c r="AL16" s="86">
        <v>0.43</v>
      </c>
      <c r="AM16" s="86">
        <v>0.01</v>
      </c>
      <c r="AN16" s="11" t="s">
        <v>287</v>
      </c>
      <c r="AO16" s="11" t="s">
        <v>287</v>
      </c>
      <c r="AP16" s="11" t="s">
        <v>287</v>
      </c>
      <c r="AQ16" s="11" t="s">
        <v>287</v>
      </c>
      <c r="AR16" s="11" t="s">
        <v>287</v>
      </c>
      <c r="AS16" s="11" t="s">
        <v>287</v>
      </c>
      <c r="AT16" s="11" t="s">
        <v>287</v>
      </c>
      <c r="AU16" s="11" t="s">
        <v>287</v>
      </c>
      <c r="AV16" s="11" t="s">
        <v>287</v>
      </c>
      <c r="AW16" s="11" t="s">
        <v>287</v>
      </c>
      <c r="AX16" s="11" t="s">
        <v>287</v>
      </c>
      <c r="AY16" s="11" t="s">
        <v>287</v>
      </c>
      <c r="AZ16" s="11" t="s">
        <v>287</v>
      </c>
      <c r="BA16" s="11" t="s">
        <v>287</v>
      </c>
      <c r="BB16" s="11" t="s">
        <v>287</v>
      </c>
      <c r="BC16" s="11" t="s">
        <v>287</v>
      </c>
      <c r="BD16" s="11" t="s">
        <v>287</v>
      </c>
      <c r="BE16" s="11" t="s">
        <v>287</v>
      </c>
      <c r="BF16" s="11" t="s">
        <v>287</v>
      </c>
      <c r="BG16" s="11" t="s">
        <v>287</v>
      </c>
      <c r="BH16" s="11" t="s">
        <v>287</v>
      </c>
      <c r="BI16" s="11" t="s">
        <v>287</v>
      </c>
      <c r="BJ16" s="11" t="s">
        <v>287</v>
      </c>
      <c r="BK16" s="11" t="s">
        <v>287</v>
      </c>
      <c r="BL16" s="11" t="s">
        <v>287</v>
      </c>
      <c r="BM16" s="30">
        <v>52</v>
      </c>
      <c r="BN16" s="30">
        <v>9</v>
      </c>
      <c r="BO16" s="98">
        <v>0.09</v>
      </c>
      <c r="BP16" s="98">
        <v>0.55000000000000004</v>
      </c>
      <c r="BQ16" s="98">
        <v>0.35</v>
      </c>
      <c r="BR16" s="98">
        <v>0.01</v>
      </c>
      <c r="BS16" s="11" t="s">
        <v>287</v>
      </c>
      <c r="BT16" s="11" t="s">
        <v>287</v>
      </c>
      <c r="BU16" s="11" t="s">
        <v>287</v>
      </c>
      <c r="BV16" s="11" t="s">
        <v>287</v>
      </c>
      <c r="BW16" s="11" t="s">
        <v>287</v>
      </c>
      <c r="BX16" s="11" t="s">
        <v>287</v>
      </c>
      <c r="BY16" s="11" t="s">
        <v>287</v>
      </c>
      <c r="BZ16" s="11" t="s">
        <v>287</v>
      </c>
      <c r="CA16" s="11" t="s">
        <v>287</v>
      </c>
      <c r="CB16" s="11" t="s">
        <v>287</v>
      </c>
      <c r="CC16" s="11" t="s">
        <v>287</v>
      </c>
      <c r="CD16" s="11" t="s">
        <v>287</v>
      </c>
      <c r="CE16" s="11" t="s">
        <v>287</v>
      </c>
      <c r="CF16" s="11" t="s">
        <v>287</v>
      </c>
      <c r="CG16" s="11" t="s">
        <v>287</v>
      </c>
      <c r="CH16" s="11" t="s">
        <v>287</v>
      </c>
      <c r="CI16" s="11" t="s">
        <v>287</v>
      </c>
      <c r="CJ16" s="11" t="s">
        <v>287</v>
      </c>
      <c r="CK16" s="11" t="s">
        <v>287</v>
      </c>
      <c r="CL16" s="11" t="s">
        <v>287</v>
      </c>
      <c r="CM16" s="11" t="s">
        <v>287</v>
      </c>
      <c r="CN16" s="11" t="s">
        <v>287</v>
      </c>
      <c r="CO16" s="11" t="s">
        <v>287</v>
      </c>
      <c r="CP16" s="11" t="s">
        <v>287</v>
      </c>
      <c r="CQ16" s="11" t="s">
        <v>287</v>
      </c>
      <c r="CR16" s="11" t="s">
        <v>287</v>
      </c>
      <c r="CS16" s="30">
        <v>51</v>
      </c>
      <c r="CT16" s="30">
        <v>9</v>
      </c>
      <c r="CU16" s="65">
        <v>0.11</v>
      </c>
      <c r="CV16" s="65">
        <v>0.59</v>
      </c>
      <c r="CW16" s="65">
        <v>0.28999999999999998</v>
      </c>
      <c r="CX16" s="65">
        <v>0.01</v>
      </c>
      <c r="CY16" s="11" t="s">
        <v>287</v>
      </c>
      <c r="CZ16" s="11" t="s">
        <v>287</v>
      </c>
      <c r="DA16" s="11" t="s">
        <v>287</v>
      </c>
      <c r="DB16" s="11" t="s">
        <v>287</v>
      </c>
      <c r="DC16" s="11" t="s">
        <v>287</v>
      </c>
      <c r="DD16" s="11" t="s">
        <v>287</v>
      </c>
      <c r="DE16" s="11" t="s">
        <v>287</v>
      </c>
      <c r="DF16" s="11" t="s">
        <v>287</v>
      </c>
      <c r="DG16" s="11" t="s">
        <v>287</v>
      </c>
      <c r="DH16" s="11" t="s">
        <v>287</v>
      </c>
      <c r="DI16" s="11" t="s">
        <v>287</v>
      </c>
      <c r="DJ16" s="11" t="s">
        <v>287</v>
      </c>
      <c r="DK16" s="11" t="s">
        <v>287</v>
      </c>
      <c r="DL16" s="11" t="s">
        <v>287</v>
      </c>
      <c r="DM16" s="11" t="s">
        <v>287</v>
      </c>
      <c r="DN16" s="11" t="s">
        <v>287</v>
      </c>
      <c r="DO16" s="11" t="s">
        <v>287</v>
      </c>
      <c r="DP16" s="11" t="s">
        <v>287</v>
      </c>
      <c r="DQ16" s="11" t="s">
        <v>287</v>
      </c>
      <c r="DR16" s="11" t="s">
        <v>287</v>
      </c>
      <c r="DS16" s="11" t="s">
        <v>287</v>
      </c>
      <c r="DT16" s="11" t="s">
        <v>287</v>
      </c>
      <c r="DU16" s="11" t="s">
        <v>287</v>
      </c>
      <c r="DV16" s="11" t="s">
        <v>287</v>
      </c>
      <c r="DW16" s="11" t="s">
        <v>287</v>
      </c>
      <c r="DX16" s="90">
        <v>51</v>
      </c>
      <c r="DY16" s="90">
        <v>9</v>
      </c>
      <c r="DZ16" s="89">
        <v>0.14000000000000001</v>
      </c>
      <c r="EA16" s="89">
        <v>0.54</v>
      </c>
      <c r="EB16" s="89">
        <v>0.3</v>
      </c>
      <c r="EC16" s="89">
        <v>0.01</v>
      </c>
      <c r="ED16" s="11" t="s">
        <v>287</v>
      </c>
      <c r="EE16" s="11" t="s">
        <v>287</v>
      </c>
      <c r="EF16" s="11" t="s">
        <v>287</v>
      </c>
      <c r="EG16" s="11" t="s">
        <v>287</v>
      </c>
      <c r="EH16" s="11" t="s">
        <v>287</v>
      </c>
      <c r="EI16" s="11" t="s">
        <v>287</v>
      </c>
      <c r="EJ16" s="11" t="s">
        <v>287</v>
      </c>
      <c r="EK16" s="11" t="s">
        <v>287</v>
      </c>
      <c r="EL16" s="11" t="s">
        <v>287</v>
      </c>
      <c r="EM16" s="11" t="s">
        <v>287</v>
      </c>
      <c r="EN16" s="11" t="s">
        <v>287</v>
      </c>
      <c r="EO16" s="11" t="s">
        <v>287</v>
      </c>
      <c r="EP16" s="11" t="s">
        <v>287</v>
      </c>
      <c r="EQ16" s="11" t="s">
        <v>287</v>
      </c>
      <c r="ER16" s="11" t="s">
        <v>287</v>
      </c>
      <c r="ES16" s="11" t="s">
        <v>287</v>
      </c>
      <c r="ET16" s="11" t="s">
        <v>287</v>
      </c>
      <c r="EU16" s="11" t="s">
        <v>287</v>
      </c>
      <c r="EV16" s="11" t="s">
        <v>287</v>
      </c>
      <c r="EW16" s="11" t="s">
        <v>287</v>
      </c>
      <c r="EX16" s="11" t="s">
        <v>287</v>
      </c>
      <c r="EY16" s="11" t="s">
        <v>287</v>
      </c>
      <c r="EZ16" s="11" t="s">
        <v>287</v>
      </c>
      <c r="FA16" s="11" t="s">
        <v>287</v>
      </c>
      <c r="FB16" s="347">
        <v>51</v>
      </c>
      <c r="FC16" s="343" t="s">
        <v>910</v>
      </c>
      <c r="FD16" s="347">
        <v>9</v>
      </c>
      <c r="FE16" s="343" t="s">
        <v>910</v>
      </c>
      <c r="FF16" s="370">
        <v>0.12</v>
      </c>
      <c r="FG16" s="370">
        <v>0.59</v>
      </c>
      <c r="FH16" s="370">
        <v>0.28000000000000003</v>
      </c>
      <c r="FI16" s="370">
        <v>0.01</v>
      </c>
      <c r="FJ16" s="343" t="s">
        <v>287</v>
      </c>
      <c r="FK16" s="343" t="s">
        <v>287</v>
      </c>
      <c r="FL16" s="343" t="s">
        <v>287</v>
      </c>
      <c r="FM16" s="343" t="s">
        <v>287</v>
      </c>
      <c r="FN16" s="343" t="s">
        <v>287</v>
      </c>
      <c r="FO16" s="343" t="s">
        <v>287</v>
      </c>
      <c r="FP16" s="343" t="s">
        <v>287</v>
      </c>
      <c r="FQ16" s="343" t="s">
        <v>287</v>
      </c>
      <c r="FR16" s="343" t="s">
        <v>287</v>
      </c>
      <c r="FS16" s="343" t="s">
        <v>287</v>
      </c>
      <c r="FT16" s="343" t="s">
        <v>287</v>
      </c>
      <c r="FU16" s="343" t="s">
        <v>287</v>
      </c>
      <c r="FV16" s="343" t="s">
        <v>287</v>
      </c>
      <c r="FW16" s="343" t="s">
        <v>287</v>
      </c>
      <c r="FX16" s="343" t="s">
        <v>287</v>
      </c>
      <c r="FY16" s="343" t="s">
        <v>287</v>
      </c>
      <c r="FZ16" s="343" t="s">
        <v>287</v>
      </c>
      <c r="GA16" s="343" t="s">
        <v>287</v>
      </c>
      <c r="GB16" s="343" t="s">
        <v>287</v>
      </c>
      <c r="GC16" s="343" t="s">
        <v>287</v>
      </c>
      <c r="GD16" s="343" t="s">
        <v>287</v>
      </c>
      <c r="GE16" s="343" t="s">
        <v>287</v>
      </c>
      <c r="GF16" s="343" t="s">
        <v>287</v>
      </c>
      <c r="GG16" s="343" t="s">
        <v>287</v>
      </c>
      <c r="GH16" s="343" t="s">
        <v>287</v>
      </c>
      <c r="GI16" s="343" t="s">
        <v>287</v>
      </c>
      <c r="GJ16" s="480">
        <v>52</v>
      </c>
      <c r="GK16" s="483" t="s">
        <v>910</v>
      </c>
      <c r="GL16" s="480">
        <v>9</v>
      </c>
      <c r="GM16" s="483" t="s">
        <v>910</v>
      </c>
      <c r="GN16" s="426">
        <v>0.12</v>
      </c>
      <c r="GO16" s="426">
        <v>0.53</v>
      </c>
      <c r="GP16" s="426">
        <v>0.33</v>
      </c>
      <c r="GQ16" s="426">
        <v>0.02</v>
      </c>
      <c r="GR16" s="483" t="s">
        <v>287</v>
      </c>
      <c r="GS16" s="483" t="s">
        <v>287</v>
      </c>
      <c r="GT16" s="483" t="s">
        <v>287</v>
      </c>
      <c r="GU16" s="483" t="s">
        <v>287</v>
      </c>
      <c r="GV16" s="483" t="s">
        <v>287</v>
      </c>
      <c r="GW16" s="483" t="s">
        <v>287</v>
      </c>
      <c r="GX16" s="483" t="s">
        <v>287</v>
      </c>
      <c r="GY16" s="483" t="s">
        <v>287</v>
      </c>
      <c r="GZ16" s="483" t="s">
        <v>287</v>
      </c>
      <c r="HA16" s="483" t="s">
        <v>287</v>
      </c>
      <c r="HB16" s="483" t="s">
        <v>287</v>
      </c>
      <c r="HC16" s="483" t="s">
        <v>287</v>
      </c>
      <c r="HD16" s="483" t="s">
        <v>287</v>
      </c>
      <c r="HE16" s="483" t="s">
        <v>287</v>
      </c>
      <c r="HF16" s="483" t="s">
        <v>287</v>
      </c>
      <c r="HG16" s="483" t="s">
        <v>287</v>
      </c>
      <c r="HH16" s="483" t="s">
        <v>287</v>
      </c>
      <c r="HI16" s="483" t="s">
        <v>287</v>
      </c>
      <c r="HJ16" s="483" t="s">
        <v>287</v>
      </c>
      <c r="HK16" s="483" t="s">
        <v>287</v>
      </c>
      <c r="HL16" s="483" t="s">
        <v>287</v>
      </c>
      <c r="HM16" s="483" t="s">
        <v>287</v>
      </c>
      <c r="HN16" s="483" t="s">
        <v>287</v>
      </c>
      <c r="HO16" s="483" t="s">
        <v>287</v>
      </c>
      <c r="HP16" s="483" t="s">
        <v>287</v>
      </c>
      <c r="HQ16" s="483" t="s">
        <v>287</v>
      </c>
      <c r="HR16" s="628">
        <v>53</v>
      </c>
      <c r="HS16" s="639" t="s">
        <v>910</v>
      </c>
      <c r="HT16" s="628">
        <v>9</v>
      </c>
      <c r="HU16" s="639" t="s">
        <v>910</v>
      </c>
      <c r="HV16" s="643">
        <v>0.1</v>
      </c>
      <c r="HW16" s="643">
        <v>0.51</v>
      </c>
      <c r="HX16" s="643">
        <v>0.37</v>
      </c>
      <c r="HY16" s="643">
        <v>0.02</v>
      </c>
      <c r="HZ16" s="639" t="s">
        <v>287</v>
      </c>
      <c r="IA16" s="639" t="s">
        <v>287</v>
      </c>
      <c r="IB16" s="639" t="s">
        <v>287</v>
      </c>
      <c r="IC16" s="639" t="s">
        <v>287</v>
      </c>
      <c r="ID16" s="639" t="s">
        <v>287</v>
      </c>
      <c r="IE16" s="639" t="s">
        <v>287</v>
      </c>
      <c r="IF16" s="639" t="s">
        <v>287</v>
      </c>
      <c r="IG16" s="639" t="s">
        <v>287</v>
      </c>
      <c r="IH16" s="639" t="s">
        <v>287</v>
      </c>
      <c r="II16" s="639" t="s">
        <v>287</v>
      </c>
      <c r="IJ16" s="639" t="s">
        <v>287</v>
      </c>
      <c r="IK16" s="639" t="s">
        <v>287</v>
      </c>
      <c r="IL16" s="639" t="s">
        <v>287</v>
      </c>
      <c r="IM16" s="639" t="s">
        <v>287</v>
      </c>
      <c r="IN16" s="639" t="s">
        <v>287</v>
      </c>
      <c r="IO16" s="639" t="s">
        <v>287</v>
      </c>
      <c r="IP16" s="639" t="s">
        <v>287</v>
      </c>
      <c r="IQ16" s="639" t="s">
        <v>287</v>
      </c>
      <c r="IR16" s="639" t="s">
        <v>287</v>
      </c>
      <c r="IS16" s="639" t="s">
        <v>287</v>
      </c>
      <c r="IT16" s="639" t="s">
        <v>287</v>
      </c>
      <c r="IU16" s="639" t="s">
        <v>287</v>
      </c>
      <c r="IV16" s="639" t="s">
        <v>287</v>
      </c>
      <c r="IW16" s="639" t="s">
        <v>287</v>
      </c>
      <c r="IX16" s="639" t="s">
        <v>287</v>
      </c>
      <c r="IY16" s="639" t="s">
        <v>287</v>
      </c>
    </row>
    <row r="17" spans="1:259" s="461" customFormat="1" ht="24.9" customHeight="1" x14ac:dyDescent="0.25">
      <c r="A17" s="427" t="s">
        <v>17</v>
      </c>
      <c r="B17" s="427"/>
      <c r="C17" s="427"/>
      <c r="D17" s="495"/>
      <c r="E17" s="495"/>
      <c r="F17" s="499"/>
      <c r="G17" s="499"/>
      <c r="H17" s="499"/>
      <c r="I17" s="499"/>
      <c r="J17" s="483"/>
      <c r="K17" s="483"/>
      <c r="L17" s="483"/>
      <c r="M17" s="486"/>
      <c r="N17" s="486"/>
      <c r="O17" s="486"/>
      <c r="P17" s="486"/>
      <c r="Q17" s="486"/>
      <c r="R17" s="486"/>
      <c r="S17" s="486"/>
      <c r="T17" s="486"/>
      <c r="U17" s="486"/>
      <c r="V17" s="486"/>
      <c r="W17" s="486"/>
      <c r="X17" s="486"/>
      <c r="Y17" s="486"/>
      <c r="Z17" s="486"/>
      <c r="AA17" s="486"/>
      <c r="AB17" s="486"/>
      <c r="AC17" s="486"/>
      <c r="AD17" s="486"/>
      <c r="AE17" s="486"/>
      <c r="AF17" s="486"/>
      <c r="AG17" s="486"/>
      <c r="AH17" s="495"/>
      <c r="AI17" s="495"/>
      <c r="AJ17" s="510"/>
      <c r="AK17" s="510"/>
      <c r="AL17" s="510"/>
      <c r="AM17" s="510"/>
      <c r="AN17" s="483"/>
      <c r="AO17" s="483"/>
      <c r="AP17" s="483"/>
      <c r="AQ17" s="483"/>
      <c r="AR17" s="483"/>
      <c r="AS17" s="483"/>
      <c r="AT17" s="483"/>
      <c r="AU17" s="483"/>
      <c r="AV17" s="483"/>
      <c r="AW17" s="483"/>
      <c r="AX17" s="483"/>
      <c r="AY17" s="483"/>
      <c r="AZ17" s="483"/>
      <c r="BA17" s="483"/>
      <c r="BB17" s="483"/>
      <c r="BC17" s="483"/>
      <c r="BD17" s="483"/>
      <c r="BE17" s="483"/>
      <c r="BF17" s="483"/>
      <c r="BG17" s="483"/>
      <c r="BH17" s="483"/>
      <c r="BI17" s="483"/>
      <c r="BJ17" s="483"/>
      <c r="BK17" s="483"/>
      <c r="BL17" s="483"/>
      <c r="BM17" s="495"/>
      <c r="BN17" s="495"/>
      <c r="BO17" s="499"/>
      <c r="BP17" s="499"/>
      <c r="BQ17" s="499"/>
      <c r="BR17" s="499"/>
      <c r="BS17" s="483"/>
      <c r="BT17" s="483"/>
      <c r="BU17" s="483"/>
      <c r="BV17" s="483"/>
      <c r="BW17" s="483"/>
      <c r="BX17" s="483"/>
      <c r="BY17" s="483"/>
      <c r="BZ17" s="483"/>
      <c r="CA17" s="483"/>
      <c r="CB17" s="483"/>
      <c r="CC17" s="483"/>
      <c r="CD17" s="483"/>
      <c r="CE17" s="483"/>
      <c r="CF17" s="483"/>
      <c r="CG17" s="483"/>
      <c r="CH17" s="483"/>
      <c r="CI17" s="483"/>
      <c r="CJ17" s="483"/>
      <c r="CK17" s="483"/>
      <c r="CL17" s="483"/>
      <c r="CM17" s="483"/>
      <c r="CN17" s="483"/>
      <c r="CO17" s="483"/>
      <c r="CP17" s="483"/>
      <c r="CQ17" s="483"/>
      <c r="CR17" s="483"/>
      <c r="CS17" s="495"/>
      <c r="CT17" s="495"/>
      <c r="CU17" s="426"/>
      <c r="CV17" s="426"/>
      <c r="CW17" s="426"/>
      <c r="CX17" s="426"/>
      <c r="CY17" s="483"/>
      <c r="CZ17" s="483"/>
      <c r="DA17" s="483"/>
      <c r="DB17" s="483"/>
      <c r="DC17" s="483"/>
      <c r="DD17" s="483"/>
      <c r="DE17" s="483"/>
      <c r="DF17" s="483"/>
      <c r="DG17" s="483"/>
      <c r="DH17" s="483"/>
      <c r="DI17" s="483"/>
      <c r="DJ17" s="483"/>
      <c r="DK17" s="483"/>
      <c r="DL17" s="483"/>
      <c r="DM17" s="483"/>
      <c r="DN17" s="483"/>
      <c r="DO17" s="483"/>
      <c r="DP17" s="483"/>
      <c r="DQ17" s="483"/>
      <c r="DR17" s="483"/>
      <c r="DS17" s="483"/>
      <c r="DT17" s="483"/>
      <c r="DU17" s="483"/>
      <c r="DV17" s="483"/>
      <c r="DW17" s="483"/>
      <c r="DX17" s="498"/>
      <c r="DY17" s="498"/>
      <c r="DZ17" s="497"/>
      <c r="EA17" s="497"/>
      <c r="EB17" s="497"/>
      <c r="EC17" s="497"/>
      <c r="ED17" s="483"/>
      <c r="EE17" s="483"/>
      <c r="EF17" s="483"/>
      <c r="EG17" s="483"/>
      <c r="EH17" s="483"/>
      <c r="EI17" s="483"/>
      <c r="EJ17" s="483"/>
      <c r="EK17" s="483"/>
      <c r="EL17" s="483"/>
      <c r="EM17" s="483"/>
      <c r="EN17" s="483"/>
      <c r="EO17" s="483"/>
      <c r="EP17" s="483"/>
      <c r="EQ17" s="483"/>
      <c r="ER17" s="483"/>
      <c r="ES17" s="483"/>
      <c r="ET17" s="483"/>
      <c r="EU17" s="483"/>
      <c r="EV17" s="483"/>
      <c r="EW17" s="483"/>
      <c r="EX17" s="483"/>
      <c r="EY17" s="483"/>
      <c r="EZ17" s="483"/>
      <c r="FA17" s="483"/>
      <c r="FB17" s="488"/>
      <c r="FC17" s="513"/>
      <c r="FD17" s="488"/>
      <c r="FE17" s="513"/>
      <c r="FF17" s="500"/>
      <c r="FG17" s="500"/>
      <c r="FH17" s="500"/>
      <c r="FI17" s="500"/>
      <c r="FJ17" s="489"/>
      <c r="FK17" s="489"/>
      <c r="FL17" s="489"/>
      <c r="FM17" s="489"/>
      <c r="FN17" s="489"/>
      <c r="FO17" s="489"/>
      <c r="FP17" s="489"/>
      <c r="FQ17" s="489"/>
      <c r="FR17" s="489"/>
      <c r="FS17" s="489"/>
      <c r="FT17" s="489"/>
      <c r="FU17" s="489"/>
      <c r="FV17" s="489"/>
      <c r="FW17" s="489"/>
      <c r="FX17" s="489"/>
      <c r="FY17" s="489"/>
      <c r="FZ17" s="489"/>
      <c r="GA17" s="489"/>
      <c r="GB17" s="489"/>
      <c r="GC17" s="489"/>
      <c r="GD17" s="489"/>
      <c r="GE17" s="489"/>
      <c r="GF17" s="489"/>
      <c r="GG17" s="489"/>
      <c r="GH17" s="489"/>
      <c r="GI17" s="489"/>
      <c r="GJ17" s="480">
        <v>59</v>
      </c>
      <c r="GK17" s="483" t="s">
        <v>911</v>
      </c>
      <c r="GL17" s="480">
        <v>8</v>
      </c>
      <c r="GM17" s="483" t="s">
        <v>910</v>
      </c>
      <c r="GN17" s="426">
        <v>0</v>
      </c>
      <c r="GO17" s="426">
        <v>0.33</v>
      </c>
      <c r="GP17" s="426">
        <v>0.67</v>
      </c>
      <c r="GQ17" s="426">
        <v>0</v>
      </c>
      <c r="GR17" s="483" t="s">
        <v>287</v>
      </c>
      <c r="GS17" s="483" t="s">
        <v>287</v>
      </c>
      <c r="GT17" s="483" t="s">
        <v>287</v>
      </c>
      <c r="GU17" s="483" t="s">
        <v>287</v>
      </c>
      <c r="GV17" s="483" t="s">
        <v>287</v>
      </c>
      <c r="GW17" s="483" t="s">
        <v>287</v>
      </c>
      <c r="GX17" s="483" t="s">
        <v>287</v>
      </c>
      <c r="GY17" s="483" t="s">
        <v>287</v>
      </c>
      <c r="GZ17" s="483" t="s">
        <v>287</v>
      </c>
      <c r="HA17" s="483" t="s">
        <v>287</v>
      </c>
      <c r="HB17" s="483" t="s">
        <v>287</v>
      </c>
      <c r="HC17" s="483" t="s">
        <v>287</v>
      </c>
      <c r="HD17" s="483" t="s">
        <v>287</v>
      </c>
      <c r="HE17" s="483" t="s">
        <v>287</v>
      </c>
      <c r="HF17" s="483" t="s">
        <v>287</v>
      </c>
      <c r="HG17" s="483" t="s">
        <v>287</v>
      </c>
      <c r="HH17" s="483" t="s">
        <v>287</v>
      </c>
      <c r="HI17" s="483" t="s">
        <v>287</v>
      </c>
      <c r="HJ17" s="483" t="s">
        <v>287</v>
      </c>
      <c r="HK17" s="483" t="s">
        <v>287</v>
      </c>
      <c r="HL17" s="483" t="s">
        <v>287</v>
      </c>
      <c r="HM17" s="483" t="s">
        <v>287</v>
      </c>
      <c r="HN17" s="483" t="s">
        <v>287</v>
      </c>
      <c r="HO17" s="483" t="s">
        <v>287</v>
      </c>
      <c r="HP17" s="483" t="s">
        <v>287</v>
      </c>
      <c r="HQ17" s="483" t="s">
        <v>287</v>
      </c>
    </row>
    <row r="18" spans="1:259" s="267" customFormat="1" ht="24.9" customHeight="1" x14ac:dyDescent="0.25">
      <c r="A18" s="283" t="s">
        <v>246</v>
      </c>
      <c r="B18" s="6"/>
      <c r="C18" s="6"/>
      <c r="D18" s="192">
        <f>AVERAGEIF($C$36:$C$167,"=1",D$36:D$167)</f>
        <v>53.176470588235297</v>
      </c>
      <c r="E18" s="192">
        <f>AVERAGEIF($C$36:$C$167,"=1",E$36:E$167)</f>
        <v>6.7647058823529411</v>
      </c>
      <c r="F18" s="65">
        <f>AVERAGEIF($C$36:$C$167,"=1",F$36:F$167)</f>
        <v>5.1764705882352963E-2</v>
      </c>
      <c r="G18" s="65">
        <f t="shared" ref="G18:AG18" si="25">AVERAGEIF($C$36:$C$167,"=1",G$36:G$167)</f>
        <v>0.59176470588235297</v>
      </c>
      <c r="H18" s="65">
        <f t="shared" si="25"/>
        <v>0.35235294117647054</v>
      </c>
      <c r="I18" s="65">
        <f t="shared" si="25"/>
        <v>3.529411764705882E-3</v>
      </c>
      <c r="J18" s="65">
        <f t="shared" si="25"/>
        <v>0.41941176470588237</v>
      </c>
      <c r="K18" s="65">
        <f t="shared" si="25"/>
        <v>0.3758823529411765</v>
      </c>
      <c r="L18" s="65">
        <f t="shared" si="25"/>
        <v>0.74470588235294144</v>
      </c>
      <c r="M18" s="65">
        <f t="shared" si="25"/>
        <v>0.23529411764705882</v>
      </c>
      <c r="N18" s="65">
        <f t="shared" si="25"/>
        <v>0.29117647058823526</v>
      </c>
      <c r="O18" s="65">
        <f t="shared" si="25"/>
        <v>0.67647058823529416</v>
      </c>
      <c r="P18" s="65">
        <f t="shared" si="25"/>
        <v>0.35999999999999993</v>
      </c>
      <c r="Q18" s="65">
        <f t="shared" si="25"/>
        <v>0.41764705882352948</v>
      </c>
      <c r="R18" s="65">
        <f t="shared" si="25"/>
        <v>0.54</v>
      </c>
      <c r="S18" s="65">
        <f t="shared" si="25"/>
        <v>0.64058823529411757</v>
      </c>
      <c r="T18" s="65">
        <f t="shared" si="25"/>
        <v>0.45529411764705885</v>
      </c>
      <c r="U18" s="65">
        <f t="shared" si="25"/>
        <v>0.63058823529411767</v>
      </c>
      <c r="V18" s="65">
        <f t="shared" si="25"/>
        <v>7.1176470588235313E-2</v>
      </c>
      <c r="W18" s="65">
        <f t="shared" si="25"/>
        <v>0.14823529411764705</v>
      </c>
      <c r="X18" s="65">
        <f t="shared" si="25"/>
        <v>0.49294117647058816</v>
      </c>
      <c r="Y18" s="65">
        <f t="shared" si="25"/>
        <v>0.51117647058823523</v>
      </c>
      <c r="Z18" s="65">
        <f t="shared" si="25"/>
        <v>0.7857142857142857</v>
      </c>
      <c r="AA18" s="65">
        <f t="shared" si="25"/>
        <v>0.11352941176470589</v>
      </c>
      <c r="AB18" s="65">
        <f t="shared" si="25"/>
        <v>0.45882352941176463</v>
      </c>
      <c r="AC18" s="65">
        <f t="shared" si="25"/>
        <v>0.23705882352941177</v>
      </c>
      <c r="AD18" s="65">
        <f t="shared" si="25"/>
        <v>0.49</v>
      </c>
      <c r="AE18" s="65">
        <f t="shared" si="25"/>
        <v>0.4264705882352941</v>
      </c>
      <c r="AF18" s="65">
        <f t="shared" si="25"/>
        <v>0.52647058823529402</v>
      </c>
      <c r="AG18" s="65">
        <f t="shared" si="25"/>
        <v>0.53705882352941181</v>
      </c>
      <c r="AH18" s="192">
        <f>AVERAGEIF($C$36:$C$167,"=1",AH$36:AH$167)</f>
        <v>52.625</v>
      </c>
      <c r="AI18" s="192">
        <f>AVERAGEIF($C$36:$C$167,"=1",AI$36:AI$167)</f>
        <v>7.375</v>
      </c>
      <c r="AJ18" s="65">
        <f>AVERAGEIF($C$36:$C$167,"=1",AJ$36:AJ$167)</f>
        <v>6.5000000000000016E-2</v>
      </c>
      <c r="AK18" s="65">
        <f t="shared" ref="AK18:BL18" si="26">AVERAGEIF($C$36:$C$167,"=1",AK$36:AK$167)</f>
        <v>0.55312500000000009</v>
      </c>
      <c r="AL18" s="65">
        <f t="shared" si="26"/>
        <v>0.375</v>
      </c>
      <c r="AM18" s="65">
        <f t="shared" si="26"/>
        <v>6.875E-3</v>
      </c>
      <c r="AN18" s="65">
        <f t="shared" si="26"/>
        <v>0.23562500000000003</v>
      </c>
      <c r="AO18" s="65">
        <f t="shared" si="26"/>
        <v>0.43500000000000005</v>
      </c>
      <c r="AP18" s="65">
        <f t="shared" si="26"/>
        <v>0.5824999999999998</v>
      </c>
      <c r="AQ18" s="65">
        <f t="shared" si="26"/>
        <v>0.39687499999999998</v>
      </c>
      <c r="AR18" s="65">
        <f t="shared" si="26"/>
        <v>0.59062500000000007</v>
      </c>
      <c r="AS18" s="65">
        <f t="shared" si="26"/>
        <v>0.52749999999999997</v>
      </c>
      <c r="AT18" s="65">
        <f t="shared" si="26"/>
        <v>0.47874999999999995</v>
      </c>
      <c r="AU18" s="65">
        <f t="shared" si="26"/>
        <v>0.49250000000000005</v>
      </c>
      <c r="AV18" s="65">
        <f t="shared" si="26"/>
        <v>0.58875</v>
      </c>
      <c r="AW18" s="65">
        <f t="shared" si="26"/>
        <v>0.450625</v>
      </c>
      <c r="AX18" s="65">
        <f t="shared" si="26"/>
        <v>0.56937500000000008</v>
      </c>
      <c r="AY18" s="65">
        <f t="shared" si="26"/>
        <v>0.30312500000000003</v>
      </c>
      <c r="AZ18" s="65">
        <f t="shared" si="26"/>
        <v>0.26187499999999997</v>
      </c>
      <c r="BA18" s="65">
        <f t="shared" si="26"/>
        <v>0.47125</v>
      </c>
      <c r="BB18" s="65">
        <f t="shared" si="26"/>
        <v>0.67125000000000001</v>
      </c>
      <c r="BC18" s="65">
        <f t="shared" si="26"/>
        <v>0.645625</v>
      </c>
      <c r="BD18" s="65">
        <f t="shared" si="26"/>
        <v>0.38812499999999989</v>
      </c>
      <c r="BE18" s="65">
        <f t="shared" si="26"/>
        <v>0.50250000000000006</v>
      </c>
      <c r="BF18" s="65">
        <f t="shared" si="26"/>
        <v>0.59187499999999993</v>
      </c>
      <c r="BG18" s="65">
        <f t="shared" si="26"/>
        <v>0.50562499999999999</v>
      </c>
      <c r="BH18" s="65">
        <f t="shared" si="26"/>
        <v>0.41499999999999998</v>
      </c>
      <c r="BI18" s="65">
        <f t="shared" si="26"/>
        <v>0.37812499999999999</v>
      </c>
      <c r="BJ18" s="65">
        <f t="shared" si="26"/>
        <v>0.33124999999999993</v>
      </c>
      <c r="BK18" s="65">
        <f t="shared" si="26"/>
        <v>0.44562499999999999</v>
      </c>
      <c r="BL18" s="65">
        <f t="shared" si="26"/>
        <v>0.44500000000000001</v>
      </c>
      <c r="BM18" s="192">
        <f>AVERAGEIF($C$36:$C$167,"=1",BM$36:BM$167)</f>
        <v>50.764705882352942</v>
      </c>
      <c r="BN18" s="192">
        <f>AVERAGEIF($C$36:$C$167,"=1",BN$36:BN$167)</f>
        <v>7.6470588235294121</v>
      </c>
      <c r="BO18" s="65">
        <f>AVERAGEIF($C$36:$C$167,"=1",BO$36:BO$167)</f>
        <v>9.8235294117647087E-2</v>
      </c>
      <c r="BP18" s="65">
        <f t="shared" ref="BP18:CR18" si="27">AVERAGEIF($C$36:$C$167,"=1",BP$36:BP$167)</f>
        <v>0.61823529411764711</v>
      </c>
      <c r="BQ18" s="65">
        <f t="shared" si="27"/>
        <v>0.27705882352941175</v>
      </c>
      <c r="BR18" s="65">
        <f t="shared" si="27"/>
        <v>8.2352941176470577E-3</v>
      </c>
      <c r="BS18" s="65">
        <f t="shared" si="27"/>
        <v>0.34352941176470592</v>
      </c>
      <c r="BT18" s="65">
        <f t="shared" si="27"/>
        <v>0.51882352941176479</v>
      </c>
      <c r="BU18" s="65">
        <f t="shared" si="27"/>
        <v>0.60588235294117643</v>
      </c>
      <c r="BV18" s="65">
        <f t="shared" si="27"/>
        <v>0.30647058823529411</v>
      </c>
      <c r="BW18" s="65">
        <f t="shared" si="27"/>
        <v>0.62470588235294122</v>
      </c>
      <c r="BX18" s="65">
        <f t="shared" si="27"/>
        <v>0.36058823529411754</v>
      </c>
      <c r="BY18" s="65">
        <f t="shared" si="27"/>
        <v>0.4611764705882353</v>
      </c>
      <c r="BZ18" s="65">
        <f t="shared" si="27"/>
        <v>0.5252941176470588</v>
      </c>
      <c r="CA18" s="65">
        <f t="shared" si="27"/>
        <v>0.42882352941176466</v>
      </c>
      <c r="CB18" s="65">
        <f t="shared" si="27"/>
        <v>0.3582352941176471</v>
      </c>
      <c r="CC18" s="65">
        <f t="shared" si="27"/>
        <v>0.15470588235294117</v>
      </c>
      <c r="CD18" s="65">
        <f t="shared" si="27"/>
        <v>0.39764705882352941</v>
      </c>
      <c r="CE18" s="65">
        <f t="shared" si="27"/>
        <v>0.34882352941176475</v>
      </c>
      <c r="CF18" s="65">
        <f t="shared" si="27"/>
        <v>0.6147058823529411</v>
      </c>
      <c r="CG18" s="65">
        <f t="shared" si="27"/>
        <v>0.60705882352941176</v>
      </c>
      <c r="CH18" s="65">
        <f t="shared" si="27"/>
        <v>0.43823529411764711</v>
      </c>
      <c r="CI18" s="65">
        <f t="shared" si="27"/>
        <v>0.56882352941176473</v>
      </c>
      <c r="CJ18" s="65">
        <f t="shared" si="27"/>
        <v>0.35823529411764704</v>
      </c>
      <c r="CK18" s="65">
        <f t="shared" si="27"/>
        <v>0.68352941176470572</v>
      </c>
      <c r="CL18" s="65">
        <f t="shared" si="27"/>
        <v>0.33058823529411768</v>
      </c>
      <c r="CM18" s="65">
        <f t="shared" si="27"/>
        <v>0.4611764705882353</v>
      </c>
      <c r="CN18" s="65">
        <f t="shared" si="27"/>
        <v>0.4864705882352941</v>
      </c>
      <c r="CO18" s="65">
        <f t="shared" si="27"/>
        <v>0.4341176470588235</v>
      </c>
      <c r="CP18" s="65">
        <f t="shared" si="27"/>
        <v>0.36117647058823527</v>
      </c>
      <c r="CQ18" s="65">
        <f t="shared" si="27"/>
        <v>0.54705882352941182</v>
      </c>
      <c r="CR18" s="65">
        <f t="shared" si="27"/>
        <v>0.53411764705882359</v>
      </c>
      <c r="CS18" s="192">
        <f>AVERAGEIF($C$36:$C$167,"=1",CS$36:CS$167)</f>
        <v>49.470588235294116</v>
      </c>
      <c r="CT18" s="192">
        <f>AVERAGEIF($C$36:$C$167,"=1",CT$36:CT$167)</f>
        <v>8</v>
      </c>
      <c r="CU18" s="65">
        <f>AVERAGEIF($C$36:$C$167,"=1",CU$36:CU$167)</f>
        <v>0.15117647058823527</v>
      </c>
      <c r="CV18" s="65">
        <f t="shared" ref="CV18:DW18" si="28">AVERAGEIF($C$36:$C$167,"=1",CV$36:CV$167)</f>
        <v>0.61882352941176466</v>
      </c>
      <c r="CW18" s="65">
        <f t="shared" si="28"/>
        <v>0.2205882352941177</v>
      </c>
      <c r="CX18" s="65">
        <f t="shared" si="28"/>
        <v>9.9999999999999985E-3</v>
      </c>
      <c r="CY18" s="65">
        <f t="shared" si="28"/>
        <v>0.51941176470588224</v>
      </c>
      <c r="CZ18" s="65">
        <f t="shared" si="28"/>
        <v>0.29941176470588238</v>
      </c>
      <c r="DA18" s="65">
        <f t="shared" si="28"/>
        <v>0.5594117647058825</v>
      </c>
      <c r="DB18" s="65">
        <f t="shared" si="28"/>
        <v>0.3664705882352941</v>
      </c>
      <c r="DC18" s="65">
        <f t="shared" si="28"/>
        <v>0.43882352941176467</v>
      </c>
      <c r="DD18" s="65">
        <f t="shared" si="28"/>
        <v>0.62999999999999989</v>
      </c>
      <c r="DE18" s="65">
        <f t="shared" si="28"/>
        <v>0.50705882352941167</v>
      </c>
      <c r="DF18" s="65">
        <f t="shared" si="28"/>
        <v>0.54588235294117649</v>
      </c>
      <c r="DG18" s="65">
        <f t="shared" si="28"/>
        <v>0.46823529411764714</v>
      </c>
      <c r="DH18" s="65">
        <f t="shared" si="28"/>
        <v>0.38235294117647056</v>
      </c>
      <c r="DI18" s="65">
        <f t="shared" si="28"/>
        <v>0.51941176470588246</v>
      </c>
      <c r="DJ18" s="65">
        <f t="shared" si="28"/>
        <v>0.53647058823529414</v>
      </c>
      <c r="DK18" s="65">
        <f t="shared" si="28"/>
        <v>0.4052941176470588</v>
      </c>
      <c r="DL18" s="65">
        <f t="shared" si="28"/>
        <v>0.35588235294117654</v>
      </c>
      <c r="DM18" s="65">
        <f t="shared" si="28"/>
        <v>0.51941176470588235</v>
      </c>
      <c r="DN18" s="65">
        <f t="shared" si="28"/>
        <v>0.52294117647058824</v>
      </c>
      <c r="DO18" s="65">
        <f t="shared" si="28"/>
        <v>0.45</v>
      </c>
      <c r="DP18" s="65">
        <f t="shared" si="28"/>
        <v>0.43705882352941178</v>
      </c>
      <c r="DQ18" s="65">
        <f t="shared" si="28"/>
        <v>0.5641176470588235</v>
      </c>
      <c r="DR18" s="65">
        <f t="shared" si="28"/>
        <v>0.19117647058823531</v>
      </c>
      <c r="DS18" s="65">
        <f t="shared" si="28"/>
        <v>0.37823529411764711</v>
      </c>
      <c r="DT18" s="65">
        <f t="shared" si="28"/>
        <v>0.57058823529411751</v>
      </c>
      <c r="DU18" s="65">
        <f t="shared" si="28"/>
        <v>0.51529411764705868</v>
      </c>
      <c r="DV18" s="65">
        <f t="shared" si="28"/>
        <v>0.59823529411764709</v>
      </c>
      <c r="DW18" s="65">
        <f t="shared" si="28"/>
        <v>0.33352941176470585</v>
      </c>
      <c r="DX18" s="192">
        <f>AVERAGEIF($C$36:$C$167,"=1",DX$36:DX$167)</f>
        <v>49.588235294117645</v>
      </c>
      <c r="DY18" s="192">
        <f>AVERAGEIF($C$36:$C$167,"=1",DY$36:DY$167)</f>
        <v>8.2941176470588243</v>
      </c>
      <c r="DZ18" s="65">
        <f>AVERAGEIF($C$36:$C$167,"=1",DZ$36:DZ$167)</f>
        <v>0.15411764705882353</v>
      </c>
      <c r="EA18" s="65">
        <f t="shared" ref="EA18:FA18" si="29">AVERAGEIF($C$36:$C$167,"=1",EA$36:EA$167)</f>
        <v>0.5776470588235294</v>
      </c>
      <c r="EB18" s="65">
        <f t="shared" si="29"/>
        <v>0.26352941176470585</v>
      </c>
      <c r="EC18" s="65">
        <f t="shared" si="29"/>
        <v>5.8823529411764705E-3</v>
      </c>
      <c r="ED18" s="65">
        <f t="shared" si="29"/>
        <v>0.48529411764705882</v>
      </c>
      <c r="EE18" s="65">
        <f t="shared" si="29"/>
        <v>0.46764705882352942</v>
      </c>
      <c r="EF18" s="65">
        <f t="shared" si="29"/>
        <v>0.46705882352941186</v>
      </c>
      <c r="EG18" s="65">
        <f t="shared" si="29"/>
        <v>0.37705882352941178</v>
      </c>
      <c r="EH18" s="65">
        <f t="shared" si="29"/>
        <v>0.44823529411764712</v>
      </c>
      <c r="EI18" s="65">
        <f t="shared" si="29"/>
        <v>0.48352941176470593</v>
      </c>
      <c r="EJ18" s="65">
        <f t="shared" si="29"/>
        <v>0.60470588235294109</v>
      </c>
      <c r="EK18" s="65">
        <f t="shared" si="29"/>
        <v>0.26823529411764702</v>
      </c>
      <c r="EL18" s="65">
        <f t="shared" si="29"/>
        <v>0.47352941176470592</v>
      </c>
      <c r="EM18" s="65">
        <f t="shared" si="29"/>
        <v>0.63058823529411756</v>
      </c>
      <c r="EN18" s="65">
        <f t="shared" si="29"/>
        <v>0.41176470588235298</v>
      </c>
      <c r="EO18" s="65">
        <f t="shared" si="29"/>
        <v>0.53823529411764692</v>
      </c>
      <c r="EP18" s="65">
        <f t="shared" si="29"/>
        <v>0.39058823529411762</v>
      </c>
      <c r="EQ18" s="65">
        <f t="shared" si="29"/>
        <v>0.30411764705882355</v>
      </c>
      <c r="ER18" s="65">
        <f t="shared" si="29"/>
        <v>0.58058823529411752</v>
      </c>
      <c r="ES18" s="65">
        <f t="shared" si="29"/>
        <v>0.48705882352941171</v>
      </c>
      <c r="ET18" s="65">
        <f t="shared" si="29"/>
        <v>0.33823529411764713</v>
      </c>
      <c r="EU18" s="65">
        <f t="shared" si="29"/>
        <v>0.62058823529411766</v>
      </c>
      <c r="EV18" s="65">
        <f t="shared" si="29"/>
        <v>0.43647058823529405</v>
      </c>
      <c r="EW18" s="65">
        <f t="shared" si="29"/>
        <v>0.32647058823529412</v>
      </c>
      <c r="EX18" s="65">
        <f t="shared" si="29"/>
        <v>0.63705882352941168</v>
      </c>
      <c r="EY18" s="65">
        <f t="shared" si="29"/>
        <v>0.60529411764705876</v>
      </c>
      <c r="EZ18" s="65">
        <f t="shared" si="29"/>
        <v>0.24764705882352941</v>
      </c>
      <c r="FA18" s="65">
        <f t="shared" si="29"/>
        <v>0.59764705882352942</v>
      </c>
      <c r="FB18" s="192">
        <f>AVERAGEIF($C$36:$C$167,"=1",FB$36:FB$167)</f>
        <v>49.705882352941174</v>
      </c>
      <c r="FC18" s="336"/>
      <c r="FD18" s="192">
        <f>AVERAGEIF($C$36:$C$167,"=1",FD$36:FD$167)</f>
        <v>7.7647058823529411</v>
      </c>
      <c r="FE18" s="336"/>
      <c r="FF18" s="65">
        <f>AVERAGEIF($C$36:$C$167,"=1",FF$36:FF$167)</f>
        <v>0.13058823529411764</v>
      </c>
      <c r="FG18" s="65">
        <f t="shared" ref="FG18:GI18" si="30">AVERAGEIF($C$36:$C$167,"=1",FG$36:FG$167)</f>
        <v>0.621764705882353</v>
      </c>
      <c r="FH18" s="65">
        <f t="shared" si="30"/>
        <v>0.24176470588235291</v>
      </c>
      <c r="FI18" s="65">
        <f t="shared" si="30"/>
        <v>7.6470588235294122E-3</v>
      </c>
      <c r="FJ18" s="65">
        <f t="shared" si="30"/>
        <v>0.45352941176470585</v>
      </c>
      <c r="FK18" s="65">
        <f t="shared" si="30"/>
        <v>0.6382352941176469</v>
      </c>
      <c r="FL18" s="65">
        <f t="shared" si="30"/>
        <v>0.48176470588235293</v>
      </c>
      <c r="FM18" s="65">
        <f t="shared" si="30"/>
        <v>0.41529411764705892</v>
      </c>
      <c r="FN18" s="65">
        <f t="shared" si="30"/>
        <v>0.25647058823529412</v>
      </c>
      <c r="FO18" s="65">
        <f t="shared" si="30"/>
        <v>0.31529411764705884</v>
      </c>
      <c r="FP18" s="65">
        <f t="shared" si="30"/>
        <v>0.3917647058823529</v>
      </c>
      <c r="FQ18" s="65">
        <f t="shared" si="30"/>
        <v>0.41941176470588237</v>
      </c>
      <c r="FR18" s="65">
        <f t="shared" si="30"/>
        <v>0.57882352941176485</v>
      </c>
      <c r="FS18" s="65">
        <f t="shared" si="30"/>
        <v>0.49705882352941172</v>
      </c>
      <c r="FT18" s="65">
        <f t="shared" si="30"/>
        <v>0.52705882352941169</v>
      </c>
      <c r="FU18" s="65">
        <f t="shared" si="30"/>
        <v>0.38529411764705879</v>
      </c>
      <c r="FV18" s="65">
        <f t="shared" si="30"/>
        <v>0.56588235294117639</v>
      </c>
      <c r="FW18" s="65">
        <f t="shared" si="30"/>
        <v>0.57941176470588229</v>
      </c>
      <c r="FX18" s="65">
        <f t="shared" si="30"/>
        <v>0.50058823529411767</v>
      </c>
      <c r="FY18" s="65">
        <f t="shared" si="30"/>
        <v>0.37764705882352939</v>
      </c>
      <c r="FZ18" s="65">
        <f t="shared" si="30"/>
        <v>0.41647058823529415</v>
      </c>
      <c r="GA18" s="65">
        <f t="shared" si="30"/>
        <v>0.47058823529411759</v>
      </c>
      <c r="GB18" s="65">
        <f t="shared" si="30"/>
        <v>0.54058823529411759</v>
      </c>
      <c r="GC18" s="65">
        <f t="shared" si="30"/>
        <v>0.44823529411764701</v>
      </c>
      <c r="GD18" s="65">
        <f t="shared" si="30"/>
        <v>0.6470588235294118</v>
      </c>
      <c r="GE18" s="65">
        <f t="shared" si="30"/>
        <v>0.52411764705882358</v>
      </c>
      <c r="GF18" s="65">
        <f t="shared" si="30"/>
        <v>0.46647058823529408</v>
      </c>
      <c r="GG18" s="65">
        <f t="shared" si="30"/>
        <v>0.47117647058823536</v>
      </c>
      <c r="GH18" s="65">
        <f t="shared" si="30"/>
        <v>0.58352941176470574</v>
      </c>
      <c r="GI18" s="65">
        <f t="shared" si="30"/>
        <v>0.26705882352941179</v>
      </c>
      <c r="GJ18" s="192">
        <f>AVERAGEIF($C$36:$C$167,"=1",GJ$36:GJ$167)</f>
        <v>50.388888888888886</v>
      </c>
      <c r="GL18" s="192">
        <f>AVERAGEIF($C$36:$C$167,"=1",GL$36:GL$167)</f>
        <v>8.6666666666666661</v>
      </c>
      <c r="GN18" s="521">
        <f>AVERAGEIF($C$36:$C$167,"=1",GN$36:GN$167)</f>
        <v>0.15166666666666667</v>
      </c>
      <c r="GO18" s="521">
        <f t="shared" ref="GO18:HQ18" si="31">AVERAGEIF($C$36:$C$167,"=1",GO$36:GO$167)</f>
        <v>0.55388888888888888</v>
      </c>
      <c r="GP18" s="521">
        <f t="shared" si="31"/>
        <v>0.28666666666666674</v>
      </c>
      <c r="GQ18" s="521">
        <f t="shared" si="31"/>
        <v>7.7777777777777767E-3</v>
      </c>
      <c r="GR18" s="521">
        <f t="shared" si="31"/>
        <v>0.47722222222222233</v>
      </c>
      <c r="GS18" s="521">
        <f t="shared" si="31"/>
        <v>0.54833333333333334</v>
      </c>
      <c r="GT18" s="521">
        <f t="shared" si="31"/>
        <v>0.62277777777777787</v>
      </c>
      <c r="GU18" s="521">
        <f t="shared" si="31"/>
        <v>0.22111111111111115</v>
      </c>
      <c r="GV18" s="521">
        <f t="shared" si="31"/>
        <v>0.55444444444444452</v>
      </c>
      <c r="GW18" s="521">
        <f t="shared" si="31"/>
        <v>0.5099999999999999</v>
      </c>
      <c r="GX18" s="521">
        <f t="shared" si="31"/>
        <v>0.4811111111111111</v>
      </c>
      <c r="GY18" s="521" t="e">
        <f t="shared" si="31"/>
        <v>#DIV/0!</v>
      </c>
      <c r="GZ18" s="521">
        <f t="shared" si="31"/>
        <v>0.32444444444444442</v>
      </c>
      <c r="HA18" s="521">
        <f t="shared" si="31"/>
        <v>0.68777777777777782</v>
      </c>
      <c r="HB18" s="521">
        <f t="shared" si="31"/>
        <v>0.47555555555555556</v>
      </c>
      <c r="HC18" s="521">
        <f t="shared" si="31"/>
        <v>0.50888888888888884</v>
      </c>
      <c r="HD18" s="521">
        <f t="shared" si="31"/>
        <v>0.56777777777777783</v>
      </c>
      <c r="HE18" s="521">
        <f t="shared" si="31"/>
        <v>0.47944444444444451</v>
      </c>
      <c r="HF18" s="521">
        <f t="shared" si="31"/>
        <v>0.4794444444444444</v>
      </c>
      <c r="HG18" s="521">
        <f t="shared" si="31"/>
        <v>0.65777777777777779</v>
      </c>
      <c r="HH18" s="521">
        <f t="shared" si="31"/>
        <v>0.38611111111111113</v>
      </c>
      <c r="HI18" s="521">
        <f t="shared" si="31"/>
        <v>0.5361111111111112</v>
      </c>
      <c r="HJ18" s="521">
        <f t="shared" si="31"/>
        <v>0.59555555555555562</v>
      </c>
      <c r="HK18" s="521">
        <f t="shared" si="31"/>
        <v>0.52444444444444438</v>
      </c>
      <c r="HL18" s="521">
        <f t="shared" si="31"/>
        <v>0.39500000000000002</v>
      </c>
      <c r="HM18" s="521">
        <f t="shared" si="31"/>
        <v>0.49722222222222229</v>
      </c>
      <c r="HN18" s="521">
        <f t="shared" si="31"/>
        <v>0.51555555555555566</v>
      </c>
      <c r="HO18" s="521">
        <f t="shared" si="31"/>
        <v>0.43000000000000005</v>
      </c>
      <c r="HP18" s="521" t="e">
        <f>AVERAGEIF($C$36:$C$167,"=1",HP$36:HP$167)</f>
        <v>#DIV/0!</v>
      </c>
      <c r="HQ18" s="521">
        <f t="shared" si="31"/>
        <v>0.41666666666666669</v>
      </c>
      <c r="HR18" s="192">
        <f>AVERAGEIF($C$36:$C$167,"=1",HR$36:HR$167)</f>
        <v>51.411764705882355</v>
      </c>
      <c r="HT18" s="192">
        <f>AVERAGEIF($C$36:$C$167,"=1",HT$36:HT$167)</f>
        <v>8.1764705882352935</v>
      </c>
      <c r="HV18" s="521">
        <f>AVERAGEIF($C$36:$C$167,"=1",HV$36:HV$167)</f>
        <v>0.11352941176470591</v>
      </c>
      <c r="HW18" s="521">
        <f t="shared" ref="HW18:IY18" si="32">AVERAGEIF($C$36:$C$167,"=1",HW$36:HW$167)</f>
        <v>0.57529411764705873</v>
      </c>
      <c r="HX18" s="521">
        <f t="shared" si="32"/>
        <v>0.29647058823529404</v>
      </c>
      <c r="HY18" s="521">
        <f t="shared" si="32"/>
        <v>1.4117647058823528E-2</v>
      </c>
      <c r="HZ18" s="521">
        <f t="shared" si="32"/>
        <v>0.38529411764705879</v>
      </c>
      <c r="IA18" s="521">
        <f t="shared" si="32"/>
        <v>0.52176470588235302</v>
      </c>
      <c r="IB18" s="521">
        <f t="shared" si="32"/>
        <v>0.33882352941176475</v>
      </c>
      <c r="IC18" s="521">
        <f t="shared" si="32"/>
        <v>0.50176470588235289</v>
      </c>
      <c r="ID18" s="521">
        <f t="shared" si="32"/>
        <v>0.61176470588235299</v>
      </c>
      <c r="IE18" s="521">
        <f t="shared" si="32"/>
        <v>0.34058823529411764</v>
      </c>
      <c r="IF18" s="521">
        <f t="shared" si="32"/>
        <v>0.37764705882352934</v>
      </c>
      <c r="IG18" s="521">
        <f t="shared" si="32"/>
        <v>0.57647058823529418</v>
      </c>
      <c r="IH18" s="521">
        <f t="shared" si="32"/>
        <v>0.48882352941176466</v>
      </c>
      <c r="II18" s="521">
        <f t="shared" si="32"/>
        <v>0.2752941176470588</v>
      </c>
      <c r="IJ18" s="521">
        <f t="shared" si="32"/>
        <v>0.25647058823529412</v>
      </c>
      <c r="IK18" s="521">
        <f t="shared" si="32"/>
        <v>0.58882352941176475</v>
      </c>
      <c r="IL18" s="521">
        <f t="shared" si="32"/>
        <v>0.33705882352941174</v>
      </c>
      <c r="IM18" s="521">
        <f t="shared" si="32"/>
        <v>0.57823529411764718</v>
      </c>
      <c r="IN18" s="521">
        <f t="shared" si="32"/>
        <v>0.441764705882353</v>
      </c>
      <c r="IO18" s="521">
        <f t="shared" si="32"/>
        <v>0.52705882352941169</v>
      </c>
      <c r="IP18" s="521">
        <f t="shared" si="32"/>
        <v>0.41764705882352943</v>
      </c>
      <c r="IQ18" s="521">
        <f t="shared" si="32"/>
        <v>0.64235294117647057</v>
      </c>
      <c r="IR18" s="521">
        <f t="shared" si="32"/>
        <v>0.5894117647058823</v>
      </c>
      <c r="IS18" s="521">
        <f t="shared" si="32"/>
        <v>0.52176470588235291</v>
      </c>
      <c r="IT18" s="521">
        <f t="shared" si="32"/>
        <v>0.42176470588235299</v>
      </c>
      <c r="IU18" s="521" t="e">
        <f t="shared" si="32"/>
        <v>#DIV/0!</v>
      </c>
      <c r="IV18" s="521">
        <f t="shared" si="32"/>
        <v>0.61294117647058821</v>
      </c>
      <c r="IW18" s="521">
        <f t="shared" si="32"/>
        <v>0.40411764705882353</v>
      </c>
      <c r="IX18" s="521">
        <f>AVERAGEIF($C$36:$C$167,"=1",IX$36:IX$167)</f>
        <v>0.50470588235294134</v>
      </c>
      <c r="IY18" s="521">
        <f t="shared" si="32"/>
        <v>0.51235294117647068</v>
      </c>
    </row>
    <row r="19" spans="1:259" s="267" customFormat="1" ht="24.9" customHeight="1" x14ac:dyDescent="0.25">
      <c r="A19" s="283" t="s">
        <v>247</v>
      </c>
      <c r="B19" s="6"/>
      <c r="C19" s="6"/>
      <c r="D19" s="192">
        <f>AVERAGEIF($C$36:$C$167,"=2",D$36:D$167)</f>
        <v>54.6</v>
      </c>
      <c r="E19" s="192">
        <f>AVERAGEIF($C$36:$C$167,"=2",E$36:E$167)</f>
        <v>6.95</v>
      </c>
      <c r="F19" s="65">
        <f>AVERAGEIF($C$36:$C$167,"=2",F$36:F$167)</f>
        <v>4.4999999999999998E-2</v>
      </c>
      <c r="G19" s="65">
        <f t="shared" ref="G19:AG19" si="33">AVERAGEIF($C$36:$C$167,"=2",G$36:G$167)</f>
        <v>0.50250000000000006</v>
      </c>
      <c r="H19" s="65">
        <f t="shared" si="33"/>
        <v>0.44749999999999995</v>
      </c>
      <c r="I19" s="65">
        <f t="shared" si="33"/>
        <v>7.000000000000001E-3</v>
      </c>
      <c r="J19" s="65">
        <f t="shared" si="33"/>
        <v>0.36849999999999999</v>
      </c>
      <c r="K19" s="65">
        <f t="shared" si="33"/>
        <v>0.29850000000000004</v>
      </c>
      <c r="L19" s="65">
        <f t="shared" si="33"/>
        <v>0.68600000000000017</v>
      </c>
      <c r="M19" s="65">
        <f t="shared" si="33"/>
        <v>0.20300000000000001</v>
      </c>
      <c r="N19" s="65">
        <f t="shared" si="33"/>
        <v>0.29899999999999999</v>
      </c>
      <c r="O19" s="65">
        <f t="shared" si="33"/>
        <v>0.66299999999999992</v>
      </c>
      <c r="P19" s="65">
        <f t="shared" si="33"/>
        <v>0.3135</v>
      </c>
      <c r="Q19" s="65">
        <f t="shared" si="33"/>
        <v>0.3705</v>
      </c>
      <c r="R19" s="65">
        <f t="shared" si="33"/>
        <v>0.5</v>
      </c>
      <c r="S19" s="65">
        <f t="shared" si="33"/>
        <v>0.5555000000000001</v>
      </c>
      <c r="T19" s="65">
        <f t="shared" si="33"/>
        <v>0.47550000000000009</v>
      </c>
      <c r="U19" s="65">
        <f t="shared" si="33"/>
        <v>0.61650000000000005</v>
      </c>
      <c r="V19" s="65">
        <f t="shared" si="33"/>
        <v>7.9000000000000029E-2</v>
      </c>
      <c r="W19" s="65">
        <f t="shared" si="33"/>
        <v>0.15950000000000003</v>
      </c>
      <c r="X19" s="65">
        <f t="shared" si="33"/>
        <v>0.49099999999999994</v>
      </c>
      <c r="Y19" s="65">
        <f t="shared" si="33"/>
        <v>0.48600000000000004</v>
      </c>
      <c r="Z19" s="65">
        <f t="shared" si="33"/>
        <v>0.7142857142857143</v>
      </c>
      <c r="AA19" s="65">
        <f t="shared" si="33"/>
        <v>9.0999999999999998E-2</v>
      </c>
      <c r="AB19" s="65">
        <f t="shared" si="33"/>
        <v>0.42499999999999999</v>
      </c>
      <c r="AC19" s="65">
        <f t="shared" si="33"/>
        <v>0.23449999999999999</v>
      </c>
      <c r="AD19" s="65">
        <f t="shared" si="33"/>
        <v>0.41400000000000003</v>
      </c>
      <c r="AE19" s="65">
        <f t="shared" si="33"/>
        <v>0.40150000000000008</v>
      </c>
      <c r="AF19" s="65">
        <f t="shared" si="33"/>
        <v>0.47549999999999998</v>
      </c>
      <c r="AG19" s="65">
        <f t="shared" si="33"/>
        <v>0.48550000000000004</v>
      </c>
      <c r="AH19" s="192">
        <f>AVERAGEIF($C$36:$C$167,"=2",AH$36:AH$167)</f>
        <v>52.89473684210526</v>
      </c>
      <c r="AI19" s="192">
        <f>AVERAGEIF($C$36:$C$167,"=2",AI$36:AI$167)</f>
        <v>7.2631578947368425</v>
      </c>
      <c r="AJ19" s="65">
        <f>AVERAGEIF($C$36:$C$167,"=2",AJ$36:AJ$167)</f>
        <v>8.473684210526318E-2</v>
      </c>
      <c r="AK19" s="65">
        <f t="shared" ref="AK19:BL19" si="34">AVERAGEIF($C$36:$C$167,"=2",AK$36:AK$167)</f>
        <v>0.4905263157894737</v>
      </c>
      <c r="AL19" s="65">
        <f t="shared" si="34"/>
        <v>0.41315789473684211</v>
      </c>
      <c r="AM19" s="65">
        <f t="shared" si="34"/>
        <v>1.1578947368421053E-2</v>
      </c>
      <c r="AN19" s="65">
        <f t="shared" si="34"/>
        <v>0.301578947368421</v>
      </c>
      <c r="AO19" s="65">
        <f t="shared" si="34"/>
        <v>0.42052631578947369</v>
      </c>
      <c r="AP19" s="65">
        <f t="shared" si="34"/>
        <v>0.55263157894736847</v>
      </c>
      <c r="AQ19" s="65">
        <f t="shared" si="34"/>
        <v>0.35157894736842099</v>
      </c>
      <c r="AR19" s="65">
        <f t="shared" si="34"/>
        <v>0.5363157894736843</v>
      </c>
      <c r="AS19" s="65">
        <f t="shared" si="34"/>
        <v>0.49894736842105275</v>
      </c>
      <c r="AT19" s="65">
        <f t="shared" si="34"/>
        <v>0.4826315789473683</v>
      </c>
      <c r="AU19" s="65">
        <f t="shared" si="34"/>
        <v>0.52789473684210519</v>
      </c>
      <c r="AV19" s="65">
        <f t="shared" si="34"/>
        <v>0.58736842105263154</v>
      </c>
      <c r="AW19" s="65">
        <f t="shared" si="34"/>
        <v>0.4705555555555555</v>
      </c>
      <c r="AX19" s="65">
        <f t="shared" si="34"/>
        <v>0.52999999999999992</v>
      </c>
      <c r="AY19" s="65">
        <f t="shared" si="34"/>
        <v>0.29789473684210532</v>
      </c>
      <c r="AZ19" s="65">
        <f t="shared" si="34"/>
        <v>0.24315789473684207</v>
      </c>
      <c r="BA19" s="65">
        <f t="shared" si="34"/>
        <v>0.48736842105263156</v>
      </c>
      <c r="BB19" s="65">
        <f t="shared" si="34"/>
        <v>0.62105263157894719</v>
      </c>
      <c r="BC19" s="65">
        <f t="shared" si="34"/>
        <v>0.63473684210526315</v>
      </c>
      <c r="BD19" s="65">
        <f t="shared" si="34"/>
        <v>0.41578947368421054</v>
      </c>
      <c r="BE19" s="65">
        <f t="shared" si="34"/>
        <v>0.54894736842105263</v>
      </c>
      <c r="BF19" s="65">
        <f t="shared" si="34"/>
        <v>0.62999999999999989</v>
      </c>
      <c r="BG19" s="65">
        <f t="shared" si="34"/>
        <v>0.45789473684210524</v>
      </c>
      <c r="BH19" s="65">
        <f t="shared" si="34"/>
        <v>0.42842105263157887</v>
      </c>
      <c r="BI19" s="65">
        <f t="shared" si="34"/>
        <v>0.40526315789473683</v>
      </c>
      <c r="BJ19" s="65">
        <f t="shared" si="34"/>
        <v>0.34473684210526306</v>
      </c>
      <c r="BK19" s="65">
        <f t="shared" si="34"/>
        <v>0.43</v>
      </c>
      <c r="BL19" s="65">
        <f t="shared" si="34"/>
        <v>0.45052631578947383</v>
      </c>
      <c r="BM19" s="192">
        <f>AVERAGEIF($C$36:$C$167,"=2",BM$36:BM$167)</f>
        <v>51.684210526315788</v>
      </c>
      <c r="BN19" s="192">
        <f>AVERAGEIF($C$36:$C$167,"=2",BN$36:BN$167)</f>
        <v>8.1578947368421044</v>
      </c>
      <c r="BO19" s="65">
        <f>AVERAGEIF($C$36:$C$167,"=2",BO$36:BO$167)</f>
        <v>0.10473684210526317</v>
      </c>
      <c r="BP19" s="65">
        <f t="shared" ref="BP19:CR19" si="35">AVERAGEIF($C$36:$C$167,"=2",BP$36:BP$167)</f>
        <v>0.55947368421052635</v>
      </c>
      <c r="BQ19" s="65">
        <f t="shared" si="35"/>
        <v>0.3152631578947368</v>
      </c>
      <c r="BR19" s="65">
        <f t="shared" si="35"/>
        <v>1.9473684210526317E-2</v>
      </c>
      <c r="BS19" s="65">
        <f t="shared" si="35"/>
        <v>0.33368421052631581</v>
      </c>
      <c r="BT19" s="65">
        <f t="shared" si="35"/>
        <v>0.53263157894736823</v>
      </c>
      <c r="BU19" s="65">
        <f t="shared" si="35"/>
        <v>0.64684210526315788</v>
      </c>
      <c r="BV19" s="65">
        <f t="shared" si="35"/>
        <v>0.34052631578947362</v>
      </c>
      <c r="BW19" s="65">
        <f t="shared" si="35"/>
        <v>0.62421052631578944</v>
      </c>
      <c r="BX19" s="65">
        <f t="shared" si="35"/>
        <v>0.3657894736842105</v>
      </c>
      <c r="BY19" s="65">
        <f t="shared" si="35"/>
        <v>0.40894736842105261</v>
      </c>
      <c r="BZ19" s="65">
        <f t="shared" si="35"/>
        <v>0.52421052631578946</v>
      </c>
      <c r="CA19" s="65">
        <f t="shared" si="35"/>
        <v>0.42947368421052634</v>
      </c>
      <c r="CB19" s="65">
        <f t="shared" si="35"/>
        <v>0.3521052631578947</v>
      </c>
      <c r="CC19" s="65">
        <f t="shared" si="35"/>
        <v>0.17315789473684209</v>
      </c>
      <c r="CD19" s="65">
        <f t="shared" si="35"/>
        <v>0.40578947368421053</v>
      </c>
      <c r="CE19" s="65">
        <f t="shared" si="35"/>
        <v>0.32526315789473692</v>
      </c>
      <c r="CF19" s="65">
        <f t="shared" si="35"/>
        <v>0.56105263157894736</v>
      </c>
      <c r="CG19" s="65">
        <f t="shared" si="35"/>
        <v>0.584736842105263</v>
      </c>
      <c r="CH19" s="65">
        <f t="shared" si="35"/>
        <v>0.4431578947368422</v>
      </c>
      <c r="CI19" s="65">
        <f t="shared" si="35"/>
        <v>0.57157894736842108</v>
      </c>
      <c r="CJ19" s="65">
        <f t="shared" si="35"/>
        <v>0.37263157894736848</v>
      </c>
      <c r="CK19" s="65">
        <f t="shared" si="35"/>
        <v>0.66368421052631577</v>
      </c>
      <c r="CL19" s="65">
        <f t="shared" si="35"/>
        <v>0.29421052631578948</v>
      </c>
      <c r="CM19" s="65">
        <f t="shared" si="35"/>
        <v>0.4168421052631579</v>
      </c>
      <c r="CN19" s="65">
        <f t="shared" si="35"/>
        <v>0.44894736842105271</v>
      </c>
      <c r="CO19" s="65">
        <f t="shared" si="35"/>
        <v>0.40631578947368419</v>
      </c>
      <c r="CP19" s="65">
        <f t="shared" si="35"/>
        <v>0.32052631578947366</v>
      </c>
      <c r="CQ19" s="65">
        <f t="shared" si="35"/>
        <v>0.526842105263158</v>
      </c>
      <c r="CR19" s="65">
        <f t="shared" si="35"/>
        <v>0.52421052631578935</v>
      </c>
      <c r="CS19" s="192">
        <f>AVERAGEIF($C$36:$C$167,"=2",CS$36:CS$167)</f>
        <v>51.25</v>
      </c>
      <c r="CT19" s="192">
        <f>AVERAGEIF($C$36:$C$167,"=2",CT$36:CT$167)</f>
        <v>8.0500000000000007</v>
      </c>
      <c r="CU19" s="65">
        <f>AVERAGEIF($C$36:$C$167,"=2",CU$36:CU$167)</f>
        <v>0.13300000000000003</v>
      </c>
      <c r="CV19" s="65">
        <f t="shared" ref="CV19:DW19" si="36">AVERAGEIF($C$36:$C$167,"=2",CV$36:CV$167)</f>
        <v>0.55199999999999982</v>
      </c>
      <c r="CW19" s="65">
        <f t="shared" si="36"/>
        <v>0.30299999999999999</v>
      </c>
      <c r="CX19" s="65">
        <f t="shared" si="36"/>
        <v>0.01</v>
      </c>
      <c r="CY19" s="65">
        <f t="shared" si="36"/>
        <v>0.47150000000000009</v>
      </c>
      <c r="CZ19" s="65">
        <f t="shared" si="36"/>
        <v>0.27349999999999997</v>
      </c>
      <c r="DA19" s="65">
        <f t="shared" si="36"/>
        <v>0.53700000000000014</v>
      </c>
      <c r="DB19" s="65">
        <f t="shared" si="36"/>
        <v>0.31599999999999995</v>
      </c>
      <c r="DC19" s="65">
        <f t="shared" si="36"/>
        <v>0.42750000000000005</v>
      </c>
      <c r="DD19" s="65">
        <f t="shared" si="36"/>
        <v>0.60699999999999998</v>
      </c>
      <c r="DE19" s="65">
        <f t="shared" si="36"/>
        <v>0.43149999999999994</v>
      </c>
      <c r="DF19" s="65">
        <f t="shared" si="36"/>
        <v>0.53500000000000003</v>
      </c>
      <c r="DG19" s="65">
        <f t="shared" si="36"/>
        <v>0.40749999999999992</v>
      </c>
      <c r="DH19" s="65">
        <f t="shared" si="36"/>
        <v>0.34949999999999992</v>
      </c>
      <c r="DI19" s="65">
        <f t="shared" si="36"/>
        <v>0.53700000000000003</v>
      </c>
      <c r="DJ19" s="65">
        <f t="shared" si="36"/>
        <v>0.50900000000000001</v>
      </c>
      <c r="DK19" s="65">
        <f t="shared" si="36"/>
        <v>0.36400000000000005</v>
      </c>
      <c r="DL19" s="65">
        <f t="shared" si="36"/>
        <v>0.2485</v>
      </c>
      <c r="DM19" s="65">
        <f t="shared" si="36"/>
        <v>0.49399999999999994</v>
      </c>
      <c r="DN19" s="65">
        <f t="shared" si="36"/>
        <v>0.45850000000000002</v>
      </c>
      <c r="DO19" s="65">
        <f t="shared" si="36"/>
        <v>0.39199999999999996</v>
      </c>
      <c r="DP19" s="65">
        <f t="shared" si="36"/>
        <v>0.44849999999999995</v>
      </c>
      <c r="DQ19" s="65">
        <f t="shared" si="36"/>
        <v>0.52099999999999991</v>
      </c>
      <c r="DR19" s="65">
        <f t="shared" si="36"/>
        <v>0.16799999999999998</v>
      </c>
      <c r="DS19" s="65">
        <f t="shared" si="36"/>
        <v>0.373</v>
      </c>
      <c r="DT19" s="65">
        <f t="shared" si="36"/>
        <v>0.57199999999999995</v>
      </c>
      <c r="DU19" s="65">
        <f t="shared" si="36"/>
        <v>0.50650000000000006</v>
      </c>
      <c r="DV19" s="65">
        <f t="shared" si="36"/>
        <v>0.5515000000000001</v>
      </c>
      <c r="DW19" s="65">
        <f t="shared" si="36"/>
        <v>0.30299999999999994</v>
      </c>
      <c r="DX19" s="192">
        <f>AVERAGEIF($C$36:$C$167,"=2",DX$36:DX$167)</f>
        <v>49.75</v>
      </c>
      <c r="DY19" s="192">
        <f>AVERAGEIF($C$36:$C$167,"=2",DY$36:DY$167)</f>
        <v>7.208333333333333</v>
      </c>
      <c r="DZ19" s="65">
        <f>AVERAGEIF($C$36:$C$167,"=2",DZ$36:DZ$167)</f>
        <v>0.20625000000000007</v>
      </c>
      <c r="EA19" s="65">
        <f t="shared" ref="EA19:FA19" si="37">AVERAGEIF($C$36:$C$167,"=2",EA$36:EA$167)</f>
        <v>0.51833333333333331</v>
      </c>
      <c r="EB19" s="65">
        <f t="shared" si="37"/>
        <v>0.26083333333333336</v>
      </c>
      <c r="EC19" s="65">
        <f t="shared" si="37"/>
        <v>1.4166666666666668E-2</v>
      </c>
      <c r="ED19" s="65">
        <f t="shared" si="37"/>
        <v>0.49625000000000002</v>
      </c>
      <c r="EE19" s="65">
        <f t="shared" si="37"/>
        <v>0.50750000000000017</v>
      </c>
      <c r="EF19" s="65">
        <f t="shared" si="37"/>
        <v>0.46249999999999997</v>
      </c>
      <c r="EG19" s="65">
        <f t="shared" si="37"/>
        <v>0.26250000000000001</v>
      </c>
      <c r="EH19" s="65">
        <f t="shared" si="37"/>
        <v>0.42416666666666664</v>
      </c>
      <c r="EI19" s="65">
        <f t="shared" si="37"/>
        <v>0.41083333333333333</v>
      </c>
      <c r="EJ19" s="65">
        <f t="shared" si="37"/>
        <v>0.55875000000000008</v>
      </c>
      <c r="EK19" s="65">
        <f t="shared" si="37"/>
        <v>0.30916666666666665</v>
      </c>
      <c r="EL19" s="65">
        <f t="shared" si="37"/>
        <v>0.49208333333333337</v>
      </c>
      <c r="EM19" s="65">
        <f t="shared" si="37"/>
        <v>0.65956521739130425</v>
      </c>
      <c r="EN19" s="65">
        <f t="shared" si="37"/>
        <v>0.41541666666666671</v>
      </c>
      <c r="EO19" s="65">
        <f t="shared" si="37"/>
        <v>0.56916666666666649</v>
      </c>
      <c r="EP19" s="65">
        <f t="shared" si="37"/>
        <v>0.42083333333333334</v>
      </c>
      <c r="EQ19" s="65">
        <f t="shared" si="37"/>
        <v>0.32173913043478264</v>
      </c>
      <c r="ER19" s="65">
        <f t="shared" si="37"/>
        <v>0.61458333333333337</v>
      </c>
      <c r="ES19" s="65">
        <f t="shared" si="37"/>
        <v>0.44791666666666669</v>
      </c>
      <c r="ET19" s="65">
        <f t="shared" si="37"/>
        <v>0.32041666666666674</v>
      </c>
      <c r="EU19" s="65">
        <f t="shared" si="37"/>
        <v>0.62708333333333333</v>
      </c>
      <c r="EV19" s="65">
        <f t="shared" si="37"/>
        <v>0.31714285714285717</v>
      </c>
      <c r="EW19" s="65">
        <f t="shared" si="37"/>
        <v>0.32249999999999995</v>
      </c>
      <c r="EX19" s="65">
        <f t="shared" si="37"/>
        <v>0.64818181818181819</v>
      </c>
      <c r="EY19" s="65">
        <f t="shared" si="37"/>
        <v>0.59041666666666659</v>
      </c>
      <c r="EZ19" s="65">
        <f t="shared" si="37"/>
        <v>0.24913043478260868</v>
      </c>
      <c r="FA19" s="65">
        <f t="shared" si="37"/>
        <v>0.60124999999999995</v>
      </c>
      <c r="FB19" s="192">
        <f>AVERAGEIF($C$36:$C$167,"=2",FB$36:FB$167)</f>
        <v>50.18181818181818</v>
      </c>
      <c r="FC19" s="336"/>
      <c r="FD19" s="192">
        <f>AVERAGEIF($C$36:$C$167,"=2",FD$36:FD$167)</f>
        <v>7.6818181818181817</v>
      </c>
      <c r="FE19" s="336"/>
      <c r="FF19" s="65">
        <f>AVERAGEIF($C$36:$C$167,"=2",FF$36:FF$167)</f>
        <v>0.13272727272727269</v>
      </c>
      <c r="FG19" s="65">
        <f t="shared" ref="FG19:GI19" si="38">AVERAGEIF($C$36:$C$167,"=2",FG$36:FG$167)</f>
        <v>0.58681818181818179</v>
      </c>
      <c r="FH19" s="65">
        <f t="shared" si="38"/>
        <v>0.26954545454545459</v>
      </c>
      <c r="FI19" s="65">
        <f t="shared" si="38"/>
        <v>1.1818181818181818E-2</v>
      </c>
      <c r="FJ19" s="65">
        <f t="shared" si="38"/>
        <v>0.44409090909090909</v>
      </c>
      <c r="FK19" s="65">
        <f t="shared" si="38"/>
        <v>0.63045454545454538</v>
      </c>
      <c r="FL19" s="65">
        <f t="shared" si="38"/>
        <v>0.48681818181818187</v>
      </c>
      <c r="FM19" s="65">
        <f t="shared" si="38"/>
        <v>0.45454545454545447</v>
      </c>
      <c r="FN19" s="65">
        <f t="shared" si="38"/>
        <v>0.27545454545454545</v>
      </c>
      <c r="FO19" s="65">
        <f t="shared" si="38"/>
        <v>0.29227272727272724</v>
      </c>
      <c r="FP19" s="65">
        <f t="shared" si="38"/>
        <v>0.36772727272727274</v>
      </c>
      <c r="FQ19" s="65">
        <f t="shared" si="38"/>
        <v>0.37818181818181812</v>
      </c>
      <c r="FR19" s="65">
        <f t="shared" si="38"/>
        <v>0.5945454545454546</v>
      </c>
      <c r="FS19" s="65">
        <f t="shared" si="38"/>
        <v>0.49636363636363634</v>
      </c>
      <c r="FT19" s="65">
        <f t="shared" si="38"/>
        <v>0.49454545454545468</v>
      </c>
      <c r="FU19" s="65">
        <f t="shared" si="38"/>
        <v>0.3813636363636364</v>
      </c>
      <c r="FV19" s="65">
        <f t="shared" si="38"/>
        <v>0.58045454545454545</v>
      </c>
      <c r="FW19" s="65">
        <f t="shared" si="38"/>
        <v>0.53454545454545455</v>
      </c>
      <c r="FX19" s="65">
        <f t="shared" si="38"/>
        <v>0.48409090909090902</v>
      </c>
      <c r="FY19" s="65">
        <f t="shared" si="38"/>
        <v>0.37409090909090909</v>
      </c>
      <c r="FZ19" s="65">
        <f t="shared" si="38"/>
        <v>0.44045454545454538</v>
      </c>
      <c r="GA19" s="65">
        <f t="shared" si="38"/>
        <v>0.46952380952380957</v>
      </c>
      <c r="GB19" s="65">
        <f t="shared" si="38"/>
        <v>0.48909090909090919</v>
      </c>
      <c r="GC19" s="65">
        <f t="shared" si="38"/>
        <v>0.46045454545454551</v>
      </c>
      <c r="GD19" s="65">
        <f t="shared" si="38"/>
        <v>0.58545454545454556</v>
      </c>
      <c r="GE19" s="65">
        <f t="shared" si="38"/>
        <v>0.4977272727272728</v>
      </c>
      <c r="GF19" s="65">
        <f t="shared" si="38"/>
        <v>0.43954545454545446</v>
      </c>
      <c r="GG19" s="65">
        <f t="shared" si="38"/>
        <v>0.4477272727272727</v>
      </c>
      <c r="GH19" s="65">
        <f t="shared" si="38"/>
        <v>0.55454545454545456</v>
      </c>
      <c r="GI19" s="65">
        <f t="shared" si="38"/>
        <v>0.30500000000000005</v>
      </c>
      <c r="GJ19" s="192">
        <f>AVERAGEIF($C$36:$C$167,"=2",GJ$36:GJ$167)</f>
        <v>51.52</v>
      </c>
      <c r="GL19" s="192">
        <f>AVERAGEIF($C$36:$C$167,"=2",GL$36:GL$167)</f>
        <v>7.88</v>
      </c>
      <c r="GN19" s="521">
        <f>AVERAGEIF($C$36:$C$167,"=2",GN$36:GN$167)</f>
        <v>0.1032</v>
      </c>
      <c r="GO19" s="521">
        <f t="shared" ref="GO19:HQ19" si="39">AVERAGEIF($C$36:$C$167,"=2",GO$36:GO$167)</f>
        <v>0.54000000000000015</v>
      </c>
      <c r="GP19" s="521">
        <f t="shared" si="39"/>
        <v>0.34759999999999996</v>
      </c>
      <c r="GQ19" s="521">
        <f t="shared" si="39"/>
        <v>1.1200000000000002E-2</v>
      </c>
      <c r="GR19" s="521">
        <f t="shared" si="39"/>
        <v>0.48599999999999999</v>
      </c>
      <c r="GS19" s="521">
        <f t="shared" si="39"/>
        <v>0.5252</v>
      </c>
      <c r="GT19" s="521">
        <f t="shared" si="39"/>
        <v>0.624</v>
      </c>
      <c r="GU19" s="521">
        <f t="shared" si="39"/>
        <v>0.18875</v>
      </c>
      <c r="GV19" s="521">
        <f t="shared" si="39"/>
        <v>0.52</v>
      </c>
      <c r="GW19" s="521">
        <f t="shared" si="39"/>
        <v>0.43359999999999999</v>
      </c>
      <c r="GX19" s="521">
        <f t="shared" si="39"/>
        <v>0.44880000000000009</v>
      </c>
      <c r="GY19" s="521" t="e">
        <f t="shared" si="39"/>
        <v>#DIV/0!</v>
      </c>
      <c r="GZ19" s="521">
        <f t="shared" si="39"/>
        <v>0.28160000000000002</v>
      </c>
      <c r="HA19" s="521">
        <f t="shared" si="39"/>
        <v>0.71875</v>
      </c>
      <c r="HB19" s="521">
        <f t="shared" si="39"/>
        <v>0.46000000000000008</v>
      </c>
      <c r="HC19" s="521">
        <f t="shared" si="39"/>
        <v>0.51879999999999993</v>
      </c>
      <c r="HD19" s="521">
        <f t="shared" si="39"/>
        <v>0.54360000000000008</v>
      </c>
      <c r="HE19" s="521">
        <f t="shared" si="39"/>
        <v>0.42959999999999998</v>
      </c>
      <c r="HF19" s="521">
        <f t="shared" si="39"/>
        <v>0.44120000000000004</v>
      </c>
      <c r="HG19" s="521">
        <f t="shared" si="39"/>
        <v>0.63680000000000003</v>
      </c>
      <c r="HH19" s="521">
        <f t="shared" si="39"/>
        <v>0.37880000000000008</v>
      </c>
      <c r="HI19" s="521">
        <f t="shared" si="39"/>
        <v>0.53599999999999992</v>
      </c>
      <c r="HJ19" s="521">
        <f t="shared" si="39"/>
        <v>0.59599999999999997</v>
      </c>
      <c r="HK19" s="521">
        <f t="shared" si="39"/>
        <v>0.51519999999999999</v>
      </c>
      <c r="HL19" s="521">
        <f t="shared" si="39"/>
        <v>0.39560000000000017</v>
      </c>
      <c r="HM19" s="521">
        <f t="shared" si="39"/>
        <v>0.47999999999999993</v>
      </c>
      <c r="HN19" s="521">
        <f t="shared" si="39"/>
        <v>0.48159999999999997</v>
      </c>
      <c r="HO19" s="521">
        <f t="shared" si="39"/>
        <v>0.43600000000000011</v>
      </c>
      <c r="HP19" s="521" t="e">
        <f t="shared" si="39"/>
        <v>#DIV/0!</v>
      </c>
      <c r="HQ19" s="521">
        <f t="shared" si="39"/>
        <v>0.42359999999999998</v>
      </c>
      <c r="HR19" s="192">
        <f>AVERAGEIF($C$36:$C$167,"=2",HR$36:HR$167)</f>
        <v>51.384615384615387</v>
      </c>
      <c r="HT19" s="192">
        <f>AVERAGEIF($C$36:$C$167,"=2",HT$36:HT$167)</f>
        <v>7.8461538461538458</v>
      </c>
      <c r="HV19" s="521">
        <f>AVERAGEIF($C$36:$C$167,"=2",HV$36:HV$167)</f>
        <v>0.13192307692307692</v>
      </c>
      <c r="HW19" s="521">
        <f t="shared" ref="HW19:IY19" si="40">AVERAGEIF($C$36:$C$167,"=2",HW$36:HW$167)</f>
        <v>0.52423076923076928</v>
      </c>
      <c r="HX19" s="521">
        <f t="shared" si="40"/>
        <v>0.32538461538461544</v>
      </c>
      <c r="HY19" s="521">
        <f t="shared" si="40"/>
        <v>2.0384615384615386E-2</v>
      </c>
      <c r="HZ19" s="521">
        <f t="shared" si="40"/>
        <v>0.35230769230769232</v>
      </c>
      <c r="IA19" s="521">
        <f t="shared" si="40"/>
        <v>0.51846153846153853</v>
      </c>
      <c r="IB19" s="521">
        <f t="shared" si="40"/>
        <v>0.27692307692307688</v>
      </c>
      <c r="IC19" s="521">
        <f t="shared" si="40"/>
        <v>0.48153846153846147</v>
      </c>
      <c r="ID19" s="521">
        <f t="shared" si="40"/>
        <v>0.63115384615384618</v>
      </c>
      <c r="IE19" s="521">
        <f t="shared" si="40"/>
        <v>0.32500000000000007</v>
      </c>
      <c r="IF19" s="521">
        <f t="shared" si="40"/>
        <v>0.43730769230769229</v>
      </c>
      <c r="IG19" s="521">
        <f t="shared" si="40"/>
        <v>0.59846153846153849</v>
      </c>
      <c r="IH19" s="521">
        <f t="shared" si="40"/>
        <v>0.51384615384615395</v>
      </c>
      <c r="II19" s="521">
        <f t="shared" si="40"/>
        <v>0.34840000000000004</v>
      </c>
      <c r="IJ19" s="521">
        <f t="shared" si="40"/>
        <v>0.30461538461538462</v>
      </c>
      <c r="IK19" s="521">
        <f t="shared" si="40"/>
        <v>0.58269230769230773</v>
      </c>
      <c r="IL19" s="521">
        <f t="shared" si="40"/>
        <v>0.33307692307692299</v>
      </c>
      <c r="IM19" s="521">
        <f t="shared" si="40"/>
        <v>0.58538461538461539</v>
      </c>
      <c r="IN19" s="521">
        <f t="shared" si="40"/>
        <v>0.4442307692307691</v>
      </c>
      <c r="IO19" s="521">
        <f t="shared" si="40"/>
        <v>0.53576923076923066</v>
      </c>
      <c r="IP19" s="521">
        <f t="shared" si="40"/>
        <v>0.39269230769230773</v>
      </c>
      <c r="IQ19" s="521">
        <f t="shared" si="40"/>
        <v>0.59923076923076946</v>
      </c>
      <c r="IR19" s="521">
        <f t="shared" si="40"/>
        <v>0.57461538461538453</v>
      </c>
      <c r="IS19" s="521">
        <f t="shared" si="40"/>
        <v>0.54961538461538473</v>
      </c>
      <c r="IT19" s="521">
        <f t="shared" si="40"/>
        <v>0.4234615384615385</v>
      </c>
      <c r="IU19" s="521" t="e">
        <f t="shared" si="40"/>
        <v>#DIV/0!</v>
      </c>
      <c r="IV19" s="521">
        <f t="shared" si="40"/>
        <v>0.61846153846153851</v>
      </c>
      <c r="IW19" s="521">
        <f t="shared" si="40"/>
        <v>0.41499999999999998</v>
      </c>
      <c r="IX19" s="521">
        <f t="shared" si="40"/>
        <v>0.50615384615384618</v>
      </c>
      <c r="IY19" s="521">
        <f t="shared" si="40"/>
        <v>0.50192307692307703</v>
      </c>
    </row>
    <row r="20" spans="1:259" s="267" customFormat="1" ht="24.9" customHeight="1" x14ac:dyDescent="0.25">
      <c r="A20" s="283" t="s">
        <v>248</v>
      </c>
      <c r="B20" s="6"/>
      <c r="C20" s="6"/>
      <c r="D20" s="192">
        <f>AVERAGEIF($C$36:$C$167,"=3",D$36:D$167)</f>
        <v>54.833333333333336</v>
      </c>
      <c r="E20" s="192">
        <f>AVERAGEIF($C$36:$C$167,"=3",E$36:E$167)</f>
        <v>7.117647058823529</v>
      </c>
      <c r="F20" s="65">
        <f>AVERAGEIF($C$36:$C$167,"=3",F$36:F$167)</f>
        <v>3.8333333333333344E-2</v>
      </c>
      <c r="G20" s="65">
        <f t="shared" ref="G20:AG20" si="41">AVERAGEIF($C$36:$C$167,"=3",G$36:G$167)</f>
        <v>0.51777777777777767</v>
      </c>
      <c r="H20" s="65">
        <f t="shared" si="41"/>
        <v>0.43777777777777782</v>
      </c>
      <c r="I20" s="65">
        <f t="shared" si="41"/>
        <v>6.6666666666666662E-3</v>
      </c>
      <c r="J20" s="65">
        <f t="shared" si="41"/>
        <v>0.35055555555555551</v>
      </c>
      <c r="K20" s="65">
        <f t="shared" si="41"/>
        <v>0.33666666666666667</v>
      </c>
      <c r="L20" s="65">
        <f t="shared" si="41"/>
        <v>0.71888888888888891</v>
      </c>
      <c r="M20" s="65">
        <f t="shared" si="41"/>
        <v>0.19444444444444445</v>
      </c>
      <c r="N20" s="65">
        <f t="shared" si="41"/>
        <v>0.27333333333333337</v>
      </c>
      <c r="O20" s="65">
        <f t="shared" si="41"/>
        <v>0.6661111111111111</v>
      </c>
      <c r="P20" s="65">
        <f t="shared" si="41"/>
        <v>0.31499999999999995</v>
      </c>
      <c r="Q20" s="65">
        <f t="shared" si="41"/>
        <v>0.39111111111111113</v>
      </c>
      <c r="R20" s="65">
        <f t="shared" si="41"/>
        <v>0.48388888888888881</v>
      </c>
      <c r="S20" s="65">
        <f t="shared" si="41"/>
        <v>0.59055555555555539</v>
      </c>
      <c r="T20" s="65">
        <f t="shared" si="41"/>
        <v>0.44666666666666671</v>
      </c>
      <c r="U20" s="65">
        <f t="shared" si="41"/>
        <v>0.568888888888889</v>
      </c>
      <c r="V20" s="65">
        <f t="shared" si="41"/>
        <v>5.7222222222222223E-2</v>
      </c>
      <c r="W20" s="65">
        <f t="shared" si="41"/>
        <v>0.14166666666666666</v>
      </c>
      <c r="X20" s="65">
        <f t="shared" si="41"/>
        <v>0.48722222222222228</v>
      </c>
      <c r="Y20" s="65">
        <f t="shared" si="41"/>
        <v>0.45222222222222225</v>
      </c>
      <c r="Z20" s="65">
        <f t="shared" si="41"/>
        <v>0.90111111111111108</v>
      </c>
      <c r="AA20" s="65">
        <f t="shared" si="41"/>
        <v>0.1138888888888889</v>
      </c>
      <c r="AB20" s="65">
        <f t="shared" si="41"/>
        <v>0.44444444444444442</v>
      </c>
      <c r="AC20" s="65">
        <f t="shared" si="41"/>
        <v>0.22388888888888894</v>
      </c>
      <c r="AD20" s="65">
        <f t="shared" si="41"/>
        <v>0.43333333333333335</v>
      </c>
      <c r="AE20" s="65">
        <f t="shared" si="41"/>
        <v>0.41000000000000003</v>
      </c>
      <c r="AF20" s="65">
        <f t="shared" si="41"/>
        <v>0.49611111111111111</v>
      </c>
      <c r="AG20" s="65">
        <f t="shared" si="41"/>
        <v>0.45333333333333337</v>
      </c>
      <c r="AH20" s="192">
        <f>AVERAGEIF($C$36:$C$167,"=3",AH$36:AH$167)</f>
        <v>53.157894736842103</v>
      </c>
      <c r="AI20" s="192">
        <f>AVERAGEIF($C$36:$C$167,"=3",AI$36:AI$167)</f>
        <v>7.7222222222222223</v>
      </c>
      <c r="AJ20" s="65">
        <f>AVERAGEIF($C$36:$C$167,"=3",AJ$36:AJ$167)</f>
        <v>5.6315789473684215E-2</v>
      </c>
      <c r="AK20" s="65">
        <f t="shared" ref="AK20:BL20" si="42">AVERAGEIF($C$36:$C$167,"=3",AK$36:AK$167)</f>
        <v>0.55473684210526308</v>
      </c>
      <c r="AL20" s="65">
        <f t="shared" si="42"/>
        <v>0.37421052631578955</v>
      </c>
      <c r="AM20" s="65">
        <f t="shared" si="42"/>
        <v>1.368421052631579E-2</v>
      </c>
      <c r="AN20" s="65">
        <f t="shared" si="42"/>
        <v>0.2742105263157894</v>
      </c>
      <c r="AO20" s="65">
        <f t="shared" si="42"/>
        <v>0.45526315789473676</v>
      </c>
      <c r="AP20" s="65">
        <f t="shared" si="42"/>
        <v>0.55210526315789477</v>
      </c>
      <c r="AQ20" s="65">
        <f t="shared" si="42"/>
        <v>0.36000000000000004</v>
      </c>
      <c r="AR20" s="65">
        <f t="shared" si="42"/>
        <v>0.55263157894736847</v>
      </c>
      <c r="AS20" s="65">
        <f t="shared" si="42"/>
        <v>0.50105263157894742</v>
      </c>
      <c r="AT20" s="65">
        <f t="shared" si="42"/>
        <v>0.5</v>
      </c>
      <c r="AU20" s="65">
        <f t="shared" si="42"/>
        <v>0.50368421052631585</v>
      </c>
      <c r="AV20" s="65">
        <f t="shared" si="42"/>
        <v>0.59105263157894716</v>
      </c>
      <c r="AW20" s="65">
        <f t="shared" si="42"/>
        <v>0.45631578947368429</v>
      </c>
      <c r="AX20" s="65">
        <f t="shared" si="42"/>
        <v>0.52578947368421058</v>
      </c>
      <c r="AY20" s="65">
        <f t="shared" si="42"/>
        <v>0.29526315789473684</v>
      </c>
      <c r="AZ20" s="65">
        <f t="shared" si="42"/>
        <v>0.28157894736842104</v>
      </c>
      <c r="BA20" s="65">
        <f t="shared" si="42"/>
        <v>0.46789473684210531</v>
      </c>
      <c r="BB20" s="65">
        <f t="shared" si="42"/>
        <v>0.65894736842105261</v>
      </c>
      <c r="BC20" s="65">
        <f t="shared" si="42"/>
        <v>0.65105263157894733</v>
      </c>
      <c r="BD20" s="65">
        <f t="shared" si="42"/>
        <v>0.38157894736842102</v>
      </c>
      <c r="BE20" s="65">
        <f t="shared" si="42"/>
        <v>0.5557894736842105</v>
      </c>
      <c r="BF20" s="65">
        <f t="shared" si="42"/>
        <v>0.58526315789473693</v>
      </c>
      <c r="BG20" s="65">
        <f t="shared" si="42"/>
        <v>0.5015789473684209</v>
      </c>
      <c r="BH20" s="65">
        <f t="shared" si="42"/>
        <v>0.41157894736842104</v>
      </c>
      <c r="BI20" s="65">
        <f t="shared" si="42"/>
        <v>0.38947368421052625</v>
      </c>
      <c r="BJ20" s="65">
        <f t="shared" si="42"/>
        <v>0.34052631578947373</v>
      </c>
      <c r="BK20" s="65">
        <f t="shared" si="42"/>
        <v>0.42684210526315797</v>
      </c>
      <c r="BL20" s="65">
        <f t="shared" si="42"/>
        <v>0.47473684210526323</v>
      </c>
      <c r="BM20" s="192">
        <f>AVERAGEIF($C$36:$C$167,"=3",BM$36:BM$167)</f>
        <v>52</v>
      </c>
      <c r="BN20" s="192">
        <f>AVERAGEIF($C$36:$C$167,"=3",BN$36:BN$167)</f>
        <v>8.1111111111111107</v>
      </c>
      <c r="BO20" s="65">
        <f>AVERAGEIF($C$36:$C$167,"=3",BO$36:BO$167)</f>
        <v>9.684210526315791E-2</v>
      </c>
      <c r="BP20" s="65">
        <f t="shared" ref="BP20:CR20" si="43">AVERAGEIF($C$36:$C$167,"=3",BP$36:BP$167)</f>
        <v>0.52263157894736845</v>
      </c>
      <c r="BQ20" s="65">
        <f t="shared" si="43"/>
        <v>0.36842105263157893</v>
      </c>
      <c r="BR20" s="65">
        <f t="shared" si="43"/>
        <v>1.2105263157894739E-2</v>
      </c>
      <c r="BS20" s="65">
        <f t="shared" si="43"/>
        <v>0.33578947368421053</v>
      </c>
      <c r="BT20" s="65">
        <f t="shared" si="43"/>
        <v>0.55842105263157893</v>
      </c>
      <c r="BU20" s="65">
        <f t="shared" si="43"/>
        <v>0.63157894736842113</v>
      </c>
      <c r="BV20" s="65">
        <f t="shared" si="43"/>
        <v>0.28842105263157897</v>
      </c>
      <c r="BW20" s="65">
        <f t="shared" si="43"/>
        <v>0.61842105263157898</v>
      </c>
      <c r="BX20" s="65">
        <f t="shared" si="43"/>
        <v>0.34315789473684211</v>
      </c>
      <c r="BY20" s="65">
        <f t="shared" si="43"/>
        <v>0.40842105263157891</v>
      </c>
      <c r="BZ20" s="65">
        <f t="shared" si="43"/>
        <v>0.49263157894736848</v>
      </c>
      <c r="CA20" s="65">
        <f t="shared" si="43"/>
        <v>0.42052631578947369</v>
      </c>
      <c r="CB20" s="65">
        <f t="shared" si="43"/>
        <v>0.35000000000000003</v>
      </c>
      <c r="CC20" s="65">
        <f t="shared" si="43"/>
        <v>0.19157894736842107</v>
      </c>
      <c r="CD20" s="65">
        <f t="shared" si="43"/>
        <v>0.39578947368421052</v>
      </c>
      <c r="CE20" s="65">
        <f t="shared" si="43"/>
        <v>0.31157894736842101</v>
      </c>
      <c r="CF20" s="65">
        <f t="shared" si="43"/>
        <v>0.57315789473684209</v>
      </c>
      <c r="CG20" s="65">
        <f t="shared" si="43"/>
        <v>0.57473684210526321</v>
      </c>
      <c r="CH20" s="65">
        <f t="shared" si="43"/>
        <v>0.41578947368421049</v>
      </c>
      <c r="CI20" s="65">
        <f t="shared" si="43"/>
        <v>0.5378947368421052</v>
      </c>
      <c r="CJ20" s="65">
        <f t="shared" si="43"/>
        <v>0.35052631578947374</v>
      </c>
      <c r="CK20" s="65">
        <f t="shared" si="43"/>
        <v>0.66368421052631577</v>
      </c>
      <c r="CL20" s="65">
        <f t="shared" si="43"/>
        <v>0.27368421052631581</v>
      </c>
      <c r="CM20" s="65">
        <f t="shared" si="43"/>
        <v>0.41842105263157897</v>
      </c>
      <c r="CN20" s="65">
        <f t="shared" si="43"/>
        <v>0.42263157894736847</v>
      </c>
      <c r="CO20" s="65">
        <f t="shared" si="43"/>
        <v>0.42368421052631583</v>
      </c>
      <c r="CP20" s="65">
        <f t="shared" si="43"/>
        <v>0.33631578947368423</v>
      </c>
      <c r="CQ20" s="65">
        <f t="shared" si="43"/>
        <v>0.52368421052631586</v>
      </c>
      <c r="CR20" s="65">
        <f t="shared" si="43"/>
        <v>0.52789473684210519</v>
      </c>
      <c r="CS20" s="192">
        <f>AVERAGEIF($C$36:$C$167,"=3",CS$36:CS$167)</f>
        <v>50.578947368421055</v>
      </c>
      <c r="CT20" s="192">
        <f>AVERAGEIF($C$36:$C$167,"=3",CT$36:CT$167)</f>
        <v>8</v>
      </c>
      <c r="CU20" s="65">
        <f>AVERAGEIF($C$36:$C$167,"=3",CU$36:CU$167)</f>
        <v>0.10789473684210525</v>
      </c>
      <c r="CV20" s="65">
        <f t="shared" ref="CV20:DW20" si="44">AVERAGEIF($C$36:$C$167,"=3",CV$36:CV$167)</f>
        <v>0.62157894736842101</v>
      </c>
      <c r="CW20" s="65">
        <f t="shared" si="44"/>
        <v>0.26736842105263159</v>
      </c>
      <c r="CX20" s="65">
        <f t="shared" si="44"/>
        <v>3.684210526315789E-3</v>
      </c>
      <c r="CY20" s="65">
        <f t="shared" si="44"/>
        <v>0.49631578947368421</v>
      </c>
      <c r="CZ20" s="65">
        <f t="shared" si="44"/>
        <v>0.29578947368421049</v>
      </c>
      <c r="DA20" s="65">
        <f t="shared" si="44"/>
        <v>0.57578947368421063</v>
      </c>
      <c r="DB20" s="65">
        <f t="shared" si="44"/>
        <v>0.36631578947368426</v>
      </c>
      <c r="DC20" s="65">
        <f t="shared" si="44"/>
        <v>0.4447368421052631</v>
      </c>
      <c r="DD20" s="65">
        <f t="shared" si="44"/>
        <v>0.61</v>
      </c>
      <c r="DE20" s="65">
        <f t="shared" si="44"/>
        <v>0.43684210526315792</v>
      </c>
      <c r="DF20" s="65">
        <f t="shared" si="44"/>
        <v>0.52578947368421058</v>
      </c>
      <c r="DG20" s="65">
        <f t="shared" si="44"/>
        <v>0.43473684210526325</v>
      </c>
      <c r="DH20" s="65">
        <f t="shared" si="44"/>
        <v>0.34315789473684211</v>
      </c>
      <c r="DI20" s="65">
        <f t="shared" si="44"/>
        <v>0.48210526315789481</v>
      </c>
      <c r="DJ20" s="65">
        <f t="shared" si="44"/>
        <v>0.49421052631578949</v>
      </c>
      <c r="DK20" s="65">
        <f t="shared" si="44"/>
        <v>0.35684210526315796</v>
      </c>
      <c r="DL20" s="65">
        <f t="shared" si="44"/>
        <v>0.35263157894736841</v>
      </c>
      <c r="DM20" s="65">
        <f t="shared" si="44"/>
        <v>0.49368421052631584</v>
      </c>
      <c r="DN20" s="65">
        <f t="shared" si="44"/>
        <v>0.4789473684210529</v>
      </c>
      <c r="DO20" s="65">
        <f t="shared" si="44"/>
        <v>0.42526315789473673</v>
      </c>
      <c r="DP20" s="65">
        <f t="shared" si="44"/>
        <v>0.45842105263157901</v>
      </c>
      <c r="DQ20" s="65">
        <f t="shared" si="44"/>
        <v>0.55315789473684229</v>
      </c>
      <c r="DR20" s="65">
        <f t="shared" si="44"/>
        <v>0.17789473684210527</v>
      </c>
      <c r="DS20" s="65">
        <f t="shared" si="44"/>
        <v>0.36684210526315786</v>
      </c>
      <c r="DT20" s="65">
        <f t="shared" si="44"/>
        <v>0.5557894736842105</v>
      </c>
      <c r="DU20" s="65">
        <f t="shared" si="44"/>
        <v>0.50315789473684203</v>
      </c>
      <c r="DV20" s="65">
        <f t="shared" si="44"/>
        <v>0.59105263157894727</v>
      </c>
      <c r="DW20" s="65">
        <f t="shared" si="44"/>
        <v>0.34</v>
      </c>
      <c r="DX20" s="192">
        <f>AVERAGEIF($C$36:$C$167,"=3",DX$36:DX$167)</f>
        <v>50.95</v>
      </c>
      <c r="DY20" s="192">
        <f>AVERAGEIF($C$36:$C$167,"=3",DY$36:DY$167)</f>
        <v>8.5500000000000007</v>
      </c>
      <c r="DZ20" s="65">
        <f>AVERAGEIF($C$36:$C$167,"=3",DZ$36:DZ$167)</f>
        <v>0.14500000000000002</v>
      </c>
      <c r="EA20" s="65">
        <f t="shared" ref="EA20:FA20" si="45">AVERAGEIF($C$36:$C$167,"=3",EA$36:EA$167)</f>
        <v>0.53349999999999997</v>
      </c>
      <c r="EB20" s="65">
        <f t="shared" si="45"/>
        <v>0.3155</v>
      </c>
      <c r="EC20" s="65">
        <f t="shared" si="45"/>
        <v>8.0000000000000002E-3</v>
      </c>
      <c r="ED20" s="65">
        <f t="shared" si="45"/>
        <v>0.47300000000000003</v>
      </c>
      <c r="EE20" s="65">
        <f t="shared" si="45"/>
        <v>0.44550000000000012</v>
      </c>
      <c r="EF20" s="65">
        <f t="shared" si="45"/>
        <v>0.46850000000000014</v>
      </c>
      <c r="EG20" s="65">
        <f t="shared" si="45"/>
        <v>0.3175</v>
      </c>
      <c r="EH20" s="65">
        <f t="shared" si="45"/>
        <v>0.42200000000000004</v>
      </c>
      <c r="EI20" s="65">
        <f t="shared" si="45"/>
        <v>0.47300000000000003</v>
      </c>
      <c r="EJ20" s="65">
        <f t="shared" si="45"/>
        <v>0.55400000000000005</v>
      </c>
      <c r="EK20" s="65">
        <f t="shared" si="45"/>
        <v>0.2525</v>
      </c>
      <c r="EL20" s="65">
        <f t="shared" si="45"/>
        <v>0.44000000000000011</v>
      </c>
      <c r="EM20" s="65">
        <f t="shared" si="45"/>
        <v>0.63349999999999995</v>
      </c>
      <c r="EN20" s="65">
        <f t="shared" si="45"/>
        <v>0.42299999999999993</v>
      </c>
      <c r="EO20" s="65">
        <f t="shared" si="45"/>
        <v>0.56299999999999994</v>
      </c>
      <c r="EP20" s="65">
        <f t="shared" si="45"/>
        <v>0.32799999999999996</v>
      </c>
      <c r="EQ20" s="65">
        <f t="shared" si="45"/>
        <v>0.25149999999999995</v>
      </c>
      <c r="ER20" s="65">
        <f t="shared" si="45"/>
        <v>0.59499999999999997</v>
      </c>
      <c r="ES20" s="65">
        <f t="shared" si="45"/>
        <v>0.4469999999999999</v>
      </c>
      <c r="ET20" s="65">
        <f t="shared" si="45"/>
        <v>0.30199999999999999</v>
      </c>
      <c r="EU20" s="65">
        <f t="shared" si="45"/>
        <v>0.58799999999999997</v>
      </c>
      <c r="EV20" s="65">
        <f t="shared" si="45"/>
        <v>0.37450000000000006</v>
      </c>
      <c r="EW20" s="65">
        <f t="shared" si="45"/>
        <v>0.30250000000000005</v>
      </c>
      <c r="EX20" s="65">
        <f t="shared" si="45"/>
        <v>0.66200000000000003</v>
      </c>
      <c r="EY20" s="65">
        <f t="shared" si="45"/>
        <v>0.56099999999999994</v>
      </c>
      <c r="EZ20" s="65">
        <f t="shared" si="45"/>
        <v>0.2</v>
      </c>
      <c r="FA20" s="65">
        <f t="shared" si="45"/>
        <v>0.59050000000000002</v>
      </c>
      <c r="FB20" s="192">
        <f>AVERAGEIF($C$36:$C$167,"=3",FB$36:FB$167)</f>
        <v>51</v>
      </c>
      <c r="FC20" s="336"/>
      <c r="FD20" s="192">
        <f>AVERAGEIF($C$36:$C$167,"=3",FD$36:FD$167)</f>
        <v>7.85</v>
      </c>
      <c r="FE20" s="336"/>
      <c r="FF20" s="65">
        <f>AVERAGEIF($C$36:$C$167,"=3",FF$36:FF$167)</f>
        <v>9.9000000000000005E-2</v>
      </c>
      <c r="FG20" s="65">
        <f t="shared" ref="FG20:GI20" si="46">AVERAGEIF($C$36:$C$167,"=3",FG$36:FG$167)</f>
        <v>0.60099999999999998</v>
      </c>
      <c r="FH20" s="65">
        <f t="shared" si="46"/>
        <v>0.28900000000000003</v>
      </c>
      <c r="FI20" s="65">
        <f t="shared" si="46"/>
        <v>1.0000000000000002E-2</v>
      </c>
      <c r="FJ20" s="65">
        <f t="shared" si="46"/>
        <v>0.44699999999999995</v>
      </c>
      <c r="FK20" s="65">
        <f t="shared" si="46"/>
        <v>0.66149999999999998</v>
      </c>
      <c r="FL20" s="65">
        <f t="shared" si="46"/>
        <v>0.47800000000000004</v>
      </c>
      <c r="FM20" s="65">
        <f t="shared" si="46"/>
        <v>0.40499999999999997</v>
      </c>
      <c r="FN20" s="65">
        <f t="shared" si="46"/>
        <v>0.2455</v>
      </c>
      <c r="FO20" s="65">
        <f t="shared" si="46"/>
        <v>0.317</v>
      </c>
      <c r="FP20" s="65">
        <f t="shared" si="46"/>
        <v>0.36150000000000004</v>
      </c>
      <c r="FQ20" s="65">
        <f t="shared" si="46"/>
        <v>0.37999999999999995</v>
      </c>
      <c r="FR20" s="65">
        <f t="shared" si="46"/>
        <v>0.57199999999999995</v>
      </c>
      <c r="FS20" s="65">
        <f t="shared" si="46"/>
        <v>0.51500000000000012</v>
      </c>
      <c r="FT20" s="65">
        <f t="shared" si="46"/>
        <v>0.49099999999999999</v>
      </c>
      <c r="FU20" s="65">
        <f t="shared" si="46"/>
        <v>0.33750000000000002</v>
      </c>
      <c r="FV20" s="65">
        <f t="shared" si="46"/>
        <v>0.5555000000000001</v>
      </c>
      <c r="FW20" s="65">
        <f t="shared" si="46"/>
        <v>0.53950000000000009</v>
      </c>
      <c r="FX20" s="65">
        <f t="shared" si="46"/>
        <v>0.42750000000000005</v>
      </c>
      <c r="FY20" s="65">
        <f t="shared" si="46"/>
        <v>0.33300000000000002</v>
      </c>
      <c r="FZ20" s="65">
        <f t="shared" si="46"/>
        <v>0.40000000000000008</v>
      </c>
      <c r="GA20" s="65">
        <f t="shared" si="46"/>
        <v>0.48799999999999999</v>
      </c>
      <c r="GB20" s="65">
        <f t="shared" si="46"/>
        <v>0.51649999999999996</v>
      </c>
      <c r="GC20" s="65">
        <f t="shared" si="46"/>
        <v>0.4215000000000001</v>
      </c>
      <c r="GD20" s="65">
        <f t="shared" si="46"/>
        <v>0.59349999999999992</v>
      </c>
      <c r="GE20" s="65">
        <f t="shared" si="46"/>
        <v>0.50849999999999995</v>
      </c>
      <c r="GF20" s="65">
        <f t="shared" si="46"/>
        <v>0.441</v>
      </c>
      <c r="GG20" s="65">
        <f t="shared" si="46"/>
        <v>0.4210000000000001</v>
      </c>
      <c r="GH20" s="65">
        <f t="shared" si="46"/>
        <v>0.53850000000000009</v>
      </c>
      <c r="GI20" s="65">
        <f t="shared" si="46"/>
        <v>0.24349999999999997</v>
      </c>
      <c r="GJ20" s="192">
        <f>AVERAGEIF($C$36:$C$167,"=3",GJ$36:GJ$167)</f>
        <v>51.5</v>
      </c>
      <c r="GL20" s="192">
        <f>AVERAGEIF($C$36:$C$167,"=3",GL$36:GL$167)</f>
        <v>8.6818181818181817</v>
      </c>
      <c r="GN20" s="521">
        <f>AVERAGEIF($C$36:$C$167,"=3",GN$36:GN$167)</f>
        <v>0.12363636363636367</v>
      </c>
      <c r="GO20" s="521">
        <f t="shared" ref="GO20:HQ20" si="47">AVERAGEIF($C$36:$C$167,"=3",GO$36:GO$167)</f>
        <v>0.52954545454545443</v>
      </c>
      <c r="GP20" s="521">
        <f t="shared" si="47"/>
        <v>0.32999999999999985</v>
      </c>
      <c r="GQ20" s="521">
        <f t="shared" si="47"/>
        <v>1.7272727272727273E-2</v>
      </c>
      <c r="GR20" s="521">
        <f t="shared" si="47"/>
        <v>0.48227272727272735</v>
      </c>
      <c r="GS20" s="521">
        <f t="shared" si="47"/>
        <v>0.49136363636363628</v>
      </c>
      <c r="GT20" s="521">
        <f t="shared" si="47"/>
        <v>0.59318181818181825</v>
      </c>
      <c r="GU20" s="521">
        <f t="shared" si="47"/>
        <v>0.2195454545454546</v>
      </c>
      <c r="GV20" s="521">
        <f t="shared" si="47"/>
        <v>0.54181818181818187</v>
      </c>
      <c r="GW20" s="521">
        <f t="shared" si="47"/>
        <v>0.46545454545454557</v>
      </c>
      <c r="GX20" s="521">
        <f t="shared" si="47"/>
        <v>0.44500000000000006</v>
      </c>
      <c r="GY20" s="521" t="e">
        <f t="shared" si="47"/>
        <v>#DIV/0!</v>
      </c>
      <c r="GZ20" s="521">
        <f t="shared" si="47"/>
        <v>0.27954545454545454</v>
      </c>
      <c r="HA20" s="521">
        <f t="shared" si="47"/>
        <v>0.66272727272727283</v>
      </c>
      <c r="HB20" s="521">
        <f t="shared" si="47"/>
        <v>0.4413636363636364</v>
      </c>
      <c r="HC20" s="521">
        <f t="shared" si="47"/>
        <v>0.49954545454545463</v>
      </c>
      <c r="HD20" s="521">
        <f t="shared" si="47"/>
        <v>0.54181818181818187</v>
      </c>
      <c r="HE20" s="521">
        <f t="shared" si="47"/>
        <v>0.46045454545454551</v>
      </c>
      <c r="HF20" s="521">
        <f t="shared" si="47"/>
        <v>0.46181818181818185</v>
      </c>
      <c r="HG20" s="521">
        <f t="shared" si="47"/>
        <v>0.65090909090909088</v>
      </c>
      <c r="HH20" s="521">
        <f t="shared" si="47"/>
        <v>0.36318181818181822</v>
      </c>
      <c r="HI20" s="521">
        <f t="shared" si="47"/>
        <v>0.50909090909090915</v>
      </c>
      <c r="HJ20" s="521">
        <f t="shared" si="47"/>
        <v>0.58636363636363653</v>
      </c>
      <c r="HK20" s="521">
        <f t="shared" si="47"/>
        <v>0.52772727272727282</v>
      </c>
      <c r="HL20" s="521">
        <f t="shared" si="47"/>
        <v>0.41727272727272724</v>
      </c>
      <c r="HM20" s="521">
        <f t="shared" si="47"/>
        <v>0.46772727272727271</v>
      </c>
      <c r="HN20" s="521">
        <f t="shared" si="47"/>
        <v>0.47090909090909094</v>
      </c>
      <c r="HO20" s="521">
        <f t="shared" si="47"/>
        <v>0.39954545454545448</v>
      </c>
      <c r="HP20" s="521" t="e">
        <f t="shared" si="47"/>
        <v>#DIV/0!</v>
      </c>
      <c r="HQ20" s="521">
        <f t="shared" si="47"/>
        <v>0.405909090909091</v>
      </c>
      <c r="HR20" s="192">
        <f>AVERAGEIF($C$36:$C$167,"=3",HR$36:HR$167)</f>
        <v>52.272727272727273</v>
      </c>
      <c r="HT20" s="192">
        <f>AVERAGEIF($C$36:$C$167,"=3",HT$36:HT$167)</f>
        <v>8.5</v>
      </c>
      <c r="HV20" s="521">
        <f>AVERAGEIF($C$36:$C$167,"=3",HV$36:HV$167)</f>
        <v>0.1081818181818182</v>
      </c>
      <c r="HW20" s="521">
        <f t="shared" ref="HW20:IY20" si="48">AVERAGEIF($C$36:$C$167,"=3",HW$36:HW$167)</f>
        <v>0.51272727272727281</v>
      </c>
      <c r="HX20" s="521">
        <f t="shared" si="48"/>
        <v>0.36727272727272736</v>
      </c>
      <c r="HY20" s="521">
        <f t="shared" si="48"/>
        <v>1.3181818181818183E-2</v>
      </c>
      <c r="HZ20" s="521">
        <f t="shared" si="48"/>
        <v>0.35136363636363632</v>
      </c>
      <c r="IA20" s="521">
        <f t="shared" si="48"/>
        <v>0.51</v>
      </c>
      <c r="IB20" s="521">
        <f t="shared" si="48"/>
        <v>0.3318181818181819</v>
      </c>
      <c r="IC20" s="521">
        <f t="shared" si="48"/>
        <v>0.46363636363636368</v>
      </c>
      <c r="ID20" s="521">
        <f t="shared" si="48"/>
        <v>0.6122727272727273</v>
      </c>
      <c r="IE20" s="521">
        <f t="shared" si="48"/>
        <v>0.31227272727272726</v>
      </c>
      <c r="IF20" s="521">
        <f t="shared" si="48"/>
        <v>0.39272727272727276</v>
      </c>
      <c r="IG20" s="521">
        <f t="shared" si="48"/>
        <v>0.52090909090909099</v>
      </c>
      <c r="IH20" s="521">
        <f t="shared" si="48"/>
        <v>0.49318181818181817</v>
      </c>
      <c r="II20" s="521">
        <f t="shared" si="48"/>
        <v>0.31863636363636361</v>
      </c>
      <c r="IJ20" s="521">
        <f t="shared" si="48"/>
        <v>0.25636363636363635</v>
      </c>
      <c r="IK20" s="521">
        <f t="shared" si="48"/>
        <v>0.5586363636363636</v>
      </c>
      <c r="IL20" s="521">
        <f t="shared" si="48"/>
        <v>0.31954545454545452</v>
      </c>
      <c r="IM20" s="521">
        <f t="shared" si="48"/>
        <v>0.55363636363636359</v>
      </c>
      <c r="IN20" s="521">
        <f t="shared" si="48"/>
        <v>0.4222727272727273</v>
      </c>
      <c r="IO20" s="521">
        <f t="shared" si="48"/>
        <v>0.52636363636363648</v>
      </c>
      <c r="IP20" s="521">
        <f t="shared" si="48"/>
        <v>0.39318181818181819</v>
      </c>
      <c r="IQ20" s="521">
        <f t="shared" si="48"/>
        <v>0.64545454545454561</v>
      </c>
      <c r="IR20" s="521">
        <f t="shared" si="48"/>
        <v>0.53545454545454563</v>
      </c>
      <c r="IS20" s="521">
        <f t="shared" si="48"/>
        <v>0.49500000000000011</v>
      </c>
      <c r="IT20" s="521">
        <f t="shared" si="48"/>
        <v>0.40545454545454535</v>
      </c>
      <c r="IU20" s="521" t="e">
        <f t="shared" si="48"/>
        <v>#DIV/0!</v>
      </c>
      <c r="IV20" s="521">
        <f t="shared" si="48"/>
        <v>0.59500000000000008</v>
      </c>
      <c r="IW20" s="521">
        <f t="shared" si="48"/>
        <v>0.40909090909090917</v>
      </c>
      <c r="IX20" s="521">
        <f t="shared" si="48"/>
        <v>0.47545454545454557</v>
      </c>
      <c r="IY20" s="521">
        <f t="shared" si="48"/>
        <v>0.48590909090909079</v>
      </c>
    </row>
    <row r="21" spans="1:259" s="267" customFormat="1" ht="24.9" customHeight="1" x14ac:dyDescent="0.25">
      <c r="A21" s="283" t="s">
        <v>249</v>
      </c>
      <c r="B21" s="6"/>
      <c r="C21" s="6"/>
      <c r="D21" s="192">
        <f>AVERAGEIF($C$36:$C$167,"=4",D$36:D$167)</f>
        <v>51.142857142857146</v>
      </c>
      <c r="E21" s="192">
        <f>AVERAGEIF($C$36:$C$167,"=4",E$36:E$167)</f>
        <v>6.9285714285714288</v>
      </c>
      <c r="F21" s="65">
        <f>AVERAGEIF($C$36:$C$167,"=4",F$36:F$167)</f>
        <v>0.1207142857142857</v>
      </c>
      <c r="G21" s="65">
        <f t="shared" ref="G21:AG21" si="49">AVERAGEIF($C$36:$C$167,"=4",G$36:G$167)</f>
        <v>0.59642857142857142</v>
      </c>
      <c r="H21" s="65">
        <f t="shared" si="49"/>
        <v>0.28214285714285714</v>
      </c>
      <c r="I21" s="65">
        <f t="shared" si="49"/>
        <v>1.4285714285714286E-3</v>
      </c>
      <c r="J21" s="65">
        <f t="shared" si="49"/>
        <v>0.45214285714285712</v>
      </c>
      <c r="K21" s="65">
        <f t="shared" si="49"/>
        <v>0.45571428571428563</v>
      </c>
      <c r="L21" s="65">
        <f t="shared" si="49"/>
        <v>0.78857142857142848</v>
      </c>
      <c r="M21" s="65">
        <f t="shared" si="49"/>
        <v>0.30785714285714283</v>
      </c>
      <c r="N21" s="65">
        <f t="shared" si="49"/>
        <v>0.33285714285714274</v>
      </c>
      <c r="O21" s="65">
        <f t="shared" si="49"/>
        <v>0.65142857142857147</v>
      </c>
      <c r="P21" s="65">
        <f t="shared" si="49"/>
        <v>0.37142857142857144</v>
      </c>
      <c r="Q21" s="65">
        <f t="shared" si="49"/>
        <v>0.43642857142857144</v>
      </c>
      <c r="R21" s="65">
        <f t="shared" si="49"/>
        <v>0.55785714285714294</v>
      </c>
      <c r="S21" s="65">
        <f t="shared" si="49"/>
        <v>0.57214285714285718</v>
      </c>
      <c r="T21" s="65">
        <f t="shared" si="49"/>
        <v>0.4678571428571428</v>
      </c>
      <c r="U21" s="65">
        <f t="shared" si="49"/>
        <v>0.64714285714285702</v>
      </c>
      <c r="V21" s="65">
        <f t="shared" si="49"/>
        <v>9.6428571428571433E-2</v>
      </c>
      <c r="W21" s="65">
        <f t="shared" si="49"/>
        <v>0.2</v>
      </c>
      <c r="X21" s="65">
        <f t="shared" si="49"/>
        <v>0.56214285714285717</v>
      </c>
      <c r="Y21" s="65">
        <f t="shared" si="49"/>
        <v>0.54642857142857149</v>
      </c>
      <c r="Z21" s="65">
        <f t="shared" si="49"/>
        <v>0.82499999999999996</v>
      </c>
      <c r="AA21" s="65">
        <f t="shared" si="49"/>
        <v>0.13928571428571432</v>
      </c>
      <c r="AB21" s="65">
        <f t="shared" si="49"/>
        <v>0.50071428571428578</v>
      </c>
      <c r="AC21" s="65">
        <f t="shared" si="49"/>
        <v>0.37714285714285711</v>
      </c>
      <c r="AD21" s="65">
        <f t="shared" si="49"/>
        <v>0.49714285714285716</v>
      </c>
      <c r="AE21" s="65">
        <f t="shared" si="49"/>
        <v>0.49714285714285722</v>
      </c>
      <c r="AF21" s="65">
        <f t="shared" si="49"/>
        <v>0.53142857142857136</v>
      </c>
      <c r="AG21" s="65">
        <f t="shared" si="49"/>
        <v>0.55500000000000005</v>
      </c>
      <c r="AH21" s="192">
        <f>AVERAGEIF($C$36:$C$167,"=4",AH$36:AH$167)</f>
        <v>51.2</v>
      </c>
      <c r="AI21" s="192">
        <f>AVERAGEIF($C$36:$C$167,"=4",AI$36:AI$167)</f>
        <v>7</v>
      </c>
      <c r="AJ21" s="65">
        <f>AVERAGEIF($C$36:$C$167,"=4",AJ$36:AJ$167)</f>
        <v>0.114</v>
      </c>
      <c r="AK21" s="65">
        <f t="shared" ref="AK21:BL21" si="50">AVERAGEIF($C$36:$C$167,"=4",AK$36:AK$167)</f>
        <v>0.55266666666666664</v>
      </c>
      <c r="AL21" s="65">
        <f t="shared" si="50"/>
        <v>0.32866666666666672</v>
      </c>
      <c r="AM21" s="65">
        <f t="shared" si="50"/>
        <v>6.000000000000001E-3</v>
      </c>
      <c r="AN21" s="65">
        <f t="shared" si="50"/>
        <v>0.28133333333333338</v>
      </c>
      <c r="AO21" s="65">
        <f t="shared" si="50"/>
        <v>0.4386666666666667</v>
      </c>
      <c r="AP21" s="65">
        <f t="shared" si="50"/>
        <v>0.60599999999999998</v>
      </c>
      <c r="AQ21" s="65">
        <f t="shared" si="50"/>
        <v>0.42333333333333328</v>
      </c>
      <c r="AR21" s="65">
        <f t="shared" si="50"/>
        <v>0.58333333333333337</v>
      </c>
      <c r="AS21" s="65">
        <f t="shared" si="50"/>
        <v>0.52533333333333343</v>
      </c>
      <c r="AT21" s="65">
        <f t="shared" si="50"/>
        <v>0.53600000000000003</v>
      </c>
      <c r="AU21" s="65">
        <f t="shared" si="50"/>
        <v>0.53866666666666652</v>
      </c>
      <c r="AV21" s="65">
        <f t="shared" si="50"/>
        <v>0.61199999999999999</v>
      </c>
      <c r="AW21" s="65">
        <f t="shared" si="50"/>
        <v>0.48533333333333334</v>
      </c>
      <c r="AX21" s="65">
        <f t="shared" si="50"/>
        <v>0.59928571428571431</v>
      </c>
      <c r="AY21" s="65">
        <f t="shared" si="50"/>
        <v>0.35866666666666674</v>
      </c>
      <c r="AZ21" s="65">
        <f t="shared" si="50"/>
        <v>0.33800000000000002</v>
      </c>
      <c r="BA21" s="65">
        <f t="shared" si="50"/>
        <v>0.48866666666666675</v>
      </c>
      <c r="BB21" s="65">
        <f t="shared" si="50"/>
        <v>0.63200000000000001</v>
      </c>
      <c r="BC21" s="65">
        <f t="shared" si="50"/>
        <v>0.60733333333333328</v>
      </c>
      <c r="BD21" s="65">
        <f t="shared" si="50"/>
        <v>0.44533333333333325</v>
      </c>
      <c r="BE21" s="65">
        <f t="shared" si="50"/>
        <v>0.55666666666666675</v>
      </c>
      <c r="BF21" s="65">
        <f t="shared" si="50"/>
        <v>0.61142857142857143</v>
      </c>
      <c r="BG21" s="65">
        <f t="shared" si="50"/>
        <v>0.47866666666666663</v>
      </c>
      <c r="BH21" s="65">
        <f t="shared" si="50"/>
        <v>0.45266666666666666</v>
      </c>
      <c r="BI21" s="65">
        <f t="shared" si="50"/>
        <v>0.42200000000000004</v>
      </c>
      <c r="BJ21" s="65">
        <f t="shared" si="50"/>
        <v>0.42199999999999993</v>
      </c>
      <c r="BK21" s="65">
        <f t="shared" si="50"/>
        <v>0.45933333333333332</v>
      </c>
      <c r="BL21" s="65">
        <f t="shared" si="50"/>
        <v>0.52071428571428569</v>
      </c>
      <c r="BM21" s="192">
        <f>AVERAGEIF($C$36:$C$167,"=4",BM$36:BM$167)</f>
        <v>49.266666666666666</v>
      </c>
      <c r="BN21" s="192">
        <f>AVERAGEIF($C$36:$C$167,"=4",BN$36:BN$167)</f>
        <v>7.4</v>
      </c>
      <c r="BO21" s="65">
        <f>AVERAGEIF($C$36:$C$167,"=4",BO$36:BO$167)</f>
        <v>0.17666666666666667</v>
      </c>
      <c r="BP21" s="65">
        <f t="shared" ref="BP21:CR21" si="51">AVERAGEIF($C$36:$C$167,"=4",BP$36:BP$167)</f>
        <v>0.57533333333333325</v>
      </c>
      <c r="BQ21" s="65">
        <f t="shared" si="51"/>
        <v>0.24800000000000003</v>
      </c>
      <c r="BR21" s="65">
        <f t="shared" si="51"/>
        <v>2E-3</v>
      </c>
      <c r="BS21" s="65">
        <f t="shared" si="51"/>
        <v>0.35866666666666658</v>
      </c>
      <c r="BT21" s="65">
        <f t="shared" si="51"/>
        <v>0.64400000000000013</v>
      </c>
      <c r="BU21" s="65">
        <f t="shared" si="51"/>
        <v>0.68399999999999983</v>
      </c>
      <c r="BV21" s="65">
        <f t="shared" si="51"/>
        <v>0.36799999999999999</v>
      </c>
      <c r="BW21" s="65">
        <f t="shared" si="51"/>
        <v>0.67800000000000005</v>
      </c>
      <c r="BX21" s="65">
        <f t="shared" si="51"/>
        <v>0.42799999999999999</v>
      </c>
      <c r="BY21" s="65">
        <f t="shared" si="51"/>
        <v>0.48333333333333339</v>
      </c>
      <c r="BZ21" s="65">
        <f t="shared" si="51"/>
        <v>0.55666666666666664</v>
      </c>
      <c r="CA21" s="65">
        <f t="shared" si="51"/>
        <v>0.52533333333333332</v>
      </c>
      <c r="CB21" s="65">
        <f t="shared" si="51"/>
        <v>0.41066666666666668</v>
      </c>
      <c r="CC21" s="65">
        <f t="shared" si="51"/>
        <v>0.23000000000000004</v>
      </c>
      <c r="CD21" s="65">
        <f t="shared" si="51"/>
        <v>0.46</v>
      </c>
      <c r="CE21" s="65">
        <f t="shared" si="51"/>
        <v>0.33933333333333332</v>
      </c>
      <c r="CF21" s="65">
        <f t="shared" si="51"/>
        <v>0.6066666666666668</v>
      </c>
      <c r="CG21" s="65">
        <f t="shared" si="51"/>
        <v>0.60199999999999998</v>
      </c>
      <c r="CH21" s="65">
        <f t="shared" si="51"/>
        <v>0.48399999999999999</v>
      </c>
      <c r="CI21" s="65">
        <f t="shared" si="51"/>
        <v>0.62199999999999989</v>
      </c>
      <c r="CJ21" s="65">
        <f t="shared" si="51"/>
        <v>0.32466666666666666</v>
      </c>
      <c r="CK21" s="65">
        <f t="shared" si="51"/>
        <v>0.7446666666666667</v>
      </c>
      <c r="CL21" s="65">
        <f t="shared" si="51"/>
        <v>0.35933333333333339</v>
      </c>
      <c r="CM21" s="65">
        <f t="shared" si="51"/>
        <v>0.47800000000000009</v>
      </c>
      <c r="CN21" s="65">
        <f t="shared" si="51"/>
        <v>0.47666666666666668</v>
      </c>
      <c r="CO21" s="65">
        <f t="shared" si="51"/>
        <v>0.52133333333333332</v>
      </c>
      <c r="CP21" s="65">
        <f t="shared" si="51"/>
        <v>0.38600000000000001</v>
      </c>
      <c r="CQ21" s="65">
        <f t="shared" si="51"/>
        <v>0.53400000000000003</v>
      </c>
      <c r="CR21" s="65">
        <f t="shared" si="51"/>
        <v>0.55066666666666664</v>
      </c>
      <c r="CS21" s="192">
        <f>AVERAGEIF($C$36:$C$167,"=4",CS$36:CS$167)</f>
        <v>47.714285714285715</v>
      </c>
      <c r="CT21" s="192">
        <f>AVERAGEIF($C$36:$C$167,"=4",CT$36:CT$167)</f>
        <v>7.7142857142857144</v>
      </c>
      <c r="CU21" s="65">
        <f>AVERAGEIF($C$36:$C$167,"=4",CU$36:CU$167)</f>
        <v>0.19285714285714287</v>
      </c>
      <c r="CV21" s="65">
        <f t="shared" ref="CV21:DW21" si="52">AVERAGEIF($C$36:$C$167,"=4",CV$36:CV$167)</f>
        <v>0.63642857142857145</v>
      </c>
      <c r="CW21" s="65">
        <f t="shared" si="52"/>
        <v>0.16928571428571429</v>
      </c>
      <c r="CX21" s="65">
        <f t="shared" si="52"/>
        <v>2.142857142857143E-3</v>
      </c>
      <c r="CY21" s="65">
        <f t="shared" si="52"/>
        <v>0.54214285714285715</v>
      </c>
      <c r="CZ21" s="65">
        <f t="shared" si="52"/>
        <v>0.3378571428571428</v>
      </c>
      <c r="DA21" s="65">
        <f t="shared" si="52"/>
        <v>0.59285714285714286</v>
      </c>
      <c r="DB21" s="65">
        <f t="shared" si="52"/>
        <v>0.40928571428571425</v>
      </c>
      <c r="DC21" s="65">
        <f t="shared" si="52"/>
        <v>0.45571428571428568</v>
      </c>
      <c r="DD21" s="65">
        <f t="shared" si="52"/>
        <v>0.63142857142857156</v>
      </c>
      <c r="DE21" s="65">
        <f t="shared" si="52"/>
        <v>0.49142857142857138</v>
      </c>
      <c r="DF21" s="65">
        <f t="shared" si="52"/>
        <v>0.57928571428571429</v>
      </c>
      <c r="DG21" s="65">
        <f t="shared" si="52"/>
        <v>0.4707142857142857</v>
      </c>
      <c r="DH21" s="65">
        <f t="shared" si="52"/>
        <v>0.39071428571428568</v>
      </c>
      <c r="DI21" s="65">
        <f t="shared" si="52"/>
        <v>0.55285714285714282</v>
      </c>
      <c r="DJ21" s="65">
        <f t="shared" si="52"/>
        <v>0.5742857142857144</v>
      </c>
      <c r="DK21" s="65">
        <f t="shared" si="52"/>
        <v>0.41214285714285709</v>
      </c>
      <c r="DL21" s="65">
        <f t="shared" si="52"/>
        <v>0.43071428571428572</v>
      </c>
      <c r="DM21" s="65">
        <f t="shared" si="52"/>
        <v>0.53999999999999992</v>
      </c>
      <c r="DN21" s="65">
        <f t="shared" si="52"/>
        <v>0.52214285714285713</v>
      </c>
      <c r="DO21" s="65">
        <f t="shared" si="52"/>
        <v>0.48214285714285715</v>
      </c>
      <c r="DP21" s="65">
        <f t="shared" si="52"/>
        <v>0.50071428571428567</v>
      </c>
      <c r="DQ21" s="65">
        <f t="shared" si="52"/>
        <v>0.57714285714285718</v>
      </c>
      <c r="DR21" s="65">
        <f t="shared" si="52"/>
        <v>0.23357142857142857</v>
      </c>
      <c r="DS21" s="65">
        <f t="shared" si="52"/>
        <v>0.42</v>
      </c>
      <c r="DT21" s="65">
        <f t="shared" si="52"/>
        <v>0.5892857142857143</v>
      </c>
      <c r="DU21" s="65">
        <f t="shared" si="52"/>
        <v>0.48285714285714293</v>
      </c>
      <c r="DV21" s="65">
        <f t="shared" si="52"/>
        <v>0.63071428571428567</v>
      </c>
      <c r="DW21" s="65">
        <f t="shared" si="52"/>
        <v>0.37642857142857145</v>
      </c>
      <c r="DX21" s="192">
        <f>AVERAGEIF($C$36:$C$167,"=4",DX$36:DX$167)</f>
        <v>47</v>
      </c>
      <c r="DY21" s="192">
        <f>AVERAGEIF($C$36:$C$167,"=4",DY$36:DY$167)</f>
        <v>8.2307692307692299</v>
      </c>
      <c r="DZ21" s="65">
        <f>AVERAGEIF($C$36:$C$167,"=4",DZ$36:DZ$167)</f>
        <v>0.23846153846153847</v>
      </c>
      <c r="EA21" s="65">
        <f t="shared" ref="EA21:FA21" si="53">AVERAGEIF($C$36:$C$167,"=4",EA$36:EA$167)</f>
        <v>0.57000000000000006</v>
      </c>
      <c r="EB21" s="65">
        <f t="shared" si="53"/>
        <v>0.18923076923076923</v>
      </c>
      <c r="EC21" s="65">
        <f t="shared" si="53"/>
        <v>2.3076923076923075E-3</v>
      </c>
      <c r="ED21" s="65">
        <f t="shared" si="53"/>
        <v>0.5507692307692309</v>
      </c>
      <c r="EE21" s="65">
        <f t="shared" si="53"/>
        <v>0.48307692307692301</v>
      </c>
      <c r="EF21" s="65">
        <f t="shared" si="53"/>
        <v>0.51</v>
      </c>
      <c r="EG21" s="65">
        <f t="shared" si="53"/>
        <v>0.39846153846153842</v>
      </c>
      <c r="EH21" s="65">
        <f t="shared" si="53"/>
        <v>0.48230769230769227</v>
      </c>
      <c r="EI21" s="65">
        <f t="shared" si="53"/>
        <v>0.58846153846153837</v>
      </c>
      <c r="EJ21" s="65">
        <f t="shared" si="53"/>
        <v>0.58923076923076934</v>
      </c>
      <c r="EK21" s="65">
        <f t="shared" si="53"/>
        <v>0.30923076923076925</v>
      </c>
      <c r="EL21" s="65">
        <f t="shared" si="53"/>
        <v>0.51615384615384619</v>
      </c>
      <c r="EM21" s="65">
        <f t="shared" si="53"/>
        <v>0.70000000000000007</v>
      </c>
      <c r="EN21" s="65">
        <f t="shared" si="53"/>
        <v>0.51230769230769224</v>
      </c>
      <c r="EO21" s="65">
        <f t="shared" si="53"/>
        <v>0.62461538461538457</v>
      </c>
      <c r="EP21" s="65">
        <f t="shared" si="53"/>
        <v>0.42846153846153856</v>
      </c>
      <c r="EQ21" s="65">
        <f t="shared" si="53"/>
        <v>0.37538461538461537</v>
      </c>
      <c r="ER21" s="65">
        <f t="shared" si="53"/>
        <v>0.62076923076923074</v>
      </c>
      <c r="ES21" s="65">
        <f t="shared" si="53"/>
        <v>0.50846153846153852</v>
      </c>
      <c r="ET21" s="65">
        <f t="shared" si="53"/>
        <v>0.39076923076923087</v>
      </c>
      <c r="EU21" s="65">
        <f t="shared" si="53"/>
        <v>0.65538461538461534</v>
      </c>
      <c r="EV21" s="65">
        <f t="shared" si="53"/>
        <v>0.42</v>
      </c>
      <c r="EW21" s="65">
        <f t="shared" si="53"/>
        <v>0.38230769230769229</v>
      </c>
      <c r="EX21" s="65">
        <f t="shared" si="53"/>
        <v>0.72846153846153838</v>
      </c>
      <c r="EY21" s="65">
        <f t="shared" si="53"/>
        <v>0.61846153846153851</v>
      </c>
      <c r="EZ21" s="65">
        <f t="shared" si="53"/>
        <v>0.26615384615384613</v>
      </c>
      <c r="FA21" s="65">
        <f t="shared" si="53"/>
        <v>0.6576923076923078</v>
      </c>
      <c r="FB21" s="192">
        <f>AVERAGEIF($C$36:$C$167,"=4",FB$36:FB$167)</f>
        <v>47.571428571428569</v>
      </c>
      <c r="FC21" s="336"/>
      <c r="FD21" s="192">
        <f>AVERAGEIF($C$36:$C$167,"=4",FD$36:FD$167)</f>
        <v>7.0714285714285712</v>
      </c>
      <c r="FE21" s="336"/>
      <c r="FF21" s="65">
        <f>AVERAGEIF($C$36:$C$167,"=4",FF$36:FF$167)</f>
        <v>0.19714285714285712</v>
      </c>
      <c r="FG21" s="65">
        <f t="shared" ref="FG21:GI21" si="54">AVERAGEIF($C$36:$C$167,"=4",FG$36:FG$167)</f>
        <v>0.64071428571428579</v>
      </c>
      <c r="FH21" s="65">
        <f t="shared" si="54"/>
        <v>0.16</v>
      </c>
      <c r="FI21" s="65">
        <f t="shared" si="54"/>
        <v>2.142857142857143E-3</v>
      </c>
      <c r="FJ21" s="65">
        <f t="shared" si="54"/>
        <v>0.55214285714285716</v>
      </c>
      <c r="FK21" s="65">
        <f t="shared" si="54"/>
        <v>0.68071428571428572</v>
      </c>
      <c r="FL21" s="65">
        <f t="shared" si="54"/>
        <v>0.54785714285714282</v>
      </c>
      <c r="FM21" s="65">
        <f t="shared" si="54"/>
        <v>0.53071428571428581</v>
      </c>
      <c r="FN21" s="65">
        <f t="shared" si="54"/>
        <v>0.34769230769230774</v>
      </c>
      <c r="FO21" s="65">
        <f t="shared" si="54"/>
        <v>0.39857142857142858</v>
      </c>
      <c r="FP21" s="65">
        <f t="shared" si="54"/>
        <v>0.45785714285714291</v>
      </c>
      <c r="FQ21" s="65">
        <f t="shared" si="54"/>
        <v>0.44785714285714295</v>
      </c>
      <c r="FR21" s="65">
        <f t="shared" si="54"/>
        <v>0.5971428571428572</v>
      </c>
      <c r="FS21" s="65">
        <f t="shared" si="54"/>
        <v>0.58857142857142863</v>
      </c>
      <c r="FT21" s="65">
        <f t="shared" si="54"/>
        <v>0.55642857142857138</v>
      </c>
      <c r="FU21" s="65">
        <f t="shared" si="54"/>
        <v>0.44461538461538458</v>
      </c>
      <c r="FV21" s="65">
        <f t="shared" si="54"/>
        <v>0.66642857142857159</v>
      </c>
      <c r="FW21" s="65">
        <f t="shared" si="54"/>
        <v>0.58285714285714285</v>
      </c>
      <c r="FX21" s="65">
        <f t="shared" si="54"/>
        <v>0.52785714285714291</v>
      </c>
      <c r="FY21" s="65">
        <f t="shared" si="54"/>
        <v>0.37928571428571439</v>
      </c>
      <c r="FZ21" s="65">
        <f t="shared" si="54"/>
        <v>0.42428571428571427</v>
      </c>
      <c r="GA21" s="65">
        <f t="shared" si="54"/>
        <v>0.50928571428571434</v>
      </c>
      <c r="GB21" s="65">
        <f t="shared" si="54"/>
        <v>0.61857142857142855</v>
      </c>
      <c r="GC21" s="65">
        <f t="shared" si="54"/>
        <v>0.48214285714285721</v>
      </c>
      <c r="GD21" s="65">
        <f t="shared" si="54"/>
        <v>0.64857142857142858</v>
      </c>
      <c r="GE21" s="65">
        <f t="shared" si="54"/>
        <v>0.52071428571428569</v>
      </c>
      <c r="GF21" s="65">
        <f t="shared" si="54"/>
        <v>0.51076923076923064</v>
      </c>
      <c r="GG21" s="65">
        <f t="shared" si="54"/>
        <v>0.52785714285714291</v>
      </c>
      <c r="GH21" s="65">
        <f t="shared" si="54"/>
        <v>0.57999999999999996</v>
      </c>
      <c r="GI21" s="65">
        <f t="shared" si="54"/>
        <v>0.29928571428571427</v>
      </c>
      <c r="GJ21" s="192">
        <f>AVERAGEIF($C$36:$C$167,"=4",GJ$36:GJ$167)</f>
        <v>48.5</v>
      </c>
      <c r="GL21" s="192">
        <f>AVERAGEIF($C$36:$C$167,"=4",GL$36:GL$167)</f>
        <v>8.5</v>
      </c>
      <c r="GN21" s="521">
        <f>AVERAGEIF($C$36:$C$167,"=4",GN$36:GN$167)</f>
        <v>0.21857142857142856</v>
      </c>
      <c r="GO21" s="521">
        <f t="shared" ref="GO21:HQ21" si="55">AVERAGEIF($C$36:$C$167,"=4",GO$36:GO$167)</f>
        <v>0.55928571428571439</v>
      </c>
      <c r="GP21" s="521">
        <f t="shared" si="55"/>
        <v>0.20999999999999996</v>
      </c>
      <c r="GQ21" s="521">
        <f t="shared" si="55"/>
        <v>1.2857142857142857E-2</v>
      </c>
      <c r="GR21" s="521">
        <f t="shared" si="55"/>
        <v>0.52500000000000002</v>
      </c>
      <c r="GS21" s="521">
        <f t="shared" si="55"/>
        <v>0.6000000000000002</v>
      </c>
      <c r="GT21" s="521">
        <f t="shared" si="55"/>
        <v>0.64928571428571424</v>
      </c>
      <c r="GU21" s="521">
        <f t="shared" si="55"/>
        <v>0.31214285714285711</v>
      </c>
      <c r="GV21" s="521">
        <f t="shared" si="55"/>
        <v>0.60928571428571421</v>
      </c>
      <c r="GW21" s="521">
        <f t="shared" si="55"/>
        <v>0.50428571428571434</v>
      </c>
      <c r="GX21" s="521">
        <f t="shared" si="55"/>
        <v>0.51357142857142857</v>
      </c>
      <c r="GY21" s="521" t="e">
        <f t="shared" si="55"/>
        <v>#DIV/0!</v>
      </c>
      <c r="GZ21" s="521">
        <f t="shared" si="55"/>
        <v>0.3521428571428572</v>
      </c>
      <c r="HA21" s="521">
        <f t="shared" si="55"/>
        <v>0.63285714285714278</v>
      </c>
      <c r="HB21" s="521">
        <f t="shared" si="55"/>
        <v>0.50214285714285711</v>
      </c>
      <c r="HC21" s="521">
        <f t="shared" si="55"/>
        <v>0.55500000000000005</v>
      </c>
      <c r="HD21" s="521">
        <f t="shared" si="55"/>
        <v>0.59785714285714264</v>
      </c>
      <c r="HE21" s="521">
        <f t="shared" si="55"/>
        <v>0.49357142857142872</v>
      </c>
      <c r="HF21" s="521">
        <f t="shared" si="55"/>
        <v>0.51642857142857146</v>
      </c>
      <c r="HG21" s="521">
        <f t="shared" si="55"/>
        <v>0.67071428571428571</v>
      </c>
      <c r="HH21" s="521">
        <f t="shared" si="55"/>
        <v>0.44071428571428573</v>
      </c>
      <c r="HI21" s="521">
        <f t="shared" si="55"/>
        <v>0.59857142857142853</v>
      </c>
      <c r="HJ21" s="521">
        <f t="shared" si="55"/>
        <v>0.61357142857142855</v>
      </c>
      <c r="HK21" s="521">
        <f t="shared" si="55"/>
        <v>0.52214285714285724</v>
      </c>
      <c r="HL21" s="521">
        <f t="shared" si="55"/>
        <v>0.45285714285714285</v>
      </c>
      <c r="HM21" s="521">
        <f t="shared" si="55"/>
        <v>0.51928571428571424</v>
      </c>
      <c r="HN21" s="521">
        <f t="shared" si="55"/>
        <v>0.4835714285714286</v>
      </c>
      <c r="HO21" s="521">
        <f t="shared" si="55"/>
        <v>0.45571428571428579</v>
      </c>
      <c r="HP21" s="521" t="e">
        <f t="shared" si="55"/>
        <v>#DIV/0!</v>
      </c>
      <c r="HQ21" s="521">
        <f t="shared" si="55"/>
        <v>0.45642857142857141</v>
      </c>
      <c r="HR21" s="192">
        <f>AVERAGEIF($C$36:$C$167,"=4",HR$36:HR$167)</f>
        <v>48</v>
      </c>
      <c r="HT21" s="192">
        <f>AVERAGEIF($C$36:$C$167,"=4",HT$36:HT$167)</f>
        <v>8.3333333333333339</v>
      </c>
      <c r="HV21" s="521">
        <f>AVERAGEIF($C$36:$C$167,"=4",HV$36:HV$167)</f>
        <v>0.21399999999999997</v>
      </c>
      <c r="HW21" s="521">
        <f t="shared" ref="HW21:IY21" si="56">AVERAGEIF($C$36:$C$167,"=4",HW$36:HW$167)</f>
        <v>0.57000000000000006</v>
      </c>
      <c r="HX21" s="521">
        <f t="shared" si="56"/>
        <v>0.21133333333333332</v>
      </c>
      <c r="HY21" s="521">
        <f t="shared" si="56"/>
        <v>5.3333333333333332E-3</v>
      </c>
      <c r="HZ21" s="521">
        <f t="shared" si="56"/>
        <v>0.45133333333333325</v>
      </c>
      <c r="IA21" s="521">
        <f t="shared" si="56"/>
        <v>0.58533333333333337</v>
      </c>
      <c r="IB21" s="521">
        <f t="shared" si="56"/>
        <v>0.39666666666666667</v>
      </c>
      <c r="IC21" s="521">
        <f t="shared" si="56"/>
        <v>0.56199999999999994</v>
      </c>
      <c r="ID21" s="521">
        <f t="shared" si="56"/>
        <v>0.66066666666666662</v>
      </c>
      <c r="IE21" s="521">
        <f t="shared" si="56"/>
        <v>0.4326666666666667</v>
      </c>
      <c r="IF21" s="521">
        <f t="shared" si="56"/>
        <v>0.47600000000000003</v>
      </c>
      <c r="IG21" s="521">
        <f t="shared" si="56"/>
        <v>0.56533333333333335</v>
      </c>
      <c r="IH21" s="521">
        <f t="shared" si="56"/>
        <v>0.59466666666666657</v>
      </c>
      <c r="II21" s="521">
        <f t="shared" si="56"/>
        <v>0.43133333333333324</v>
      </c>
      <c r="IJ21" s="521">
        <f t="shared" si="56"/>
        <v>0.33999999999999997</v>
      </c>
      <c r="IK21" s="521">
        <f t="shared" si="56"/>
        <v>0.60266666666666657</v>
      </c>
      <c r="IL21" s="521">
        <f t="shared" si="56"/>
        <v>0.35799999999999993</v>
      </c>
      <c r="IM21" s="521">
        <f t="shared" si="56"/>
        <v>0.61199999999999999</v>
      </c>
      <c r="IN21" s="521">
        <f t="shared" si="56"/>
        <v>0.52533333333333332</v>
      </c>
      <c r="IO21" s="521">
        <f t="shared" si="56"/>
        <v>0.59266666666666679</v>
      </c>
      <c r="IP21" s="521">
        <f t="shared" si="56"/>
        <v>0.5</v>
      </c>
      <c r="IQ21" s="521">
        <f t="shared" si="56"/>
        <v>0.67266666666666652</v>
      </c>
      <c r="IR21" s="521">
        <f t="shared" si="56"/>
        <v>0.60866666666666658</v>
      </c>
      <c r="IS21" s="521">
        <f t="shared" si="56"/>
        <v>0.58133333333333337</v>
      </c>
      <c r="IT21" s="521">
        <f t="shared" si="56"/>
        <v>0.49800000000000011</v>
      </c>
      <c r="IU21" s="521" t="e">
        <f t="shared" si="56"/>
        <v>#DIV/0!</v>
      </c>
      <c r="IV21" s="521">
        <f t="shared" si="56"/>
        <v>0.66333333333333344</v>
      </c>
      <c r="IW21" s="521">
        <f t="shared" si="56"/>
        <v>0.44800000000000001</v>
      </c>
      <c r="IX21" s="521">
        <f t="shared" si="56"/>
        <v>0.56133333333333335</v>
      </c>
      <c r="IY21" s="521">
        <f t="shared" si="56"/>
        <v>0.53866666666666663</v>
      </c>
    </row>
    <row r="22" spans="1:259" s="267" customFormat="1" ht="24.9" customHeight="1" x14ac:dyDescent="0.25">
      <c r="A22" s="283" t="s">
        <v>250</v>
      </c>
      <c r="B22" s="6"/>
      <c r="C22" s="6"/>
      <c r="D22" s="192">
        <f>AVERAGEIF($C$36:$C$167,"=5",D$36:D$167)</f>
        <v>56.235294117647058</v>
      </c>
      <c r="E22" s="192">
        <f>AVERAGEIF($C$36:$C$167,"=5",E$36:E$167)</f>
        <v>6.6470588235294121</v>
      </c>
      <c r="F22" s="65">
        <f>AVERAGEIF($C$36:$C$167,"=5",F$36:F$167)</f>
        <v>1.8235294117647058E-2</v>
      </c>
      <c r="G22" s="65">
        <f t="shared" ref="G22:AG22" si="57">AVERAGEIF($C$36:$C$167,"=5",G$36:G$167)</f>
        <v>0.46352941176470591</v>
      </c>
      <c r="H22" s="65">
        <f t="shared" si="57"/>
        <v>0.50117647058823522</v>
      </c>
      <c r="I22" s="65">
        <f t="shared" si="57"/>
        <v>1.4705882352941176E-2</v>
      </c>
      <c r="J22" s="65">
        <f t="shared" si="57"/>
        <v>0.29941176470588232</v>
      </c>
      <c r="K22" s="65">
        <f t="shared" si="57"/>
        <v>0.32058823529411762</v>
      </c>
      <c r="L22" s="65">
        <f t="shared" si="57"/>
        <v>0.69176470588235284</v>
      </c>
      <c r="M22" s="65">
        <f t="shared" si="57"/>
        <v>0.15941176470588236</v>
      </c>
      <c r="N22" s="65">
        <f t="shared" si="57"/>
        <v>0.24058823529411769</v>
      </c>
      <c r="O22" s="65">
        <f t="shared" si="57"/>
        <v>0.65058823529411769</v>
      </c>
      <c r="P22" s="65">
        <f t="shared" si="57"/>
        <v>0.30470588235294116</v>
      </c>
      <c r="Q22" s="65">
        <f t="shared" si="57"/>
        <v>0.37176470588235294</v>
      </c>
      <c r="R22" s="65">
        <f t="shared" si="57"/>
        <v>0.50588235294117645</v>
      </c>
      <c r="S22" s="65">
        <f t="shared" si="57"/>
        <v>0.56058823529411761</v>
      </c>
      <c r="T22" s="65">
        <f t="shared" si="57"/>
        <v>0.42588235294117643</v>
      </c>
      <c r="U22" s="65">
        <f t="shared" si="57"/>
        <v>0.52647058823529413</v>
      </c>
      <c r="V22" s="65">
        <f t="shared" si="57"/>
        <v>4.5882352941176464E-2</v>
      </c>
      <c r="W22" s="65">
        <f t="shared" si="57"/>
        <v>0.12176470588235296</v>
      </c>
      <c r="X22" s="65">
        <f t="shared" si="57"/>
        <v>0.45294117647058824</v>
      </c>
      <c r="Y22" s="65">
        <f t="shared" si="57"/>
        <v>0.45882352941176469</v>
      </c>
      <c r="Z22" s="65">
        <f t="shared" si="57"/>
        <v>0.70454545454545459</v>
      </c>
      <c r="AA22" s="65">
        <f t="shared" si="57"/>
        <v>8.1176470588235294E-2</v>
      </c>
      <c r="AB22" s="65">
        <f t="shared" si="57"/>
        <v>0.41941176470588237</v>
      </c>
      <c r="AC22" s="65">
        <f t="shared" si="57"/>
        <v>0.18941176470588234</v>
      </c>
      <c r="AD22" s="65">
        <f t="shared" si="57"/>
        <v>0.38823529411764707</v>
      </c>
      <c r="AE22" s="65">
        <f t="shared" si="57"/>
        <v>0.32588235294117651</v>
      </c>
      <c r="AF22" s="65">
        <f t="shared" si="57"/>
        <v>0.48235294117647065</v>
      </c>
      <c r="AG22" s="65">
        <f t="shared" si="57"/>
        <v>0.47352941176470592</v>
      </c>
      <c r="AH22" s="192">
        <f>AVERAGEIF($C$36:$C$167,"=5",AH$36:AH$167)</f>
        <v>55</v>
      </c>
      <c r="AI22" s="192">
        <f>AVERAGEIF($C$36:$C$167,"=5",AI$36:AI$167)</f>
        <v>7.7058823529411766</v>
      </c>
      <c r="AJ22" s="65">
        <f>AVERAGEIF($C$36:$C$167,"=5",AJ$36:AJ$167)</f>
        <v>6.2941176470588237E-2</v>
      </c>
      <c r="AK22" s="65">
        <f t="shared" ref="AK22:BL22" si="58">AVERAGEIF($C$36:$C$167,"=5",AK$36:AK$167)</f>
        <v>0.43588235294117644</v>
      </c>
      <c r="AL22" s="65">
        <f t="shared" si="58"/>
        <v>0.49176470588235288</v>
      </c>
      <c r="AM22" s="65">
        <f t="shared" si="58"/>
        <v>0.01</v>
      </c>
      <c r="AN22" s="65">
        <f t="shared" si="58"/>
        <v>0.23117647058823532</v>
      </c>
      <c r="AO22" s="65">
        <f t="shared" si="58"/>
        <v>0.44176470588235295</v>
      </c>
      <c r="AP22" s="65">
        <f t="shared" si="58"/>
        <v>0.501764705882353</v>
      </c>
      <c r="AQ22" s="65">
        <f t="shared" si="58"/>
        <v>0.308235294117647</v>
      </c>
      <c r="AR22" s="65">
        <f t="shared" si="58"/>
        <v>0.49235294117647066</v>
      </c>
      <c r="AS22" s="65">
        <f t="shared" si="58"/>
        <v>0.45588235294117646</v>
      </c>
      <c r="AT22" s="65">
        <f t="shared" si="58"/>
        <v>0.46294117647058824</v>
      </c>
      <c r="AU22" s="65">
        <f t="shared" si="58"/>
        <v>0.43588235294117655</v>
      </c>
      <c r="AV22" s="65">
        <f t="shared" si="58"/>
        <v>0.53823529411764692</v>
      </c>
      <c r="AW22" s="65">
        <f t="shared" si="58"/>
        <v>0.4552941176470589</v>
      </c>
      <c r="AX22" s="65">
        <f t="shared" si="58"/>
        <v>0.4864705882352941</v>
      </c>
      <c r="AY22" s="65">
        <f t="shared" si="58"/>
        <v>0.26411764705882357</v>
      </c>
      <c r="AZ22" s="65">
        <f t="shared" si="58"/>
        <v>0.21176470588235297</v>
      </c>
      <c r="BA22" s="65">
        <f t="shared" si="58"/>
        <v>0.4088235294117647</v>
      </c>
      <c r="BB22" s="65">
        <f t="shared" si="58"/>
        <v>0.60117647058823531</v>
      </c>
      <c r="BC22" s="65">
        <f t="shared" si="58"/>
        <v>0.60588235294117643</v>
      </c>
      <c r="BD22" s="65">
        <f t="shared" si="58"/>
        <v>0.37882352941176478</v>
      </c>
      <c r="BE22" s="65">
        <f t="shared" si="58"/>
        <v>0.54470588235294126</v>
      </c>
      <c r="BF22" s="65">
        <f t="shared" si="58"/>
        <v>0.53882352941176459</v>
      </c>
      <c r="BG22" s="65">
        <f t="shared" si="58"/>
        <v>0.45117647058823523</v>
      </c>
      <c r="BH22" s="65">
        <f t="shared" si="58"/>
        <v>0.4035294117647058</v>
      </c>
      <c r="BI22" s="65">
        <f t="shared" si="58"/>
        <v>0.36176470588235299</v>
      </c>
      <c r="BJ22" s="65">
        <f t="shared" si="58"/>
        <v>0.30882352941176472</v>
      </c>
      <c r="BK22" s="65">
        <f t="shared" si="58"/>
        <v>0.3758823529411765</v>
      </c>
      <c r="BL22" s="65">
        <f t="shared" si="58"/>
        <v>0.43882352941176478</v>
      </c>
      <c r="BM22" s="192">
        <f>AVERAGEIF($C$36:$C$167,"=5",BM$36:BM$167)</f>
        <v>53.611111111111114</v>
      </c>
      <c r="BN22" s="192">
        <f>AVERAGEIF($C$36:$C$167,"=5",BN$36:BN$167)</f>
        <v>7.8888888888888893</v>
      </c>
      <c r="BO22" s="65">
        <f>AVERAGEIF($C$36:$C$167,"=5",BO$36:BO$167)</f>
        <v>6.8333333333333343E-2</v>
      </c>
      <c r="BP22" s="65">
        <f t="shared" ref="BP22:CR22" si="59">AVERAGEIF($C$36:$C$167,"=5",BP$36:BP$167)</f>
        <v>0.54222222222222216</v>
      </c>
      <c r="BQ22" s="65">
        <f t="shared" si="59"/>
        <v>0.36666666666666664</v>
      </c>
      <c r="BR22" s="65">
        <f t="shared" si="59"/>
        <v>2.388888888888889E-2</v>
      </c>
      <c r="BS22" s="65">
        <f t="shared" si="59"/>
        <v>0.27777777777777773</v>
      </c>
      <c r="BT22" s="65">
        <f t="shared" si="59"/>
        <v>0.58882352941176475</v>
      </c>
      <c r="BU22" s="65">
        <f t="shared" si="59"/>
        <v>0.59294117647058808</v>
      </c>
      <c r="BV22" s="65">
        <f t="shared" si="59"/>
        <v>0.30666666666666664</v>
      </c>
      <c r="BW22" s="65">
        <f t="shared" si="59"/>
        <v>0.60555555555555562</v>
      </c>
      <c r="BX22" s="65">
        <f t="shared" si="59"/>
        <v>0.30166666666666664</v>
      </c>
      <c r="BY22" s="65">
        <f t="shared" si="59"/>
        <v>0.38500000000000001</v>
      </c>
      <c r="BZ22" s="65">
        <f t="shared" si="59"/>
        <v>0.46333333333333354</v>
      </c>
      <c r="CA22" s="65">
        <f t="shared" si="59"/>
        <v>0.42666666666666664</v>
      </c>
      <c r="CB22" s="65">
        <f t="shared" si="59"/>
        <v>0.30166666666666675</v>
      </c>
      <c r="CC22" s="65">
        <f t="shared" si="59"/>
        <v>0.19055555555555556</v>
      </c>
      <c r="CD22" s="65">
        <f t="shared" si="59"/>
        <v>0.34666666666666662</v>
      </c>
      <c r="CE22" s="65">
        <f t="shared" si="59"/>
        <v>0.29611111111111105</v>
      </c>
      <c r="CF22" s="65">
        <f t="shared" si="59"/>
        <v>0.59111111111111114</v>
      </c>
      <c r="CG22" s="65">
        <f t="shared" si="59"/>
        <v>0.54388888888888898</v>
      </c>
      <c r="CH22" s="65">
        <f t="shared" si="59"/>
        <v>0.4055555555555555</v>
      </c>
      <c r="CI22" s="65">
        <f t="shared" si="59"/>
        <v>0.50500000000000012</v>
      </c>
      <c r="CJ22" s="65">
        <f t="shared" si="59"/>
        <v>0.33111111111111113</v>
      </c>
      <c r="CK22" s="65">
        <f t="shared" si="59"/>
        <v>0.6166666666666667</v>
      </c>
      <c r="CL22" s="65">
        <f t="shared" si="59"/>
        <v>0.23166666666666672</v>
      </c>
      <c r="CM22" s="65">
        <f t="shared" si="59"/>
        <v>0.39055555555555554</v>
      </c>
      <c r="CN22" s="65">
        <f t="shared" si="59"/>
        <v>0.38388888888888889</v>
      </c>
      <c r="CO22" s="65">
        <f t="shared" si="59"/>
        <v>0.39222222222222214</v>
      </c>
      <c r="CP22" s="65">
        <f t="shared" si="59"/>
        <v>0.28888888888888892</v>
      </c>
      <c r="CQ22" s="65">
        <f t="shared" si="59"/>
        <v>0.51055555555555565</v>
      </c>
      <c r="CR22" s="65">
        <f t="shared" si="59"/>
        <v>0.47833333333333339</v>
      </c>
      <c r="CS22" s="192">
        <f>AVERAGEIF($C$36:$C$167,"=5",CS$36:CS$167)</f>
        <v>52.157894736842103</v>
      </c>
      <c r="CT22" s="192">
        <f>AVERAGEIF($C$36:$C$167,"=5",CT$36:CT$167)</f>
        <v>8.2631578947368425</v>
      </c>
      <c r="CU22" s="65">
        <f>AVERAGEIF($C$36:$C$167,"=5",CU$36:CU$167)</f>
        <v>0.10210526315789475</v>
      </c>
      <c r="CV22" s="65">
        <f t="shared" ref="CV22:DW22" si="60">AVERAGEIF($C$36:$C$167,"=5",CV$36:CV$167)</f>
        <v>0.526842105263158</v>
      </c>
      <c r="CW22" s="65">
        <f t="shared" si="60"/>
        <v>0.34894736842105267</v>
      </c>
      <c r="CX22" s="65">
        <f t="shared" si="60"/>
        <v>2.3684210526315787E-2</v>
      </c>
      <c r="CY22" s="65">
        <f t="shared" si="60"/>
        <v>0.45105263157894737</v>
      </c>
      <c r="CZ22" s="65">
        <f t="shared" si="60"/>
        <v>0.25210526315789478</v>
      </c>
      <c r="DA22" s="65">
        <f t="shared" si="60"/>
        <v>0.52368421052631586</v>
      </c>
      <c r="DB22" s="65">
        <f t="shared" si="60"/>
        <v>0.31210526315789483</v>
      </c>
      <c r="DC22" s="65">
        <f t="shared" si="60"/>
        <v>0.40684210526315789</v>
      </c>
      <c r="DD22" s="65">
        <f t="shared" si="60"/>
        <v>0.60894736842105257</v>
      </c>
      <c r="DE22" s="65">
        <f t="shared" si="60"/>
        <v>0.41315789473684206</v>
      </c>
      <c r="DF22" s="65">
        <f t="shared" si="60"/>
        <v>0.50368421052631596</v>
      </c>
      <c r="DG22" s="65">
        <f t="shared" si="60"/>
        <v>0.41631578947368419</v>
      </c>
      <c r="DH22" s="65">
        <f t="shared" si="60"/>
        <v>0.33789473684210525</v>
      </c>
      <c r="DI22" s="65">
        <f t="shared" si="60"/>
        <v>0.49105263157894735</v>
      </c>
      <c r="DJ22" s="65">
        <f t="shared" si="60"/>
        <v>0.43789473684210528</v>
      </c>
      <c r="DK22" s="65">
        <f t="shared" si="60"/>
        <v>0.27789473684210531</v>
      </c>
      <c r="DL22" s="65">
        <f t="shared" si="60"/>
        <v>0.33210526315789474</v>
      </c>
      <c r="DM22" s="65">
        <f t="shared" si="60"/>
        <v>0.48736842105263156</v>
      </c>
      <c r="DN22" s="65">
        <f t="shared" si="60"/>
        <v>0.44736842105263169</v>
      </c>
      <c r="DO22" s="65">
        <f t="shared" si="60"/>
        <v>0.37789473684210523</v>
      </c>
      <c r="DP22" s="65">
        <f t="shared" si="60"/>
        <v>0.39736842105263159</v>
      </c>
      <c r="DQ22" s="65">
        <f t="shared" si="60"/>
        <v>0.52315789473684216</v>
      </c>
      <c r="DR22" s="65">
        <f t="shared" si="60"/>
        <v>0.19000000000000003</v>
      </c>
      <c r="DS22" s="65">
        <f t="shared" si="60"/>
        <v>0.36526315789473685</v>
      </c>
      <c r="DT22" s="65">
        <f t="shared" si="60"/>
        <v>0.57736842105263142</v>
      </c>
      <c r="DU22" s="65">
        <f t="shared" si="60"/>
        <v>0.42052631578947369</v>
      </c>
      <c r="DV22" s="65">
        <f t="shared" si="60"/>
        <v>0.54736842105263162</v>
      </c>
      <c r="DW22" s="65">
        <f t="shared" si="60"/>
        <v>0.30526315789473679</v>
      </c>
      <c r="DX22" s="192">
        <f>AVERAGEIF($C$36:$C$167,"=5",DX$36:DX$167)</f>
        <v>52.777777777777779</v>
      </c>
      <c r="DY22" s="192">
        <f>AVERAGEIF($C$36:$C$167,"=5",DY$36:DY$167)</f>
        <v>7.7222222222222223</v>
      </c>
      <c r="DZ22" s="65">
        <f>AVERAGEIF($C$36:$C$167,"=5",DZ$36:DZ$167)</f>
        <v>8.8333333333333347E-2</v>
      </c>
      <c r="EA22" s="65">
        <f t="shared" ref="EA22:FA22" si="61">AVERAGEIF($C$36:$C$167,"=5",EA$36:EA$167)</f>
        <v>0.50388888888888883</v>
      </c>
      <c r="EB22" s="65">
        <f t="shared" si="61"/>
        <v>0.40055555555555561</v>
      </c>
      <c r="EC22" s="65">
        <f t="shared" si="61"/>
        <v>8.3333333333333332E-3</v>
      </c>
      <c r="ED22" s="65">
        <f t="shared" si="61"/>
        <v>0.45722222222222225</v>
      </c>
      <c r="EE22" s="65">
        <f t="shared" si="61"/>
        <v>0.4211111111111111</v>
      </c>
      <c r="EF22" s="65">
        <f t="shared" si="61"/>
        <v>0.45500000000000007</v>
      </c>
      <c r="EG22" s="65">
        <f t="shared" si="61"/>
        <v>0.24555555555555555</v>
      </c>
      <c r="EH22" s="65">
        <f t="shared" si="61"/>
        <v>0.33888888888888885</v>
      </c>
      <c r="EI22" s="65">
        <f t="shared" si="61"/>
        <v>0.46722222222222221</v>
      </c>
      <c r="EJ22" s="65">
        <f t="shared" si="61"/>
        <v>0.52888888888888874</v>
      </c>
      <c r="EK22" s="65">
        <f t="shared" si="61"/>
        <v>0.22833333333333336</v>
      </c>
      <c r="EL22" s="65">
        <f t="shared" si="61"/>
        <v>0.37222222222222218</v>
      </c>
      <c r="EM22" s="65">
        <f t="shared" si="61"/>
        <v>0.5872222222222222</v>
      </c>
      <c r="EN22" s="65">
        <f t="shared" si="61"/>
        <v>0.3600000000000001</v>
      </c>
      <c r="EO22" s="65">
        <f t="shared" si="61"/>
        <v>0.53555555555555578</v>
      </c>
      <c r="EP22" s="65">
        <f t="shared" si="61"/>
        <v>0.35055555555555551</v>
      </c>
      <c r="EQ22" s="65">
        <f t="shared" si="61"/>
        <v>0.18722222222222226</v>
      </c>
      <c r="ER22" s="65">
        <f t="shared" si="61"/>
        <v>0.54999999999999993</v>
      </c>
      <c r="ES22" s="65">
        <f t="shared" si="61"/>
        <v>0.40055555555555561</v>
      </c>
      <c r="ET22" s="65">
        <f t="shared" si="61"/>
        <v>0.26277777777777783</v>
      </c>
      <c r="EU22" s="65">
        <f t="shared" si="61"/>
        <v>0.53055555555555545</v>
      </c>
      <c r="EV22" s="65">
        <f t="shared" si="61"/>
        <v>0.27</v>
      </c>
      <c r="EW22" s="65">
        <f t="shared" si="61"/>
        <v>0.28111111111111114</v>
      </c>
      <c r="EX22" s="65">
        <f t="shared" si="61"/>
        <v>0.66388888888888886</v>
      </c>
      <c r="EY22" s="65">
        <f t="shared" si="61"/>
        <v>0.51111111111111107</v>
      </c>
      <c r="EZ22" s="65">
        <f t="shared" si="61"/>
        <v>0.17444444444444446</v>
      </c>
      <c r="FA22" s="65">
        <f t="shared" si="61"/>
        <v>0.56333333333333335</v>
      </c>
      <c r="FB22" s="192">
        <f>AVERAGEIF($C$36:$C$167,"=5",FB$36:FB$167)</f>
        <v>52.277777777777779</v>
      </c>
      <c r="FC22" s="336"/>
      <c r="FD22" s="192">
        <f>AVERAGEIF($C$36:$C$167,"=5",FD$36:FD$167)</f>
        <v>8</v>
      </c>
      <c r="FE22" s="336"/>
      <c r="FF22" s="65">
        <f>AVERAGEIF($C$36:$C$167,"=5",FF$36:FF$167)</f>
        <v>8.111111111111112E-2</v>
      </c>
      <c r="FG22" s="65">
        <f t="shared" ref="FG22:GI22" si="62">AVERAGEIF($C$36:$C$167,"=5",FG$36:FG$167)</f>
        <v>0.56222222222222207</v>
      </c>
      <c r="FH22" s="65">
        <f t="shared" si="62"/>
        <v>0.34944444444444445</v>
      </c>
      <c r="FI22" s="65">
        <f t="shared" si="62"/>
        <v>1.0555555555555556E-2</v>
      </c>
      <c r="FJ22" s="65">
        <f t="shared" si="62"/>
        <v>0.40166666666666667</v>
      </c>
      <c r="FK22" s="65">
        <f t="shared" si="62"/>
        <v>0.63055555555555565</v>
      </c>
      <c r="FL22" s="65">
        <f t="shared" si="62"/>
        <v>0.44944444444444442</v>
      </c>
      <c r="FM22" s="65">
        <f t="shared" si="62"/>
        <v>0.40333333333333338</v>
      </c>
      <c r="FN22" s="65">
        <f t="shared" si="62"/>
        <v>0.24388888888888893</v>
      </c>
      <c r="FO22" s="65">
        <f t="shared" si="62"/>
        <v>0.27888888888888891</v>
      </c>
      <c r="FP22" s="65">
        <f t="shared" si="62"/>
        <v>0.3444444444444445</v>
      </c>
      <c r="FQ22" s="65">
        <f t="shared" si="62"/>
        <v>0.36388888888888893</v>
      </c>
      <c r="FR22" s="65">
        <f t="shared" si="62"/>
        <v>0.54444444444444451</v>
      </c>
      <c r="FS22" s="65">
        <f t="shared" si="62"/>
        <v>0.47611111111111115</v>
      </c>
      <c r="FT22" s="65">
        <f t="shared" si="62"/>
        <v>0.45444444444444443</v>
      </c>
      <c r="FU22" s="65">
        <f t="shared" si="62"/>
        <v>0.32</v>
      </c>
      <c r="FV22" s="65">
        <f t="shared" si="62"/>
        <v>0.54888888888888887</v>
      </c>
      <c r="FW22" s="65">
        <f t="shared" si="62"/>
        <v>0.51333333333333331</v>
      </c>
      <c r="FX22" s="65">
        <f t="shared" si="62"/>
        <v>0.41833333333333333</v>
      </c>
      <c r="FY22" s="65">
        <f t="shared" si="62"/>
        <v>0.3288888888888889</v>
      </c>
      <c r="FZ22" s="65">
        <f t="shared" si="62"/>
        <v>0.35166666666666668</v>
      </c>
      <c r="GA22" s="65">
        <f t="shared" si="62"/>
        <v>0.46222222222222226</v>
      </c>
      <c r="GB22" s="65">
        <f t="shared" si="62"/>
        <v>0.48388888888888892</v>
      </c>
      <c r="GC22" s="65">
        <f t="shared" si="62"/>
        <v>0.40111111111111114</v>
      </c>
      <c r="GD22" s="65">
        <f t="shared" si="62"/>
        <v>0.55555555555555558</v>
      </c>
      <c r="GE22" s="65">
        <f t="shared" si="62"/>
        <v>0.46722222222222221</v>
      </c>
      <c r="GF22" s="65">
        <f t="shared" si="62"/>
        <v>0.39944444444444449</v>
      </c>
      <c r="GG22" s="65">
        <f t="shared" si="62"/>
        <v>0.40055555555555561</v>
      </c>
      <c r="GH22" s="65">
        <f t="shared" si="62"/>
        <v>0.52444444444444438</v>
      </c>
      <c r="GI22" s="65">
        <f t="shared" si="62"/>
        <v>0.26555555555555554</v>
      </c>
      <c r="GJ22" s="192">
        <f>AVERAGEIF($C$36:$C$167,"=5",GJ$36:GJ$167)</f>
        <v>53.705882352941174</v>
      </c>
      <c r="GL22" s="192">
        <f>AVERAGEIF($C$36:$C$167,"=5",GL$36:GL$167)</f>
        <v>8.117647058823529</v>
      </c>
      <c r="GN22" s="521">
        <f>AVERAGEIF($C$36:$C$167,"=5",GN$36:GN$167)</f>
        <v>6.7058823529411768E-2</v>
      </c>
      <c r="GO22" s="521">
        <f t="shared" ref="GO22:HQ22" si="63">AVERAGEIF($C$36:$C$167,"=5",GO$36:GO$167)</f>
        <v>0.51</v>
      </c>
      <c r="GP22" s="521">
        <f t="shared" si="63"/>
        <v>0.40176470588235297</v>
      </c>
      <c r="GQ22" s="521">
        <f t="shared" si="63"/>
        <v>2.1176470588235293E-2</v>
      </c>
      <c r="GR22" s="521">
        <f t="shared" si="63"/>
        <v>0.42176470588235293</v>
      </c>
      <c r="GS22" s="521">
        <f t="shared" si="63"/>
        <v>0.46117647058823535</v>
      </c>
      <c r="GT22" s="521">
        <f t="shared" si="63"/>
        <v>0.56588235294117639</v>
      </c>
      <c r="GU22" s="521">
        <f t="shared" si="63"/>
        <v>0.18705882352941178</v>
      </c>
      <c r="GV22" s="521">
        <f t="shared" si="63"/>
        <v>0.49352941176470594</v>
      </c>
      <c r="GW22" s="521">
        <f t="shared" si="63"/>
        <v>0.3623529411764706</v>
      </c>
      <c r="GX22" s="521">
        <f t="shared" si="63"/>
        <v>0.39999999999999997</v>
      </c>
      <c r="GY22" s="521" t="e">
        <f t="shared" si="63"/>
        <v>#DIV/0!</v>
      </c>
      <c r="GZ22" s="521">
        <f t="shared" si="63"/>
        <v>0.26411764705882357</v>
      </c>
      <c r="HA22" s="521">
        <f t="shared" si="63"/>
        <v>0.6100000000000001</v>
      </c>
      <c r="HB22" s="521">
        <f t="shared" si="63"/>
        <v>0.39588235294117646</v>
      </c>
      <c r="HC22" s="521">
        <f t="shared" si="63"/>
        <v>0.50117647058823522</v>
      </c>
      <c r="HD22" s="521">
        <f t="shared" si="63"/>
        <v>0.49705882352941172</v>
      </c>
      <c r="HE22" s="521">
        <f t="shared" si="63"/>
        <v>0.41235294117647064</v>
      </c>
      <c r="HF22" s="521">
        <f t="shared" si="63"/>
        <v>0.42352941176470582</v>
      </c>
      <c r="HG22" s="521">
        <f t="shared" si="63"/>
        <v>0.64705882352941191</v>
      </c>
      <c r="HH22" s="521">
        <f t="shared" si="63"/>
        <v>0.33588235294117652</v>
      </c>
      <c r="HI22" s="521">
        <f t="shared" si="63"/>
        <v>0.46058823529411774</v>
      </c>
      <c r="HJ22" s="521">
        <f t="shared" si="63"/>
        <v>0.54117647058823526</v>
      </c>
      <c r="HK22" s="521">
        <f t="shared" si="63"/>
        <v>0.46764705882352947</v>
      </c>
      <c r="HL22" s="521">
        <f t="shared" si="63"/>
        <v>0.32705882352941179</v>
      </c>
      <c r="HM22" s="521">
        <f t="shared" si="63"/>
        <v>0.45235294117647068</v>
      </c>
      <c r="HN22" s="521">
        <f t="shared" si="63"/>
        <v>0.42470588235294121</v>
      </c>
      <c r="HO22" s="521">
        <f t="shared" si="63"/>
        <v>0.3605882352941176</v>
      </c>
      <c r="HP22" s="521" t="e">
        <f t="shared" si="63"/>
        <v>#DIV/0!</v>
      </c>
      <c r="HQ22" s="521">
        <f t="shared" si="63"/>
        <v>0.34529411764705875</v>
      </c>
      <c r="HR22" s="192">
        <f>AVERAGEIF($C$36:$C$167,"=5",HR$36:HR$167)</f>
        <v>54.588235294117645</v>
      </c>
      <c r="HT22" s="192">
        <f>AVERAGEIF($C$36:$C$167,"=5",HT$36:HT$167)</f>
        <v>8.235294117647058</v>
      </c>
      <c r="HV22" s="521">
        <f>AVERAGEIF($C$36:$C$167,"=5",HV$36:HV$167)</f>
        <v>5.8823529411764705E-2</v>
      </c>
      <c r="HW22" s="521">
        <f t="shared" ref="HW22:IY22" si="64">AVERAGEIF($C$36:$C$167,"=5",HW$36:HW$167)</f>
        <v>0.48058823529411776</v>
      </c>
      <c r="HX22" s="521">
        <f t="shared" si="64"/>
        <v>0.42411764705882354</v>
      </c>
      <c r="HY22" s="521">
        <f t="shared" si="64"/>
        <v>3.411764705882353E-2</v>
      </c>
      <c r="HZ22" s="521">
        <f t="shared" si="64"/>
        <v>0.33470588235294113</v>
      </c>
      <c r="IA22" s="521">
        <f t="shared" si="64"/>
        <v>0.46117647058823524</v>
      </c>
      <c r="IB22" s="521">
        <f t="shared" si="64"/>
        <v>0.30176470588235299</v>
      </c>
      <c r="IC22" s="521">
        <f t="shared" si="64"/>
        <v>0.44470588235294117</v>
      </c>
      <c r="ID22" s="521">
        <f t="shared" si="64"/>
        <v>0.59176470588235297</v>
      </c>
      <c r="IE22" s="521">
        <f t="shared" si="64"/>
        <v>0.27470588235294119</v>
      </c>
      <c r="IF22" s="521">
        <f t="shared" si="64"/>
        <v>0.34411764705882358</v>
      </c>
      <c r="IG22" s="521">
        <f t="shared" si="64"/>
        <v>0.48235294117647054</v>
      </c>
      <c r="IH22" s="521">
        <f t="shared" si="64"/>
        <v>0.46</v>
      </c>
      <c r="II22" s="521">
        <f t="shared" si="64"/>
        <v>0.21882352941176472</v>
      </c>
      <c r="IJ22" s="521">
        <f t="shared" si="64"/>
        <v>0.20588235294117646</v>
      </c>
      <c r="IK22" s="521">
        <f t="shared" si="64"/>
        <v>0.51823529411764724</v>
      </c>
      <c r="IL22" s="521">
        <f t="shared" si="64"/>
        <v>0.29176470588235298</v>
      </c>
      <c r="IM22" s="521">
        <f t="shared" si="64"/>
        <v>0.55117647058823527</v>
      </c>
      <c r="IN22" s="521">
        <f t="shared" si="64"/>
        <v>0.36058823529411765</v>
      </c>
      <c r="IO22" s="521">
        <f t="shared" si="64"/>
        <v>0.48058823529411765</v>
      </c>
      <c r="IP22" s="521">
        <f t="shared" si="64"/>
        <v>0.31941176470588234</v>
      </c>
      <c r="IQ22" s="521">
        <f t="shared" si="64"/>
        <v>0.60764705882352965</v>
      </c>
      <c r="IR22" s="521">
        <f t="shared" si="64"/>
        <v>0.47941176470588237</v>
      </c>
      <c r="IS22" s="521">
        <f t="shared" si="64"/>
        <v>0.46117647058823524</v>
      </c>
      <c r="IT22" s="521">
        <f t="shared" si="64"/>
        <v>0.37058823529411766</v>
      </c>
      <c r="IU22" s="521" t="e">
        <f t="shared" si="64"/>
        <v>#DIV/0!</v>
      </c>
      <c r="IV22" s="521">
        <f t="shared" si="64"/>
        <v>0.56058823529411783</v>
      </c>
      <c r="IW22" s="521">
        <f t="shared" si="64"/>
        <v>0.35705882352941176</v>
      </c>
      <c r="IX22" s="521">
        <f t="shared" si="64"/>
        <v>0.40117647058823536</v>
      </c>
      <c r="IY22" s="521">
        <f t="shared" si="64"/>
        <v>0.41470588235294115</v>
      </c>
    </row>
    <row r="23" spans="1:259" ht="24.9" customHeight="1" x14ac:dyDescent="0.25">
      <c r="A23" s="283" t="s">
        <v>251</v>
      </c>
      <c r="B23" s="6"/>
      <c r="C23" s="6"/>
      <c r="D23" s="192">
        <f>AVERAGEIF($C$36:$C$167,"=6",D$36:D$167)</f>
        <v>55.06666666666667</v>
      </c>
      <c r="E23" s="192">
        <f>AVERAGEIF($C$36:$C$167,"=6",E$36:E$167)</f>
        <v>5.8</v>
      </c>
      <c r="F23" s="65">
        <f>AVERAGEIF($C$36:$C$167,"=6",F$36:F$167)</f>
        <v>1.6666666666666666E-2</v>
      </c>
      <c r="G23" s="65">
        <f t="shared" ref="G23:AG23" si="65">AVERAGEIF($C$36:$C$167,"=6",G$36:G$167)</f>
        <v>0.52333333333333332</v>
      </c>
      <c r="H23" s="65">
        <f t="shared" si="65"/>
        <v>0.45466666666666661</v>
      </c>
      <c r="I23" s="65">
        <f t="shared" si="65"/>
        <v>3.3333333333333335E-3</v>
      </c>
      <c r="J23" s="65">
        <f t="shared" si="65"/>
        <v>0.39400000000000002</v>
      </c>
      <c r="K23" s="65">
        <f t="shared" si="65"/>
        <v>0.38466666666666666</v>
      </c>
      <c r="L23" s="65">
        <f t="shared" si="65"/>
        <v>0.72733333333333339</v>
      </c>
      <c r="M23" s="65">
        <f t="shared" si="65"/>
        <v>0.16466666666666666</v>
      </c>
      <c r="N23" s="65">
        <f t="shared" si="65"/>
        <v>0.27799999999999997</v>
      </c>
      <c r="O23" s="65">
        <f t="shared" si="65"/>
        <v>0.59866666666666668</v>
      </c>
      <c r="P23" s="65">
        <f t="shared" si="65"/>
        <v>0.34866666666666662</v>
      </c>
      <c r="Q23" s="65">
        <f t="shared" si="65"/>
        <v>0.40400000000000003</v>
      </c>
      <c r="R23" s="65">
        <f t="shared" si="65"/>
        <v>0.5013333333333333</v>
      </c>
      <c r="S23" s="65">
        <f t="shared" si="65"/>
        <v>0.56799999999999995</v>
      </c>
      <c r="T23" s="65">
        <f t="shared" si="65"/>
        <v>0.45200000000000001</v>
      </c>
      <c r="U23" s="65">
        <f t="shared" si="65"/>
        <v>0.5079999999999999</v>
      </c>
      <c r="V23" s="65">
        <f t="shared" si="65"/>
        <v>6.2000000000000013E-2</v>
      </c>
      <c r="W23" s="65">
        <f t="shared" si="65"/>
        <v>0.11133333333333333</v>
      </c>
      <c r="X23" s="65">
        <f t="shared" si="65"/>
        <v>0.46800000000000003</v>
      </c>
      <c r="Y23" s="65">
        <f t="shared" si="65"/>
        <v>0.42066666666666663</v>
      </c>
      <c r="Z23" s="65">
        <f t="shared" si="65"/>
        <v>0.62</v>
      </c>
      <c r="AA23" s="65">
        <f t="shared" si="65"/>
        <v>8.2666666666666666E-2</v>
      </c>
      <c r="AB23" s="65">
        <f t="shared" si="65"/>
        <v>0.39599999999999996</v>
      </c>
      <c r="AC23" s="65">
        <f t="shared" si="65"/>
        <v>0.252</v>
      </c>
      <c r="AD23" s="65">
        <f t="shared" si="65"/>
        <v>0.41133333333333333</v>
      </c>
      <c r="AE23" s="65">
        <f t="shared" si="65"/>
        <v>0.41066666666666668</v>
      </c>
      <c r="AF23" s="65">
        <f t="shared" si="65"/>
        <v>0.49533333333333346</v>
      </c>
      <c r="AG23" s="65">
        <f t="shared" si="65"/>
        <v>0.49866666666666681</v>
      </c>
      <c r="AH23" s="192">
        <f>AVERAGEIF($C$36:$C$167,"=6",AH$36:AH$167)</f>
        <v>52.06666666666667</v>
      </c>
      <c r="AI23" s="192">
        <f>AVERAGEIF($C$36:$C$167,"=6",AI$36:AI$167)</f>
        <v>7.9333333333333336</v>
      </c>
      <c r="AJ23" s="65">
        <f>AVERAGEIF($C$36:$C$167,"=6",AJ$36:AJ$167)</f>
        <v>0.10733333333333334</v>
      </c>
      <c r="AK23" s="65">
        <f t="shared" ref="AK23:BL23" si="66">AVERAGEIF($C$36:$C$167,"=6",AK$36:AK$167)</f>
        <v>0.52999999999999992</v>
      </c>
      <c r="AL23" s="65">
        <f t="shared" si="66"/>
        <v>0.35399999999999998</v>
      </c>
      <c r="AM23" s="65">
        <f t="shared" si="66"/>
        <v>9.3333333333333341E-3</v>
      </c>
      <c r="AN23" s="65">
        <f t="shared" si="66"/>
        <v>0.28000000000000003</v>
      </c>
      <c r="AO23" s="65">
        <f t="shared" si="66"/>
        <v>0.48066666666666674</v>
      </c>
      <c r="AP23" s="65">
        <f t="shared" si="66"/>
        <v>0.58466666666666667</v>
      </c>
      <c r="AQ23" s="65">
        <f t="shared" si="66"/>
        <v>0.37333333333333329</v>
      </c>
      <c r="AR23" s="65">
        <f t="shared" si="66"/>
        <v>0.50600000000000001</v>
      </c>
      <c r="AS23" s="65">
        <f t="shared" si="66"/>
        <v>0.52600000000000002</v>
      </c>
      <c r="AT23" s="65">
        <f t="shared" si="66"/>
        <v>0.51600000000000013</v>
      </c>
      <c r="AU23" s="65">
        <f t="shared" si="66"/>
        <v>0.52933333333333332</v>
      </c>
      <c r="AV23" s="65">
        <f t="shared" si="66"/>
        <v>0.60333333333333339</v>
      </c>
      <c r="AW23" s="65">
        <f t="shared" si="66"/>
        <v>0.53333333333333333</v>
      </c>
      <c r="AX23" s="65">
        <f t="shared" si="66"/>
        <v>0.53999999999999992</v>
      </c>
      <c r="AY23" s="65">
        <f t="shared" si="66"/>
        <v>0.33466666666666672</v>
      </c>
      <c r="AZ23" s="65">
        <f t="shared" si="66"/>
        <v>0.34400000000000008</v>
      </c>
      <c r="BA23" s="65">
        <f t="shared" si="66"/>
        <v>0.4820000000000001</v>
      </c>
      <c r="BB23" s="65">
        <f t="shared" si="66"/>
        <v>0.66799999999999982</v>
      </c>
      <c r="BC23" s="65">
        <f t="shared" si="66"/>
        <v>0.63266666666666671</v>
      </c>
      <c r="BD23" s="65">
        <f t="shared" si="66"/>
        <v>0.39933333333333343</v>
      </c>
      <c r="BE23" s="65">
        <f t="shared" si="66"/>
        <v>0.57133333333333336</v>
      </c>
      <c r="BF23" s="65">
        <f t="shared" si="66"/>
        <v>0.67666666666666664</v>
      </c>
      <c r="BG23" s="65">
        <f t="shared" si="66"/>
        <v>0.49399999999999999</v>
      </c>
      <c r="BH23" s="65">
        <f t="shared" si="66"/>
        <v>0.42600000000000005</v>
      </c>
      <c r="BI23" s="65">
        <f t="shared" si="66"/>
        <v>0.42800000000000005</v>
      </c>
      <c r="BJ23" s="65">
        <f t="shared" si="66"/>
        <v>0.37199999999999994</v>
      </c>
      <c r="BK23" s="65">
        <f t="shared" si="66"/>
        <v>0.43866666666666665</v>
      </c>
      <c r="BL23" s="65">
        <f t="shared" si="66"/>
        <v>0.40333333333333332</v>
      </c>
      <c r="BM23" s="192">
        <f>AVERAGEIF($C$36:$C$167,"=6",BM$36:BM$167)</f>
        <v>51</v>
      </c>
      <c r="BN23" s="192">
        <f>AVERAGEIF($C$36:$C$167,"=6",BN$36:BN$167)</f>
        <v>8.4285714285714288</v>
      </c>
      <c r="BO23" s="65">
        <f>AVERAGEIF($C$36:$C$167,"=6",BO$36:BO$167)</f>
        <v>9.2142857142857151E-2</v>
      </c>
      <c r="BP23" s="65">
        <f t="shared" ref="BP23:CR23" si="67">AVERAGEIF($C$36:$C$167,"=6",BP$36:BP$167)</f>
        <v>0.61142857142857143</v>
      </c>
      <c r="BQ23" s="65">
        <f t="shared" si="67"/>
        <v>0.29214285714285715</v>
      </c>
      <c r="BR23" s="65">
        <f t="shared" si="67"/>
        <v>6.4285714285714285E-3</v>
      </c>
      <c r="BS23" s="65">
        <f t="shared" si="67"/>
        <v>0.33714285714285719</v>
      </c>
      <c r="BT23" s="65">
        <f t="shared" si="67"/>
        <v>0.51</v>
      </c>
      <c r="BU23" s="65">
        <f t="shared" si="67"/>
        <v>0.62142857142857155</v>
      </c>
      <c r="BV23" s="65">
        <f t="shared" si="67"/>
        <v>0.28785714285714287</v>
      </c>
      <c r="BW23" s="65">
        <f t="shared" si="67"/>
        <v>0.61071428571428577</v>
      </c>
      <c r="BX23" s="65">
        <f t="shared" si="67"/>
        <v>0.3264285714285714</v>
      </c>
      <c r="BY23" s="65">
        <f t="shared" si="67"/>
        <v>0.42357142857142854</v>
      </c>
      <c r="BZ23" s="65">
        <f t="shared" si="67"/>
        <v>0.52071428571428569</v>
      </c>
      <c r="CA23" s="65">
        <f t="shared" si="67"/>
        <v>0.47357142857142859</v>
      </c>
      <c r="CB23" s="65">
        <f t="shared" si="67"/>
        <v>0.32357142857142851</v>
      </c>
      <c r="CC23" s="65">
        <f t="shared" si="67"/>
        <v>0.20142857142857143</v>
      </c>
      <c r="CD23" s="65">
        <f t="shared" si="67"/>
        <v>0.42785714285714288</v>
      </c>
      <c r="CE23" s="65">
        <f t="shared" si="67"/>
        <v>0.34285714285714286</v>
      </c>
      <c r="CF23" s="65">
        <f t="shared" si="67"/>
        <v>0.61428571428571421</v>
      </c>
      <c r="CG23" s="65">
        <f t="shared" si="67"/>
        <v>0.59142857142857153</v>
      </c>
      <c r="CH23" s="65">
        <f t="shared" si="67"/>
        <v>0.45285714285714285</v>
      </c>
      <c r="CI23" s="65">
        <f t="shared" si="67"/>
        <v>0.57714285714285718</v>
      </c>
      <c r="CJ23" s="65">
        <f t="shared" si="67"/>
        <v>0.32857142857142857</v>
      </c>
      <c r="CK23" s="65">
        <f t="shared" si="67"/>
        <v>0.66714285714285726</v>
      </c>
      <c r="CL23" s="65">
        <f t="shared" si="67"/>
        <v>0.31928571428571428</v>
      </c>
      <c r="CM23" s="65">
        <f t="shared" si="67"/>
        <v>0.44214285714285717</v>
      </c>
      <c r="CN23" s="65">
        <f t="shared" si="67"/>
        <v>0.4707142857142857</v>
      </c>
      <c r="CO23" s="65">
        <f t="shared" si="67"/>
        <v>0.42785714285714288</v>
      </c>
      <c r="CP23" s="65">
        <f t="shared" si="67"/>
        <v>0.35142857142857142</v>
      </c>
      <c r="CQ23" s="65">
        <f t="shared" si="67"/>
        <v>0.56857142857142862</v>
      </c>
      <c r="CR23" s="65">
        <f t="shared" si="67"/>
        <v>0.57928571428571429</v>
      </c>
      <c r="CS23" s="192">
        <f>AVERAGEIF($C$36:$C$167,"=6",CS$36:CS$167)</f>
        <v>50.333333333333336</v>
      </c>
      <c r="CT23" s="192">
        <f>AVERAGEIF($C$36:$C$167,"=6",CT$36:CT$167)</f>
        <v>8.1333333333333329</v>
      </c>
      <c r="CU23" s="65">
        <f>AVERAGEIF($C$36:$C$167,"=6",CU$36:CU$167)</f>
        <v>0.12066666666666669</v>
      </c>
      <c r="CV23" s="65">
        <f t="shared" ref="CV23:DW23" si="68">AVERAGEIF($C$36:$C$167,"=6",CV$36:CV$167)</f>
        <v>0.6293333333333333</v>
      </c>
      <c r="CW23" s="65">
        <f t="shared" si="68"/>
        <v>0.22800000000000001</v>
      </c>
      <c r="CX23" s="65">
        <f t="shared" si="68"/>
        <v>2.4E-2</v>
      </c>
      <c r="CY23" s="65">
        <f t="shared" si="68"/>
        <v>0.49466666666666664</v>
      </c>
      <c r="CZ23" s="65">
        <f t="shared" si="68"/>
        <v>0.30933333333333335</v>
      </c>
      <c r="DA23" s="65">
        <f t="shared" si="68"/>
        <v>0.55466666666666664</v>
      </c>
      <c r="DB23" s="65">
        <f t="shared" si="68"/>
        <v>0.38466666666666671</v>
      </c>
      <c r="DC23" s="65">
        <f t="shared" si="68"/>
        <v>0.44866666666666666</v>
      </c>
      <c r="DD23" s="65">
        <f t="shared" si="68"/>
        <v>0.6226666666666667</v>
      </c>
      <c r="DE23" s="65">
        <f t="shared" si="68"/>
        <v>0.43333333333333335</v>
      </c>
      <c r="DF23" s="65">
        <f t="shared" si="68"/>
        <v>0.52733333333333332</v>
      </c>
      <c r="DG23" s="65">
        <f t="shared" si="68"/>
        <v>0.38400000000000001</v>
      </c>
      <c r="DH23" s="65">
        <f t="shared" si="68"/>
        <v>0.39799999999999996</v>
      </c>
      <c r="DI23" s="65">
        <f t="shared" si="68"/>
        <v>0.48800000000000004</v>
      </c>
      <c r="DJ23" s="65">
        <f t="shared" si="68"/>
        <v>0.53933333333333333</v>
      </c>
      <c r="DK23" s="65">
        <f t="shared" si="68"/>
        <v>0.41</v>
      </c>
      <c r="DL23" s="65">
        <f t="shared" si="68"/>
        <v>0.40142857142857141</v>
      </c>
      <c r="DM23" s="65">
        <f t="shared" si="68"/>
        <v>0.52399999999999991</v>
      </c>
      <c r="DN23" s="65">
        <f t="shared" si="68"/>
        <v>0.47533333333333327</v>
      </c>
      <c r="DO23" s="65">
        <f t="shared" si="68"/>
        <v>0.45066666666666666</v>
      </c>
      <c r="DP23" s="65">
        <f t="shared" si="68"/>
        <v>0.45866666666666672</v>
      </c>
      <c r="DQ23" s="65">
        <f t="shared" si="68"/>
        <v>0.54333333333333333</v>
      </c>
      <c r="DR23" s="65">
        <f t="shared" si="68"/>
        <v>0.15266666666666667</v>
      </c>
      <c r="DS23" s="65">
        <f t="shared" si="68"/>
        <v>0.35733333333333334</v>
      </c>
      <c r="DT23" s="65">
        <f t="shared" si="68"/>
        <v>0.59466666666666668</v>
      </c>
      <c r="DU23" s="65">
        <f t="shared" si="68"/>
        <v>0.51466666666666672</v>
      </c>
      <c r="DV23" s="65">
        <f t="shared" si="68"/>
        <v>0.54266666666666674</v>
      </c>
      <c r="DW23" s="65">
        <f t="shared" si="68"/>
        <v>0.318</v>
      </c>
      <c r="DX23" s="192">
        <f>AVERAGEIF($C$36:$C$167,"=6",DX$36:DX$167)</f>
        <v>49.235294117647058</v>
      </c>
      <c r="DY23" s="192">
        <f>AVERAGEIF($C$36:$C$167,"=6",DY$36:DY$167)</f>
        <v>7.8235294117647056</v>
      </c>
      <c r="DZ23" s="65">
        <f>AVERAGEIF($C$36:$C$167,"=6",DZ$36:DZ$167)</f>
        <v>0.15999999999999998</v>
      </c>
      <c r="EA23" s="65">
        <f t="shared" ref="EA23:FA23" si="69">AVERAGEIF($C$36:$C$167,"=6",EA$36:EA$167)</f>
        <v>0.58411764705882352</v>
      </c>
      <c r="EB23" s="65">
        <f t="shared" si="69"/>
        <v>0.25294117647058817</v>
      </c>
      <c r="EC23" s="65">
        <f t="shared" si="69"/>
        <v>4.1176470588235288E-3</v>
      </c>
      <c r="ED23" s="65">
        <f t="shared" si="69"/>
        <v>0.53117647058823514</v>
      </c>
      <c r="EE23" s="65">
        <f t="shared" si="69"/>
        <v>0.46000000000000008</v>
      </c>
      <c r="EF23" s="65">
        <f t="shared" si="69"/>
        <v>0.51764705882352946</v>
      </c>
      <c r="EG23" s="65">
        <f t="shared" si="69"/>
        <v>0.39529411764705874</v>
      </c>
      <c r="EH23" s="65">
        <f t="shared" si="69"/>
        <v>0.47529411764705881</v>
      </c>
      <c r="EI23" s="65">
        <f t="shared" si="69"/>
        <v>0.56999999999999995</v>
      </c>
      <c r="EJ23" s="65">
        <f t="shared" si="69"/>
        <v>0.56823529411764706</v>
      </c>
      <c r="EK23" s="65">
        <f t="shared" si="69"/>
        <v>0.34352941176470592</v>
      </c>
      <c r="EL23" s="65">
        <f t="shared" si="69"/>
        <v>0.47000000000000003</v>
      </c>
      <c r="EM23" s="65">
        <f t="shared" si="69"/>
        <v>0.63764705882352946</v>
      </c>
      <c r="EN23" s="65">
        <f t="shared" si="69"/>
        <v>0.42823529411764705</v>
      </c>
      <c r="EO23" s="65">
        <f t="shared" si="69"/>
        <v>0.55882352941176472</v>
      </c>
      <c r="EP23" s="65">
        <f t="shared" si="69"/>
        <v>0.41176470588235298</v>
      </c>
      <c r="EQ23" s="65">
        <f t="shared" si="69"/>
        <v>0.32470588235294118</v>
      </c>
      <c r="ER23" s="65">
        <f t="shared" si="69"/>
        <v>0.58882352941176475</v>
      </c>
      <c r="ES23" s="65">
        <f t="shared" si="69"/>
        <v>0.48882352941176471</v>
      </c>
      <c r="ET23" s="65">
        <f t="shared" si="69"/>
        <v>0.3258823529411764</v>
      </c>
      <c r="EU23" s="65">
        <f t="shared" si="69"/>
        <v>0.56647058823529406</v>
      </c>
      <c r="EV23" s="65">
        <f t="shared" si="69"/>
        <v>0.3505882352941177</v>
      </c>
      <c r="EW23" s="65">
        <f t="shared" si="69"/>
        <v>0.36352941176470588</v>
      </c>
      <c r="EX23" s="65">
        <f t="shared" si="69"/>
        <v>0.68666666666666665</v>
      </c>
      <c r="EY23" s="65">
        <f t="shared" si="69"/>
        <v>0.60058823529411764</v>
      </c>
      <c r="EZ23" s="65">
        <f t="shared" si="69"/>
        <v>0.19625000000000004</v>
      </c>
      <c r="FA23" s="65">
        <f t="shared" si="69"/>
        <v>0.6652941176470587</v>
      </c>
      <c r="FB23" s="192">
        <f>AVERAGEIF($C$36:$C$167,"=6",FB$36:FB$167)</f>
        <v>49.235294117647058</v>
      </c>
      <c r="FD23" s="192">
        <f>AVERAGEIF($C$36:$C$167,"=6",FD$36:FD$167)</f>
        <v>6.882352941176471</v>
      </c>
      <c r="FF23" s="65">
        <f>AVERAGEIF($C$36:$C$167,"=6",FF$36:FF$167)</f>
        <v>0.17705882352941174</v>
      </c>
      <c r="FG23" s="65">
        <f t="shared" ref="FG23:GI23" si="70">AVERAGEIF($C$36:$C$167,"=6",FG$36:FG$167)</f>
        <v>0.58647058823529419</v>
      </c>
      <c r="FH23" s="65">
        <f t="shared" si="70"/>
        <v>0.22882352941176468</v>
      </c>
      <c r="FI23" s="65">
        <f t="shared" si="70"/>
        <v>8.2352941176470594E-3</v>
      </c>
      <c r="FJ23" s="65">
        <f t="shared" si="70"/>
        <v>0.45882352941176469</v>
      </c>
      <c r="FK23" s="65">
        <f t="shared" si="70"/>
        <v>0.67411764705882349</v>
      </c>
      <c r="FL23" s="65">
        <f t="shared" si="70"/>
        <v>0.52176470588235291</v>
      </c>
      <c r="FM23" s="65">
        <f t="shared" si="70"/>
        <v>0.37375000000000003</v>
      </c>
      <c r="FN23" s="65">
        <f t="shared" si="70"/>
        <v>0.34058823529411758</v>
      </c>
      <c r="FO23" s="65">
        <f t="shared" si="70"/>
        <v>0.3488235294117647</v>
      </c>
      <c r="FP23" s="65">
        <f t="shared" si="70"/>
        <v>0.37294117647058822</v>
      </c>
      <c r="FQ23" s="65">
        <f t="shared" si="70"/>
        <v>0.46176470588235291</v>
      </c>
      <c r="FR23" s="65">
        <f t="shared" si="70"/>
        <v>0.59823529411764709</v>
      </c>
      <c r="FS23" s="65">
        <f t="shared" si="70"/>
        <v>0.53750000000000009</v>
      </c>
      <c r="FT23" s="65">
        <f t="shared" si="70"/>
        <v>0.51058823529411779</v>
      </c>
      <c r="FU23" s="65">
        <f t="shared" si="70"/>
        <v>0.38124999999999998</v>
      </c>
      <c r="FV23" s="65">
        <f t="shared" si="70"/>
        <v>0.67117647058823515</v>
      </c>
      <c r="FW23" s="65">
        <f t="shared" si="70"/>
        <v>0.5135294117647059</v>
      </c>
      <c r="FX23" s="65">
        <f t="shared" si="70"/>
        <v>0.455625</v>
      </c>
      <c r="FY23" s="65">
        <f t="shared" si="70"/>
        <v>0.40352941176470597</v>
      </c>
      <c r="FZ23" s="65">
        <f t="shared" si="70"/>
        <v>0.40529411764705886</v>
      </c>
      <c r="GA23" s="65">
        <f t="shared" si="70"/>
        <v>0.48529411764705882</v>
      </c>
      <c r="GB23" s="65">
        <f t="shared" si="70"/>
        <v>0.55411764705882349</v>
      </c>
      <c r="GC23" s="65">
        <f t="shared" si="70"/>
        <v>0.45823529411764707</v>
      </c>
      <c r="GD23" s="65">
        <f t="shared" si="70"/>
        <v>0.57058823529411784</v>
      </c>
      <c r="GE23" s="65">
        <f t="shared" si="70"/>
        <v>0.52058823529411757</v>
      </c>
      <c r="GF23" s="65">
        <f t="shared" si="70"/>
        <v>0.45882352941176463</v>
      </c>
      <c r="GG23" s="65">
        <f t="shared" si="70"/>
        <v>0.47411764705882353</v>
      </c>
      <c r="GH23" s="65">
        <f t="shared" si="70"/>
        <v>0.55470588235294116</v>
      </c>
      <c r="GI23" s="65">
        <f t="shared" si="70"/>
        <v>0.26529411764705879</v>
      </c>
      <c r="GJ23" s="192">
        <f>AVERAGEIF($C$36:$C$167,"=6",GJ$36:GJ$167)</f>
        <v>49.736842105263158</v>
      </c>
      <c r="GL23" s="192">
        <f>AVERAGEIF($C$36:$C$167,"=6",GL$36:GL$167)</f>
        <v>8.5789473684210531</v>
      </c>
      <c r="GN23" s="521">
        <f>AVERAGEIF($C$36:$C$167,"=6",GN$36:GN$167)</f>
        <v>0.20263157894736844</v>
      </c>
      <c r="GO23" s="521">
        <f t="shared" ref="GO23:HQ23" si="71">AVERAGEIF($C$36:$C$167,"=6",GO$36:GO$167)</f>
        <v>0.53263157894736846</v>
      </c>
      <c r="GP23" s="521">
        <f t="shared" si="71"/>
        <v>0.25052631578947371</v>
      </c>
      <c r="GQ23" s="521">
        <f t="shared" si="71"/>
        <v>1.4210526315789474E-2</v>
      </c>
      <c r="GR23" s="521">
        <f t="shared" si="71"/>
        <v>0.45842105263157901</v>
      </c>
      <c r="GS23" s="521">
        <f t="shared" si="71"/>
        <v>0.55210526315789477</v>
      </c>
      <c r="GT23" s="521">
        <f t="shared" si="71"/>
        <v>0.60736842105263167</v>
      </c>
      <c r="GU23" s="521">
        <f t="shared" si="71"/>
        <v>0.28166666666666668</v>
      </c>
      <c r="GV23" s="521">
        <f t="shared" si="71"/>
        <v>0.55421052631578938</v>
      </c>
      <c r="GW23" s="521">
        <f t="shared" si="71"/>
        <v>0.4768421052631579</v>
      </c>
      <c r="GX23" s="521">
        <f t="shared" si="71"/>
        <v>0.49842105263157899</v>
      </c>
      <c r="GY23" s="521" t="e">
        <f t="shared" si="71"/>
        <v>#DIV/0!</v>
      </c>
      <c r="GZ23" s="521">
        <f t="shared" si="71"/>
        <v>0.33263157894736844</v>
      </c>
      <c r="HA23" s="521">
        <f t="shared" si="71"/>
        <v>0.68052631578947365</v>
      </c>
      <c r="HB23" s="521">
        <f t="shared" si="71"/>
        <v>0.48999999999999994</v>
      </c>
      <c r="HC23" s="521">
        <f t="shared" si="71"/>
        <v>0.51</v>
      </c>
      <c r="HD23" s="521">
        <f t="shared" si="71"/>
        <v>0.57789473684210524</v>
      </c>
      <c r="HE23" s="521">
        <f t="shared" si="71"/>
        <v>0.49210526315789471</v>
      </c>
      <c r="HF23" s="521">
        <f t="shared" si="71"/>
        <v>0.4826315789473683</v>
      </c>
      <c r="HG23" s="521">
        <f t="shared" si="71"/>
        <v>0.67631578947368409</v>
      </c>
      <c r="HH23" s="521">
        <f t="shared" si="71"/>
        <v>0.4200000000000001</v>
      </c>
      <c r="HI23" s="521">
        <f t="shared" si="71"/>
        <v>0.54947368421052634</v>
      </c>
      <c r="HJ23" s="521">
        <f t="shared" si="71"/>
        <v>0.59842105263157896</v>
      </c>
      <c r="HK23" s="521">
        <f t="shared" si="71"/>
        <v>0.51368421052631574</v>
      </c>
      <c r="HL23" s="521">
        <f t="shared" si="71"/>
        <v>0.4489473684210526</v>
      </c>
      <c r="HM23" s="521">
        <f t="shared" si="71"/>
        <v>0.50842105263157888</v>
      </c>
      <c r="HN23" s="521">
        <f t="shared" si="71"/>
        <v>0.49947368421052635</v>
      </c>
      <c r="HO23" s="521">
        <f t="shared" si="71"/>
        <v>0.43421052631578949</v>
      </c>
      <c r="HP23" s="521" t="e">
        <f t="shared" si="71"/>
        <v>#DIV/0!</v>
      </c>
      <c r="HQ23" s="521">
        <f t="shared" si="71"/>
        <v>0.43789473684210528</v>
      </c>
      <c r="HR23" s="192">
        <f>AVERAGEIF($C$36:$C$167,"=6",HR$36:HR$167)</f>
        <v>50.9</v>
      </c>
      <c r="HT23" s="192">
        <f>AVERAGEIF($C$36:$C$167,"=6",HT$36:HT$167)</f>
        <v>8.3000000000000007</v>
      </c>
      <c r="HV23" s="521">
        <f>AVERAGEIF($C$36:$C$167,"=6",HV$36:HV$167)</f>
        <v>0.16599999999999998</v>
      </c>
      <c r="HW23" s="521">
        <f t="shared" ref="HW23:IY23" si="72">AVERAGEIF($C$36:$C$167,"=6",HW$36:HW$167)</f>
        <v>0.50299999999999989</v>
      </c>
      <c r="HX23" s="521">
        <f t="shared" si="72"/>
        <v>0.32100000000000006</v>
      </c>
      <c r="HY23" s="521">
        <f t="shared" si="72"/>
        <v>1.0499999999999999E-2</v>
      </c>
      <c r="HZ23" s="521">
        <f t="shared" si="72"/>
        <v>0.3705</v>
      </c>
      <c r="IA23" s="521">
        <f t="shared" si="72"/>
        <v>0.51849999999999985</v>
      </c>
      <c r="IB23" s="521">
        <f t="shared" si="72"/>
        <v>0.36299999999999999</v>
      </c>
      <c r="IC23" s="521">
        <f t="shared" si="72"/>
        <v>0.49050000000000005</v>
      </c>
      <c r="ID23" s="521">
        <f t="shared" si="72"/>
        <v>0.61349999999999993</v>
      </c>
      <c r="IE23" s="521">
        <f t="shared" si="72"/>
        <v>0.32650000000000001</v>
      </c>
      <c r="IF23" s="521">
        <f t="shared" si="72"/>
        <v>0.41799999999999998</v>
      </c>
      <c r="IG23" s="521">
        <f t="shared" si="72"/>
        <v>0.54049999999999998</v>
      </c>
      <c r="IH23" s="521">
        <f t="shared" si="72"/>
        <v>0.49349999999999994</v>
      </c>
      <c r="II23" s="521">
        <f t="shared" si="72"/>
        <v>0.32631578947368423</v>
      </c>
      <c r="IJ23" s="521">
        <f t="shared" si="72"/>
        <v>0.30250000000000005</v>
      </c>
      <c r="IK23" s="521">
        <f t="shared" si="72"/>
        <v>0.59950000000000003</v>
      </c>
      <c r="IL23" s="521">
        <f t="shared" si="72"/>
        <v>0.3775</v>
      </c>
      <c r="IM23" s="521">
        <f t="shared" si="72"/>
        <v>0.626</v>
      </c>
      <c r="IN23" s="521">
        <f t="shared" si="72"/>
        <v>0.45650000000000002</v>
      </c>
      <c r="IO23" s="521">
        <f t="shared" si="72"/>
        <v>0.53249999999999975</v>
      </c>
      <c r="IP23" s="521">
        <f t="shared" si="72"/>
        <v>0.41349999999999998</v>
      </c>
      <c r="IQ23" s="521">
        <f t="shared" si="72"/>
        <v>0.61449999999999994</v>
      </c>
      <c r="IR23" s="521">
        <f t="shared" si="72"/>
        <v>0.57900000000000007</v>
      </c>
      <c r="IS23" s="521">
        <f t="shared" si="72"/>
        <v>0.53894736842105251</v>
      </c>
      <c r="IT23" s="521">
        <f t="shared" si="72"/>
        <v>0.43049999999999999</v>
      </c>
      <c r="IU23" s="521" t="e">
        <f t="shared" si="72"/>
        <v>#DIV/0!</v>
      </c>
      <c r="IV23" s="521">
        <f t="shared" si="72"/>
        <v>0.6090000000000001</v>
      </c>
      <c r="IW23" s="521">
        <f t="shared" si="72"/>
        <v>0.42299999999999988</v>
      </c>
      <c r="IX23" s="521">
        <f t="shared" si="72"/>
        <v>0.52700000000000002</v>
      </c>
      <c r="IY23" s="521">
        <f t="shared" si="72"/>
        <v>0.54500000000000015</v>
      </c>
    </row>
    <row r="24" spans="1:259" s="434" customFormat="1" ht="24.9" customHeight="1" x14ac:dyDescent="0.25">
      <c r="A24" s="6" t="s">
        <v>931</v>
      </c>
      <c r="B24" s="447"/>
      <c r="C24" s="447"/>
      <c r="D24" s="192">
        <f>AVERAGEIFS(D$36:D$167,$C$36:$C$167,"=1", $B$36:$B$167,"OFICIAL")</f>
        <v>54</v>
      </c>
      <c r="E24" s="192">
        <f>AVERAGEIFS(E$36:E$167,$C$36:$C$167,"=1", $B$36:$B$167,"OFICIAL")</f>
        <v>7.25</v>
      </c>
      <c r="F24" s="65">
        <f>AVERAGEIFS(F$36:F$167,$C$36:$C$167,"=1", $B$36:$B$167,"OFICIAL")</f>
        <v>4.7500000000000001E-2</v>
      </c>
      <c r="G24" s="65">
        <f t="shared" ref="G24:AG24" si="73">AVERAGEIFS(G$36:G$167,$C$36:$C$167,"=1", $B$36:$B$167,"OFICIAL")</f>
        <v>0.55000000000000004</v>
      </c>
      <c r="H24" s="65">
        <f t="shared" si="73"/>
        <v>0.39249999999999996</v>
      </c>
      <c r="I24" s="65">
        <f t="shared" si="73"/>
        <v>5.0000000000000001E-3</v>
      </c>
      <c r="J24" s="65">
        <f t="shared" si="73"/>
        <v>0.42499999999999999</v>
      </c>
      <c r="K24" s="65">
        <f t="shared" si="73"/>
        <v>0.3775</v>
      </c>
      <c r="L24" s="65">
        <f t="shared" si="73"/>
        <v>0.74749999999999994</v>
      </c>
      <c r="M24" s="65">
        <f t="shared" si="73"/>
        <v>0.22999999999999998</v>
      </c>
      <c r="N24" s="65">
        <f t="shared" si="73"/>
        <v>0.28500000000000003</v>
      </c>
      <c r="O24" s="65">
        <f t="shared" si="73"/>
        <v>0.65999999999999992</v>
      </c>
      <c r="P24" s="65">
        <f t="shared" si="73"/>
        <v>0.34750000000000003</v>
      </c>
      <c r="Q24" s="65">
        <f t="shared" si="73"/>
        <v>0.42249999999999999</v>
      </c>
      <c r="R24" s="65">
        <f t="shared" si="73"/>
        <v>0.50749999999999995</v>
      </c>
      <c r="S24" s="65">
        <f t="shared" si="73"/>
        <v>0.625</v>
      </c>
      <c r="T24" s="65">
        <f t="shared" si="73"/>
        <v>0.44750000000000001</v>
      </c>
      <c r="U24" s="65">
        <f t="shared" si="73"/>
        <v>0.57999999999999996</v>
      </c>
      <c r="V24" s="65">
        <f t="shared" si="73"/>
        <v>6.7500000000000004E-2</v>
      </c>
      <c r="W24" s="65">
        <f t="shared" si="73"/>
        <v>0.1525</v>
      </c>
      <c r="X24" s="65">
        <f t="shared" si="73"/>
        <v>0.46749999999999997</v>
      </c>
      <c r="Y24" s="65">
        <f t="shared" si="73"/>
        <v>0.51</v>
      </c>
      <c r="Z24" s="65">
        <f t="shared" si="73"/>
        <v>0.83333333333333337</v>
      </c>
      <c r="AA24" s="65">
        <f t="shared" si="73"/>
        <v>0.12</v>
      </c>
      <c r="AB24" s="65">
        <f t="shared" si="73"/>
        <v>0.46499999999999997</v>
      </c>
      <c r="AC24" s="65">
        <f t="shared" si="73"/>
        <v>0.2525</v>
      </c>
      <c r="AD24" s="65">
        <f t="shared" si="73"/>
        <v>0.46749999999999997</v>
      </c>
      <c r="AE24" s="65">
        <f t="shared" si="73"/>
        <v>0.41749999999999998</v>
      </c>
      <c r="AF24" s="65">
        <f t="shared" si="73"/>
        <v>0.53249999999999997</v>
      </c>
      <c r="AG24" s="65">
        <f t="shared" si="73"/>
        <v>0.52249999999999996</v>
      </c>
      <c r="AH24" s="192">
        <f>AVERAGEIFS(AH$36:AH$167,$C$36:$C$167,"=1", $B$36:$B$167,"OFICIAL")</f>
        <v>53</v>
      </c>
      <c r="AI24" s="192">
        <f>AVERAGEIFS(AI$36:AI$167,$C$36:$C$167,"=1", $B$36:$B$167,"OFICIAL")</f>
        <v>7.25</v>
      </c>
      <c r="AJ24" s="65">
        <f>AVERAGEIFS(AJ$36:AJ$167,$C$36:$C$167,"=1", $B$36:$B$167,"OFICIAL")</f>
        <v>5.7500000000000002E-2</v>
      </c>
      <c r="AK24" s="65">
        <f t="shared" ref="AK24:BL24" si="74">AVERAGEIFS(AK$36:AK$167,$C$36:$C$167,"=1", $B$36:$B$167,"OFICIAL")</f>
        <v>0.55249999999999999</v>
      </c>
      <c r="AL24" s="65">
        <f t="shared" si="74"/>
        <v>0.38500000000000001</v>
      </c>
      <c r="AM24" s="65">
        <f t="shared" si="74"/>
        <v>5.0000000000000001E-3</v>
      </c>
      <c r="AN24" s="65">
        <f t="shared" si="74"/>
        <v>0.2525</v>
      </c>
      <c r="AO24" s="65">
        <f t="shared" si="74"/>
        <v>0.4375</v>
      </c>
      <c r="AP24" s="65">
        <f t="shared" si="74"/>
        <v>0.56499999999999995</v>
      </c>
      <c r="AQ24" s="65">
        <f t="shared" si="74"/>
        <v>0.375</v>
      </c>
      <c r="AR24" s="65">
        <f t="shared" si="74"/>
        <v>0.56500000000000006</v>
      </c>
      <c r="AS24" s="65">
        <f t="shared" si="74"/>
        <v>0.52</v>
      </c>
      <c r="AT24" s="65">
        <f t="shared" si="74"/>
        <v>0.48499999999999999</v>
      </c>
      <c r="AU24" s="65">
        <f t="shared" si="74"/>
        <v>0.48249999999999998</v>
      </c>
      <c r="AV24" s="65">
        <f t="shared" si="74"/>
        <v>0.60750000000000004</v>
      </c>
      <c r="AW24" s="65">
        <f t="shared" si="74"/>
        <v>0.46249999999999997</v>
      </c>
      <c r="AX24" s="65">
        <f t="shared" si="74"/>
        <v>0.53749999999999998</v>
      </c>
      <c r="AY24" s="65">
        <f t="shared" si="74"/>
        <v>0.27999999999999997</v>
      </c>
      <c r="AZ24" s="65">
        <f t="shared" si="74"/>
        <v>0.24000000000000002</v>
      </c>
      <c r="BA24" s="65">
        <f t="shared" si="74"/>
        <v>0.48749999999999999</v>
      </c>
      <c r="BB24" s="65">
        <f t="shared" si="74"/>
        <v>0.65249999999999997</v>
      </c>
      <c r="BC24" s="65">
        <f t="shared" si="74"/>
        <v>0.64500000000000002</v>
      </c>
      <c r="BD24" s="65">
        <f t="shared" si="74"/>
        <v>0.4</v>
      </c>
      <c r="BE24" s="65">
        <f t="shared" si="74"/>
        <v>0.47499999999999998</v>
      </c>
      <c r="BF24" s="65">
        <f t="shared" si="74"/>
        <v>0.59250000000000003</v>
      </c>
      <c r="BG24" s="65">
        <f t="shared" si="74"/>
        <v>0.48499999999999999</v>
      </c>
      <c r="BH24" s="65">
        <f t="shared" si="74"/>
        <v>0.41500000000000004</v>
      </c>
      <c r="BI24" s="65">
        <f t="shared" si="74"/>
        <v>0.3725</v>
      </c>
      <c r="BJ24" s="65">
        <f t="shared" si="74"/>
        <v>0.33749999999999997</v>
      </c>
      <c r="BK24" s="65">
        <f t="shared" si="74"/>
        <v>0.44750000000000001</v>
      </c>
      <c r="BL24" s="65">
        <f t="shared" si="74"/>
        <v>0.47</v>
      </c>
      <c r="BM24" s="192">
        <f>AVERAGEIFS(BM$36:BM$167,$C$36:$C$167,"=1", $B$36:$B$167,"OFICIAL")</f>
        <v>50.5</v>
      </c>
      <c r="BN24" s="192">
        <f>AVERAGEIFS(BN$36:BN$167,$C$36:$C$167,"=1", $B$36:$B$167,"OFICIAL")</f>
        <v>8</v>
      </c>
      <c r="BO24" s="65">
        <f>AVERAGEIFS(BO$36:BO$167,$C$36:$C$167,"=1", $B$36:$B$167,"OFICIAL")</f>
        <v>9.7500000000000003E-2</v>
      </c>
      <c r="BP24" s="65">
        <f t="shared" ref="BP24:CR24" si="75">AVERAGEIFS(BP$36:BP$167,$C$36:$C$167,"=1", $B$36:$B$167,"OFICIAL")</f>
        <v>0.63</v>
      </c>
      <c r="BQ24" s="65">
        <f t="shared" si="75"/>
        <v>0.26500000000000001</v>
      </c>
      <c r="BR24" s="65">
        <f t="shared" si="75"/>
        <v>0.01</v>
      </c>
      <c r="BS24" s="65">
        <f t="shared" si="75"/>
        <v>0.3175</v>
      </c>
      <c r="BT24" s="65">
        <f t="shared" si="75"/>
        <v>0.54499999999999993</v>
      </c>
      <c r="BU24" s="65">
        <f t="shared" si="75"/>
        <v>0.68500000000000005</v>
      </c>
      <c r="BV24" s="65">
        <f t="shared" si="75"/>
        <v>0.32999999999999996</v>
      </c>
      <c r="BW24" s="65">
        <f t="shared" si="75"/>
        <v>0.63</v>
      </c>
      <c r="BX24" s="65">
        <f t="shared" si="75"/>
        <v>0.34750000000000003</v>
      </c>
      <c r="BY24" s="65">
        <f t="shared" si="75"/>
        <v>0.45499999999999996</v>
      </c>
      <c r="BZ24" s="65">
        <f t="shared" si="75"/>
        <v>0.52</v>
      </c>
      <c r="CA24" s="65">
        <f t="shared" si="75"/>
        <v>0.44999999999999996</v>
      </c>
      <c r="CB24" s="65">
        <f t="shared" si="75"/>
        <v>0.35749999999999998</v>
      </c>
      <c r="CC24" s="65">
        <f t="shared" si="75"/>
        <v>0.1925</v>
      </c>
      <c r="CD24" s="65">
        <f t="shared" si="75"/>
        <v>0.44249999999999995</v>
      </c>
      <c r="CE24" s="65">
        <f t="shared" si="75"/>
        <v>0.34749999999999998</v>
      </c>
      <c r="CF24" s="65">
        <f t="shared" si="75"/>
        <v>0.61250000000000004</v>
      </c>
      <c r="CG24" s="65">
        <f t="shared" si="75"/>
        <v>0.59</v>
      </c>
      <c r="CH24" s="65">
        <f t="shared" si="75"/>
        <v>0.46250000000000002</v>
      </c>
      <c r="CI24" s="65">
        <f t="shared" si="75"/>
        <v>0.5625</v>
      </c>
      <c r="CJ24" s="65">
        <f t="shared" si="75"/>
        <v>0.33</v>
      </c>
      <c r="CK24" s="65">
        <f t="shared" si="75"/>
        <v>0.67500000000000004</v>
      </c>
      <c r="CL24" s="65">
        <f t="shared" si="75"/>
        <v>0.31</v>
      </c>
      <c r="CM24" s="65">
        <f t="shared" si="75"/>
        <v>0.45749999999999996</v>
      </c>
      <c r="CN24" s="65">
        <f t="shared" si="75"/>
        <v>0.44499999999999995</v>
      </c>
      <c r="CO24" s="65">
        <f t="shared" si="75"/>
        <v>0.44750000000000001</v>
      </c>
      <c r="CP24" s="65">
        <f t="shared" si="75"/>
        <v>0.36000000000000004</v>
      </c>
      <c r="CQ24" s="65">
        <f t="shared" si="75"/>
        <v>0.51750000000000007</v>
      </c>
      <c r="CR24" s="65">
        <f t="shared" si="75"/>
        <v>0.56499999999999995</v>
      </c>
      <c r="CS24" s="192">
        <f>AVERAGEIFS(CS$36:CS$167,$C$36:$C$167,"=1", $B$36:$B$167,"OFICIAL")</f>
        <v>49.5</v>
      </c>
      <c r="CT24" s="192">
        <f>AVERAGEIFS(CT$36:CT$167,$C$36:$C$167,"=1", $B$36:$B$167,"OFICIAL")</f>
        <v>8.75</v>
      </c>
      <c r="CU24" s="65">
        <f>AVERAGEIFS(CU$36:CU$167,$C$36:$C$167,"=1", $B$36:$B$167,"OFICIAL")</f>
        <v>0.16499999999999998</v>
      </c>
      <c r="CV24" s="65">
        <f t="shared" ref="CV24:DW24" si="76">AVERAGEIFS(CV$36:CV$167,$C$36:$C$167,"=1", $B$36:$B$167,"OFICIAL")</f>
        <v>0.57250000000000001</v>
      </c>
      <c r="CW24" s="65">
        <f t="shared" si="76"/>
        <v>0.25</v>
      </c>
      <c r="CX24" s="65">
        <f t="shared" si="76"/>
        <v>0.01</v>
      </c>
      <c r="CY24" s="65">
        <f t="shared" si="76"/>
        <v>0.51249999999999996</v>
      </c>
      <c r="CZ24" s="65">
        <f t="shared" si="76"/>
        <v>0.3175</v>
      </c>
      <c r="DA24" s="65">
        <f t="shared" si="76"/>
        <v>0.58750000000000002</v>
      </c>
      <c r="DB24" s="65">
        <f t="shared" si="76"/>
        <v>0.36000000000000004</v>
      </c>
      <c r="DC24" s="65">
        <f t="shared" si="76"/>
        <v>0.44499999999999995</v>
      </c>
      <c r="DD24" s="65">
        <f t="shared" si="76"/>
        <v>0.64500000000000002</v>
      </c>
      <c r="DE24" s="65">
        <f t="shared" si="76"/>
        <v>0.48499999999999999</v>
      </c>
      <c r="DF24" s="65">
        <f t="shared" si="76"/>
        <v>0.56499999999999995</v>
      </c>
      <c r="DG24" s="65">
        <f t="shared" si="76"/>
        <v>0.43999999999999995</v>
      </c>
      <c r="DH24" s="65">
        <f t="shared" si="76"/>
        <v>0.38250000000000001</v>
      </c>
      <c r="DI24" s="65">
        <f t="shared" si="76"/>
        <v>0.52</v>
      </c>
      <c r="DJ24" s="65">
        <f t="shared" si="76"/>
        <v>0.49750000000000005</v>
      </c>
      <c r="DK24" s="65">
        <f t="shared" si="76"/>
        <v>0.38</v>
      </c>
      <c r="DL24" s="65">
        <f t="shared" si="76"/>
        <v>0.32</v>
      </c>
      <c r="DM24" s="65">
        <f t="shared" si="76"/>
        <v>0.54</v>
      </c>
      <c r="DN24" s="65">
        <f t="shared" si="76"/>
        <v>0.47</v>
      </c>
      <c r="DO24" s="65">
        <f t="shared" si="76"/>
        <v>0.45250000000000001</v>
      </c>
      <c r="DP24" s="65">
        <f t="shared" si="76"/>
        <v>0.42500000000000004</v>
      </c>
      <c r="DQ24" s="65">
        <f t="shared" si="76"/>
        <v>0.55749999999999988</v>
      </c>
      <c r="DR24" s="65">
        <f t="shared" si="76"/>
        <v>0.21249999999999999</v>
      </c>
      <c r="DS24" s="65">
        <f t="shared" si="76"/>
        <v>0.39500000000000002</v>
      </c>
      <c r="DT24" s="65">
        <f t="shared" si="76"/>
        <v>0.58250000000000002</v>
      </c>
      <c r="DU24" s="65">
        <f t="shared" si="76"/>
        <v>0.49249999999999999</v>
      </c>
      <c r="DV24" s="65">
        <f t="shared" si="76"/>
        <v>0.59000000000000008</v>
      </c>
      <c r="DW24" s="65">
        <f t="shared" si="76"/>
        <v>0.36</v>
      </c>
      <c r="DX24" s="192">
        <f>AVERAGEIFS(DX$36:DX$167,$C$36:$C$167,"=1", $B$36:$B$167,"OFICIAL")</f>
        <v>49</v>
      </c>
      <c r="DY24" s="192">
        <f>AVERAGEIFS(DY$36:DY$167,$C$36:$C$167,"=1", $B$36:$B$167,"OFICIAL")</f>
        <v>8.25</v>
      </c>
      <c r="DZ24" s="65">
        <f>AVERAGEIFS(DZ$36:DZ$167,$C$36:$C$167,"=1", $B$36:$B$167,"OFICIAL")</f>
        <v>0.16750000000000001</v>
      </c>
      <c r="EA24" s="65">
        <f t="shared" ref="EA24:FA24" si="77">AVERAGEIFS(EA$36:EA$167,$C$36:$C$167,"=1", $B$36:$B$167,"OFICIAL")</f>
        <v>0.57750000000000012</v>
      </c>
      <c r="EB24" s="65">
        <f t="shared" si="77"/>
        <v>0.2525</v>
      </c>
      <c r="EC24" s="65">
        <f t="shared" si="77"/>
        <v>5.0000000000000001E-3</v>
      </c>
      <c r="ED24" s="65">
        <f t="shared" si="77"/>
        <v>0.51750000000000007</v>
      </c>
      <c r="EE24" s="65">
        <f t="shared" si="77"/>
        <v>0.47</v>
      </c>
      <c r="EF24" s="65">
        <f t="shared" si="77"/>
        <v>0.50249999999999995</v>
      </c>
      <c r="EG24" s="65">
        <f t="shared" si="77"/>
        <v>0.35499999999999998</v>
      </c>
      <c r="EH24" s="65">
        <f t="shared" si="77"/>
        <v>0.41749999999999998</v>
      </c>
      <c r="EI24" s="65">
        <f t="shared" si="77"/>
        <v>0.49</v>
      </c>
      <c r="EJ24" s="65">
        <f t="shared" si="77"/>
        <v>0.57500000000000007</v>
      </c>
      <c r="EK24" s="65">
        <f t="shared" si="77"/>
        <v>0.28999999999999998</v>
      </c>
      <c r="EL24" s="65">
        <f t="shared" si="77"/>
        <v>0.47249999999999998</v>
      </c>
      <c r="EM24" s="65">
        <f t="shared" si="77"/>
        <v>0.66999999999999993</v>
      </c>
      <c r="EN24" s="65">
        <f t="shared" si="77"/>
        <v>0.45750000000000002</v>
      </c>
      <c r="EO24" s="65">
        <f t="shared" si="77"/>
        <v>0.54499999999999993</v>
      </c>
      <c r="EP24" s="65">
        <f t="shared" si="77"/>
        <v>0.39</v>
      </c>
      <c r="EQ24" s="65">
        <f t="shared" si="77"/>
        <v>0.30499999999999999</v>
      </c>
      <c r="ER24" s="65">
        <f t="shared" si="77"/>
        <v>0.58499999999999996</v>
      </c>
      <c r="ES24" s="65">
        <f t="shared" si="77"/>
        <v>0.45499999999999996</v>
      </c>
      <c r="ET24" s="65">
        <f t="shared" si="77"/>
        <v>0.34749999999999998</v>
      </c>
      <c r="EU24" s="65">
        <f t="shared" si="77"/>
        <v>0.6</v>
      </c>
      <c r="EV24" s="65">
        <f t="shared" si="77"/>
        <v>0.42500000000000004</v>
      </c>
      <c r="EW24" s="65">
        <f t="shared" si="77"/>
        <v>0.33500000000000002</v>
      </c>
      <c r="EX24" s="65">
        <f t="shared" si="77"/>
        <v>0.69</v>
      </c>
      <c r="EY24" s="65">
        <f t="shared" si="77"/>
        <v>0.60750000000000004</v>
      </c>
      <c r="EZ24" s="65">
        <f t="shared" si="77"/>
        <v>0.255</v>
      </c>
      <c r="FA24" s="65">
        <f t="shared" si="77"/>
        <v>0.63</v>
      </c>
      <c r="FB24" s="192">
        <f>AVERAGEIFS(FB$36:FB$167,$C$36:$C$167,"=1", $B$36:$B$167,"OFICIAL")</f>
        <v>48.75</v>
      </c>
      <c r="FD24" s="192">
        <f>AVERAGEIFS(FD$36:FD$167,$C$36:$C$167,"=1", $B$36:$B$167,"OFICIAL")</f>
        <v>8</v>
      </c>
      <c r="FF24" s="65">
        <f>AVERAGEIFS(FF$36:FF$167,$C$36:$C$167,"=1", $B$36:$B$167,"OFICIAL")</f>
        <v>0.16250000000000001</v>
      </c>
      <c r="FG24" s="65">
        <f t="shared" ref="FG24:GI24" si="78">AVERAGEIFS(FG$36:FG$167,$C$36:$C$167,"=1", $B$36:$B$167,"OFICIAL")</f>
        <v>0.63749999999999996</v>
      </c>
      <c r="FH24" s="65">
        <f t="shared" si="78"/>
        <v>0.19750000000000001</v>
      </c>
      <c r="FI24" s="65">
        <f t="shared" si="78"/>
        <v>7.4999999999999997E-3</v>
      </c>
      <c r="FJ24" s="65">
        <f t="shared" si="78"/>
        <v>0.49</v>
      </c>
      <c r="FK24" s="65">
        <f t="shared" si="78"/>
        <v>0.69249999999999989</v>
      </c>
      <c r="FL24" s="65">
        <f t="shared" si="78"/>
        <v>0.505</v>
      </c>
      <c r="FM24" s="65">
        <f t="shared" si="78"/>
        <v>0.46499999999999997</v>
      </c>
      <c r="FN24" s="65">
        <f t="shared" si="78"/>
        <v>0.3075</v>
      </c>
      <c r="FO24" s="65">
        <f t="shared" si="78"/>
        <v>0.3725</v>
      </c>
      <c r="FP24" s="65">
        <f t="shared" si="78"/>
        <v>0.44249999999999995</v>
      </c>
      <c r="FQ24" s="65">
        <f t="shared" si="78"/>
        <v>0.40749999999999997</v>
      </c>
      <c r="FR24" s="65">
        <f t="shared" si="78"/>
        <v>0.59499999999999997</v>
      </c>
      <c r="FS24" s="65">
        <f t="shared" si="78"/>
        <v>0.52750000000000008</v>
      </c>
      <c r="FT24" s="65">
        <f t="shared" si="78"/>
        <v>0.52</v>
      </c>
      <c r="FU24" s="65">
        <f t="shared" si="78"/>
        <v>0.42249999999999999</v>
      </c>
      <c r="FV24" s="65">
        <f t="shared" si="78"/>
        <v>0.61499999999999999</v>
      </c>
      <c r="FW24" s="65">
        <f t="shared" si="78"/>
        <v>0.60250000000000004</v>
      </c>
      <c r="FX24" s="65">
        <f t="shared" si="78"/>
        <v>0.51249999999999996</v>
      </c>
      <c r="FY24" s="65">
        <f t="shared" si="78"/>
        <v>0.38500000000000001</v>
      </c>
      <c r="FZ24" s="65">
        <f t="shared" si="78"/>
        <v>0.42499999999999993</v>
      </c>
      <c r="GA24" s="65">
        <f t="shared" si="78"/>
        <v>0.48749999999999999</v>
      </c>
      <c r="GB24" s="65">
        <f t="shared" si="78"/>
        <v>0.53749999999999998</v>
      </c>
      <c r="GC24" s="65">
        <f t="shared" si="78"/>
        <v>0.45999999999999996</v>
      </c>
      <c r="GD24" s="65">
        <f t="shared" si="78"/>
        <v>0.61250000000000004</v>
      </c>
      <c r="GE24" s="65">
        <f t="shared" si="78"/>
        <v>0.57250000000000001</v>
      </c>
      <c r="GF24" s="65">
        <f t="shared" si="78"/>
        <v>0.51249999999999996</v>
      </c>
      <c r="GG24" s="65">
        <f t="shared" si="78"/>
        <v>0.5</v>
      </c>
      <c r="GH24" s="65">
        <f t="shared" si="78"/>
        <v>0.59499999999999997</v>
      </c>
      <c r="GI24" s="65">
        <f t="shared" si="78"/>
        <v>0.3075</v>
      </c>
      <c r="GJ24" s="192">
        <f>AVERAGEIFS(GJ$36:GJ$167,$C$36:$C$167,"=1", $B$36:$B$167,"OFICIAL")</f>
        <v>49.2</v>
      </c>
      <c r="GL24" s="192">
        <f>AVERAGEIFS(GL$36:GL$167,$C$36:$C$167,"=1", $B$36:$B$167,"OFICIAL")</f>
        <v>8.6</v>
      </c>
      <c r="GN24" s="521">
        <f>AVERAGEIFS(GN$36:GN$167,$C$36:$C$167,"=1", $B$36:$B$167,"OFICIAL")</f>
        <v>0.16</v>
      </c>
      <c r="GO24" s="521">
        <f t="shared" ref="GO24:HQ24" si="79">AVERAGEIFS(GO$36:GO$167,$C$36:$C$167,"=1", $B$36:$B$167,"OFICIAL")</f>
        <v>0.61399999999999999</v>
      </c>
      <c r="GP24" s="521">
        <f t="shared" si="79"/>
        <v>0.22200000000000003</v>
      </c>
      <c r="GQ24" s="521">
        <f t="shared" si="79"/>
        <v>4.0000000000000001E-3</v>
      </c>
      <c r="GR24" s="521">
        <f t="shared" si="79"/>
        <v>0.53</v>
      </c>
      <c r="GS24" s="521">
        <f t="shared" si="79"/>
        <v>0.58399999999999996</v>
      </c>
      <c r="GT24" s="521">
        <f t="shared" si="79"/>
        <v>0.63400000000000001</v>
      </c>
      <c r="GU24" s="521">
        <f t="shared" si="79"/>
        <v>0.27200000000000002</v>
      </c>
      <c r="GV24" s="521">
        <f t="shared" si="79"/>
        <v>0.57800000000000007</v>
      </c>
      <c r="GW24" s="521">
        <f t="shared" si="79"/>
        <v>0.48799999999999999</v>
      </c>
      <c r="GX24" s="521">
        <f t="shared" si="79"/>
        <v>0.49199999999999999</v>
      </c>
      <c r="GY24" s="521" t="e">
        <f t="shared" si="79"/>
        <v>#DIV/0!</v>
      </c>
      <c r="GZ24" s="521">
        <f t="shared" si="79"/>
        <v>0.39400000000000002</v>
      </c>
      <c r="HA24" s="521">
        <f t="shared" si="79"/>
        <v>0.71400000000000008</v>
      </c>
      <c r="HB24" s="521">
        <f t="shared" si="79"/>
        <v>0.49399999999999994</v>
      </c>
      <c r="HC24" s="521">
        <f t="shared" si="79"/>
        <v>0.50600000000000001</v>
      </c>
      <c r="HD24" s="521">
        <f t="shared" si="79"/>
        <v>0.58800000000000008</v>
      </c>
      <c r="HE24" s="521">
        <f t="shared" si="79"/>
        <v>0.51</v>
      </c>
      <c r="HF24" s="521">
        <f t="shared" si="79"/>
        <v>0.51400000000000001</v>
      </c>
      <c r="HG24" s="521">
        <f t="shared" si="79"/>
        <v>0.66799999999999993</v>
      </c>
      <c r="HH24" s="521">
        <f t="shared" si="79"/>
        <v>0.41</v>
      </c>
      <c r="HI24" s="521">
        <f t="shared" si="79"/>
        <v>0.54400000000000004</v>
      </c>
      <c r="HJ24" s="521">
        <f t="shared" si="79"/>
        <v>0.61599999999999999</v>
      </c>
      <c r="HK24" s="521">
        <f t="shared" si="79"/>
        <v>0.55000000000000004</v>
      </c>
      <c r="HL24" s="521">
        <f t="shared" si="79"/>
        <v>0.46200000000000002</v>
      </c>
      <c r="HM24" s="521">
        <f t="shared" si="79"/>
        <v>0.51400000000000001</v>
      </c>
      <c r="HN24" s="521">
        <f t="shared" si="79"/>
        <v>0.52600000000000002</v>
      </c>
      <c r="HO24" s="521">
        <f t="shared" si="79"/>
        <v>0.48399999999999999</v>
      </c>
      <c r="HP24" s="521" t="e">
        <f t="shared" si="79"/>
        <v>#DIV/0!</v>
      </c>
      <c r="HQ24" s="521">
        <f t="shared" si="79"/>
        <v>0.42799999999999994</v>
      </c>
      <c r="HR24" s="192">
        <f>AVERAGEIFS(HR$36:HR$167,$C$36:$C$167,"=1", $B$36:$B$167,"OFICIAL")</f>
        <v>50</v>
      </c>
      <c r="HT24" s="192">
        <f>AVERAGEIFS(HT$36:HT$167,$C$36:$C$167,"=1", $B$36:$B$167,"OFICIAL")</f>
        <v>8</v>
      </c>
      <c r="HV24" s="521">
        <f>AVERAGEIFS(HV$36:HV$167,$C$36:$C$167,"=1", $B$36:$B$167,"OFICIAL")</f>
        <v>0.13399999999999998</v>
      </c>
      <c r="HW24" s="521">
        <f t="shared" ref="HW24:IY24" si="80">AVERAGEIFS(HW$36:HW$167,$C$36:$C$167,"=1", $B$36:$B$167,"OFICIAL")</f>
        <v>0.624</v>
      </c>
      <c r="HX24" s="521">
        <f t="shared" si="80"/>
        <v>0.22999999999999998</v>
      </c>
      <c r="HY24" s="521">
        <f t="shared" si="80"/>
        <v>8.0000000000000002E-3</v>
      </c>
      <c r="HZ24" s="521">
        <f t="shared" si="80"/>
        <v>0.42400000000000004</v>
      </c>
      <c r="IA24" s="521">
        <f t="shared" si="80"/>
        <v>0.53800000000000003</v>
      </c>
      <c r="IB24" s="521">
        <f t="shared" si="80"/>
        <v>0.36000000000000004</v>
      </c>
      <c r="IC24" s="521">
        <f t="shared" si="80"/>
        <v>0.49800000000000005</v>
      </c>
      <c r="ID24" s="521">
        <f t="shared" si="80"/>
        <v>0.64799999999999991</v>
      </c>
      <c r="IE24" s="521">
        <f t="shared" si="80"/>
        <v>0.38200000000000001</v>
      </c>
      <c r="IF24" s="521">
        <f t="shared" si="80"/>
        <v>0.41200000000000003</v>
      </c>
      <c r="IG24" s="521">
        <f t="shared" si="80"/>
        <v>0.57400000000000007</v>
      </c>
      <c r="IH24" s="521">
        <f t="shared" si="80"/>
        <v>0.52</v>
      </c>
      <c r="II24" s="521">
        <f t="shared" si="80"/>
        <v>0.36</v>
      </c>
      <c r="IJ24" s="521">
        <f t="shared" si="80"/>
        <v>0.28799999999999998</v>
      </c>
      <c r="IK24" s="521">
        <f t="shared" si="80"/>
        <v>0.61</v>
      </c>
      <c r="IL24" s="521">
        <f t="shared" si="80"/>
        <v>0.32799999999999996</v>
      </c>
      <c r="IM24" s="521">
        <f t="shared" si="80"/>
        <v>0.59800000000000009</v>
      </c>
      <c r="IN24" s="521">
        <f t="shared" si="80"/>
        <v>0.48200000000000004</v>
      </c>
      <c r="IO24" s="521">
        <f t="shared" si="80"/>
        <v>0.55000000000000004</v>
      </c>
      <c r="IP24" s="521">
        <f t="shared" si="80"/>
        <v>0.46200000000000002</v>
      </c>
      <c r="IQ24" s="521">
        <f t="shared" si="80"/>
        <v>0.65999999999999992</v>
      </c>
      <c r="IR24" s="521">
        <f t="shared" si="80"/>
        <v>0.61</v>
      </c>
      <c r="IS24" s="521">
        <f t="shared" si="80"/>
        <v>0.51800000000000002</v>
      </c>
      <c r="IT24" s="521">
        <f t="shared" si="80"/>
        <v>0.45400000000000001</v>
      </c>
      <c r="IU24" s="521" t="e">
        <f t="shared" si="80"/>
        <v>#DIV/0!</v>
      </c>
      <c r="IV24" s="521">
        <f t="shared" si="80"/>
        <v>0.62799999999999989</v>
      </c>
      <c r="IW24" s="521">
        <f t="shared" si="80"/>
        <v>0.42799999999999994</v>
      </c>
      <c r="IX24" s="521">
        <f t="shared" si="80"/>
        <v>0.53599999999999992</v>
      </c>
      <c r="IY24" s="521">
        <f t="shared" si="80"/>
        <v>0.54</v>
      </c>
    </row>
    <row r="25" spans="1:259" s="434" customFormat="1" ht="24.9" customHeight="1" x14ac:dyDescent="0.25">
      <c r="A25" s="6" t="s">
        <v>932</v>
      </c>
      <c r="B25" s="447"/>
      <c r="C25" s="447"/>
      <c r="D25" s="192">
        <f>AVERAGEIFS(D$36:D$167,$C$36:$C$167,"=2", $B$36:$B$167,"OFICIAL")</f>
        <v>54</v>
      </c>
      <c r="E25" s="192">
        <f>AVERAGEIFS(E$36:E$167,$C$36:$C$167,"=2", $B$36:$B$167,"OFICIAL")</f>
        <v>7.5</v>
      </c>
      <c r="F25" s="65">
        <f>AVERAGEIFS(F$36:F$167,$C$36:$C$167,"=2", $B$36:$B$167,"OFICIAL")</f>
        <v>0.05</v>
      </c>
      <c r="G25" s="65">
        <f t="shared" ref="G25:AG25" si="81">AVERAGEIFS(G$36:G$167,$C$36:$C$167,"=2", $B$36:$B$167,"OFICIAL")</f>
        <v>0.56499999999999995</v>
      </c>
      <c r="H25" s="65">
        <f t="shared" si="81"/>
        <v>0.38</v>
      </c>
      <c r="I25" s="65">
        <f t="shared" si="81"/>
        <v>5.0000000000000001E-3</v>
      </c>
      <c r="J25" s="65">
        <f t="shared" si="81"/>
        <v>0.41000000000000003</v>
      </c>
      <c r="K25" s="65">
        <f t="shared" si="81"/>
        <v>0.39500000000000002</v>
      </c>
      <c r="L25" s="65">
        <f t="shared" si="81"/>
        <v>0.69500000000000006</v>
      </c>
      <c r="M25" s="65">
        <f t="shared" si="81"/>
        <v>0.2</v>
      </c>
      <c r="N25" s="65">
        <f t="shared" si="81"/>
        <v>0.27500000000000002</v>
      </c>
      <c r="O25" s="65">
        <f t="shared" si="81"/>
        <v>0.59499999999999997</v>
      </c>
      <c r="P25" s="65">
        <f t="shared" si="81"/>
        <v>0.31</v>
      </c>
      <c r="Q25" s="65">
        <f t="shared" si="81"/>
        <v>0.36499999999999999</v>
      </c>
      <c r="R25" s="65">
        <f t="shared" si="81"/>
        <v>0.55499999999999994</v>
      </c>
      <c r="S25" s="65">
        <f t="shared" si="81"/>
        <v>0.55499999999999994</v>
      </c>
      <c r="T25" s="65">
        <f t="shared" si="81"/>
        <v>0.435</v>
      </c>
      <c r="U25" s="65">
        <f t="shared" si="81"/>
        <v>0.56999999999999995</v>
      </c>
      <c r="V25" s="65">
        <f t="shared" si="81"/>
        <v>7.0000000000000007E-2</v>
      </c>
      <c r="W25" s="65">
        <f t="shared" si="81"/>
        <v>0.16</v>
      </c>
      <c r="X25" s="65">
        <f t="shared" si="81"/>
        <v>0.48</v>
      </c>
      <c r="Y25" s="65">
        <f t="shared" si="81"/>
        <v>0.495</v>
      </c>
      <c r="Z25" s="65">
        <f t="shared" si="81"/>
        <v>0.875</v>
      </c>
      <c r="AA25" s="65">
        <f t="shared" si="81"/>
        <v>7.5000000000000011E-2</v>
      </c>
      <c r="AB25" s="65">
        <f t="shared" si="81"/>
        <v>0.42000000000000004</v>
      </c>
      <c r="AC25" s="65">
        <f t="shared" si="81"/>
        <v>0.20500000000000002</v>
      </c>
      <c r="AD25" s="65">
        <f t="shared" si="81"/>
        <v>0.41500000000000004</v>
      </c>
      <c r="AE25" s="65">
        <f t="shared" si="81"/>
        <v>0.47</v>
      </c>
      <c r="AF25" s="65">
        <f t="shared" si="81"/>
        <v>0.56000000000000005</v>
      </c>
      <c r="AG25" s="65">
        <f t="shared" si="81"/>
        <v>0.45500000000000002</v>
      </c>
      <c r="AH25" s="192">
        <f>AVERAGEIFS(AH$36:AH$167,$C$36:$C$167,"=2", $B$36:$B$167,"OFICIAL")</f>
        <v>53.5</v>
      </c>
      <c r="AI25" s="192">
        <f>AVERAGEIFS(AI$36:AI$167,$C$36:$C$167,"=2", $B$36:$B$167,"OFICIAL")</f>
        <v>8</v>
      </c>
      <c r="AJ25" s="65">
        <f>AVERAGEIFS(AJ$36:AJ$167,$C$36:$C$167,"=2", $B$36:$B$167,"OFICIAL")</f>
        <v>6.0000000000000005E-2</v>
      </c>
      <c r="AK25" s="65">
        <f t="shared" ref="AK25:BL25" si="82">AVERAGEIFS(AK$36:AK$167,$C$36:$C$167,"=2", $B$36:$B$167,"OFICIAL")</f>
        <v>0.54</v>
      </c>
      <c r="AL25" s="65">
        <f t="shared" si="82"/>
        <v>0.39</v>
      </c>
      <c r="AM25" s="65">
        <f t="shared" si="82"/>
        <v>0.01</v>
      </c>
      <c r="AN25" s="65">
        <f t="shared" si="82"/>
        <v>0.255</v>
      </c>
      <c r="AO25" s="65">
        <f t="shared" si="82"/>
        <v>0.45</v>
      </c>
      <c r="AP25" s="65">
        <f t="shared" si="82"/>
        <v>0.56499999999999995</v>
      </c>
      <c r="AQ25" s="65">
        <f t="shared" si="82"/>
        <v>0.37</v>
      </c>
      <c r="AR25" s="65">
        <f t="shared" si="82"/>
        <v>0.54</v>
      </c>
      <c r="AS25" s="65">
        <f t="shared" si="82"/>
        <v>0.48499999999999999</v>
      </c>
      <c r="AT25" s="65">
        <f t="shared" si="82"/>
        <v>0.5</v>
      </c>
      <c r="AU25" s="65">
        <f t="shared" si="82"/>
        <v>0.495</v>
      </c>
      <c r="AV25" s="65">
        <f t="shared" si="82"/>
        <v>0.56999999999999995</v>
      </c>
      <c r="AW25" s="65">
        <f t="shared" si="82"/>
        <v>0.43000000000000005</v>
      </c>
      <c r="AX25" s="65">
        <f t="shared" si="82"/>
        <v>0.54499999999999993</v>
      </c>
      <c r="AY25" s="65">
        <f t="shared" si="82"/>
        <v>0.27500000000000002</v>
      </c>
      <c r="AZ25" s="65">
        <f t="shared" si="82"/>
        <v>0.26500000000000001</v>
      </c>
      <c r="BA25" s="65">
        <f t="shared" si="82"/>
        <v>0.495</v>
      </c>
      <c r="BB25" s="65">
        <f t="shared" si="82"/>
        <v>0.625</v>
      </c>
      <c r="BC25" s="65">
        <f t="shared" si="82"/>
        <v>0.61</v>
      </c>
      <c r="BD25" s="65">
        <f t="shared" si="82"/>
        <v>0.375</v>
      </c>
      <c r="BE25" s="65">
        <f t="shared" si="82"/>
        <v>0.5</v>
      </c>
      <c r="BF25" s="65">
        <f t="shared" si="82"/>
        <v>0.625</v>
      </c>
      <c r="BG25" s="65">
        <f t="shared" si="82"/>
        <v>0.46499999999999997</v>
      </c>
      <c r="BH25" s="65">
        <f t="shared" si="82"/>
        <v>0.41500000000000004</v>
      </c>
      <c r="BI25" s="65">
        <f t="shared" si="82"/>
        <v>0.37</v>
      </c>
      <c r="BJ25" s="65">
        <f t="shared" si="82"/>
        <v>0.36499999999999999</v>
      </c>
      <c r="BK25" s="65">
        <f t="shared" si="82"/>
        <v>0.41499999999999998</v>
      </c>
      <c r="BL25" s="65">
        <f t="shared" si="82"/>
        <v>0.435</v>
      </c>
      <c r="BM25" s="192">
        <f>AVERAGEIFS(BM$36:BM$167,$C$36:$C$167,"=2", $B$36:$B$167,"OFICIAL")</f>
        <v>51</v>
      </c>
      <c r="BN25" s="192">
        <f>AVERAGEIFS(BN$36:BN$167,$C$36:$C$167,"=2", $B$36:$B$167,"OFICIAL")</f>
        <v>9</v>
      </c>
      <c r="BO25" s="65">
        <f>AVERAGEIFS(BO$36:BO$167,$C$36:$C$167,"=2", $B$36:$B$167,"OFICIAL")</f>
        <v>0.15000000000000002</v>
      </c>
      <c r="BP25" s="65">
        <f t="shared" ref="BP25:CR25" si="83">AVERAGEIFS(BP$36:BP$167,$C$36:$C$167,"=2", $B$36:$B$167,"OFICIAL")</f>
        <v>0.55000000000000004</v>
      </c>
      <c r="BQ25" s="65">
        <f t="shared" si="83"/>
        <v>0.30000000000000004</v>
      </c>
      <c r="BR25" s="65">
        <f t="shared" si="83"/>
        <v>0</v>
      </c>
      <c r="BS25" s="65">
        <f t="shared" si="83"/>
        <v>0.38500000000000001</v>
      </c>
      <c r="BT25" s="65">
        <f t="shared" si="83"/>
        <v>0.46499999999999997</v>
      </c>
      <c r="BU25" s="65">
        <f t="shared" si="83"/>
        <v>0.64</v>
      </c>
      <c r="BV25" s="65">
        <f t="shared" si="83"/>
        <v>0.315</v>
      </c>
      <c r="BW25" s="65">
        <f t="shared" si="83"/>
        <v>0.64500000000000002</v>
      </c>
      <c r="BX25" s="65">
        <f t="shared" si="83"/>
        <v>0.37</v>
      </c>
      <c r="BY25" s="65">
        <f t="shared" si="83"/>
        <v>0.45499999999999996</v>
      </c>
      <c r="BZ25" s="65">
        <f t="shared" si="83"/>
        <v>0.53</v>
      </c>
      <c r="CA25" s="65">
        <f t="shared" si="83"/>
        <v>0.47</v>
      </c>
      <c r="CB25" s="65">
        <f t="shared" si="83"/>
        <v>0.33499999999999996</v>
      </c>
      <c r="CC25" s="65">
        <f t="shared" si="83"/>
        <v>0.23500000000000001</v>
      </c>
      <c r="CD25" s="65">
        <f t="shared" si="83"/>
        <v>0.41000000000000003</v>
      </c>
      <c r="CE25" s="65">
        <f t="shared" si="83"/>
        <v>0.32499999999999996</v>
      </c>
      <c r="CF25" s="65">
        <f t="shared" si="83"/>
        <v>0.6</v>
      </c>
      <c r="CG25" s="65">
        <f t="shared" si="83"/>
        <v>0.58499999999999996</v>
      </c>
      <c r="CH25" s="65">
        <f t="shared" si="83"/>
        <v>0.435</v>
      </c>
      <c r="CI25" s="65">
        <f t="shared" si="83"/>
        <v>0.57000000000000006</v>
      </c>
      <c r="CJ25" s="65">
        <f t="shared" si="83"/>
        <v>0.34499999999999997</v>
      </c>
      <c r="CK25" s="65">
        <f t="shared" si="83"/>
        <v>0.65</v>
      </c>
      <c r="CL25" s="65">
        <f t="shared" si="83"/>
        <v>0.315</v>
      </c>
      <c r="CM25" s="65">
        <f t="shared" si="83"/>
        <v>0.45499999999999996</v>
      </c>
      <c r="CN25" s="65">
        <f t="shared" si="83"/>
        <v>0.435</v>
      </c>
      <c r="CO25" s="65">
        <f t="shared" si="83"/>
        <v>0.44500000000000001</v>
      </c>
      <c r="CP25" s="65">
        <f t="shared" si="83"/>
        <v>0.375</v>
      </c>
      <c r="CQ25" s="65">
        <f t="shared" si="83"/>
        <v>0.55499999999999994</v>
      </c>
      <c r="CR25" s="65">
        <f t="shared" si="83"/>
        <v>0.55000000000000004</v>
      </c>
      <c r="CS25" s="192">
        <f>AVERAGEIFS(CS$36:CS$167,$C$36:$C$167,"=2", $B$36:$B$167,"OFICIAL")</f>
        <v>49</v>
      </c>
      <c r="CT25" s="192">
        <f>AVERAGEIFS(CT$36:CT$167,$C$36:$C$167,"=2", $B$36:$B$167,"OFICIAL")</f>
        <v>9</v>
      </c>
      <c r="CU25" s="65">
        <f>AVERAGEIFS(CU$36:CU$167,$C$36:$C$167,"=2", $B$36:$B$167,"OFICIAL")</f>
        <v>0.155</v>
      </c>
      <c r="CV25" s="65">
        <f t="shared" ref="CV25:DW25" si="84">AVERAGEIFS(CV$36:CV$167,$C$36:$C$167,"=2", $B$36:$B$167,"OFICIAL")</f>
        <v>0.60499999999999998</v>
      </c>
      <c r="CW25" s="65">
        <f t="shared" si="84"/>
        <v>0.23499999999999999</v>
      </c>
      <c r="CX25" s="65">
        <f t="shared" si="84"/>
        <v>5.0000000000000001E-3</v>
      </c>
      <c r="CY25" s="65">
        <f t="shared" si="84"/>
        <v>0.53</v>
      </c>
      <c r="CZ25" s="65">
        <f t="shared" si="84"/>
        <v>0.32</v>
      </c>
      <c r="DA25" s="65">
        <f t="shared" si="84"/>
        <v>0.56000000000000005</v>
      </c>
      <c r="DB25" s="65">
        <f t="shared" si="84"/>
        <v>0.35499999999999998</v>
      </c>
      <c r="DC25" s="65">
        <f t="shared" si="84"/>
        <v>0.48499999999999999</v>
      </c>
      <c r="DD25" s="65">
        <f t="shared" si="84"/>
        <v>0.63</v>
      </c>
      <c r="DE25" s="65">
        <f t="shared" si="84"/>
        <v>0.48499999999999999</v>
      </c>
      <c r="DF25" s="65">
        <f t="shared" si="84"/>
        <v>0.54</v>
      </c>
      <c r="DG25" s="65">
        <f t="shared" si="84"/>
        <v>0.45499999999999996</v>
      </c>
      <c r="DH25" s="65">
        <f t="shared" si="84"/>
        <v>0.38</v>
      </c>
      <c r="DI25" s="65">
        <f t="shared" si="84"/>
        <v>0.53</v>
      </c>
      <c r="DJ25" s="65">
        <f t="shared" si="84"/>
        <v>0.53</v>
      </c>
      <c r="DK25" s="65">
        <f t="shared" si="84"/>
        <v>0.34499999999999997</v>
      </c>
      <c r="DL25" s="65">
        <f t="shared" si="84"/>
        <v>0.34499999999999997</v>
      </c>
      <c r="DM25" s="65">
        <f t="shared" si="84"/>
        <v>0.52500000000000002</v>
      </c>
      <c r="DN25" s="65">
        <f t="shared" si="84"/>
        <v>0.52</v>
      </c>
      <c r="DO25" s="65">
        <f t="shared" si="84"/>
        <v>0.435</v>
      </c>
      <c r="DP25" s="65">
        <f t="shared" si="84"/>
        <v>0.46499999999999997</v>
      </c>
      <c r="DQ25" s="65">
        <f t="shared" si="84"/>
        <v>0.56000000000000005</v>
      </c>
      <c r="DR25" s="65">
        <f t="shared" si="84"/>
        <v>0.20500000000000002</v>
      </c>
      <c r="DS25" s="65">
        <f t="shared" si="84"/>
        <v>0.39</v>
      </c>
      <c r="DT25" s="65">
        <f t="shared" si="84"/>
        <v>0.55499999999999994</v>
      </c>
      <c r="DU25" s="65">
        <f t="shared" si="84"/>
        <v>0.51</v>
      </c>
      <c r="DV25" s="65">
        <f t="shared" si="84"/>
        <v>0.61</v>
      </c>
      <c r="DW25" s="65">
        <f t="shared" si="84"/>
        <v>0.34499999999999997</v>
      </c>
      <c r="DX25" s="192">
        <f>AVERAGEIFS(DX$36:DX$167,$C$36:$C$167,"=2", $B$36:$B$167,"OFICIAL")</f>
        <v>49</v>
      </c>
      <c r="DY25" s="192">
        <f>AVERAGEIFS(DY$36:DY$167,$C$36:$C$167,"=2", $B$36:$B$167,"OFICIAL")</f>
        <v>8.5</v>
      </c>
      <c r="DZ25" s="65">
        <f>AVERAGEIFS(DZ$36:DZ$167,$C$36:$C$167,"=2", $B$36:$B$167,"OFICIAL")</f>
        <v>0.16999999999999998</v>
      </c>
      <c r="EA25" s="65">
        <f t="shared" ref="EA25:FA25" si="85">AVERAGEIFS(EA$36:EA$167,$C$36:$C$167,"=2", $B$36:$B$167,"OFICIAL")</f>
        <v>0.57000000000000006</v>
      </c>
      <c r="EB25" s="65">
        <f t="shared" si="85"/>
        <v>0.245</v>
      </c>
      <c r="EC25" s="65">
        <f t="shared" si="85"/>
        <v>1.4999999999999999E-2</v>
      </c>
      <c r="ED25" s="65">
        <f t="shared" si="85"/>
        <v>0.505</v>
      </c>
      <c r="EE25" s="65">
        <f t="shared" si="85"/>
        <v>0.45</v>
      </c>
      <c r="EF25" s="65">
        <f t="shared" si="85"/>
        <v>0.53499999999999992</v>
      </c>
      <c r="EG25" s="65">
        <f t="shared" si="85"/>
        <v>0.30500000000000005</v>
      </c>
      <c r="EH25" s="65">
        <f t="shared" si="85"/>
        <v>0.44999999999999996</v>
      </c>
      <c r="EI25" s="65">
        <f t="shared" si="85"/>
        <v>0.5</v>
      </c>
      <c r="EJ25" s="65">
        <f t="shared" si="85"/>
        <v>0.57499999999999996</v>
      </c>
      <c r="EK25" s="65">
        <f t="shared" si="85"/>
        <v>0.30000000000000004</v>
      </c>
      <c r="EL25" s="65">
        <f t="shared" si="85"/>
        <v>0.46499999999999997</v>
      </c>
      <c r="EM25" s="65">
        <f t="shared" si="85"/>
        <v>0.64</v>
      </c>
      <c r="EN25" s="65">
        <f t="shared" si="85"/>
        <v>0.46499999999999997</v>
      </c>
      <c r="EO25" s="65">
        <f t="shared" si="85"/>
        <v>0.57999999999999996</v>
      </c>
      <c r="EP25" s="65">
        <f t="shared" si="85"/>
        <v>0.41500000000000004</v>
      </c>
      <c r="EQ25" s="65">
        <f t="shared" si="85"/>
        <v>0.26</v>
      </c>
      <c r="ER25" s="65">
        <f t="shared" si="85"/>
        <v>0.61499999999999999</v>
      </c>
      <c r="ES25" s="65">
        <f t="shared" si="85"/>
        <v>0.47499999999999998</v>
      </c>
      <c r="ET25" s="65">
        <f t="shared" si="85"/>
        <v>0.34499999999999997</v>
      </c>
      <c r="EU25" s="65">
        <f t="shared" si="85"/>
        <v>0.61499999999999999</v>
      </c>
      <c r="EV25" s="65">
        <f t="shared" si="85"/>
        <v>0.4</v>
      </c>
      <c r="EW25" s="65">
        <f t="shared" si="85"/>
        <v>0.33</v>
      </c>
      <c r="EX25" s="65">
        <f t="shared" si="85"/>
        <v>0.745</v>
      </c>
      <c r="EY25" s="65">
        <f t="shared" si="85"/>
        <v>0.59</v>
      </c>
      <c r="EZ25" s="65">
        <f t="shared" si="85"/>
        <v>0.25</v>
      </c>
      <c r="FA25" s="65">
        <f t="shared" si="85"/>
        <v>0.59499999999999997</v>
      </c>
      <c r="FB25" s="192">
        <f>AVERAGEIFS(FB$36:FB$167,$C$36:$C$167,"=2", $B$36:$B$167,"OFICIAL")</f>
        <v>49</v>
      </c>
      <c r="FD25" s="192">
        <f>AVERAGEIFS(FD$36:FD$167,$C$36:$C$167,"=2", $B$36:$B$167,"OFICIAL")</f>
        <v>7.5</v>
      </c>
      <c r="FF25" s="65">
        <f>AVERAGEIFS(FF$36:FF$167,$C$36:$C$167,"=2", $B$36:$B$167,"OFICIAL")</f>
        <v>0.155</v>
      </c>
      <c r="FG25" s="65">
        <f t="shared" ref="FG25:GI25" si="86">AVERAGEIFS(FG$36:FG$167,$C$36:$C$167,"=2", $B$36:$B$167,"OFICIAL")</f>
        <v>0.63500000000000001</v>
      </c>
      <c r="FH25" s="65">
        <f t="shared" si="86"/>
        <v>0.215</v>
      </c>
      <c r="FI25" s="65">
        <f t="shared" si="86"/>
        <v>0</v>
      </c>
      <c r="FJ25" s="65">
        <f t="shared" si="86"/>
        <v>0.48</v>
      </c>
      <c r="FK25" s="65">
        <f t="shared" si="86"/>
        <v>0.67</v>
      </c>
      <c r="FL25" s="65">
        <f t="shared" si="86"/>
        <v>0.495</v>
      </c>
      <c r="FM25" s="65">
        <f t="shared" si="86"/>
        <v>0.46499999999999997</v>
      </c>
      <c r="FN25" s="65">
        <f t="shared" si="86"/>
        <v>0.26</v>
      </c>
      <c r="FO25" s="65">
        <f t="shared" si="86"/>
        <v>0.36</v>
      </c>
      <c r="FP25" s="65">
        <f t="shared" si="86"/>
        <v>0.42</v>
      </c>
      <c r="FQ25" s="65">
        <f t="shared" si="86"/>
        <v>0.40500000000000003</v>
      </c>
      <c r="FR25" s="65">
        <f t="shared" si="86"/>
        <v>0.61499999999999999</v>
      </c>
      <c r="FS25" s="65">
        <f t="shared" si="86"/>
        <v>0.52</v>
      </c>
      <c r="FT25" s="65">
        <f t="shared" si="86"/>
        <v>0.505</v>
      </c>
      <c r="FU25" s="65">
        <f t="shared" si="86"/>
        <v>0.43</v>
      </c>
      <c r="FV25" s="65">
        <f t="shared" si="86"/>
        <v>0.64999999999999991</v>
      </c>
      <c r="FW25" s="65">
        <f t="shared" si="86"/>
        <v>0.57999999999999996</v>
      </c>
      <c r="FX25" s="65">
        <f t="shared" si="86"/>
        <v>0.495</v>
      </c>
      <c r="FY25" s="65">
        <f t="shared" si="86"/>
        <v>0.375</v>
      </c>
      <c r="FZ25" s="65">
        <f t="shared" si="86"/>
        <v>0.41499999999999998</v>
      </c>
      <c r="GA25" s="65">
        <f t="shared" si="86"/>
        <v>0.52500000000000002</v>
      </c>
      <c r="GB25" s="65">
        <f t="shared" si="86"/>
        <v>0.55499999999999994</v>
      </c>
      <c r="GC25" s="65">
        <f t="shared" si="86"/>
        <v>0.48499999999999999</v>
      </c>
      <c r="GD25" s="65">
        <f t="shared" si="86"/>
        <v>0.625</v>
      </c>
      <c r="GE25" s="65">
        <f t="shared" si="86"/>
        <v>0.59</v>
      </c>
      <c r="GF25" s="65">
        <f t="shared" si="86"/>
        <v>0.5</v>
      </c>
      <c r="GG25" s="65">
        <f t="shared" si="86"/>
        <v>0.45</v>
      </c>
      <c r="GH25" s="65">
        <f t="shared" si="86"/>
        <v>0.59499999999999997</v>
      </c>
      <c r="GI25" s="65">
        <f t="shared" si="86"/>
        <v>0.30500000000000005</v>
      </c>
      <c r="GJ25" s="192">
        <f>AVERAGEIFS(GJ$36:GJ$167,$C$36:$C$167,"=2", $B$36:$B$167,"OFICIAL")</f>
        <v>49.75</v>
      </c>
      <c r="GL25" s="192">
        <f>AVERAGEIFS(GL$36:GL$167,$C$36:$C$167,"=2", $B$36:$B$167,"OFICIAL")</f>
        <v>8</v>
      </c>
      <c r="GN25" s="521">
        <f>AVERAGEIFS(GN$36:GN$167,$C$36:$C$167,"=2", $B$36:$B$167,"OFICIAL")</f>
        <v>0.13750000000000001</v>
      </c>
      <c r="GO25" s="521">
        <f t="shared" ref="GO25:HQ25" si="87">AVERAGEIFS(GO$36:GO$167,$C$36:$C$167,"=2", $B$36:$B$167,"OFICIAL")</f>
        <v>0.62249999999999994</v>
      </c>
      <c r="GP25" s="521">
        <f t="shared" si="87"/>
        <v>0.24000000000000002</v>
      </c>
      <c r="GQ25" s="521">
        <f t="shared" si="87"/>
        <v>2.5000000000000001E-3</v>
      </c>
      <c r="GR25" s="521">
        <f t="shared" si="87"/>
        <v>0.50249999999999995</v>
      </c>
      <c r="GS25" s="521">
        <f t="shared" si="87"/>
        <v>0.53249999999999997</v>
      </c>
      <c r="GT25" s="521">
        <f t="shared" si="87"/>
        <v>0.65249999999999997</v>
      </c>
      <c r="GU25" s="521">
        <f t="shared" si="87"/>
        <v>0.2225</v>
      </c>
      <c r="GV25" s="521">
        <f t="shared" si="87"/>
        <v>0.59250000000000003</v>
      </c>
      <c r="GW25" s="521">
        <f t="shared" si="87"/>
        <v>0.52500000000000002</v>
      </c>
      <c r="GX25" s="521">
        <f t="shared" si="87"/>
        <v>0.47249999999999998</v>
      </c>
      <c r="GY25" s="521" t="e">
        <f t="shared" si="87"/>
        <v>#DIV/0!</v>
      </c>
      <c r="GZ25" s="521">
        <f t="shared" si="87"/>
        <v>0.36</v>
      </c>
      <c r="HA25" s="521">
        <f t="shared" si="87"/>
        <v>0.71749999999999992</v>
      </c>
      <c r="HB25" s="521">
        <f t="shared" si="87"/>
        <v>0.47249999999999998</v>
      </c>
      <c r="HC25" s="521">
        <f t="shared" si="87"/>
        <v>0.5625</v>
      </c>
      <c r="HD25" s="521">
        <f t="shared" si="87"/>
        <v>0.61250000000000004</v>
      </c>
      <c r="HE25" s="521">
        <f t="shared" si="87"/>
        <v>0.45999999999999996</v>
      </c>
      <c r="HF25" s="521">
        <f t="shared" si="87"/>
        <v>0.505</v>
      </c>
      <c r="HG25" s="521">
        <f t="shared" si="87"/>
        <v>0.67749999999999999</v>
      </c>
      <c r="HH25" s="521">
        <f t="shared" si="87"/>
        <v>0.40499999999999997</v>
      </c>
      <c r="HI25" s="521">
        <f t="shared" si="87"/>
        <v>0.55500000000000005</v>
      </c>
      <c r="HJ25" s="521">
        <f t="shared" si="87"/>
        <v>0.63249999999999995</v>
      </c>
      <c r="HK25" s="521">
        <f t="shared" si="87"/>
        <v>0.49250000000000005</v>
      </c>
      <c r="HL25" s="521">
        <f t="shared" si="87"/>
        <v>0.435</v>
      </c>
      <c r="HM25" s="521">
        <f t="shared" si="87"/>
        <v>0.48749999999999999</v>
      </c>
      <c r="HN25" s="521">
        <f t="shared" si="87"/>
        <v>0.47749999999999998</v>
      </c>
      <c r="HO25" s="521">
        <f t="shared" si="87"/>
        <v>0.45750000000000002</v>
      </c>
      <c r="HP25" s="521" t="e">
        <f t="shared" si="87"/>
        <v>#DIV/0!</v>
      </c>
      <c r="HQ25" s="521">
        <f t="shared" si="87"/>
        <v>0.47</v>
      </c>
      <c r="HR25" s="192">
        <f>AVERAGEIFS(HR$36:HR$167,$C$36:$C$167,"=2", $B$36:$B$167,"OFICIAL")</f>
        <v>49.75</v>
      </c>
      <c r="HT25" s="192">
        <f>AVERAGEIFS(HT$36:HT$167,$C$36:$C$167,"=2", $B$36:$B$167,"OFICIAL")</f>
        <v>8.5</v>
      </c>
      <c r="HV25" s="521">
        <f>AVERAGEIFS(HV$36:HV$167,$C$36:$C$167,"=2", $B$36:$B$167,"OFICIAL")</f>
        <v>0.13</v>
      </c>
      <c r="HW25" s="521">
        <f t="shared" ref="HW25:IY25" si="88">AVERAGEIFS(HW$36:HW$167,$C$36:$C$167,"=2", $B$36:$B$167,"OFICIAL")</f>
        <v>0.61250000000000004</v>
      </c>
      <c r="HX25" s="521">
        <f t="shared" si="88"/>
        <v>0.255</v>
      </c>
      <c r="HY25" s="521">
        <f t="shared" si="88"/>
        <v>0.01</v>
      </c>
      <c r="HZ25" s="521">
        <f t="shared" si="88"/>
        <v>0.40249999999999997</v>
      </c>
      <c r="IA25" s="521">
        <f t="shared" si="88"/>
        <v>0.5575</v>
      </c>
      <c r="IB25" s="521">
        <f t="shared" si="88"/>
        <v>0.39500000000000002</v>
      </c>
      <c r="IC25" s="521">
        <f t="shared" si="88"/>
        <v>0.5575</v>
      </c>
      <c r="ID25" s="521">
        <f t="shared" si="88"/>
        <v>0.64</v>
      </c>
      <c r="IE25" s="521">
        <f t="shared" si="88"/>
        <v>0.35750000000000004</v>
      </c>
      <c r="IF25" s="521">
        <f t="shared" si="88"/>
        <v>0.40749999999999997</v>
      </c>
      <c r="IG25" s="521">
        <f t="shared" si="88"/>
        <v>0.56000000000000005</v>
      </c>
      <c r="IH25" s="521">
        <f t="shared" si="88"/>
        <v>0.55000000000000004</v>
      </c>
      <c r="II25" s="521">
        <f t="shared" si="88"/>
        <v>0.375</v>
      </c>
      <c r="IJ25" s="521">
        <f t="shared" si="88"/>
        <v>0.34250000000000003</v>
      </c>
      <c r="IK25" s="521">
        <f t="shared" si="88"/>
        <v>0.60749999999999993</v>
      </c>
      <c r="IL25" s="521">
        <f t="shared" si="88"/>
        <v>0.375</v>
      </c>
      <c r="IM25" s="521">
        <f t="shared" si="88"/>
        <v>0.59499999999999997</v>
      </c>
      <c r="IN25" s="521">
        <f t="shared" si="88"/>
        <v>0.46499999999999997</v>
      </c>
      <c r="IO25" s="521">
        <f t="shared" si="88"/>
        <v>0.53</v>
      </c>
      <c r="IP25" s="521">
        <f t="shared" si="88"/>
        <v>0.41749999999999998</v>
      </c>
      <c r="IQ25" s="521">
        <f t="shared" si="88"/>
        <v>0.65</v>
      </c>
      <c r="IR25" s="521">
        <f t="shared" si="88"/>
        <v>0.59000000000000008</v>
      </c>
      <c r="IS25" s="521">
        <f t="shared" si="88"/>
        <v>0.54500000000000004</v>
      </c>
      <c r="IT25" s="521">
        <f t="shared" si="88"/>
        <v>0.46499999999999997</v>
      </c>
      <c r="IU25" s="521" t="e">
        <f t="shared" si="88"/>
        <v>#DIV/0!</v>
      </c>
      <c r="IV25" s="521">
        <f t="shared" si="88"/>
        <v>0.63249999999999995</v>
      </c>
      <c r="IW25" s="521">
        <f t="shared" si="88"/>
        <v>0.42</v>
      </c>
      <c r="IX25" s="521">
        <f t="shared" si="88"/>
        <v>0.5</v>
      </c>
      <c r="IY25" s="521">
        <f t="shared" si="88"/>
        <v>0.54</v>
      </c>
    </row>
    <row r="26" spans="1:259" s="434" customFormat="1" ht="24.9" customHeight="1" x14ac:dyDescent="0.25">
      <c r="A26" s="6" t="s">
        <v>933</v>
      </c>
      <c r="B26" s="447"/>
      <c r="C26" s="447"/>
      <c r="D26" s="192">
        <f>AVERAGEIFS(D$36:D$167,$C$36:$C$167,"=3", $B$36:$B$167,"OFICIAL")</f>
        <v>53.2</v>
      </c>
      <c r="E26" s="192">
        <f>AVERAGEIFS(E$36:E$167,$C$36:$C$167,"=3", $B$36:$B$167,"OFICIAL")</f>
        <v>7.25</v>
      </c>
      <c r="F26" s="65">
        <f>AVERAGEIFS(F$36:F$167,$C$36:$C$167,"=3", $B$36:$B$167,"OFICIAL")</f>
        <v>5.6000000000000008E-2</v>
      </c>
      <c r="G26" s="65">
        <f t="shared" ref="G26:AG26" si="89">AVERAGEIFS(G$36:G$167,$C$36:$C$167,"=3", $B$36:$B$167,"OFICIAL")</f>
        <v>0.60200000000000009</v>
      </c>
      <c r="H26" s="65">
        <f t="shared" si="89"/>
        <v>0.33999999999999997</v>
      </c>
      <c r="I26" s="65">
        <f t="shared" si="89"/>
        <v>4.0000000000000001E-3</v>
      </c>
      <c r="J26" s="65">
        <f t="shared" si="89"/>
        <v>0.46799999999999997</v>
      </c>
      <c r="K26" s="65">
        <f t="shared" si="89"/>
        <v>0.39800000000000002</v>
      </c>
      <c r="L26" s="65">
        <f t="shared" si="89"/>
        <v>0.72599999999999998</v>
      </c>
      <c r="M26" s="65">
        <f t="shared" si="89"/>
        <v>0.254</v>
      </c>
      <c r="N26" s="65">
        <f t="shared" si="89"/>
        <v>0.30599999999999999</v>
      </c>
      <c r="O26" s="65">
        <f t="shared" si="89"/>
        <v>0.72</v>
      </c>
      <c r="P26" s="65">
        <f t="shared" si="89"/>
        <v>0.34399999999999997</v>
      </c>
      <c r="Q26" s="65">
        <f t="shared" si="89"/>
        <v>0.41000000000000003</v>
      </c>
      <c r="R26" s="65">
        <f t="shared" si="89"/>
        <v>0.51400000000000001</v>
      </c>
      <c r="S26" s="65">
        <f t="shared" si="89"/>
        <v>0.6</v>
      </c>
      <c r="T26" s="65">
        <f t="shared" si="89"/>
        <v>0.44400000000000006</v>
      </c>
      <c r="U26" s="65">
        <f t="shared" si="89"/>
        <v>0.60799999999999998</v>
      </c>
      <c r="V26" s="65">
        <f t="shared" si="89"/>
        <v>7.400000000000001E-2</v>
      </c>
      <c r="W26" s="65">
        <f t="shared" si="89"/>
        <v>0.20200000000000004</v>
      </c>
      <c r="X26" s="65">
        <f t="shared" si="89"/>
        <v>0.52800000000000002</v>
      </c>
      <c r="Y26" s="65">
        <f t="shared" si="89"/>
        <v>0.45999999999999996</v>
      </c>
      <c r="Z26" s="65">
        <f t="shared" si="89"/>
        <v>0.82200000000000006</v>
      </c>
      <c r="AA26" s="65">
        <f t="shared" si="89"/>
        <v>0.16800000000000001</v>
      </c>
      <c r="AB26" s="65">
        <f t="shared" si="89"/>
        <v>0.49400000000000005</v>
      </c>
      <c r="AC26" s="65">
        <f t="shared" si="89"/>
        <v>0.26400000000000001</v>
      </c>
      <c r="AD26" s="65">
        <f t="shared" si="89"/>
        <v>0.438</v>
      </c>
      <c r="AE26" s="65">
        <f t="shared" si="89"/>
        <v>0.46400000000000008</v>
      </c>
      <c r="AF26" s="65">
        <f t="shared" si="89"/>
        <v>0.55399999999999994</v>
      </c>
      <c r="AG26" s="65">
        <f t="shared" si="89"/>
        <v>0.45800000000000002</v>
      </c>
      <c r="AH26" s="192">
        <f>AVERAGEIFS(AH$36:AH$167,$C$36:$C$167,"=3", $B$36:$B$167,"OFICIAL")</f>
        <v>51.8</v>
      </c>
      <c r="AI26" s="192">
        <f>AVERAGEIFS(AI$36:AI$167,$C$36:$C$167,"=3", $B$36:$B$167,"OFICIAL")</f>
        <v>8</v>
      </c>
      <c r="AJ26" s="65">
        <f>AVERAGEIFS(AJ$36:AJ$167,$C$36:$C$167,"=3", $B$36:$B$167,"OFICIAL")</f>
        <v>8.6000000000000007E-2</v>
      </c>
      <c r="AK26" s="65">
        <f t="shared" ref="AK26:BL26" si="90">AVERAGEIFS(AK$36:AK$167,$C$36:$C$167,"=3", $B$36:$B$167,"OFICIAL")</f>
        <v>0.54600000000000004</v>
      </c>
      <c r="AL26" s="65">
        <f t="shared" si="90"/>
        <v>0.36400000000000005</v>
      </c>
      <c r="AM26" s="65">
        <f t="shared" si="90"/>
        <v>4.0000000000000001E-3</v>
      </c>
      <c r="AN26" s="65">
        <f t="shared" si="90"/>
        <v>0.30600000000000005</v>
      </c>
      <c r="AO26" s="65">
        <f t="shared" si="90"/>
        <v>0.46799999999999997</v>
      </c>
      <c r="AP26" s="65">
        <f t="shared" si="90"/>
        <v>0.60199999999999998</v>
      </c>
      <c r="AQ26" s="65">
        <f t="shared" si="90"/>
        <v>0.41600000000000004</v>
      </c>
      <c r="AR26" s="65">
        <f t="shared" si="90"/>
        <v>0.54600000000000004</v>
      </c>
      <c r="AS26" s="65">
        <f t="shared" si="90"/>
        <v>0.54</v>
      </c>
      <c r="AT26" s="65">
        <f t="shared" si="90"/>
        <v>0.52400000000000002</v>
      </c>
      <c r="AU26" s="65">
        <f t="shared" si="90"/>
        <v>0.53600000000000003</v>
      </c>
      <c r="AV26" s="65">
        <f t="shared" si="90"/>
        <v>0.622</v>
      </c>
      <c r="AW26" s="65">
        <f t="shared" si="90"/>
        <v>0.48</v>
      </c>
      <c r="AX26" s="65">
        <f t="shared" si="90"/>
        <v>0.59399999999999997</v>
      </c>
      <c r="AY26" s="65">
        <f t="shared" si="90"/>
        <v>0.33599999999999997</v>
      </c>
      <c r="AZ26" s="65">
        <f t="shared" si="90"/>
        <v>0.29600000000000004</v>
      </c>
      <c r="BA26" s="65">
        <f t="shared" si="90"/>
        <v>0.5</v>
      </c>
      <c r="BB26" s="65">
        <f t="shared" si="90"/>
        <v>0.66600000000000004</v>
      </c>
      <c r="BC26" s="65">
        <f t="shared" si="90"/>
        <v>0.64200000000000002</v>
      </c>
      <c r="BD26" s="65">
        <f t="shared" si="90"/>
        <v>0.41799999999999998</v>
      </c>
      <c r="BE26" s="65">
        <f t="shared" si="90"/>
        <v>0.57599999999999996</v>
      </c>
      <c r="BF26" s="65">
        <f t="shared" si="90"/>
        <v>0.56999999999999995</v>
      </c>
      <c r="BG26" s="65">
        <f t="shared" si="90"/>
        <v>0.51</v>
      </c>
      <c r="BH26" s="65">
        <f t="shared" si="90"/>
        <v>0.45400000000000001</v>
      </c>
      <c r="BI26" s="65">
        <f t="shared" si="90"/>
        <v>0.40800000000000003</v>
      </c>
      <c r="BJ26" s="65">
        <f t="shared" si="90"/>
        <v>0.35399999999999998</v>
      </c>
      <c r="BK26" s="65">
        <f t="shared" si="90"/>
        <v>0.45800000000000002</v>
      </c>
      <c r="BL26" s="65">
        <f t="shared" si="90"/>
        <v>0.47599999999999998</v>
      </c>
      <c r="BM26" s="192">
        <f>AVERAGEIFS(BM$36:BM$167,$C$36:$C$167,"=3", $B$36:$B$167,"OFICIAL")</f>
        <v>50.8</v>
      </c>
      <c r="BN26" s="192">
        <f>AVERAGEIFS(BN$36:BN$167,$C$36:$C$167,"=3", $B$36:$B$167,"OFICIAL")</f>
        <v>8.25</v>
      </c>
      <c r="BO26" s="65">
        <f>AVERAGEIFS(BO$36:BO$167,$C$36:$C$167,"=3", $B$36:$B$167,"OFICIAL")</f>
        <v>0.122</v>
      </c>
      <c r="BP26" s="65">
        <f t="shared" ref="BP26:CR26" si="91">AVERAGEIFS(BP$36:BP$167,$C$36:$C$167,"=3", $B$36:$B$167,"OFICIAL")</f>
        <v>0.57200000000000006</v>
      </c>
      <c r="BQ26" s="65">
        <f t="shared" si="91"/>
        <v>0.3</v>
      </c>
      <c r="BR26" s="65">
        <f t="shared" si="91"/>
        <v>4.0000000000000001E-3</v>
      </c>
      <c r="BS26" s="65">
        <f t="shared" si="91"/>
        <v>0.35</v>
      </c>
      <c r="BT26" s="65">
        <f t="shared" si="91"/>
        <v>0.56000000000000005</v>
      </c>
      <c r="BU26" s="65">
        <f t="shared" si="91"/>
        <v>0.64200000000000002</v>
      </c>
      <c r="BV26" s="65">
        <f t="shared" si="91"/>
        <v>0.35199999999999998</v>
      </c>
      <c r="BW26" s="65">
        <f t="shared" si="91"/>
        <v>0.63400000000000001</v>
      </c>
      <c r="BX26" s="65">
        <f t="shared" si="91"/>
        <v>0.39799999999999996</v>
      </c>
      <c r="BY26" s="65">
        <f t="shared" si="91"/>
        <v>0.41000000000000003</v>
      </c>
      <c r="BZ26" s="65">
        <f t="shared" si="91"/>
        <v>0.52800000000000002</v>
      </c>
      <c r="CA26" s="65">
        <f t="shared" si="91"/>
        <v>0.45999999999999996</v>
      </c>
      <c r="CB26" s="65">
        <f t="shared" si="91"/>
        <v>0.35799999999999998</v>
      </c>
      <c r="CC26" s="65">
        <f t="shared" si="91"/>
        <v>0.20400000000000001</v>
      </c>
      <c r="CD26" s="65">
        <f t="shared" si="91"/>
        <v>0.442</v>
      </c>
      <c r="CE26" s="65">
        <f t="shared" si="91"/>
        <v>0.34799999999999998</v>
      </c>
      <c r="CF26" s="65">
        <f t="shared" si="91"/>
        <v>0.59399999999999997</v>
      </c>
      <c r="CG26" s="65">
        <f t="shared" si="91"/>
        <v>0.60799999999999998</v>
      </c>
      <c r="CH26" s="65">
        <f t="shared" si="91"/>
        <v>0.46600000000000003</v>
      </c>
      <c r="CI26" s="65">
        <f t="shared" si="91"/>
        <v>0.56600000000000006</v>
      </c>
      <c r="CJ26" s="65">
        <f t="shared" si="91"/>
        <v>0.376</v>
      </c>
      <c r="CK26" s="65">
        <f t="shared" si="91"/>
        <v>0.69599999999999995</v>
      </c>
      <c r="CL26" s="65">
        <f t="shared" si="91"/>
        <v>0.32</v>
      </c>
      <c r="CM26" s="65">
        <f t="shared" si="91"/>
        <v>0.45999999999999996</v>
      </c>
      <c r="CN26" s="65">
        <f t="shared" si="91"/>
        <v>0.48</v>
      </c>
      <c r="CO26" s="65">
        <f t="shared" si="91"/>
        <v>0.44799999999999995</v>
      </c>
      <c r="CP26" s="65">
        <f t="shared" si="91"/>
        <v>0.35399999999999998</v>
      </c>
      <c r="CQ26" s="65">
        <f t="shared" si="91"/>
        <v>0.51600000000000001</v>
      </c>
      <c r="CR26" s="65">
        <f t="shared" si="91"/>
        <v>0.57199999999999995</v>
      </c>
      <c r="CS26" s="192">
        <f>AVERAGEIFS(CS$36:CS$167,$C$36:$C$167,"=3", $B$36:$B$167,"OFICIAL")</f>
        <v>49</v>
      </c>
      <c r="CT26" s="192">
        <f>AVERAGEIFS(CT$36:CT$167,$C$36:$C$167,"=3", $B$36:$B$167,"OFICIAL")</f>
        <v>8.25</v>
      </c>
      <c r="CU26" s="65">
        <f>AVERAGEIFS(CU$36:CU$167,$C$36:$C$167,"=3", $B$36:$B$167,"OFICIAL")</f>
        <v>0.16199999999999998</v>
      </c>
      <c r="CV26" s="65">
        <f t="shared" ref="CV26:DW26" si="92">AVERAGEIFS(CV$36:CV$167,$C$36:$C$167,"=3", $B$36:$B$167,"OFICIAL")</f>
        <v>0.61399999999999988</v>
      </c>
      <c r="CW26" s="65">
        <f t="shared" si="92"/>
        <v>0.22199999999999998</v>
      </c>
      <c r="CX26" s="65">
        <f t="shared" si="92"/>
        <v>2E-3</v>
      </c>
      <c r="CY26" s="65">
        <f t="shared" si="92"/>
        <v>0.51600000000000001</v>
      </c>
      <c r="CZ26" s="65">
        <f t="shared" si="92"/>
        <v>0.30399999999999999</v>
      </c>
      <c r="DA26" s="65">
        <f t="shared" si="92"/>
        <v>0.61</v>
      </c>
      <c r="DB26" s="65">
        <f t="shared" si="92"/>
        <v>0.38200000000000001</v>
      </c>
      <c r="DC26" s="65">
        <f t="shared" si="92"/>
        <v>0.47799999999999992</v>
      </c>
      <c r="DD26" s="65">
        <f t="shared" si="92"/>
        <v>0.64</v>
      </c>
      <c r="DE26" s="65">
        <f t="shared" si="92"/>
        <v>0.46600000000000003</v>
      </c>
      <c r="DF26" s="65">
        <f t="shared" si="92"/>
        <v>0.56200000000000006</v>
      </c>
      <c r="DG26" s="65">
        <f t="shared" si="92"/>
        <v>0.48</v>
      </c>
      <c r="DH26" s="65">
        <f t="shared" si="92"/>
        <v>0.38400000000000001</v>
      </c>
      <c r="DI26" s="65">
        <f t="shared" si="92"/>
        <v>0.55400000000000005</v>
      </c>
      <c r="DJ26" s="65">
        <f t="shared" si="92"/>
        <v>0.52800000000000002</v>
      </c>
      <c r="DK26" s="65">
        <f t="shared" si="92"/>
        <v>0.4</v>
      </c>
      <c r="DL26" s="65">
        <f t="shared" si="92"/>
        <v>0.36799999999999999</v>
      </c>
      <c r="DM26" s="65">
        <f t="shared" si="92"/>
        <v>0.50800000000000001</v>
      </c>
      <c r="DN26" s="65">
        <f t="shared" si="92"/>
        <v>0.51200000000000001</v>
      </c>
      <c r="DO26" s="65">
        <f t="shared" si="92"/>
        <v>0.44800000000000006</v>
      </c>
      <c r="DP26" s="65">
        <f t="shared" si="92"/>
        <v>0.46799999999999997</v>
      </c>
      <c r="DQ26" s="65">
        <f t="shared" si="92"/>
        <v>0.59399999999999997</v>
      </c>
      <c r="DR26" s="65">
        <f t="shared" si="92"/>
        <v>0.21400000000000002</v>
      </c>
      <c r="DS26" s="65">
        <f t="shared" si="92"/>
        <v>0.41600000000000004</v>
      </c>
      <c r="DT26" s="65">
        <f t="shared" si="92"/>
        <v>0.6</v>
      </c>
      <c r="DU26" s="65">
        <f t="shared" si="92"/>
        <v>0.54799999999999993</v>
      </c>
      <c r="DV26" s="65">
        <f t="shared" si="92"/>
        <v>0.61599999999999999</v>
      </c>
      <c r="DW26" s="65">
        <f t="shared" si="92"/>
        <v>0.38200000000000001</v>
      </c>
      <c r="DX26" s="192">
        <f>AVERAGEIFS(DX$36:DX$167,$C$36:$C$167,"=3", $B$36:$B$167,"OFICIAL")</f>
        <v>49.6</v>
      </c>
      <c r="DY26" s="192">
        <f>AVERAGEIFS(DY$36:DY$167,$C$36:$C$167,"=3", $B$36:$B$167,"OFICIAL")</f>
        <v>8.8000000000000007</v>
      </c>
      <c r="DZ26" s="65">
        <f>AVERAGEIFS(DZ$36:DZ$167,$C$36:$C$167,"=3", $B$36:$B$167,"OFICIAL")</f>
        <v>0.156</v>
      </c>
      <c r="EA26" s="65">
        <f t="shared" ref="EA26:FA26" si="93">AVERAGEIFS(EA$36:EA$167,$C$36:$C$167,"=3", $B$36:$B$167,"OFICIAL")</f>
        <v>0.57400000000000007</v>
      </c>
      <c r="EB26" s="65">
        <f t="shared" si="93"/>
        <v>0.26800000000000002</v>
      </c>
      <c r="EC26" s="65">
        <f t="shared" si="93"/>
        <v>2E-3</v>
      </c>
      <c r="ED26" s="65">
        <f t="shared" si="93"/>
        <v>0.47400000000000003</v>
      </c>
      <c r="EE26" s="65">
        <f t="shared" si="93"/>
        <v>0.44799999999999995</v>
      </c>
      <c r="EF26" s="65">
        <f t="shared" si="93"/>
        <v>0.48799999999999999</v>
      </c>
      <c r="EG26" s="65">
        <f t="shared" si="93"/>
        <v>0.33999999999999997</v>
      </c>
      <c r="EH26" s="65">
        <f t="shared" si="93"/>
        <v>0.42599999999999999</v>
      </c>
      <c r="EI26" s="65">
        <f t="shared" si="93"/>
        <v>0.502</v>
      </c>
      <c r="EJ26" s="65">
        <f t="shared" si="93"/>
        <v>0.58200000000000007</v>
      </c>
      <c r="EK26" s="65">
        <f t="shared" si="93"/>
        <v>0.27800000000000002</v>
      </c>
      <c r="EL26" s="65">
        <f t="shared" si="93"/>
        <v>0.46799999999999997</v>
      </c>
      <c r="EM26" s="65">
        <f t="shared" si="93"/>
        <v>0.67799999999999994</v>
      </c>
      <c r="EN26" s="65">
        <f t="shared" si="93"/>
        <v>0.47400000000000003</v>
      </c>
      <c r="EO26" s="65">
        <f t="shared" si="93"/>
        <v>0.58200000000000007</v>
      </c>
      <c r="EP26" s="65">
        <f t="shared" si="93"/>
        <v>0.36599999999999999</v>
      </c>
      <c r="EQ26" s="65">
        <f t="shared" si="93"/>
        <v>0.29799999999999999</v>
      </c>
      <c r="ER26" s="65">
        <f t="shared" si="93"/>
        <v>0.62200000000000011</v>
      </c>
      <c r="ES26" s="65">
        <f t="shared" si="93"/>
        <v>0.45599999999999996</v>
      </c>
      <c r="ET26" s="65">
        <f t="shared" si="93"/>
        <v>0.34200000000000003</v>
      </c>
      <c r="EU26" s="65">
        <f t="shared" si="93"/>
        <v>0.58400000000000007</v>
      </c>
      <c r="EV26" s="65">
        <f t="shared" si="93"/>
        <v>0.43200000000000005</v>
      </c>
      <c r="EW26" s="65">
        <f t="shared" si="93"/>
        <v>0.33600000000000002</v>
      </c>
      <c r="EX26" s="65">
        <f t="shared" si="93"/>
        <v>0.62</v>
      </c>
      <c r="EY26" s="65">
        <f t="shared" si="93"/>
        <v>0.57799999999999996</v>
      </c>
      <c r="EZ26" s="65">
        <f t="shared" si="93"/>
        <v>0.29599999999999999</v>
      </c>
      <c r="FA26" s="65">
        <f t="shared" si="93"/>
        <v>0.6</v>
      </c>
      <c r="FB26" s="192">
        <f>AVERAGEIFS(FB$36:FB$167,$C$36:$C$167,"=3", $B$36:$B$167,"OFICIAL")</f>
        <v>49</v>
      </c>
      <c r="FD26" s="192">
        <f>AVERAGEIFS(FD$36:FD$167,$C$36:$C$167,"=3", $B$36:$B$167,"OFICIAL")</f>
        <v>8</v>
      </c>
      <c r="FF26" s="65">
        <f>AVERAGEIFS(FF$36:FF$167,$C$36:$C$167,"=3", $B$36:$B$167,"OFICIAL")</f>
        <v>0.14200000000000002</v>
      </c>
      <c r="FG26" s="65">
        <f t="shared" ref="FG26:GI26" si="94">AVERAGEIFS(FG$36:FG$167,$C$36:$C$167,"=3", $B$36:$B$167,"OFICIAL")</f>
        <v>0.65</v>
      </c>
      <c r="FH26" s="65">
        <f t="shared" si="94"/>
        <v>0.20200000000000001</v>
      </c>
      <c r="FI26" s="65">
        <f t="shared" si="94"/>
        <v>6.0000000000000001E-3</v>
      </c>
      <c r="FJ26" s="65">
        <f t="shared" si="94"/>
        <v>0.47599999999999998</v>
      </c>
      <c r="FK26" s="65">
        <f t="shared" si="94"/>
        <v>0.66800000000000004</v>
      </c>
      <c r="FL26" s="65">
        <f t="shared" si="94"/>
        <v>0.52600000000000002</v>
      </c>
      <c r="FM26" s="65">
        <f t="shared" si="94"/>
        <v>0.42400000000000004</v>
      </c>
      <c r="FN26" s="65">
        <f t="shared" si="94"/>
        <v>0.30000000000000004</v>
      </c>
      <c r="FO26" s="65">
        <f t="shared" si="94"/>
        <v>0.34799999999999998</v>
      </c>
      <c r="FP26" s="65">
        <f t="shared" si="94"/>
        <v>0.40800000000000003</v>
      </c>
      <c r="FQ26" s="65">
        <f t="shared" si="94"/>
        <v>0.42599999999999999</v>
      </c>
      <c r="FR26" s="65">
        <f t="shared" si="94"/>
        <v>0.6120000000000001</v>
      </c>
      <c r="FS26" s="65">
        <f t="shared" si="94"/>
        <v>0.52400000000000002</v>
      </c>
      <c r="FT26" s="65">
        <f t="shared" si="94"/>
        <v>0.54600000000000004</v>
      </c>
      <c r="FU26" s="65">
        <f t="shared" si="94"/>
        <v>0.39200000000000002</v>
      </c>
      <c r="FV26" s="65">
        <f t="shared" si="94"/>
        <v>0.60399999999999998</v>
      </c>
      <c r="FW26" s="65">
        <f t="shared" si="94"/>
        <v>0.56799999999999995</v>
      </c>
      <c r="FX26" s="65">
        <f t="shared" si="94"/>
        <v>0.50800000000000001</v>
      </c>
      <c r="FY26" s="65">
        <f t="shared" si="94"/>
        <v>0.376</v>
      </c>
      <c r="FZ26" s="65">
        <f t="shared" si="94"/>
        <v>0.46200000000000002</v>
      </c>
      <c r="GA26" s="65">
        <f t="shared" si="94"/>
        <v>0.53800000000000003</v>
      </c>
      <c r="GB26" s="65">
        <f t="shared" si="94"/>
        <v>0.55200000000000005</v>
      </c>
      <c r="GC26" s="65">
        <f t="shared" si="94"/>
        <v>0.48200000000000004</v>
      </c>
      <c r="GD26" s="65">
        <f t="shared" si="94"/>
        <v>0.60599999999999998</v>
      </c>
      <c r="GE26" s="65">
        <f t="shared" si="94"/>
        <v>0.53600000000000014</v>
      </c>
      <c r="GF26" s="65">
        <f t="shared" si="94"/>
        <v>0.5</v>
      </c>
      <c r="GG26" s="65">
        <f t="shared" si="94"/>
        <v>0.49399999999999994</v>
      </c>
      <c r="GH26" s="65">
        <f t="shared" si="94"/>
        <v>0.56000000000000005</v>
      </c>
      <c r="GI26" s="65">
        <f t="shared" si="94"/>
        <v>0.30600000000000005</v>
      </c>
      <c r="GJ26" s="192">
        <f>AVERAGEIFS(GJ$36:GJ$167,$C$36:$C$167,"=3", $B$36:$B$167,"OFICIAL")</f>
        <v>49.833333333333336</v>
      </c>
      <c r="GL26" s="192">
        <f>AVERAGEIFS(GL$36:GL$167,$C$36:$C$167,"=3", $B$36:$B$167,"OFICIAL")</f>
        <v>8.8333333333333339</v>
      </c>
      <c r="GN26" s="521">
        <f>AVERAGEIFS(GN$36:GN$167,$C$36:$C$167,"=3", $B$36:$B$167,"OFICIAL")</f>
        <v>0.17166666666666663</v>
      </c>
      <c r="GO26" s="521">
        <f t="shared" ref="GO26:HQ26" si="95">AVERAGEIFS(GO$36:GO$167,$C$36:$C$167,"=3", $B$36:$B$167,"OFICIAL")</f>
        <v>0.56000000000000005</v>
      </c>
      <c r="GP26" s="521">
        <f t="shared" si="95"/>
        <v>0.255</v>
      </c>
      <c r="GQ26" s="521">
        <f t="shared" si="95"/>
        <v>1.3333333333333334E-2</v>
      </c>
      <c r="GR26" s="521">
        <f t="shared" si="95"/>
        <v>0.48833333333333345</v>
      </c>
      <c r="GS26" s="521">
        <f t="shared" si="95"/>
        <v>0.54999999999999993</v>
      </c>
      <c r="GT26" s="521">
        <f t="shared" si="95"/>
        <v>0.62666666666666659</v>
      </c>
      <c r="GU26" s="521">
        <f t="shared" si="95"/>
        <v>0.26166666666666666</v>
      </c>
      <c r="GV26" s="521">
        <f t="shared" si="95"/>
        <v>0.57666666666666666</v>
      </c>
      <c r="GW26" s="521">
        <f t="shared" si="95"/>
        <v>0.52</v>
      </c>
      <c r="GX26" s="521">
        <f t="shared" si="95"/>
        <v>0.47833333333333333</v>
      </c>
      <c r="GY26" s="521" t="e">
        <f t="shared" si="95"/>
        <v>#DIV/0!</v>
      </c>
      <c r="GZ26" s="521">
        <f t="shared" si="95"/>
        <v>0.36499999999999999</v>
      </c>
      <c r="HA26" s="521">
        <f t="shared" si="95"/>
        <v>0.69</v>
      </c>
      <c r="HB26" s="521">
        <f t="shared" si="95"/>
        <v>0.47499999999999992</v>
      </c>
      <c r="HC26" s="521">
        <f t="shared" si="95"/>
        <v>0.54500000000000004</v>
      </c>
      <c r="HD26" s="521">
        <f t="shared" si="95"/>
        <v>0.58833333333333326</v>
      </c>
      <c r="HE26" s="521">
        <f t="shared" si="95"/>
        <v>0.47</v>
      </c>
      <c r="HF26" s="521">
        <f t="shared" si="95"/>
        <v>0.49833333333333329</v>
      </c>
      <c r="HG26" s="521">
        <f t="shared" si="95"/>
        <v>0.66499999999999992</v>
      </c>
      <c r="HH26" s="521">
        <f t="shared" si="95"/>
        <v>0.39666666666666667</v>
      </c>
      <c r="HI26" s="521">
        <f t="shared" si="95"/>
        <v>0.52833333333333332</v>
      </c>
      <c r="HJ26" s="521">
        <f t="shared" si="95"/>
        <v>0.59</v>
      </c>
      <c r="HK26" s="521">
        <f t="shared" si="95"/>
        <v>0.52500000000000002</v>
      </c>
      <c r="HL26" s="521">
        <f t="shared" si="95"/>
        <v>0.44666666666666671</v>
      </c>
      <c r="HM26" s="521">
        <f t="shared" si="95"/>
        <v>0.49500000000000005</v>
      </c>
      <c r="HN26" s="521">
        <f t="shared" si="95"/>
        <v>0.49500000000000005</v>
      </c>
      <c r="HO26" s="521">
        <f t="shared" si="95"/>
        <v>0.46333333333333337</v>
      </c>
      <c r="HP26" s="521" t="e">
        <f t="shared" si="95"/>
        <v>#DIV/0!</v>
      </c>
      <c r="HQ26" s="521">
        <f t="shared" si="95"/>
        <v>0.41500000000000004</v>
      </c>
      <c r="HR26" s="192">
        <f>AVERAGEIFS(HR$36:HR$167,$C$36:$C$167,"=3", $B$36:$B$167,"OFICIAL")</f>
        <v>50.5</v>
      </c>
      <c r="HT26" s="192">
        <f>AVERAGEIFS(HT$36:HT$167,$C$36:$C$167,"=3", $B$36:$B$167,"OFICIAL")</f>
        <v>8.5</v>
      </c>
      <c r="HV26" s="521">
        <f>AVERAGEIFS(HV$36:HV$167,$C$36:$C$167,"=3", $B$36:$B$167,"OFICIAL")</f>
        <v>0.14166666666666666</v>
      </c>
      <c r="HW26" s="521">
        <f t="shared" ref="HW26:IY26" si="96">AVERAGEIFS(HW$36:HW$167,$C$36:$C$167,"=3", $B$36:$B$167,"OFICIAL")</f>
        <v>0.54166666666666663</v>
      </c>
      <c r="HX26" s="521">
        <f t="shared" si="96"/>
        <v>0.30666666666666664</v>
      </c>
      <c r="HY26" s="521">
        <f t="shared" si="96"/>
        <v>0.01</v>
      </c>
      <c r="HZ26" s="521">
        <f t="shared" si="96"/>
        <v>0.41</v>
      </c>
      <c r="IA26" s="521">
        <f t="shared" si="96"/>
        <v>0.53500000000000003</v>
      </c>
      <c r="IB26" s="521">
        <f t="shared" si="96"/>
        <v>0.34833333333333338</v>
      </c>
      <c r="IC26" s="521">
        <f t="shared" si="96"/>
        <v>0.49666666666666665</v>
      </c>
      <c r="ID26" s="521">
        <f t="shared" si="96"/>
        <v>0.63666666666666671</v>
      </c>
      <c r="IE26" s="521">
        <f t="shared" si="96"/>
        <v>0.35500000000000004</v>
      </c>
      <c r="IF26" s="521">
        <f t="shared" si="96"/>
        <v>0.40166666666666662</v>
      </c>
      <c r="IG26" s="521">
        <f t="shared" si="96"/>
        <v>0.54500000000000004</v>
      </c>
      <c r="IH26" s="521">
        <f t="shared" si="96"/>
        <v>0.51833333333333331</v>
      </c>
      <c r="II26" s="521">
        <f t="shared" si="96"/>
        <v>0.32333333333333336</v>
      </c>
      <c r="IJ26" s="521">
        <f t="shared" si="96"/>
        <v>0.29000000000000004</v>
      </c>
      <c r="IK26" s="521">
        <f t="shared" si="96"/>
        <v>0.59333333333333338</v>
      </c>
      <c r="IL26" s="521">
        <f t="shared" si="96"/>
        <v>0.35833333333333339</v>
      </c>
      <c r="IM26" s="521">
        <f t="shared" si="96"/>
        <v>0.57333333333333336</v>
      </c>
      <c r="IN26" s="521">
        <f t="shared" si="96"/>
        <v>0.47000000000000003</v>
      </c>
      <c r="IO26" s="521">
        <f t="shared" si="96"/>
        <v>0.54833333333333334</v>
      </c>
      <c r="IP26" s="521">
        <f t="shared" si="96"/>
        <v>0.4466666666666666</v>
      </c>
      <c r="IQ26" s="521">
        <f t="shared" si="96"/>
        <v>0.66500000000000004</v>
      </c>
      <c r="IR26" s="521">
        <f t="shared" si="96"/>
        <v>0.53500000000000003</v>
      </c>
      <c r="IS26" s="521">
        <f t="shared" si="96"/>
        <v>0.53499999999999992</v>
      </c>
      <c r="IT26" s="521">
        <f t="shared" si="96"/>
        <v>0.44666666666666671</v>
      </c>
      <c r="IU26" s="521" t="e">
        <f t="shared" si="96"/>
        <v>#DIV/0!</v>
      </c>
      <c r="IV26" s="521">
        <f t="shared" si="96"/>
        <v>0.6283333333333333</v>
      </c>
      <c r="IW26" s="521">
        <f t="shared" si="96"/>
        <v>0.43</v>
      </c>
      <c r="IX26" s="521">
        <f t="shared" si="96"/>
        <v>0.51166666666666671</v>
      </c>
      <c r="IY26" s="521">
        <f t="shared" si="96"/>
        <v>0.53</v>
      </c>
    </row>
    <row r="27" spans="1:259" s="434" customFormat="1" ht="24.9" customHeight="1" x14ac:dyDescent="0.25">
      <c r="A27" s="6" t="s">
        <v>934</v>
      </c>
      <c r="B27" s="447"/>
      <c r="C27" s="447"/>
      <c r="D27" s="192">
        <f>AVERAGEIFS(D$36:D$167,$C$36:$C$167,"=4", $B$36:$B$167,"OFICIAL")</f>
        <v>50.5</v>
      </c>
      <c r="E27" s="192">
        <f>AVERAGEIFS(E$36:E$167,$C$36:$C$167,"=4", $B$36:$B$167,"OFICIAL")</f>
        <v>7.166666666666667</v>
      </c>
      <c r="F27" s="65">
        <f>AVERAGEIFS(F$36:F$167,$C$36:$C$167,"=4", $B$36:$B$167,"OFICIAL")</f>
        <v>0.10333333333333335</v>
      </c>
      <c r="G27" s="65">
        <f t="shared" ref="G27:AG27" si="97">AVERAGEIFS(G$36:G$167,$C$36:$C$167,"=4", $B$36:$B$167,"OFICIAL")</f>
        <v>0.66666666666666663</v>
      </c>
      <c r="H27" s="65">
        <f t="shared" si="97"/>
        <v>0.22666666666666666</v>
      </c>
      <c r="I27" s="65">
        <f t="shared" si="97"/>
        <v>3.3333333333333335E-3</v>
      </c>
      <c r="J27" s="65">
        <f t="shared" si="97"/>
        <v>0.42499999999999999</v>
      </c>
      <c r="K27" s="65">
        <f t="shared" si="97"/>
        <v>0.44999999999999996</v>
      </c>
      <c r="L27" s="65">
        <f t="shared" si="97"/>
        <v>0.81166666666666665</v>
      </c>
      <c r="M27" s="65">
        <f t="shared" si="97"/>
        <v>0.30499999999999999</v>
      </c>
      <c r="N27" s="65">
        <f t="shared" si="97"/>
        <v>0.36000000000000004</v>
      </c>
      <c r="O27" s="65">
        <f t="shared" si="97"/>
        <v>0.70166666666666666</v>
      </c>
      <c r="P27" s="65">
        <f t="shared" si="97"/>
        <v>0.36666666666666664</v>
      </c>
      <c r="Q27" s="65">
        <f t="shared" si="97"/>
        <v>0.5</v>
      </c>
      <c r="R27" s="65">
        <f t="shared" si="97"/>
        <v>0.59833333333333327</v>
      </c>
      <c r="S27" s="65">
        <f t="shared" si="97"/>
        <v>0.61166666666666658</v>
      </c>
      <c r="T27" s="65">
        <f t="shared" si="97"/>
        <v>0.53833333333333322</v>
      </c>
      <c r="U27" s="65">
        <f t="shared" si="97"/>
        <v>0.65666666666666662</v>
      </c>
      <c r="V27" s="65">
        <f t="shared" si="97"/>
        <v>0.11499999999999999</v>
      </c>
      <c r="W27" s="65">
        <f t="shared" si="97"/>
        <v>0.19333333333333336</v>
      </c>
      <c r="X27" s="65">
        <f t="shared" si="97"/>
        <v>0.55333333333333334</v>
      </c>
      <c r="Y27" s="65">
        <f t="shared" si="97"/>
        <v>0.5033333333333333</v>
      </c>
      <c r="Z27" s="65">
        <f t="shared" si="97"/>
        <v>0.9</v>
      </c>
      <c r="AA27" s="65">
        <f t="shared" si="97"/>
        <v>0.11333333333333334</v>
      </c>
      <c r="AB27" s="65">
        <f t="shared" si="97"/>
        <v>0.47666666666666674</v>
      </c>
      <c r="AC27" s="65">
        <f t="shared" si="97"/>
        <v>0.35499999999999998</v>
      </c>
      <c r="AD27" s="65">
        <f t="shared" si="97"/>
        <v>0.49333333333333335</v>
      </c>
      <c r="AE27" s="65">
        <f t="shared" si="97"/>
        <v>0.49</v>
      </c>
      <c r="AF27" s="65">
        <f t="shared" si="97"/>
        <v>0.57999999999999996</v>
      </c>
      <c r="AG27" s="65">
        <f t="shared" si="97"/>
        <v>0.55833333333333335</v>
      </c>
      <c r="AH27" s="192">
        <f>AVERAGEIFS(AH$36:AH$167,$C$36:$C$167,"=4", $B$36:$B$167,"OFICIAL")</f>
        <v>49.833333333333336</v>
      </c>
      <c r="AI27" s="192">
        <f>AVERAGEIFS(AI$36:AI$167,$C$36:$C$167,"=4", $B$36:$B$167,"OFICIAL")</f>
        <v>7.833333333333333</v>
      </c>
      <c r="AJ27" s="65">
        <f>AVERAGEIFS(AJ$36:AJ$167,$C$36:$C$167,"=4", $B$36:$B$167,"OFICIAL")</f>
        <v>0.125</v>
      </c>
      <c r="AK27" s="65">
        <f t="shared" ref="AK27:BL27" si="98">AVERAGEIFS(AK$36:AK$167,$C$36:$C$167,"=4", $B$36:$B$167,"OFICIAL")</f>
        <v>0.65</v>
      </c>
      <c r="AL27" s="65">
        <f t="shared" si="98"/>
        <v>0.21666666666666667</v>
      </c>
      <c r="AM27" s="65">
        <f t="shared" si="98"/>
        <v>0.01</v>
      </c>
      <c r="AN27" s="65">
        <f t="shared" si="98"/>
        <v>0.34833333333333338</v>
      </c>
      <c r="AO27" s="65">
        <f t="shared" si="98"/>
        <v>0.50000000000000011</v>
      </c>
      <c r="AP27" s="65">
        <f t="shared" si="98"/>
        <v>0.60666666666666658</v>
      </c>
      <c r="AQ27" s="65">
        <f t="shared" si="98"/>
        <v>0.47166666666666668</v>
      </c>
      <c r="AR27" s="65">
        <f t="shared" si="98"/>
        <v>0.60166666666666668</v>
      </c>
      <c r="AS27" s="65">
        <f t="shared" si="98"/>
        <v>0.54333333333333333</v>
      </c>
      <c r="AT27" s="65">
        <f t="shared" si="98"/>
        <v>0.54666666666666663</v>
      </c>
      <c r="AU27" s="65">
        <f t="shared" si="98"/>
        <v>0.55166666666666664</v>
      </c>
      <c r="AV27" s="65">
        <f t="shared" si="98"/>
        <v>0.63</v>
      </c>
      <c r="AW27" s="65">
        <f t="shared" si="98"/>
        <v>0.54333333333333333</v>
      </c>
      <c r="AX27" s="65">
        <f t="shared" si="98"/>
        <v>0.6283333333333333</v>
      </c>
      <c r="AY27" s="65">
        <f t="shared" si="98"/>
        <v>0.375</v>
      </c>
      <c r="AZ27" s="65">
        <f t="shared" si="98"/>
        <v>0.31</v>
      </c>
      <c r="BA27" s="65">
        <f t="shared" si="98"/>
        <v>0.52166666666666672</v>
      </c>
      <c r="BB27" s="65">
        <f t="shared" si="98"/>
        <v>0.67833333333333334</v>
      </c>
      <c r="BC27" s="65">
        <f t="shared" si="98"/>
        <v>0.68</v>
      </c>
      <c r="BD27" s="65">
        <f t="shared" si="98"/>
        <v>0.47333333333333338</v>
      </c>
      <c r="BE27" s="65">
        <f t="shared" si="98"/>
        <v>0.59166666666666667</v>
      </c>
      <c r="BF27" s="65">
        <f t="shared" si="98"/>
        <v>0.61166666666666669</v>
      </c>
      <c r="BG27" s="65">
        <f t="shared" si="98"/>
        <v>0.54666666666666675</v>
      </c>
      <c r="BH27" s="65">
        <f t="shared" si="98"/>
        <v>0.48166666666666663</v>
      </c>
      <c r="BI27" s="65">
        <f t="shared" si="98"/>
        <v>0.45666666666666661</v>
      </c>
      <c r="BJ27" s="65">
        <f t="shared" si="98"/>
        <v>0.39500000000000002</v>
      </c>
      <c r="BK27" s="65">
        <f t="shared" si="98"/>
        <v>0.49500000000000005</v>
      </c>
      <c r="BL27" s="65">
        <f t="shared" si="98"/>
        <v>0.59833333333333327</v>
      </c>
      <c r="BM27" s="192">
        <f>AVERAGEIFS(BM$36:BM$167,$C$36:$C$167,"=4", $B$36:$B$167,"OFICIAL")</f>
        <v>46.5</v>
      </c>
      <c r="BN27" s="192">
        <f>AVERAGEIFS(BN$36:BN$167,$C$36:$C$167,"=4", $B$36:$B$167,"OFICIAL")</f>
        <v>8</v>
      </c>
      <c r="BO27" s="65">
        <f>AVERAGEIFS(BO$36:BO$167,$C$36:$C$167,"=4", $B$36:$B$167,"OFICIAL")</f>
        <v>0.24666666666666667</v>
      </c>
      <c r="BP27" s="65">
        <f t="shared" ref="BP27:CR27" si="99">AVERAGEIFS(BP$36:BP$167,$C$36:$C$167,"=4", $B$36:$B$167,"OFICIAL")</f>
        <v>0.60833333333333339</v>
      </c>
      <c r="BQ27" s="65">
        <f t="shared" si="99"/>
        <v>0.1466666666666667</v>
      </c>
      <c r="BR27" s="65">
        <f t="shared" si="99"/>
        <v>1.6666666666666668E-3</v>
      </c>
      <c r="BS27" s="65">
        <f t="shared" si="99"/>
        <v>0.40666666666666668</v>
      </c>
      <c r="BT27" s="65">
        <f t="shared" si="99"/>
        <v>0.6150000000000001</v>
      </c>
      <c r="BU27" s="65">
        <f t="shared" si="99"/>
        <v>0.70166666666666666</v>
      </c>
      <c r="BV27" s="65">
        <f t="shared" si="99"/>
        <v>0.48666666666666664</v>
      </c>
      <c r="BW27" s="65">
        <f t="shared" si="99"/>
        <v>0.68</v>
      </c>
      <c r="BX27" s="65">
        <f t="shared" si="99"/>
        <v>0.46666666666666662</v>
      </c>
      <c r="BY27" s="65">
        <f t="shared" si="99"/>
        <v>0.5</v>
      </c>
      <c r="BZ27" s="65">
        <f t="shared" si="99"/>
        <v>0.58499999999999996</v>
      </c>
      <c r="CA27" s="65">
        <f t="shared" si="99"/>
        <v>0.53333333333333333</v>
      </c>
      <c r="CB27" s="65">
        <f t="shared" si="99"/>
        <v>0.48000000000000004</v>
      </c>
      <c r="CC27" s="65">
        <f t="shared" si="99"/>
        <v>0.30833333333333335</v>
      </c>
      <c r="CD27" s="65">
        <f t="shared" si="99"/>
        <v>0.51500000000000001</v>
      </c>
      <c r="CE27" s="65">
        <f t="shared" si="99"/>
        <v>0.4366666666666667</v>
      </c>
      <c r="CF27" s="65">
        <f t="shared" si="99"/>
        <v>0.63166666666666671</v>
      </c>
      <c r="CG27" s="65">
        <f t="shared" si="99"/>
        <v>0.66333333333333322</v>
      </c>
      <c r="CH27" s="65">
        <f t="shared" si="99"/>
        <v>0.52833333333333332</v>
      </c>
      <c r="CI27" s="65">
        <f t="shared" si="99"/>
        <v>0.66666666666666663</v>
      </c>
      <c r="CJ27" s="65">
        <f t="shared" si="99"/>
        <v>0.41833333333333328</v>
      </c>
      <c r="CK27" s="65">
        <f t="shared" si="99"/>
        <v>0.74500000000000011</v>
      </c>
      <c r="CL27" s="65">
        <f t="shared" si="99"/>
        <v>0.42833333333333329</v>
      </c>
      <c r="CM27" s="65">
        <f t="shared" si="99"/>
        <v>0.55500000000000005</v>
      </c>
      <c r="CN27" s="65">
        <f t="shared" si="99"/>
        <v>0.53666666666666663</v>
      </c>
      <c r="CO27" s="65">
        <f t="shared" si="99"/>
        <v>0.48833333333333334</v>
      </c>
      <c r="CP27" s="65">
        <f t="shared" si="99"/>
        <v>0.45333333333333331</v>
      </c>
      <c r="CQ27" s="65">
        <f t="shared" si="99"/>
        <v>0.58500000000000008</v>
      </c>
      <c r="CR27" s="65">
        <f t="shared" si="99"/>
        <v>0.61166666666666669</v>
      </c>
      <c r="CS27" s="192">
        <f>AVERAGEIFS(CS$36:CS$167,$C$36:$C$167,"=4", $B$36:$B$167,"OFICIAL")</f>
        <v>45.5</v>
      </c>
      <c r="CT27" s="192">
        <f>AVERAGEIFS(CT$36:CT$167,$C$36:$C$167,"=4", $B$36:$B$167,"OFICIAL")</f>
        <v>8.3333333333333339</v>
      </c>
      <c r="CU27" s="65">
        <f>AVERAGEIFS(CU$36:CU$167,$C$36:$C$167,"=4", $B$36:$B$167,"OFICIAL")</f>
        <v>0.27166666666666667</v>
      </c>
      <c r="CV27" s="65">
        <f t="shared" ref="CV27:DW27" si="100">AVERAGEIFS(CV$36:CV$167,$C$36:$C$167,"=4", $B$36:$B$167,"OFICIAL")</f>
        <v>0.61833333333333329</v>
      </c>
      <c r="CW27" s="65">
        <f t="shared" si="100"/>
        <v>0.11000000000000003</v>
      </c>
      <c r="CX27" s="65">
        <f t="shared" si="100"/>
        <v>1.6666666666666668E-3</v>
      </c>
      <c r="CY27" s="65">
        <f t="shared" si="100"/>
        <v>0.58333333333333337</v>
      </c>
      <c r="CZ27" s="65">
        <f t="shared" si="100"/>
        <v>0.37166666666666665</v>
      </c>
      <c r="DA27" s="65">
        <f t="shared" si="100"/>
        <v>0.61</v>
      </c>
      <c r="DB27" s="65">
        <f t="shared" si="100"/>
        <v>0.45</v>
      </c>
      <c r="DC27" s="65">
        <f t="shared" si="100"/>
        <v>0.5116666666666666</v>
      </c>
      <c r="DD27" s="65">
        <f t="shared" si="100"/>
        <v>0.64333333333333342</v>
      </c>
      <c r="DE27" s="65">
        <f t="shared" si="100"/>
        <v>0.53833333333333322</v>
      </c>
      <c r="DF27" s="65">
        <f t="shared" si="100"/>
        <v>0.60333333333333339</v>
      </c>
      <c r="DG27" s="65">
        <f t="shared" si="100"/>
        <v>0.52</v>
      </c>
      <c r="DH27" s="65">
        <f t="shared" si="100"/>
        <v>0.43</v>
      </c>
      <c r="DI27" s="65">
        <f t="shared" si="100"/>
        <v>0.63</v>
      </c>
      <c r="DJ27" s="65">
        <f t="shared" si="100"/>
        <v>0.57499999999999996</v>
      </c>
      <c r="DK27" s="65">
        <f t="shared" si="100"/>
        <v>0.45833333333333331</v>
      </c>
      <c r="DL27" s="65">
        <f t="shared" si="100"/>
        <v>0.47666666666666663</v>
      </c>
      <c r="DM27" s="65">
        <f t="shared" si="100"/>
        <v>0.59333333333333338</v>
      </c>
      <c r="DN27" s="65">
        <f t="shared" si="100"/>
        <v>0.54833333333333345</v>
      </c>
      <c r="DO27" s="65">
        <f t="shared" si="100"/>
        <v>0.49666666666666665</v>
      </c>
      <c r="DP27" s="65">
        <f t="shared" si="100"/>
        <v>0.52333333333333343</v>
      </c>
      <c r="DQ27" s="65">
        <f t="shared" si="100"/>
        <v>0.60666666666666658</v>
      </c>
      <c r="DR27" s="65">
        <f t="shared" si="100"/>
        <v>0.2583333333333333</v>
      </c>
      <c r="DS27" s="65">
        <f t="shared" si="100"/>
        <v>0.42333333333333334</v>
      </c>
      <c r="DT27" s="65">
        <f t="shared" si="100"/>
        <v>0.62</v>
      </c>
      <c r="DU27" s="65">
        <f t="shared" si="100"/>
        <v>0.59166666666666667</v>
      </c>
      <c r="DV27" s="65">
        <f t="shared" si="100"/>
        <v>0.65666666666666662</v>
      </c>
      <c r="DW27" s="65">
        <f t="shared" si="100"/>
        <v>0.39333333333333331</v>
      </c>
      <c r="DX27" s="192">
        <f>AVERAGEIFS(DX$36:DX$167,$C$36:$C$167,"=4", $B$36:$B$167,"OFICIAL")</f>
        <v>45.166666666666664</v>
      </c>
      <c r="DY27" s="192">
        <f>AVERAGEIFS(DY$36:DY$167,$C$36:$C$167,"=4", $B$36:$B$167,"OFICIAL")</f>
        <v>8.1666666666666661</v>
      </c>
      <c r="DZ27" s="65">
        <f>AVERAGEIFS(DZ$36:DZ$167,$C$36:$C$167,"=4", $B$36:$B$167,"OFICIAL")</f>
        <v>0.27499999999999997</v>
      </c>
      <c r="EA27" s="65">
        <f t="shared" ref="EA27:FA27" si="101">AVERAGEIFS(EA$36:EA$167,$C$36:$C$167,"=4", $B$36:$B$167,"OFICIAL")</f>
        <v>0.63166666666666671</v>
      </c>
      <c r="EB27" s="65">
        <f t="shared" si="101"/>
        <v>9.0000000000000011E-2</v>
      </c>
      <c r="EC27" s="65">
        <f t="shared" si="101"/>
        <v>1.6666666666666668E-3</v>
      </c>
      <c r="ED27" s="65">
        <f t="shared" si="101"/>
        <v>0.53666666666666674</v>
      </c>
      <c r="EE27" s="65">
        <f t="shared" si="101"/>
        <v>0.5033333333333333</v>
      </c>
      <c r="EF27" s="65">
        <f t="shared" si="101"/>
        <v>0.53333333333333333</v>
      </c>
      <c r="EG27" s="65">
        <f t="shared" si="101"/>
        <v>0.47166666666666662</v>
      </c>
      <c r="EH27" s="65">
        <f t="shared" si="101"/>
        <v>0.52999999999999992</v>
      </c>
      <c r="EI27" s="65">
        <f t="shared" si="101"/>
        <v>0.60166666666666668</v>
      </c>
      <c r="EJ27" s="65">
        <f t="shared" si="101"/>
        <v>0.6333333333333333</v>
      </c>
      <c r="EK27" s="65">
        <f t="shared" si="101"/>
        <v>0.37166666666666665</v>
      </c>
      <c r="EL27" s="65">
        <f t="shared" si="101"/>
        <v>0.52</v>
      </c>
      <c r="EM27" s="65">
        <f t="shared" si="101"/>
        <v>0.72666666666666668</v>
      </c>
      <c r="EN27" s="65">
        <f t="shared" si="101"/>
        <v>0.59166666666666667</v>
      </c>
      <c r="EO27" s="65">
        <f t="shared" si="101"/>
        <v>0.64333333333333342</v>
      </c>
      <c r="EP27" s="65">
        <f t="shared" si="101"/>
        <v>0.48333333333333334</v>
      </c>
      <c r="EQ27" s="65">
        <f t="shared" si="101"/>
        <v>0.43166666666666664</v>
      </c>
      <c r="ER27" s="65">
        <f t="shared" si="101"/>
        <v>0.65666666666666662</v>
      </c>
      <c r="ES27" s="65">
        <f t="shared" si="101"/>
        <v>0.56166666666666665</v>
      </c>
      <c r="ET27" s="65">
        <f t="shared" si="101"/>
        <v>0.42333333333333334</v>
      </c>
      <c r="EU27" s="65">
        <f t="shared" si="101"/>
        <v>0.72333333333333327</v>
      </c>
      <c r="EV27" s="65">
        <f t="shared" si="101"/>
        <v>0.49000000000000005</v>
      </c>
      <c r="EW27" s="65">
        <f t="shared" si="101"/>
        <v>0.37666666666666671</v>
      </c>
      <c r="EX27" s="65">
        <f t="shared" si="101"/>
        <v>0.69999999999999984</v>
      </c>
      <c r="EY27" s="65">
        <f t="shared" si="101"/>
        <v>0.64666666666666661</v>
      </c>
      <c r="EZ27" s="65">
        <f t="shared" si="101"/>
        <v>0.29166666666666669</v>
      </c>
      <c r="FA27" s="65">
        <f t="shared" si="101"/>
        <v>0.67499999999999993</v>
      </c>
      <c r="FB27" s="192">
        <f>AVERAGEIFS(FB$36:FB$167,$C$36:$C$167,"=4", $B$36:$B$167,"OFICIAL")</f>
        <v>46</v>
      </c>
      <c r="FD27" s="192">
        <f>AVERAGEIFS(FD$36:FD$167,$C$36:$C$167,"=4", $B$36:$B$167,"OFICIAL")</f>
        <v>7.333333333333333</v>
      </c>
      <c r="FF27" s="65">
        <f>AVERAGEIFS(FF$36:FF$167,$C$36:$C$167,"=4", $B$36:$B$167,"OFICIAL")</f>
        <v>0.26333333333333336</v>
      </c>
      <c r="FG27" s="65">
        <f t="shared" ref="FG27:GI27" si="102">AVERAGEIFS(FG$36:FG$167,$C$36:$C$167,"=4", $B$36:$B$167,"OFICIAL")</f>
        <v>0.625</v>
      </c>
      <c r="FH27" s="65">
        <f t="shared" si="102"/>
        <v>0.10666666666666665</v>
      </c>
      <c r="FI27" s="65">
        <f t="shared" si="102"/>
        <v>1.6666666666666668E-3</v>
      </c>
      <c r="FJ27" s="65">
        <f t="shared" si="102"/>
        <v>0.56333333333333335</v>
      </c>
      <c r="FK27" s="65">
        <f t="shared" si="102"/>
        <v>0.71666666666666667</v>
      </c>
      <c r="FL27" s="65">
        <f t="shared" si="102"/>
        <v>0.57500000000000007</v>
      </c>
      <c r="FM27" s="65">
        <f t="shared" si="102"/>
        <v>0.54500000000000004</v>
      </c>
      <c r="FN27" s="65">
        <f t="shared" si="102"/>
        <v>0.3833333333333333</v>
      </c>
      <c r="FO27" s="65">
        <f t="shared" si="102"/>
        <v>0.41333333333333333</v>
      </c>
      <c r="FP27" s="65">
        <f t="shared" si="102"/>
        <v>0.47333333333333333</v>
      </c>
      <c r="FQ27" s="65">
        <f t="shared" si="102"/>
        <v>0.45500000000000002</v>
      </c>
      <c r="FR27" s="65">
        <f t="shared" si="102"/>
        <v>0.65</v>
      </c>
      <c r="FS27" s="65">
        <f t="shared" si="102"/>
        <v>0.59499999999999997</v>
      </c>
      <c r="FT27" s="65">
        <f t="shared" si="102"/>
        <v>0.59</v>
      </c>
      <c r="FU27" s="65">
        <f t="shared" si="102"/>
        <v>0.47833333333333333</v>
      </c>
      <c r="FV27" s="65">
        <f t="shared" si="102"/>
        <v>0.69499999999999995</v>
      </c>
      <c r="FW27" s="65">
        <f t="shared" si="102"/>
        <v>0.63833333333333331</v>
      </c>
      <c r="FX27" s="65">
        <f t="shared" si="102"/>
        <v>0.56666666666666676</v>
      </c>
      <c r="FY27" s="65">
        <f t="shared" si="102"/>
        <v>0.44666666666666671</v>
      </c>
      <c r="FZ27" s="65">
        <f t="shared" si="102"/>
        <v>0.46333333333333337</v>
      </c>
      <c r="GA27" s="65">
        <f t="shared" si="102"/>
        <v>0.54666666666666675</v>
      </c>
      <c r="GB27" s="65">
        <f t="shared" si="102"/>
        <v>0.58833333333333337</v>
      </c>
      <c r="GC27" s="65">
        <f t="shared" si="102"/>
        <v>0.53</v>
      </c>
      <c r="GD27" s="65">
        <f t="shared" si="102"/>
        <v>0.64</v>
      </c>
      <c r="GE27" s="65">
        <f t="shared" si="102"/>
        <v>0.61333333333333329</v>
      </c>
      <c r="GF27" s="65">
        <f t="shared" si="102"/>
        <v>0.56999999999999995</v>
      </c>
      <c r="GG27" s="65">
        <f t="shared" si="102"/>
        <v>0.55666666666666675</v>
      </c>
      <c r="GH27" s="65">
        <f t="shared" si="102"/>
        <v>0.64666666666666661</v>
      </c>
      <c r="GI27" s="65">
        <f t="shared" si="102"/>
        <v>0.35166666666666674</v>
      </c>
      <c r="GJ27" s="192">
        <f>AVERAGEIFS(GJ$36:GJ$167,$C$36:$C$167,"=4", $B$36:$B$167,"OFICIAL")</f>
        <v>46.166666666666664</v>
      </c>
      <c r="GL27" s="192">
        <f>AVERAGEIFS(GL$36:GL$167,$C$36:$C$167,"=4", $B$36:$B$167,"OFICIAL")</f>
        <v>8.6666666666666661</v>
      </c>
      <c r="GN27" s="521">
        <f>AVERAGEIFS(GN$36:GN$167,$C$36:$C$167,"=4", $B$36:$B$167,"OFICIAL")</f>
        <v>0.27999999999999997</v>
      </c>
      <c r="GO27" s="521">
        <f t="shared" ref="GO27:HQ27" si="103">AVERAGEIFS(GO$36:GO$167,$C$36:$C$167,"=4", $B$36:$B$167,"OFICIAL")</f>
        <v>0.56999999999999995</v>
      </c>
      <c r="GP27" s="521">
        <f t="shared" si="103"/>
        <v>0.14833333333333334</v>
      </c>
      <c r="GQ27" s="521">
        <f t="shared" si="103"/>
        <v>3.3333333333333335E-3</v>
      </c>
      <c r="GR27" s="521">
        <f t="shared" si="103"/>
        <v>0.55833333333333335</v>
      </c>
      <c r="GS27" s="521">
        <f t="shared" si="103"/>
        <v>0.65333333333333332</v>
      </c>
      <c r="GT27" s="521">
        <f t="shared" si="103"/>
        <v>0.69166666666666654</v>
      </c>
      <c r="GU27" s="521">
        <f t="shared" si="103"/>
        <v>0.33833333333333337</v>
      </c>
      <c r="GV27" s="521">
        <f t="shared" si="103"/>
        <v>0.6066666666666668</v>
      </c>
      <c r="GW27" s="521">
        <f t="shared" si="103"/>
        <v>0.56666666666666676</v>
      </c>
      <c r="GX27" s="521">
        <f t="shared" si="103"/>
        <v>0.55999999999999994</v>
      </c>
      <c r="GY27" s="521" t="e">
        <f t="shared" si="103"/>
        <v>#DIV/0!</v>
      </c>
      <c r="GZ27" s="521">
        <f t="shared" si="103"/>
        <v>0.40666666666666668</v>
      </c>
      <c r="HA27" s="521">
        <f t="shared" si="103"/>
        <v>0.61166666666666669</v>
      </c>
      <c r="HB27" s="521">
        <f t="shared" si="103"/>
        <v>0.55500000000000005</v>
      </c>
      <c r="HC27" s="521">
        <f t="shared" si="103"/>
        <v>0.59</v>
      </c>
      <c r="HD27" s="521">
        <f t="shared" si="103"/>
        <v>0.65</v>
      </c>
      <c r="HE27" s="521">
        <f t="shared" si="103"/>
        <v>0.55166666666666675</v>
      </c>
      <c r="HF27" s="521">
        <f t="shared" si="103"/>
        <v>0.56999999999999995</v>
      </c>
      <c r="HG27" s="521">
        <f t="shared" si="103"/>
        <v>0.69833333333333336</v>
      </c>
      <c r="HH27" s="521">
        <f t="shared" si="103"/>
        <v>0.49499999999999994</v>
      </c>
      <c r="HI27" s="521">
        <f t="shared" si="103"/>
        <v>0.63166666666666671</v>
      </c>
      <c r="HJ27" s="521">
        <f t="shared" si="103"/>
        <v>0.64666666666666672</v>
      </c>
      <c r="HK27" s="521">
        <f t="shared" si="103"/>
        <v>0.58833333333333337</v>
      </c>
      <c r="HL27" s="521">
        <f t="shared" si="103"/>
        <v>0.505</v>
      </c>
      <c r="HM27" s="521">
        <f t="shared" si="103"/>
        <v>0.57166666666666666</v>
      </c>
      <c r="HN27" s="521">
        <f t="shared" si="103"/>
        <v>0.55500000000000005</v>
      </c>
      <c r="HO27" s="521">
        <f t="shared" si="103"/>
        <v>0.52</v>
      </c>
      <c r="HP27" s="521" t="e">
        <f t="shared" si="103"/>
        <v>#DIV/0!</v>
      </c>
      <c r="HQ27" s="521">
        <f t="shared" si="103"/>
        <v>0.49499999999999994</v>
      </c>
      <c r="HR27" s="192">
        <f>AVERAGEIFS(HR$36:HR$167,$C$36:$C$167,"=4", $B$36:$B$167,"OFICIAL")</f>
        <v>46.666666666666664</v>
      </c>
      <c r="HT27" s="192">
        <f>AVERAGEIFS(HT$36:HT$167,$C$36:$C$167,"=4", $B$36:$B$167,"OFICIAL")</f>
        <v>9.1666666666666661</v>
      </c>
      <c r="HV27" s="521">
        <f>AVERAGEIFS(HV$36:HV$167,$C$36:$C$167,"=4", $B$36:$B$167,"OFICIAL")</f>
        <v>0.28833333333333333</v>
      </c>
      <c r="HW27" s="521">
        <f t="shared" ref="HW27:IY27" si="104">AVERAGEIFS(HW$36:HW$167,$C$36:$C$167,"=4", $B$36:$B$167,"OFICIAL")</f>
        <v>0.54166666666666663</v>
      </c>
      <c r="HX27" s="521">
        <f t="shared" si="104"/>
        <v>0.16333333333333333</v>
      </c>
      <c r="HY27" s="521">
        <f t="shared" si="104"/>
        <v>6.6666666666666671E-3</v>
      </c>
      <c r="HZ27" s="521">
        <f t="shared" si="104"/>
        <v>0.51666666666666672</v>
      </c>
      <c r="IA27" s="521">
        <f t="shared" si="104"/>
        <v>0.6166666666666667</v>
      </c>
      <c r="IB27" s="521">
        <f t="shared" si="104"/>
        <v>0.46499999999999991</v>
      </c>
      <c r="IC27" s="521">
        <f t="shared" si="104"/>
        <v>0.56166666666666665</v>
      </c>
      <c r="ID27" s="521">
        <f t="shared" si="104"/>
        <v>0.63166666666666671</v>
      </c>
      <c r="IE27" s="521">
        <f t="shared" si="104"/>
        <v>0.45833333333333331</v>
      </c>
      <c r="IF27" s="521">
        <f t="shared" si="104"/>
        <v>0.49833333333333329</v>
      </c>
      <c r="IG27" s="521">
        <f t="shared" si="104"/>
        <v>0.61666666666666659</v>
      </c>
      <c r="IH27" s="521">
        <f t="shared" si="104"/>
        <v>0.58666666666666667</v>
      </c>
      <c r="II27" s="521">
        <f t="shared" si="104"/>
        <v>0.45833333333333331</v>
      </c>
      <c r="IJ27" s="521">
        <f t="shared" si="104"/>
        <v>0.38833333333333336</v>
      </c>
      <c r="IK27" s="521">
        <f t="shared" si="104"/>
        <v>0.63833333333333331</v>
      </c>
      <c r="IL27" s="521">
        <f t="shared" si="104"/>
        <v>0.39166666666666661</v>
      </c>
      <c r="IM27" s="521">
        <f t="shared" si="104"/>
        <v>0.64333333333333331</v>
      </c>
      <c r="IN27" s="521">
        <f t="shared" si="104"/>
        <v>0.54499999999999993</v>
      </c>
      <c r="IO27" s="521">
        <f t="shared" si="104"/>
        <v>0.62</v>
      </c>
      <c r="IP27" s="521">
        <f t="shared" si="104"/>
        <v>0.53166666666666673</v>
      </c>
      <c r="IQ27" s="521">
        <f t="shared" si="104"/>
        <v>0.68833333333333313</v>
      </c>
      <c r="IR27" s="521">
        <f t="shared" si="104"/>
        <v>0.60499999999999998</v>
      </c>
      <c r="IS27" s="521">
        <f t="shared" si="104"/>
        <v>0.60333333333333339</v>
      </c>
      <c r="IT27" s="521">
        <f t="shared" si="104"/>
        <v>0.53666666666666674</v>
      </c>
      <c r="IU27" s="521" t="e">
        <f t="shared" si="104"/>
        <v>#DIV/0!</v>
      </c>
      <c r="IV27" s="521">
        <f t="shared" si="104"/>
        <v>0.66500000000000004</v>
      </c>
      <c r="IW27" s="521">
        <f t="shared" si="104"/>
        <v>0.5099999999999999</v>
      </c>
      <c r="IX27" s="521">
        <f t="shared" si="104"/>
        <v>0.56499999999999995</v>
      </c>
      <c r="IY27" s="521">
        <f t="shared" si="104"/>
        <v>0.56500000000000006</v>
      </c>
    </row>
    <row r="28" spans="1:259" s="434" customFormat="1" ht="24.9" customHeight="1" x14ac:dyDescent="0.25">
      <c r="A28" s="6" t="s">
        <v>935</v>
      </c>
      <c r="B28" s="447"/>
      <c r="C28" s="447"/>
      <c r="D28" s="192">
        <f>AVERAGEIFS(D$36:D$167,$C$36:$C$167,"=5", $B$36:$B$167,"OFICIAL")</f>
        <v>54</v>
      </c>
      <c r="E28" s="192">
        <f>AVERAGEIFS(E$36:E$167,$C$36:$C$167,"=5", $B$36:$B$167,"OFICIAL")</f>
        <v>7</v>
      </c>
      <c r="F28" s="65">
        <f>AVERAGEIFS(F$36:F$167,$C$36:$C$167,"=5", $B$36:$B$167,"OFICIAL")</f>
        <v>0.04</v>
      </c>
      <c r="G28" s="65">
        <f t="shared" ref="G28:AG28" si="105">AVERAGEIFS(G$36:G$167,$C$36:$C$167,"=5", $B$36:$B$167,"OFICIAL")</f>
        <v>0.56499999999999995</v>
      </c>
      <c r="H28" s="65">
        <f t="shared" si="105"/>
        <v>0.38500000000000001</v>
      </c>
      <c r="I28" s="65">
        <f t="shared" si="105"/>
        <v>5.0000000000000001E-3</v>
      </c>
      <c r="J28" s="65">
        <f t="shared" si="105"/>
        <v>0.28000000000000003</v>
      </c>
      <c r="K28" s="65">
        <f t="shared" si="105"/>
        <v>0.42499999999999999</v>
      </c>
      <c r="L28" s="65">
        <f t="shared" si="105"/>
        <v>0.70499999999999996</v>
      </c>
      <c r="M28" s="65">
        <f t="shared" si="105"/>
        <v>0.19500000000000001</v>
      </c>
      <c r="N28" s="65">
        <f t="shared" si="105"/>
        <v>0.27</v>
      </c>
      <c r="O28" s="65">
        <f t="shared" si="105"/>
        <v>0.56499999999999995</v>
      </c>
      <c r="P28" s="65">
        <f t="shared" si="105"/>
        <v>0.28500000000000003</v>
      </c>
      <c r="Q28" s="65">
        <f t="shared" si="105"/>
        <v>0.41000000000000003</v>
      </c>
      <c r="R28" s="65">
        <f t="shared" si="105"/>
        <v>0.54500000000000004</v>
      </c>
      <c r="S28" s="65">
        <f t="shared" si="105"/>
        <v>0.625</v>
      </c>
      <c r="T28" s="65">
        <f t="shared" si="105"/>
        <v>0.45999999999999996</v>
      </c>
      <c r="U28" s="65">
        <f t="shared" si="105"/>
        <v>0.58499999999999996</v>
      </c>
      <c r="V28" s="65">
        <f t="shared" si="105"/>
        <v>0.04</v>
      </c>
      <c r="W28" s="65">
        <f t="shared" si="105"/>
        <v>0.12</v>
      </c>
      <c r="X28" s="65">
        <f t="shared" si="105"/>
        <v>0.51</v>
      </c>
      <c r="Y28" s="65">
        <f t="shared" si="105"/>
        <v>0.49</v>
      </c>
      <c r="Z28" s="65">
        <f t="shared" si="105"/>
        <v>0.625</v>
      </c>
      <c r="AA28" s="65">
        <f t="shared" si="105"/>
        <v>9.5000000000000001E-2</v>
      </c>
      <c r="AB28" s="65">
        <f t="shared" si="105"/>
        <v>0.41500000000000004</v>
      </c>
      <c r="AC28" s="65">
        <f t="shared" si="105"/>
        <v>0.19500000000000001</v>
      </c>
      <c r="AD28" s="65">
        <f t="shared" si="105"/>
        <v>0.41</v>
      </c>
      <c r="AE28" s="65">
        <f t="shared" si="105"/>
        <v>0.39500000000000002</v>
      </c>
      <c r="AF28" s="65">
        <f t="shared" si="105"/>
        <v>0.54499999999999993</v>
      </c>
      <c r="AG28" s="65">
        <f t="shared" si="105"/>
        <v>0.54</v>
      </c>
      <c r="AH28" s="192">
        <f>AVERAGEIFS(AH$36:AH$167,$C$36:$C$167,"=5", $B$36:$B$167,"OFICIAL")</f>
        <v>51.5</v>
      </c>
      <c r="AI28" s="192">
        <f>AVERAGEIFS(AI$36:AI$167,$C$36:$C$167,"=5", $B$36:$B$167,"OFICIAL")</f>
        <v>8</v>
      </c>
      <c r="AJ28" s="65">
        <f>AVERAGEIFS(AJ$36:AJ$167,$C$36:$C$167,"=5", $B$36:$B$167,"OFICIAL")</f>
        <v>0.1</v>
      </c>
      <c r="AK28" s="65">
        <f t="shared" ref="AK28:BL28" si="106">AVERAGEIFS(AK$36:AK$167,$C$36:$C$167,"=5", $B$36:$B$167,"OFICIAL")</f>
        <v>0.56499999999999995</v>
      </c>
      <c r="AL28" s="65">
        <f t="shared" si="106"/>
        <v>0.33</v>
      </c>
      <c r="AM28" s="65">
        <f t="shared" si="106"/>
        <v>5.0000000000000001E-3</v>
      </c>
      <c r="AN28" s="65">
        <f t="shared" si="106"/>
        <v>0.3</v>
      </c>
      <c r="AO28" s="65">
        <f t="shared" si="106"/>
        <v>0.49</v>
      </c>
      <c r="AP28" s="65">
        <f t="shared" si="106"/>
        <v>0.58499999999999996</v>
      </c>
      <c r="AQ28" s="65">
        <f t="shared" si="106"/>
        <v>0.39500000000000002</v>
      </c>
      <c r="AR28" s="65">
        <f t="shared" si="106"/>
        <v>0.55499999999999994</v>
      </c>
      <c r="AS28" s="65">
        <f t="shared" si="106"/>
        <v>0.52500000000000002</v>
      </c>
      <c r="AT28" s="65">
        <f t="shared" si="106"/>
        <v>0.55000000000000004</v>
      </c>
      <c r="AU28" s="65">
        <f t="shared" si="106"/>
        <v>0.55499999999999994</v>
      </c>
      <c r="AV28" s="65">
        <f t="shared" si="106"/>
        <v>0.6</v>
      </c>
      <c r="AW28" s="65">
        <f t="shared" si="106"/>
        <v>0.54499999999999993</v>
      </c>
      <c r="AX28" s="65">
        <f t="shared" si="106"/>
        <v>0.59000000000000008</v>
      </c>
      <c r="AY28" s="65">
        <f t="shared" si="106"/>
        <v>0.31999999999999995</v>
      </c>
      <c r="AZ28" s="65">
        <f t="shared" si="106"/>
        <v>0.32</v>
      </c>
      <c r="BA28" s="65">
        <f t="shared" si="106"/>
        <v>0.495</v>
      </c>
      <c r="BB28" s="65">
        <f t="shared" si="106"/>
        <v>0.67999999999999994</v>
      </c>
      <c r="BC28" s="65">
        <f t="shared" si="106"/>
        <v>0.67999999999999994</v>
      </c>
      <c r="BD28" s="65">
        <f t="shared" si="106"/>
        <v>0.42499999999999999</v>
      </c>
      <c r="BE28" s="65">
        <f t="shared" si="106"/>
        <v>0.55499999999999994</v>
      </c>
      <c r="BF28" s="65">
        <f t="shared" si="106"/>
        <v>0.56000000000000005</v>
      </c>
      <c r="BG28" s="65">
        <f t="shared" si="106"/>
        <v>0.505</v>
      </c>
      <c r="BH28" s="65">
        <f t="shared" si="106"/>
        <v>0.42000000000000004</v>
      </c>
      <c r="BI28" s="65">
        <f t="shared" si="106"/>
        <v>0.42000000000000004</v>
      </c>
      <c r="BJ28" s="65">
        <f t="shared" si="106"/>
        <v>0.38500000000000001</v>
      </c>
      <c r="BK28" s="65">
        <f t="shared" si="106"/>
        <v>0.46499999999999997</v>
      </c>
      <c r="BL28" s="65">
        <f t="shared" si="106"/>
        <v>0.44500000000000001</v>
      </c>
      <c r="BM28" s="192">
        <f>AVERAGEIFS(BM$36:BM$167,$C$36:$C$167,"=5", $B$36:$B$167,"OFICIAL")</f>
        <v>49.5</v>
      </c>
      <c r="BN28" s="192">
        <f>AVERAGEIFS(BN$36:BN$167,$C$36:$C$167,"=5", $B$36:$B$167,"OFICIAL")</f>
        <v>8.5</v>
      </c>
      <c r="BO28" s="65">
        <f>AVERAGEIFS(BO$36:BO$167,$C$36:$C$167,"=5", $B$36:$B$167,"OFICIAL")</f>
        <v>0.14000000000000001</v>
      </c>
      <c r="BP28" s="65">
        <f t="shared" ref="BP28:CR28" si="107">AVERAGEIFS(BP$36:BP$167,$C$36:$C$167,"=5", $B$36:$B$167,"OFICIAL")</f>
        <v>0.64500000000000002</v>
      </c>
      <c r="BQ28" s="65">
        <f t="shared" si="107"/>
        <v>0.21500000000000002</v>
      </c>
      <c r="BR28" s="65">
        <f t="shared" si="107"/>
        <v>0.01</v>
      </c>
      <c r="BS28" s="65">
        <f t="shared" si="107"/>
        <v>0.375</v>
      </c>
      <c r="BT28" s="65">
        <f t="shared" si="107"/>
        <v>0.60000000000000009</v>
      </c>
      <c r="BU28" s="65">
        <f t="shared" si="107"/>
        <v>0.67999999999999994</v>
      </c>
      <c r="BV28" s="65">
        <f t="shared" si="107"/>
        <v>0.37</v>
      </c>
      <c r="BW28" s="65">
        <f t="shared" si="107"/>
        <v>0.64</v>
      </c>
      <c r="BX28" s="65">
        <f t="shared" si="107"/>
        <v>0.35499999999999998</v>
      </c>
      <c r="BY28" s="65">
        <f t="shared" si="107"/>
        <v>0.45500000000000002</v>
      </c>
      <c r="BZ28" s="65">
        <f t="shared" si="107"/>
        <v>0.51500000000000001</v>
      </c>
      <c r="CA28" s="65">
        <f t="shared" si="107"/>
        <v>0.46499999999999997</v>
      </c>
      <c r="CB28" s="65">
        <f t="shared" si="107"/>
        <v>0.39500000000000002</v>
      </c>
      <c r="CC28" s="65">
        <f t="shared" si="107"/>
        <v>0.20500000000000002</v>
      </c>
      <c r="CD28" s="65">
        <f t="shared" si="107"/>
        <v>0.44</v>
      </c>
      <c r="CE28" s="65">
        <f t="shared" si="107"/>
        <v>0.38</v>
      </c>
      <c r="CF28" s="65">
        <f t="shared" si="107"/>
        <v>0.64</v>
      </c>
      <c r="CG28" s="65">
        <f t="shared" si="107"/>
        <v>0.66</v>
      </c>
      <c r="CH28" s="65">
        <f t="shared" si="107"/>
        <v>0.45999999999999996</v>
      </c>
      <c r="CI28" s="65">
        <f t="shared" si="107"/>
        <v>0.58499999999999996</v>
      </c>
      <c r="CJ28" s="65">
        <f t="shared" si="107"/>
        <v>0.35</v>
      </c>
      <c r="CK28" s="65">
        <f t="shared" si="107"/>
        <v>0.71499999999999997</v>
      </c>
      <c r="CL28" s="65">
        <f t="shared" si="107"/>
        <v>0.32500000000000001</v>
      </c>
      <c r="CM28" s="65">
        <f t="shared" si="107"/>
        <v>0.45999999999999996</v>
      </c>
      <c r="CN28" s="65">
        <f t="shared" si="107"/>
        <v>0.495</v>
      </c>
      <c r="CO28" s="65">
        <f t="shared" si="107"/>
        <v>0.5</v>
      </c>
      <c r="CP28" s="65">
        <f t="shared" si="107"/>
        <v>0.39</v>
      </c>
      <c r="CQ28" s="65">
        <f t="shared" si="107"/>
        <v>0.57000000000000006</v>
      </c>
      <c r="CR28" s="65">
        <f t="shared" si="107"/>
        <v>0.60499999999999998</v>
      </c>
      <c r="CS28" s="192">
        <f>AVERAGEIFS(CS$36:CS$167,$C$36:$C$167,"=5", $B$36:$B$167,"OFICIAL")</f>
        <v>49.5</v>
      </c>
      <c r="CT28" s="192">
        <f>AVERAGEIFS(CT$36:CT$167,$C$36:$C$167,"=5", $B$36:$B$167,"OFICIAL")</f>
        <v>8.5</v>
      </c>
      <c r="CU28" s="65">
        <f>AVERAGEIFS(CU$36:CU$167,$C$36:$C$167,"=5", $B$36:$B$167,"OFICIAL")</f>
        <v>0.15000000000000002</v>
      </c>
      <c r="CV28" s="65">
        <f t="shared" ref="CV28:DW28" si="108">AVERAGEIFS(CV$36:CV$167,$C$36:$C$167,"=5", $B$36:$B$167,"OFICIAL")</f>
        <v>0.64</v>
      </c>
      <c r="CW28" s="65">
        <f t="shared" si="108"/>
        <v>0.20500000000000002</v>
      </c>
      <c r="CX28" s="65">
        <f t="shared" si="108"/>
        <v>5.0000000000000001E-3</v>
      </c>
      <c r="CY28" s="65">
        <f t="shared" si="108"/>
        <v>0.495</v>
      </c>
      <c r="CZ28" s="65">
        <f t="shared" si="108"/>
        <v>0.3</v>
      </c>
      <c r="DA28" s="65">
        <f t="shared" si="108"/>
        <v>0.57999999999999996</v>
      </c>
      <c r="DB28" s="65">
        <f t="shared" si="108"/>
        <v>0.35499999999999998</v>
      </c>
      <c r="DC28" s="65">
        <f t="shared" si="108"/>
        <v>0.44500000000000001</v>
      </c>
      <c r="DD28" s="65">
        <f t="shared" si="108"/>
        <v>0.66</v>
      </c>
      <c r="DE28" s="65">
        <f t="shared" si="108"/>
        <v>0.48</v>
      </c>
      <c r="DF28" s="65">
        <f t="shared" si="108"/>
        <v>0.55499999999999994</v>
      </c>
      <c r="DG28" s="65">
        <f t="shared" si="108"/>
        <v>0.46499999999999997</v>
      </c>
      <c r="DH28" s="65">
        <f t="shared" si="108"/>
        <v>0.36</v>
      </c>
      <c r="DI28" s="65">
        <f t="shared" si="108"/>
        <v>0.54</v>
      </c>
      <c r="DJ28" s="65">
        <f t="shared" si="108"/>
        <v>0.505</v>
      </c>
      <c r="DK28" s="65">
        <f t="shared" si="108"/>
        <v>0.39</v>
      </c>
      <c r="DL28" s="65">
        <f t="shared" si="108"/>
        <v>0.34499999999999997</v>
      </c>
      <c r="DM28" s="65">
        <f t="shared" si="108"/>
        <v>0.52</v>
      </c>
      <c r="DN28" s="65">
        <f t="shared" si="108"/>
        <v>0.51</v>
      </c>
      <c r="DO28" s="65">
        <f t="shared" si="108"/>
        <v>0.45999999999999996</v>
      </c>
      <c r="DP28" s="65">
        <f t="shared" si="108"/>
        <v>0.44499999999999995</v>
      </c>
      <c r="DQ28" s="65">
        <f t="shared" si="108"/>
        <v>0.58499999999999996</v>
      </c>
      <c r="DR28" s="65">
        <f t="shared" si="108"/>
        <v>0.20500000000000002</v>
      </c>
      <c r="DS28" s="65">
        <f t="shared" si="108"/>
        <v>0.39</v>
      </c>
      <c r="DT28" s="65">
        <f t="shared" si="108"/>
        <v>0.61499999999999999</v>
      </c>
      <c r="DU28" s="65">
        <f t="shared" si="108"/>
        <v>0.52500000000000002</v>
      </c>
      <c r="DV28" s="65">
        <f t="shared" si="108"/>
        <v>0.59</v>
      </c>
      <c r="DW28" s="65">
        <f t="shared" si="108"/>
        <v>0.36</v>
      </c>
      <c r="DX28" s="192">
        <f>AVERAGEIFS(DX$36:DX$167,$C$36:$C$167,"=5", $B$36:$B$167,"OFICIAL")</f>
        <v>49</v>
      </c>
      <c r="DY28" s="192">
        <f>AVERAGEIFS(DY$36:DY$167,$C$36:$C$167,"=5", $B$36:$B$167,"OFICIAL")</f>
        <v>8</v>
      </c>
      <c r="DZ28" s="65">
        <f>AVERAGEIFS(DZ$36:DZ$167,$C$36:$C$167,"=5", $B$36:$B$167,"OFICIAL")</f>
        <v>0.16500000000000001</v>
      </c>
      <c r="EA28" s="65">
        <f t="shared" ref="EA28:FA28" si="109">AVERAGEIFS(EA$36:EA$167,$C$36:$C$167,"=5", $B$36:$B$167,"OFICIAL")</f>
        <v>0.59</v>
      </c>
      <c r="EB28" s="65">
        <f t="shared" si="109"/>
        <v>0.24</v>
      </c>
      <c r="EC28" s="65">
        <f t="shared" si="109"/>
        <v>5.0000000000000001E-3</v>
      </c>
      <c r="ED28" s="65">
        <f t="shared" si="109"/>
        <v>0.46499999999999997</v>
      </c>
      <c r="EE28" s="65">
        <f t="shared" si="109"/>
        <v>0.45499999999999996</v>
      </c>
      <c r="EF28" s="65">
        <f t="shared" si="109"/>
        <v>0.54499999999999993</v>
      </c>
      <c r="EG28" s="65">
        <f t="shared" si="109"/>
        <v>0.39</v>
      </c>
      <c r="EH28" s="65">
        <f t="shared" si="109"/>
        <v>0.42000000000000004</v>
      </c>
      <c r="EI28" s="65">
        <f t="shared" si="109"/>
        <v>0.54</v>
      </c>
      <c r="EJ28" s="65">
        <f t="shared" si="109"/>
        <v>0.59</v>
      </c>
      <c r="EK28" s="65">
        <f t="shared" si="109"/>
        <v>0.31</v>
      </c>
      <c r="EL28" s="65">
        <f t="shared" si="109"/>
        <v>0.45999999999999996</v>
      </c>
      <c r="EM28" s="65">
        <f t="shared" si="109"/>
        <v>0.63</v>
      </c>
      <c r="EN28" s="65">
        <f t="shared" si="109"/>
        <v>0.48</v>
      </c>
      <c r="EO28" s="65">
        <f t="shared" si="109"/>
        <v>0.6</v>
      </c>
      <c r="EP28" s="65">
        <f t="shared" si="109"/>
        <v>0.36</v>
      </c>
      <c r="EQ28" s="65">
        <f t="shared" si="109"/>
        <v>0.25</v>
      </c>
      <c r="ER28" s="65">
        <f t="shared" si="109"/>
        <v>0.64</v>
      </c>
      <c r="ES28" s="65">
        <f t="shared" si="109"/>
        <v>0.45999999999999996</v>
      </c>
      <c r="ET28" s="65">
        <f t="shared" si="109"/>
        <v>0.33999999999999997</v>
      </c>
      <c r="EU28" s="65">
        <f t="shared" si="109"/>
        <v>0.60499999999999998</v>
      </c>
      <c r="EV28" s="65">
        <f t="shared" si="109"/>
        <v>0.42000000000000004</v>
      </c>
      <c r="EW28" s="65">
        <f t="shared" si="109"/>
        <v>0.315</v>
      </c>
      <c r="EX28" s="65">
        <f t="shared" si="109"/>
        <v>0.66500000000000004</v>
      </c>
      <c r="EY28" s="65">
        <f t="shared" si="109"/>
        <v>0.63500000000000001</v>
      </c>
      <c r="EZ28" s="65">
        <f t="shared" si="109"/>
        <v>0.22</v>
      </c>
      <c r="FA28" s="65">
        <f t="shared" si="109"/>
        <v>0.61499999999999999</v>
      </c>
      <c r="FB28" s="192">
        <f>AVERAGEIFS(FB$36:FB$167,$C$36:$C$167,"=5", $B$36:$B$167,"OFICIAL")</f>
        <v>48.5</v>
      </c>
      <c r="FD28" s="192">
        <f>AVERAGEIFS(FD$36:FD$167,$C$36:$C$167,"=5", $B$36:$B$167,"OFICIAL")</f>
        <v>8</v>
      </c>
      <c r="FF28" s="65">
        <f>AVERAGEIFS(FF$36:FF$167,$C$36:$C$167,"=5", $B$36:$B$167,"OFICIAL")</f>
        <v>0.17499999999999999</v>
      </c>
      <c r="FG28" s="65">
        <f t="shared" ref="FG28:GI28" si="110">AVERAGEIFS(FG$36:FG$167,$C$36:$C$167,"=5", $B$36:$B$167,"OFICIAL")</f>
        <v>0.625</v>
      </c>
      <c r="FH28" s="65">
        <f t="shared" si="110"/>
        <v>0.20500000000000002</v>
      </c>
      <c r="FI28" s="65">
        <f t="shared" si="110"/>
        <v>0</v>
      </c>
      <c r="FJ28" s="65">
        <f t="shared" si="110"/>
        <v>0.49</v>
      </c>
      <c r="FK28" s="65">
        <f t="shared" si="110"/>
        <v>0.67500000000000004</v>
      </c>
      <c r="FL28" s="65">
        <f t="shared" si="110"/>
        <v>0.51</v>
      </c>
      <c r="FM28" s="65">
        <f t="shared" si="110"/>
        <v>0.43</v>
      </c>
      <c r="FN28" s="65">
        <f t="shared" si="110"/>
        <v>0.315</v>
      </c>
      <c r="FO28" s="65">
        <f t="shared" si="110"/>
        <v>0.35</v>
      </c>
      <c r="FP28" s="65">
        <f t="shared" si="110"/>
        <v>0.40500000000000003</v>
      </c>
      <c r="FQ28" s="65">
        <f t="shared" si="110"/>
        <v>0.45499999999999996</v>
      </c>
      <c r="FR28" s="65">
        <f t="shared" si="110"/>
        <v>0.61</v>
      </c>
      <c r="FS28" s="65">
        <f t="shared" si="110"/>
        <v>0.51500000000000001</v>
      </c>
      <c r="FT28" s="65">
        <f t="shared" si="110"/>
        <v>0.53</v>
      </c>
      <c r="FU28" s="65">
        <f t="shared" si="110"/>
        <v>0.39500000000000002</v>
      </c>
      <c r="FV28" s="65">
        <f t="shared" si="110"/>
        <v>0.64</v>
      </c>
      <c r="FW28" s="65">
        <f t="shared" si="110"/>
        <v>0.59</v>
      </c>
      <c r="FX28" s="65">
        <f t="shared" si="110"/>
        <v>0.495</v>
      </c>
      <c r="FY28" s="65">
        <f t="shared" si="110"/>
        <v>0.38500000000000001</v>
      </c>
      <c r="FZ28" s="65">
        <f t="shared" si="110"/>
        <v>0.44999999999999996</v>
      </c>
      <c r="GA28" s="65">
        <f t="shared" si="110"/>
        <v>0.505</v>
      </c>
      <c r="GB28" s="65">
        <f t="shared" si="110"/>
        <v>0.58000000000000007</v>
      </c>
      <c r="GC28" s="65">
        <f t="shared" si="110"/>
        <v>0.47499999999999998</v>
      </c>
      <c r="GD28" s="65">
        <f t="shared" si="110"/>
        <v>0.63</v>
      </c>
      <c r="GE28" s="65">
        <f t="shared" si="110"/>
        <v>0.57499999999999996</v>
      </c>
      <c r="GF28" s="65">
        <f t="shared" si="110"/>
        <v>0.5</v>
      </c>
      <c r="GG28" s="65">
        <f t="shared" si="110"/>
        <v>0.47</v>
      </c>
      <c r="GH28" s="65">
        <f t="shared" si="110"/>
        <v>0.56000000000000005</v>
      </c>
      <c r="GI28" s="65">
        <f t="shared" si="110"/>
        <v>0.30499999999999999</v>
      </c>
      <c r="GJ28" s="192">
        <f>AVERAGEIFS(GJ$36:GJ$167,$C$36:$C$167,"=5", $B$36:$B$167,"OFICIAL")</f>
        <v>50.5</v>
      </c>
      <c r="GL28" s="192">
        <f>AVERAGEIFS(GL$36:GL$167,$C$36:$C$167,"=5", $B$36:$B$167,"OFICIAL")</f>
        <v>8.5</v>
      </c>
      <c r="GN28" s="521">
        <f>AVERAGEIFS(GN$36:GN$167,$C$36:$C$167,"=5", $B$36:$B$167,"OFICIAL")</f>
        <v>0.12000000000000001</v>
      </c>
      <c r="GO28" s="521">
        <f t="shared" ref="GO28:HQ28" si="111">AVERAGEIFS(GO$36:GO$167,$C$36:$C$167,"=5", $B$36:$B$167,"OFICIAL")</f>
        <v>0.6</v>
      </c>
      <c r="GP28" s="521">
        <f t="shared" si="111"/>
        <v>0.26</v>
      </c>
      <c r="GQ28" s="521">
        <f t="shared" si="111"/>
        <v>0.02</v>
      </c>
      <c r="GR28" s="521">
        <f t="shared" si="111"/>
        <v>0.45999999999999996</v>
      </c>
      <c r="GS28" s="521">
        <f t="shared" si="111"/>
        <v>0.53500000000000003</v>
      </c>
      <c r="GT28" s="521">
        <f t="shared" si="111"/>
        <v>0.61499999999999999</v>
      </c>
      <c r="GU28" s="521">
        <f t="shared" si="111"/>
        <v>0.22</v>
      </c>
      <c r="GV28" s="521">
        <f t="shared" si="111"/>
        <v>0.57000000000000006</v>
      </c>
      <c r="GW28" s="521">
        <f t="shared" si="111"/>
        <v>0.47</v>
      </c>
      <c r="GX28" s="521">
        <f t="shared" si="111"/>
        <v>0.47</v>
      </c>
      <c r="GY28" s="521" t="e">
        <f t="shared" si="111"/>
        <v>#DIV/0!</v>
      </c>
      <c r="GZ28" s="521">
        <f t="shared" si="111"/>
        <v>0.33999999999999997</v>
      </c>
      <c r="HA28" s="521">
        <f t="shared" si="111"/>
        <v>0.69500000000000006</v>
      </c>
      <c r="HB28" s="521">
        <f t="shared" si="111"/>
        <v>0.48</v>
      </c>
      <c r="HC28" s="521">
        <f t="shared" si="111"/>
        <v>0.51500000000000001</v>
      </c>
      <c r="HD28" s="521">
        <f t="shared" si="111"/>
        <v>0.56999999999999995</v>
      </c>
      <c r="HE28" s="521">
        <f t="shared" si="111"/>
        <v>0.45499999999999996</v>
      </c>
      <c r="HF28" s="521">
        <f t="shared" si="111"/>
        <v>0.47</v>
      </c>
      <c r="HG28" s="521">
        <f t="shared" si="111"/>
        <v>0.68500000000000005</v>
      </c>
      <c r="HH28" s="521">
        <f t="shared" si="111"/>
        <v>0.41500000000000004</v>
      </c>
      <c r="HI28" s="521">
        <f t="shared" si="111"/>
        <v>0.52500000000000002</v>
      </c>
      <c r="HJ28" s="521">
        <f t="shared" si="111"/>
        <v>0.57499999999999996</v>
      </c>
      <c r="HK28" s="521">
        <f t="shared" si="111"/>
        <v>0.52</v>
      </c>
      <c r="HL28" s="521">
        <f t="shared" si="111"/>
        <v>0.43000000000000005</v>
      </c>
      <c r="HM28" s="521">
        <f t="shared" si="111"/>
        <v>0.48499999999999999</v>
      </c>
      <c r="HN28" s="521">
        <f t="shared" si="111"/>
        <v>0.52500000000000002</v>
      </c>
      <c r="HO28" s="521">
        <f t="shared" si="111"/>
        <v>0.44999999999999996</v>
      </c>
      <c r="HP28" s="521" t="e">
        <f t="shared" si="111"/>
        <v>#DIV/0!</v>
      </c>
      <c r="HQ28" s="521">
        <f t="shared" si="111"/>
        <v>0.4</v>
      </c>
      <c r="HR28" s="192">
        <f>AVERAGEIFS(HR$36:HR$167,$C$36:$C$167,"=5", $B$36:$B$167,"OFICIAL")</f>
        <v>50.5</v>
      </c>
      <c r="HT28" s="192">
        <f>AVERAGEIFS(HT$36:HT$167,$C$36:$C$167,"=5", $B$36:$B$167,"OFICIAL")</f>
        <v>8.5</v>
      </c>
      <c r="HV28" s="521">
        <f>AVERAGEIFS(HV$36:HV$167,$C$36:$C$167,"=5", $B$36:$B$167,"OFICIAL")</f>
        <v>0.13500000000000001</v>
      </c>
      <c r="HW28" s="521">
        <f t="shared" ref="HW28:IY28" si="112">AVERAGEIFS(HW$36:HW$167,$C$36:$C$167,"=5", $B$36:$B$167,"OFICIAL")</f>
        <v>0.58499999999999996</v>
      </c>
      <c r="HX28" s="521">
        <f t="shared" si="112"/>
        <v>0.26</v>
      </c>
      <c r="HY28" s="521">
        <f t="shared" si="112"/>
        <v>1.4999999999999999E-2</v>
      </c>
      <c r="HZ28" s="521">
        <f t="shared" si="112"/>
        <v>0.41000000000000003</v>
      </c>
      <c r="IA28" s="521">
        <f t="shared" si="112"/>
        <v>0.56000000000000005</v>
      </c>
      <c r="IB28" s="521">
        <f t="shared" si="112"/>
        <v>0.35499999999999998</v>
      </c>
      <c r="IC28" s="521">
        <f t="shared" si="112"/>
        <v>0.52</v>
      </c>
      <c r="ID28" s="521">
        <f t="shared" si="112"/>
        <v>0.65500000000000003</v>
      </c>
      <c r="IE28" s="521">
        <f t="shared" si="112"/>
        <v>0.35499999999999998</v>
      </c>
      <c r="IF28" s="521">
        <f t="shared" si="112"/>
        <v>0.42499999999999999</v>
      </c>
      <c r="IG28" s="521">
        <f t="shared" si="112"/>
        <v>0.56000000000000005</v>
      </c>
      <c r="IH28" s="521">
        <f t="shared" si="112"/>
        <v>0.54499999999999993</v>
      </c>
      <c r="II28" s="521">
        <f t="shared" si="112"/>
        <v>0.35</v>
      </c>
      <c r="IJ28" s="521">
        <f t="shared" si="112"/>
        <v>0.30000000000000004</v>
      </c>
      <c r="IK28" s="521">
        <f t="shared" si="112"/>
        <v>0.6</v>
      </c>
      <c r="IL28" s="521">
        <f t="shared" si="112"/>
        <v>0.33499999999999996</v>
      </c>
      <c r="IM28" s="521">
        <f t="shared" si="112"/>
        <v>0.58000000000000007</v>
      </c>
      <c r="IN28" s="521">
        <f t="shared" si="112"/>
        <v>0.48</v>
      </c>
      <c r="IO28" s="521">
        <f t="shared" si="112"/>
        <v>0.55000000000000004</v>
      </c>
      <c r="IP28" s="521">
        <f t="shared" si="112"/>
        <v>0.42000000000000004</v>
      </c>
      <c r="IQ28" s="521">
        <f t="shared" si="112"/>
        <v>0.64500000000000002</v>
      </c>
      <c r="IR28" s="521">
        <f t="shared" si="112"/>
        <v>0.54</v>
      </c>
      <c r="IS28" s="521">
        <f t="shared" si="112"/>
        <v>0.495</v>
      </c>
      <c r="IT28" s="521">
        <f t="shared" si="112"/>
        <v>0.44999999999999996</v>
      </c>
      <c r="IU28" s="521" t="e">
        <f t="shared" si="112"/>
        <v>#DIV/0!</v>
      </c>
      <c r="IV28" s="521">
        <f t="shared" si="112"/>
        <v>0.64</v>
      </c>
      <c r="IW28" s="521">
        <f t="shared" si="112"/>
        <v>0.435</v>
      </c>
      <c r="IX28" s="521">
        <f t="shared" si="112"/>
        <v>0.47499999999999998</v>
      </c>
      <c r="IY28" s="521">
        <f t="shared" si="112"/>
        <v>0.51500000000000001</v>
      </c>
    </row>
    <row r="29" spans="1:259" s="434" customFormat="1" ht="24.9" customHeight="1" x14ac:dyDescent="0.25">
      <c r="A29" s="6" t="s">
        <v>936</v>
      </c>
      <c r="B29" s="447"/>
      <c r="C29" s="447"/>
      <c r="D29" s="192">
        <f>AVERAGEIFS(D$36:D$167,$C$36:$C$167,"=6", $B$36:$B$167,"OFICIAL")</f>
        <v>53.333333333333336</v>
      </c>
      <c r="E29" s="192">
        <f>AVERAGEIFS(E$36:E$167,$C$36:$C$167,"=6", $B$36:$B$167,"OFICIAL")</f>
        <v>7</v>
      </c>
      <c r="F29" s="65">
        <f>AVERAGEIFS(F$36:F$167,$C$36:$C$167,"=6", $B$36:$B$167,"OFICIAL")</f>
        <v>3.6666666666666667E-2</v>
      </c>
      <c r="G29" s="65">
        <f t="shared" ref="G29:AG29" si="113">AVERAGEIFS(G$36:G$167,$C$36:$C$167,"=6", $B$36:$B$167,"OFICIAL")</f>
        <v>0.61</v>
      </c>
      <c r="H29" s="65">
        <f t="shared" si="113"/>
        <v>0.35000000000000003</v>
      </c>
      <c r="I29" s="65">
        <f t="shared" si="113"/>
        <v>0</v>
      </c>
      <c r="J29" s="65">
        <f t="shared" si="113"/>
        <v>0.41</v>
      </c>
      <c r="K29" s="65">
        <f t="shared" si="113"/>
        <v>0.39333333333333331</v>
      </c>
      <c r="L29" s="65">
        <f t="shared" si="113"/>
        <v>0.72666666666666657</v>
      </c>
      <c r="M29" s="65">
        <f t="shared" si="113"/>
        <v>0.22999999999999998</v>
      </c>
      <c r="N29" s="65">
        <f t="shared" si="113"/>
        <v>0.32333333333333331</v>
      </c>
      <c r="O29" s="65">
        <f t="shared" si="113"/>
        <v>0.60333333333333339</v>
      </c>
      <c r="P29" s="65">
        <f t="shared" si="113"/>
        <v>0.36999999999999994</v>
      </c>
      <c r="Q29" s="65">
        <f t="shared" si="113"/>
        <v>0.39666666666666667</v>
      </c>
      <c r="R29" s="65">
        <f t="shared" si="113"/>
        <v>0.53666666666666674</v>
      </c>
      <c r="S29" s="65">
        <f t="shared" si="113"/>
        <v>0.57333333333333325</v>
      </c>
      <c r="T29" s="65">
        <f t="shared" si="113"/>
        <v>0.47</v>
      </c>
      <c r="U29" s="65">
        <f t="shared" si="113"/>
        <v>0.62333333333333341</v>
      </c>
      <c r="V29" s="65">
        <f t="shared" si="113"/>
        <v>5.000000000000001E-2</v>
      </c>
      <c r="W29" s="65">
        <f t="shared" si="113"/>
        <v>0.19999999999999998</v>
      </c>
      <c r="X29" s="65">
        <f t="shared" si="113"/>
        <v>0.49666666666666665</v>
      </c>
      <c r="Y29" s="65">
        <f t="shared" si="113"/>
        <v>0.52333333333333332</v>
      </c>
      <c r="Z29" s="65">
        <f t="shared" si="113"/>
        <v>0.875</v>
      </c>
      <c r="AA29" s="65">
        <f t="shared" si="113"/>
        <v>9.0000000000000011E-2</v>
      </c>
      <c r="AB29" s="65">
        <f t="shared" si="113"/>
        <v>0.41</v>
      </c>
      <c r="AC29" s="65">
        <f t="shared" si="113"/>
        <v>0.25333333333333335</v>
      </c>
      <c r="AD29" s="65">
        <f t="shared" si="113"/>
        <v>0.44333333333333336</v>
      </c>
      <c r="AE29" s="65">
        <f t="shared" si="113"/>
        <v>0.43333333333333335</v>
      </c>
      <c r="AF29" s="65">
        <f t="shared" si="113"/>
        <v>0.54333333333333333</v>
      </c>
      <c r="AG29" s="65">
        <f t="shared" si="113"/>
        <v>0.47666666666666663</v>
      </c>
      <c r="AH29" s="192">
        <f>AVERAGEIFS(AH$36:AH$167,$C$36:$C$167,"=6", $B$36:$B$167,"OFICIAL")</f>
        <v>52</v>
      </c>
      <c r="AI29" s="192">
        <f>AVERAGEIFS(AI$36:AI$167,$C$36:$C$167,"=6", $B$36:$B$167,"OFICIAL")</f>
        <v>7.666666666666667</v>
      </c>
      <c r="AJ29" s="65">
        <f>AVERAGEIFS(AJ$36:AJ$167,$C$36:$C$167,"=6", $B$36:$B$167,"OFICIAL")</f>
        <v>8.666666666666667E-2</v>
      </c>
      <c r="AK29" s="65">
        <f t="shared" ref="AK29:BL29" si="114">AVERAGEIFS(AK$36:AK$167,$C$36:$C$167,"=6", $B$36:$B$167,"OFICIAL")</f>
        <v>0.57333333333333336</v>
      </c>
      <c r="AL29" s="65">
        <f t="shared" si="114"/>
        <v>0.34333333333333332</v>
      </c>
      <c r="AM29" s="65">
        <f t="shared" si="114"/>
        <v>0</v>
      </c>
      <c r="AN29" s="65">
        <f t="shared" si="114"/>
        <v>0.3133333333333333</v>
      </c>
      <c r="AO29" s="65">
        <f t="shared" si="114"/>
        <v>0.49</v>
      </c>
      <c r="AP29" s="65">
        <f t="shared" si="114"/>
        <v>0.59666666666666668</v>
      </c>
      <c r="AQ29" s="65">
        <f t="shared" si="114"/>
        <v>0.39999999999999997</v>
      </c>
      <c r="AR29" s="65">
        <f t="shared" si="114"/>
        <v>0.54666666666666675</v>
      </c>
      <c r="AS29" s="65">
        <f t="shared" si="114"/>
        <v>0.5033333333333333</v>
      </c>
      <c r="AT29" s="65">
        <f t="shared" si="114"/>
        <v>0.52333333333333332</v>
      </c>
      <c r="AU29" s="65">
        <f t="shared" si="114"/>
        <v>0.53666666666666663</v>
      </c>
      <c r="AV29" s="65">
        <f t="shared" si="114"/>
        <v>0.67</v>
      </c>
      <c r="AW29" s="65">
        <f t="shared" si="114"/>
        <v>0.4366666666666667</v>
      </c>
      <c r="AX29" s="65">
        <f t="shared" si="114"/>
        <v>0.56999999999999995</v>
      </c>
      <c r="AY29" s="65">
        <f t="shared" si="114"/>
        <v>0.29333333333333339</v>
      </c>
      <c r="AZ29" s="65">
        <f t="shared" si="114"/>
        <v>0.29000000000000004</v>
      </c>
      <c r="BA29" s="65">
        <f t="shared" si="114"/>
        <v>0.48666666666666664</v>
      </c>
      <c r="BB29" s="65">
        <f t="shared" si="114"/>
        <v>0.68666666666666665</v>
      </c>
      <c r="BC29" s="65">
        <f t="shared" si="114"/>
        <v>0.65666666666666662</v>
      </c>
      <c r="BD29" s="65">
        <f t="shared" si="114"/>
        <v>0.41333333333333333</v>
      </c>
      <c r="BE29" s="65">
        <f t="shared" si="114"/>
        <v>0.53</v>
      </c>
      <c r="BF29" s="65">
        <f t="shared" si="114"/>
        <v>0.62666666666666682</v>
      </c>
      <c r="BG29" s="65">
        <f t="shared" si="114"/>
        <v>0.51666666666666672</v>
      </c>
      <c r="BH29" s="65">
        <f t="shared" si="114"/>
        <v>0.43</v>
      </c>
      <c r="BI29" s="65">
        <f t="shared" si="114"/>
        <v>0.44</v>
      </c>
      <c r="BJ29" s="65">
        <f t="shared" si="114"/>
        <v>0.37666666666666671</v>
      </c>
      <c r="BK29" s="65">
        <f t="shared" si="114"/>
        <v>0.46333333333333332</v>
      </c>
      <c r="BL29" s="65">
        <f t="shared" si="114"/>
        <v>0.48</v>
      </c>
      <c r="BM29" s="192">
        <f>AVERAGEIFS(BM$36:BM$167,$C$36:$C$167,"=6", $B$36:$B$167,"OFICIAL")</f>
        <v>50.333333333333336</v>
      </c>
      <c r="BN29" s="192">
        <f>AVERAGEIFS(BN$36:BN$167,$C$36:$C$167,"=6", $B$36:$B$167,"OFICIAL")</f>
        <v>8</v>
      </c>
      <c r="BO29" s="65">
        <f>AVERAGEIFS(BO$36:BO$167,$C$36:$C$167,"=6", $B$36:$B$167,"OFICIAL")</f>
        <v>0.12666666666666668</v>
      </c>
      <c r="BP29" s="65">
        <f t="shared" ref="BP29:CR29" si="115">AVERAGEIFS(BP$36:BP$167,$C$36:$C$167,"=6", $B$36:$B$167,"OFICIAL")</f>
        <v>0.60333333333333328</v>
      </c>
      <c r="BQ29" s="65">
        <f t="shared" si="115"/>
        <v>0.26666666666666666</v>
      </c>
      <c r="BR29" s="65">
        <f t="shared" si="115"/>
        <v>3.3333333333333335E-3</v>
      </c>
      <c r="BS29" s="65">
        <f t="shared" si="115"/>
        <v>0.33666666666666667</v>
      </c>
      <c r="BT29" s="65">
        <f t="shared" si="115"/>
        <v>0.62666666666666659</v>
      </c>
      <c r="BU29" s="65">
        <f t="shared" si="115"/>
        <v>0.65666666666666662</v>
      </c>
      <c r="BV29" s="65">
        <f t="shared" si="115"/>
        <v>0.3666666666666667</v>
      </c>
      <c r="BW29" s="65">
        <f t="shared" si="115"/>
        <v>0.64</v>
      </c>
      <c r="BX29" s="65">
        <f t="shared" si="115"/>
        <v>0.33333333333333331</v>
      </c>
      <c r="BY29" s="65">
        <f t="shared" si="115"/>
        <v>0.43333333333333335</v>
      </c>
      <c r="BZ29" s="65">
        <f t="shared" si="115"/>
        <v>0.54</v>
      </c>
      <c r="CA29" s="65">
        <f t="shared" si="115"/>
        <v>0.5033333333333333</v>
      </c>
      <c r="CB29" s="65">
        <f t="shared" si="115"/>
        <v>0.37666666666666671</v>
      </c>
      <c r="CC29" s="65">
        <f t="shared" si="115"/>
        <v>0.19000000000000003</v>
      </c>
      <c r="CD29" s="65">
        <f t="shared" si="115"/>
        <v>0.44333333333333336</v>
      </c>
      <c r="CE29" s="65">
        <f t="shared" si="115"/>
        <v>0.36000000000000004</v>
      </c>
      <c r="CF29" s="65">
        <f t="shared" si="115"/>
        <v>0.60666666666666669</v>
      </c>
      <c r="CG29" s="65">
        <f t="shared" si="115"/>
        <v>0.56999999999999995</v>
      </c>
      <c r="CH29" s="65">
        <f t="shared" si="115"/>
        <v>0.45666666666666661</v>
      </c>
      <c r="CI29" s="65">
        <f t="shared" si="115"/>
        <v>0.56333333333333335</v>
      </c>
      <c r="CJ29" s="65">
        <f t="shared" si="115"/>
        <v>0.35333333333333333</v>
      </c>
      <c r="CK29" s="65">
        <f t="shared" si="115"/>
        <v>0.68333333333333324</v>
      </c>
      <c r="CL29" s="65">
        <f t="shared" si="115"/>
        <v>0.3</v>
      </c>
      <c r="CM29" s="65">
        <f t="shared" si="115"/>
        <v>0.46666666666666662</v>
      </c>
      <c r="CN29" s="65">
        <f t="shared" si="115"/>
        <v>0.49666666666666665</v>
      </c>
      <c r="CO29" s="65">
        <f t="shared" si="115"/>
        <v>0.42666666666666658</v>
      </c>
      <c r="CP29" s="65">
        <f t="shared" si="115"/>
        <v>0.39000000000000007</v>
      </c>
      <c r="CQ29" s="65">
        <f t="shared" si="115"/>
        <v>0.55666666666666664</v>
      </c>
      <c r="CR29" s="65">
        <f t="shared" si="115"/>
        <v>0.58333333333333337</v>
      </c>
      <c r="CS29" s="192">
        <f>AVERAGEIFS(CS$36:CS$167,$C$36:$C$167,"=6", $B$36:$B$167,"OFICIAL")</f>
        <v>48.333333333333336</v>
      </c>
      <c r="CT29" s="192">
        <f>AVERAGEIFS(CT$36:CT$167,$C$36:$C$167,"=6", $B$36:$B$167,"OFICIAL")</f>
        <v>8</v>
      </c>
      <c r="CU29" s="65">
        <f>AVERAGEIFS(CU$36:CU$167,$C$36:$C$167,"=6", $B$36:$B$167,"OFICIAL")</f>
        <v>0.15000000000000002</v>
      </c>
      <c r="CV29" s="65">
        <f t="shared" ref="CV29:DW29" si="116">AVERAGEIFS(CV$36:CV$167,$C$36:$C$167,"=6", $B$36:$B$167,"OFICIAL")</f>
        <v>0.65333333333333332</v>
      </c>
      <c r="CW29" s="65">
        <f t="shared" si="116"/>
        <v>0.19666666666666666</v>
      </c>
      <c r="CX29" s="65">
        <f t="shared" si="116"/>
        <v>3.3333333333333335E-3</v>
      </c>
      <c r="CY29" s="65">
        <f t="shared" si="116"/>
        <v>0.47333333333333333</v>
      </c>
      <c r="CZ29" s="65">
        <f t="shared" si="116"/>
        <v>0.30333333333333329</v>
      </c>
      <c r="DA29" s="65">
        <f t="shared" si="116"/>
        <v>0.58666666666666656</v>
      </c>
      <c r="DB29" s="65">
        <f t="shared" si="116"/>
        <v>0.36999999999999994</v>
      </c>
      <c r="DC29" s="65">
        <f t="shared" si="116"/>
        <v>0.46333333333333332</v>
      </c>
      <c r="DD29" s="65">
        <f t="shared" si="116"/>
        <v>0.6333333333333333</v>
      </c>
      <c r="DE29" s="65">
        <f t="shared" si="116"/>
        <v>0.51666666666666672</v>
      </c>
      <c r="DF29" s="65">
        <f t="shared" si="116"/>
        <v>0.52</v>
      </c>
      <c r="DG29" s="65">
        <f t="shared" si="116"/>
        <v>0.46666666666666662</v>
      </c>
      <c r="DH29" s="65">
        <f t="shared" si="116"/>
        <v>0.38999999999999996</v>
      </c>
      <c r="DI29" s="65">
        <f t="shared" si="116"/>
        <v>0.55333333333333334</v>
      </c>
      <c r="DJ29" s="65">
        <f t="shared" si="116"/>
        <v>0.54333333333333333</v>
      </c>
      <c r="DK29" s="65">
        <f t="shared" si="116"/>
        <v>0.37999999999999995</v>
      </c>
      <c r="DL29" s="65">
        <f t="shared" si="116"/>
        <v>0.43333333333333329</v>
      </c>
      <c r="DM29" s="65">
        <f t="shared" si="116"/>
        <v>0.54666666666666675</v>
      </c>
      <c r="DN29" s="65">
        <f t="shared" si="116"/>
        <v>0.51</v>
      </c>
      <c r="DO29" s="65">
        <f t="shared" si="116"/>
        <v>0.49666666666666665</v>
      </c>
      <c r="DP29" s="65">
        <f t="shared" si="116"/>
        <v>0.46666666666666662</v>
      </c>
      <c r="DQ29" s="65">
        <f t="shared" si="116"/>
        <v>0.61333333333333329</v>
      </c>
      <c r="DR29" s="65">
        <f t="shared" si="116"/>
        <v>0.21666666666666667</v>
      </c>
      <c r="DS29" s="65">
        <f t="shared" si="116"/>
        <v>0.40000000000000008</v>
      </c>
      <c r="DT29" s="65">
        <f t="shared" si="116"/>
        <v>0.58666666666666667</v>
      </c>
      <c r="DU29" s="65">
        <f t="shared" si="116"/>
        <v>0.62</v>
      </c>
      <c r="DV29" s="65">
        <f t="shared" si="116"/>
        <v>0.59666666666666668</v>
      </c>
      <c r="DW29" s="65">
        <f t="shared" si="116"/>
        <v>0.36333333333333329</v>
      </c>
      <c r="DX29" s="192">
        <f>AVERAGEIFS(DX$36:DX$167,$C$36:$C$167,"=6", $B$36:$B$167,"OFICIAL")</f>
        <v>48.333333333333336</v>
      </c>
      <c r="DY29" s="192">
        <f>AVERAGEIFS(DY$36:DY$167,$C$36:$C$167,"=6", $B$36:$B$167,"OFICIAL")</f>
        <v>8.3333333333333339</v>
      </c>
      <c r="DZ29" s="65">
        <f>AVERAGEIFS(DZ$36:DZ$167,$C$36:$C$167,"=6", $B$36:$B$167,"OFICIAL")</f>
        <v>0.19999999999999998</v>
      </c>
      <c r="EA29" s="65">
        <f t="shared" ref="EA29:FA29" si="117">AVERAGEIFS(EA$36:EA$167,$C$36:$C$167,"=6", $B$36:$B$167,"OFICIAL")</f>
        <v>0.62</v>
      </c>
      <c r="EB29" s="65">
        <f t="shared" si="117"/>
        <v>0.17333333333333334</v>
      </c>
      <c r="EC29" s="65">
        <f t="shared" si="117"/>
        <v>6.6666666666666671E-3</v>
      </c>
      <c r="ED29" s="65">
        <f t="shared" si="117"/>
        <v>0.49</v>
      </c>
      <c r="EE29" s="65">
        <f t="shared" si="117"/>
        <v>0.5033333333333333</v>
      </c>
      <c r="EF29" s="65">
        <f t="shared" si="117"/>
        <v>0.55333333333333334</v>
      </c>
      <c r="EG29" s="65">
        <f t="shared" si="117"/>
        <v>0.36000000000000004</v>
      </c>
      <c r="EH29" s="65">
        <f t="shared" si="117"/>
        <v>0.46666666666666662</v>
      </c>
      <c r="EI29" s="65">
        <f t="shared" si="117"/>
        <v>0.53666666666666674</v>
      </c>
      <c r="EJ29" s="65">
        <f t="shared" si="117"/>
        <v>0.62333333333333341</v>
      </c>
      <c r="EK29" s="65">
        <f t="shared" si="117"/>
        <v>0.31</v>
      </c>
      <c r="EL29" s="65">
        <f t="shared" si="117"/>
        <v>0.49333333333333335</v>
      </c>
      <c r="EM29" s="65">
        <f t="shared" si="117"/>
        <v>0.6166666666666667</v>
      </c>
      <c r="EN29" s="65">
        <f t="shared" si="117"/>
        <v>0.50666666666666671</v>
      </c>
      <c r="EO29" s="65">
        <f t="shared" si="117"/>
        <v>0.57999999999999996</v>
      </c>
      <c r="EP29" s="65">
        <f t="shared" si="117"/>
        <v>0.40000000000000008</v>
      </c>
      <c r="EQ29" s="65">
        <f t="shared" si="117"/>
        <v>0.35000000000000003</v>
      </c>
      <c r="ER29" s="65">
        <f t="shared" si="117"/>
        <v>0.59333333333333338</v>
      </c>
      <c r="ES29" s="65">
        <f t="shared" si="117"/>
        <v>0.52333333333333332</v>
      </c>
      <c r="ET29" s="65">
        <f t="shared" si="117"/>
        <v>0.33666666666666667</v>
      </c>
      <c r="EU29" s="65">
        <f t="shared" si="117"/>
        <v>0.59</v>
      </c>
      <c r="EV29" s="65">
        <f t="shared" si="117"/>
        <v>0.45333333333333337</v>
      </c>
      <c r="EW29" s="65">
        <f t="shared" si="117"/>
        <v>0.35666666666666663</v>
      </c>
      <c r="EX29" s="65">
        <f t="shared" si="117"/>
        <v>0.67666666666666675</v>
      </c>
      <c r="EY29" s="65">
        <f t="shared" si="117"/>
        <v>0.62666666666666659</v>
      </c>
      <c r="EZ29" s="65">
        <f t="shared" si="117"/>
        <v>0.25666666666666665</v>
      </c>
      <c r="FA29" s="65">
        <f t="shared" si="117"/>
        <v>0.64</v>
      </c>
      <c r="FB29" s="192">
        <f>AVERAGEIFS(FB$36:FB$167,$C$36:$C$167,"=6", $B$36:$B$167,"OFICIAL")</f>
        <v>47.666666666666664</v>
      </c>
      <c r="FD29" s="192">
        <f>AVERAGEIFS(FD$36:FD$167,$C$36:$C$167,"=6", $B$36:$B$167,"OFICIAL")</f>
        <v>7.666666666666667</v>
      </c>
      <c r="FF29" s="65">
        <f>AVERAGEIFS(FF$36:FF$167,$C$36:$C$167,"=6", $B$36:$B$167,"OFICIAL")</f>
        <v>0.17333333333333334</v>
      </c>
      <c r="FG29" s="65">
        <f t="shared" ref="FG29:GI29" si="118">AVERAGEIFS(FG$36:FG$167,$C$36:$C$167,"=6", $B$36:$B$167,"OFICIAL")</f>
        <v>0.67666666666666664</v>
      </c>
      <c r="FH29" s="65">
        <f t="shared" si="118"/>
        <v>0.15000000000000002</v>
      </c>
      <c r="FI29" s="65">
        <f t="shared" si="118"/>
        <v>3.3333333333333335E-3</v>
      </c>
      <c r="FJ29" s="65">
        <f t="shared" si="118"/>
        <v>0.53999999999999992</v>
      </c>
      <c r="FK29" s="65">
        <f t="shared" si="118"/>
        <v>0.67</v>
      </c>
      <c r="FL29" s="65">
        <f t="shared" si="118"/>
        <v>0.53333333333333333</v>
      </c>
      <c r="FM29" s="65">
        <f t="shared" si="118"/>
        <v>0.48</v>
      </c>
      <c r="FN29" s="65">
        <f t="shared" si="118"/>
        <v>0.32333333333333331</v>
      </c>
      <c r="FO29" s="65">
        <f t="shared" si="118"/>
        <v>0.35333333333333333</v>
      </c>
      <c r="FP29" s="65">
        <f t="shared" si="118"/>
        <v>0.43333333333333335</v>
      </c>
      <c r="FQ29" s="65">
        <f t="shared" si="118"/>
        <v>0.42333333333333334</v>
      </c>
      <c r="FR29" s="65">
        <f t="shared" si="118"/>
        <v>0.60333333333333339</v>
      </c>
      <c r="FS29" s="65">
        <f t="shared" si="118"/>
        <v>0.53333333333333333</v>
      </c>
      <c r="FT29" s="65">
        <f t="shared" si="118"/>
        <v>0.54333333333333333</v>
      </c>
      <c r="FU29" s="65">
        <f t="shared" si="118"/>
        <v>0.40666666666666668</v>
      </c>
      <c r="FV29" s="65">
        <f t="shared" si="118"/>
        <v>0.65333333333333332</v>
      </c>
      <c r="FW29" s="65">
        <f t="shared" si="118"/>
        <v>0.60333333333333339</v>
      </c>
      <c r="FX29" s="65">
        <f t="shared" si="118"/>
        <v>0.53333333333333333</v>
      </c>
      <c r="FY29" s="65">
        <f t="shared" si="118"/>
        <v>0.41666666666666669</v>
      </c>
      <c r="FZ29" s="65">
        <f t="shared" si="118"/>
        <v>0.45</v>
      </c>
      <c r="GA29" s="65">
        <f t="shared" si="118"/>
        <v>0.53333333333333333</v>
      </c>
      <c r="GB29" s="65">
        <f t="shared" si="118"/>
        <v>0.59</v>
      </c>
      <c r="GC29" s="65">
        <f t="shared" si="118"/>
        <v>0.5</v>
      </c>
      <c r="GD29" s="65">
        <f t="shared" si="118"/>
        <v>0.64666666666666661</v>
      </c>
      <c r="GE29" s="65">
        <f t="shared" si="118"/>
        <v>0.61</v>
      </c>
      <c r="GF29" s="65">
        <f t="shared" si="118"/>
        <v>0.47666666666666663</v>
      </c>
      <c r="GG29" s="65">
        <f t="shared" si="118"/>
        <v>0.48333333333333334</v>
      </c>
      <c r="GH29" s="65">
        <f t="shared" si="118"/>
        <v>0.62666666666666659</v>
      </c>
      <c r="GI29" s="65">
        <f t="shared" si="118"/>
        <v>0.33666666666666667</v>
      </c>
      <c r="GJ29" s="192">
        <f>AVERAGEIFS(GJ$36:GJ$167,$C$36:$C$167,"=6", $B$36:$B$167,"OFICIAL")</f>
        <v>49</v>
      </c>
      <c r="GL29" s="192">
        <f>AVERAGEIFS(GL$36:GL$167,$C$36:$C$167,"=6", $B$36:$B$167,"OFICIAL")</f>
        <v>8.3333333333333339</v>
      </c>
      <c r="GN29" s="521">
        <f>AVERAGEIFS(GN$36:GN$167,$C$36:$C$167,"=6", $B$36:$B$167,"OFICIAL")</f>
        <v>0.16666666666666666</v>
      </c>
      <c r="GO29" s="521">
        <f t="shared" ref="GO29:HQ29" si="119">AVERAGEIFS(GO$36:GO$167,$C$36:$C$167,"=6", $B$36:$B$167,"OFICIAL")</f>
        <v>0.59666666666666668</v>
      </c>
      <c r="GP29" s="521">
        <f t="shared" si="119"/>
        <v>0.23333333333333331</v>
      </c>
      <c r="GQ29" s="521">
        <f t="shared" si="119"/>
        <v>3.3333333333333335E-3</v>
      </c>
      <c r="GR29" s="521">
        <f t="shared" si="119"/>
        <v>0.48333333333333334</v>
      </c>
      <c r="GS29" s="521">
        <f t="shared" si="119"/>
        <v>0.55666666666666675</v>
      </c>
      <c r="GT29" s="521">
        <f t="shared" si="119"/>
        <v>0.66</v>
      </c>
      <c r="GU29" s="521">
        <f t="shared" si="119"/>
        <v>0.29666666666666663</v>
      </c>
      <c r="GV29" s="521">
        <f t="shared" si="119"/>
        <v>0.59666666666666668</v>
      </c>
      <c r="GW29" s="521">
        <f t="shared" si="119"/>
        <v>0.52</v>
      </c>
      <c r="GX29" s="521">
        <f t="shared" si="119"/>
        <v>0.51666666666666672</v>
      </c>
      <c r="GY29" s="521" t="e">
        <f t="shared" si="119"/>
        <v>#DIV/0!</v>
      </c>
      <c r="GZ29" s="521">
        <f t="shared" si="119"/>
        <v>0.38000000000000006</v>
      </c>
      <c r="HA29" s="521">
        <f t="shared" si="119"/>
        <v>0.60333333333333339</v>
      </c>
      <c r="HB29" s="521">
        <f t="shared" si="119"/>
        <v>0.5</v>
      </c>
      <c r="HC29" s="521">
        <f t="shared" si="119"/>
        <v>0.57666666666666666</v>
      </c>
      <c r="HD29" s="521">
        <f t="shared" si="119"/>
        <v>0.6</v>
      </c>
      <c r="HE29" s="521">
        <f t="shared" si="119"/>
        <v>0.51</v>
      </c>
      <c r="HF29" s="521">
        <f t="shared" si="119"/>
        <v>0.51</v>
      </c>
      <c r="HG29" s="521">
        <f t="shared" si="119"/>
        <v>0.69</v>
      </c>
      <c r="HH29" s="521">
        <f t="shared" si="119"/>
        <v>0.42666666666666669</v>
      </c>
      <c r="HI29" s="521">
        <f t="shared" si="119"/>
        <v>0.57333333333333336</v>
      </c>
      <c r="HJ29" s="521">
        <f t="shared" si="119"/>
        <v>0.59666666666666668</v>
      </c>
      <c r="HK29" s="521">
        <f t="shared" si="119"/>
        <v>0.54999999999999993</v>
      </c>
      <c r="HL29" s="521">
        <f t="shared" si="119"/>
        <v>0.46666666666666662</v>
      </c>
      <c r="HM29" s="521">
        <f t="shared" si="119"/>
        <v>0.47666666666666663</v>
      </c>
      <c r="HN29" s="521">
        <f t="shared" si="119"/>
        <v>0.49666666666666665</v>
      </c>
      <c r="HO29" s="521">
        <f t="shared" si="119"/>
        <v>0.43333333333333335</v>
      </c>
      <c r="HP29" s="521" t="e">
        <f t="shared" si="119"/>
        <v>#DIV/0!</v>
      </c>
      <c r="HQ29" s="521">
        <f t="shared" si="119"/>
        <v>0.45666666666666672</v>
      </c>
      <c r="HR29" s="192">
        <f>AVERAGEIFS(HR$36:HR$167,$C$36:$C$167,"=6", $B$36:$B$167,"OFICIAL")</f>
        <v>49</v>
      </c>
      <c r="HT29" s="192">
        <f>AVERAGEIFS(HT$36:HT$167,$C$36:$C$167,"=6", $B$36:$B$167,"OFICIAL")</f>
        <v>8.3333333333333339</v>
      </c>
      <c r="HV29" s="521">
        <f>AVERAGEIFS(HV$36:HV$167,$C$36:$C$167,"=6", $B$36:$B$167,"OFICIAL")</f>
        <v>0.17666666666666667</v>
      </c>
      <c r="HW29" s="521">
        <f t="shared" ref="HW29:IY29" si="120">AVERAGEIFS(HW$36:HW$167,$C$36:$C$167,"=6", $B$36:$B$167,"OFICIAL")</f>
        <v>0.59333333333333338</v>
      </c>
      <c r="HX29" s="521">
        <f t="shared" si="120"/>
        <v>0.22</v>
      </c>
      <c r="HY29" s="521">
        <f t="shared" si="120"/>
        <v>6.6666666666666671E-3</v>
      </c>
      <c r="HZ29" s="521">
        <f t="shared" si="120"/>
        <v>0.46333333333333337</v>
      </c>
      <c r="IA29" s="521">
        <f t="shared" si="120"/>
        <v>0.56000000000000005</v>
      </c>
      <c r="IB29" s="521">
        <f t="shared" si="120"/>
        <v>0.39333333333333331</v>
      </c>
      <c r="IC29" s="521">
        <f t="shared" si="120"/>
        <v>0.52</v>
      </c>
      <c r="ID29" s="521">
        <f t="shared" si="120"/>
        <v>0.66</v>
      </c>
      <c r="IE29" s="521">
        <f t="shared" si="120"/>
        <v>0.39999999999999997</v>
      </c>
      <c r="IF29" s="521">
        <f t="shared" si="120"/>
        <v>0.42666666666666669</v>
      </c>
      <c r="IG29" s="521">
        <f t="shared" si="120"/>
        <v>0.56999999999999995</v>
      </c>
      <c r="IH29" s="521">
        <f t="shared" si="120"/>
        <v>0.56000000000000005</v>
      </c>
      <c r="II29" s="521">
        <f t="shared" si="120"/>
        <v>0.38000000000000006</v>
      </c>
      <c r="IJ29" s="521">
        <f t="shared" si="120"/>
        <v>0.33666666666666667</v>
      </c>
      <c r="IK29" s="521">
        <f t="shared" si="120"/>
        <v>0.64666666666666661</v>
      </c>
      <c r="IL29" s="521">
        <f t="shared" si="120"/>
        <v>0.3666666666666667</v>
      </c>
      <c r="IM29" s="521">
        <f t="shared" si="120"/>
        <v>0.57999999999999996</v>
      </c>
      <c r="IN29" s="521">
        <f t="shared" si="120"/>
        <v>0.45666666666666661</v>
      </c>
      <c r="IO29" s="521">
        <f t="shared" si="120"/>
        <v>0.57333333333333336</v>
      </c>
      <c r="IP29" s="521">
        <f t="shared" si="120"/>
        <v>0.43</v>
      </c>
      <c r="IQ29" s="521">
        <f t="shared" si="120"/>
        <v>0.68333333333333324</v>
      </c>
      <c r="IR29" s="521">
        <f t="shared" si="120"/>
        <v>0.60333333333333339</v>
      </c>
      <c r="IS29" s="521">
        <f t="shared" si="120"/>
        <v>0.56666666666666665</v>
      </c>
      <c r="IT29" s="521">
        <f t="shared" si="120"/>
        <v>0.49</v>
      </c>
      <c r="IU29" s="521" t="e">
        <f t="shared" si="120"/>
        <v>#DIV/0!</v>
      </c>
      <c r="IV29" s="521">
        <f t="shared" si="120"/>
        <v>0.66666666666666663</v>
      </c>
      <c r="IW29" s="521">
        <f t="shared" si="120"/>
        <v>0.45666666666666661</v>
      </c>
      <c r="IX29" s="521">
        <f t="shared" si="120"/>
        <v>0.53333333333333333</v>
      </c>
      <c r="IY29" s="521">
        <f t="shared" si="120"/>
        <v>0.58666666666666656</v>
      </c>
    </row>
    <row r="30" spans="1:259" s="434" customFormat="1" ht="24.9" customHeight="1" x14ac:dyDescent="0.25">
      <c r="A30" s="6" t="s">
        <v>937</v>
      </c>
      <c r="B30" s="447"/>
      <c r="C30" s="447"/>
      <c r="D30" s="192">
        <f>AVERAGEIFS(D$36:D$167,$C$36:$C$167,"=1", $B$36:$B$167,"NO OFICIAL")</f>
        <v>52.92307692307692</v>
      </c>
      <c r="E30" s="192">
        <f>AVERAGEIFS(E$36:E$167,$C$36:$C$167,"=1", $B$36:$B$167,"NO OFICIAL")</f>
        <v>6.615384615384615</v>
      </c>
      <c r="F30" s="65">
        <f>AVERAGEIFS(F$36:F$167,$C$36:$C$167,"=1", $B$36:$B$167,"NO OFICIAL")</f>
        <v>5.3076923076923091E-2</v>
      </c>
      <c r="G30" s="65">
        <f t="shared" ref="G30:AG30" si="121">AVERAGEIFS(G$36:G$167,$C$36:$C$167,"=1", $B$36:$B$167,"NO OFICIAL")</f>
        <v>0.60461538461538455</v>
      </c>
      <c r="H30" s="65">
        <f t="shared" si="121"/>
        <v>0.33999999999999997</v>
      </c>
      <c r="I30" s="65">
        <f t="shared" si="121"/>
        <v>3.0769230769230769E-3</v>
      </c>
      <c r="J30" s="65">
        <f t="shared" si="121"/>
        <v>0.41769230769230775</v>
      </c>
      <c r="K30" s="65">
        <f t="shared" si="121"/>
        <v>0.37538461538461543</v>
      </c>
      <c r="L30" s="65">
        <f t="shared" si="121"/>
        <v>0.74384615384615371</v>
      </c>
      <c r="M30" s="65">
        <f t="shared" si="121"/>
        <v>0.23692307692307693</v>
      </c>
      <c r="N30" s="65">
        <f t="shared" si="121"/>
        <v>0.29307692307692307</v>
      </c>
      <c r="O30" s="65">
        <f t="shared" si="121"/>
        <v>0.68153846153846154</v>
      </c>
      <c r="P30" s="65">
        <f t="shared" si="121"/>
        <v>0.36384615384615382</v>
      </c>
      <c r="Q30" s="65">
        <f t="shared" si="121"/>
        <v>0.41615384615384615</v>
      </c>
      <c r="R30" s="65">
        <f t="shared" si="121"/>
        <v>0.54999999999999993</v>
      </c>
      <c r="S30" s="65">
        <f t="shared" si="121"/>
        <v>0.64538461538461533</v>
      </c>
      <c r="T30" s="65">
        <f t="shared" si="121"/>
        <v>0.45769230769230762</v>
      </c>
      <c r="U30" s="65">
        <f t="shared" si="121"/>
        <v>0.64615384615384608</v>
      </c>
      <c r="V30" s="65">
        <f t="shared" si="121"/>
        <v>7.2307692307692309E-2</v>
      </c>
      <c r="W30" s="65">
        <f t="shared" si="121"/>
        <v>0.14692307692307691</v>
      </c>
      <c r="X30" s="65">
        <f t="shared" si="121"/>
        <v>0.50076923076923086</v>
      </c>
      <c r="Y30" s="65">
        <f t="shared" si="121"/>
        <v>0.5115384615384615</v>
      </c>
      <c r="Z30" s="65">
        <f t="shared" si="121"/>
        <v>0.75</v>
      </c>
      <c r="AA30" s="65">
        <f t="shared" si="121"/>
        <v>0.11153846153846156</v>
      </c>
      <c r="AB30" s="65">
        <f t="shared" si="121"/>
        <v>0.45692307692307688</v>
      </c>
      <c r="AC30" s="65">
        <f t="shared" si="121"/>
        <v>0.2323076923076923</v>
      </c>
      <c r="AD30" s="65">
        <f t="shared" si="121"/>
        <v>0.49692307692307691</v>
      </c>
      <c r="AE30" s="65">
        <f t="shared" si="121"/>
        <v>0.42923076923076925</v>
      </c>
      <c r="AF30" s="65">
        <f t="shared" si="121"/>
        <v>0.52461538461538448</v>
      </c>
      <c r="AG30" s="65">
        <f t="shared" si="121"/>
        <v>0.54153846153846152</v>
      </c>
      <c r="AH30" s="192">
        <f>AVERAGEIFS(AH$36:AH$167,$C$36:$C$167,"=1", $B$36:$B$167,"NO OFICIAL")</f>
        <v>52.5</v>
      </c>
      <c r="AI30" s="192">
        <f>AVERAGEIFS(AI$36:AI$167,$C$36:$C$167,"=1", $B$36:$B$167,"NO OFICIAL")</f>
        <v>7.416666666666667</v>
      </c>
      <c r="AJ30" s="65">
        <f>AVERAGEIFS(AJ$36:AJ$167,$C$36:$C$167,"=1", $B$36:$B$167,"NO OFICIAL")</f>
        <v>6.7500000000000004E-2</v>
      </c>
      <c r="AK30" s="65">
        <f t="shared" ref="AK30:BL30" si="122">AVERAGEIFS(AK$36:AK$167,$C$36:$C$167,"=1", $B$36:$B$167,"NO OFICIAL")</f>
        <v>0.55333333333333334</v>
      </c>
      <c r="AL30" s="65">
        <f t="shared" si="122"/>
        <v>0.37166666666666665</v>
      </c>
      <c r="AM30" s="65">
        <f t="shared" si="122"/>
        <v>7.5000000000000006E-3</v>
      </c>
      <c r="AN30" s="65">
        <f t="shared" si="122"/>
        <v>0.22999999999999998</v>
      </c>
      <c r="AO30" s="65">
        <f t="shared" si="122"/>
        <v>0.43416666666666665</v>
      </c>
      <c r="AP30" s="65">
        <f t="shared" si="122"/>
        <v>0.58833333333333326</v>
      </c>
      <c r="AQ30" s="65">
        <f t="shared" si="122"/>
        <v>0.40416666666666662</v>
      </c>
      <c r="AR30" s="65">
        <f t="shared" si="122"/>
        <v>0.59916666666666674</v>
      </c>
      <c r="AS30" s="65">
        <f t="shared" si="122"/>
        <v>0.52999999999999992</v>
      </c>
      <c r="AT30" s="65">
        <f t="shared" si="122"/>
        <v>0.47666666666666674</v>
      </c>
      <c r="AU30" s="65">
        <f t="shared" si="122"/>
        <v>0.49583333333333329</v>
      </c>
      <c r="AV30" s="65">
        <f t="shared" si="122"/>
        <v>0.58250000000000013</v>
      </c>
      <c r="AW30" s="65">
        <f t="shared" si="122"/>
        <v>0.44666666666666655</v>
      </c>
      <c r="AX30" s="65">
        <f t="shared" si="122"/>
        <v>0.57999999999999996</v>
      </c>
      <c r="AY30" s="65">
        <f t="shared" si="122"/>
        <v>0.31083333333333335</v>
      </c>
      <c r="AZ30" s="65">
        <f t="shared" si="122"/>
        <v>0.26916666666666667</v>
      </c>
      <c r="BA30" s="65">
        <f t="shared" si="122"/>
        <v>0.46583333333333338</v>
      </c>
      <c r="BB30" s="65">
        <f t="shared" si="122"/>
        <v>0.67749999999999988</v>
      </c>
      <c r="BC30" s="65">
        <f t="shared" si="122"/>
        <v>0.64583333333333337</v>
      </c>
      <c r="BD30" s="65">
        <f t="shared" si="122"/>
        <v>0.38416666666666671</v>
      </c>
      <c r="BE30" s="65">
        <f t="shared" si="122"/>
        <v>0.51166666666666671</v>
      </c>
      <c r="BF30" s="65">
        <f t="shared" si="122"/>
        <v>0.59166666666666667</v>
      </c>
      <c r="BG30" s="65">
        <f t="shared" si="122"/>
        <v>0.51250000000000007</v>
      </c>
      <c r="BH30" s="65">
        <f t="shared" si="122"/>
        <v>0.41499999999999998</v>
      </c>
      <c r="BI30" s="65">
        <f t="shared" si="122"/>
        <v>0.37999999999999995</v>
      </c>
      <c r="BJ30" s="65">
        <f t="shared" si="122"/>
        <v>0.32916666666666666</v>
      </c>
      <c r="BK30" s="65">
        <f t="shared" si="122"/>
        <v>0.44500000000000001</v>
      </c>
      <c r="BL30" s="65">
        <f t="shared" si="122"/>
        <v>0.43666666666666676</v>
      </c>
      <c r="BM30" s="192">
        <f>AVERAGEIFS(BM$36:BM$167,$C$36:$C$167,"=1", $B$36:$B$167,"NO OFICIAL")</f>
        <v>50.846153846153847</v>
      </c>
      <c r="BN30" s="192">
        <f>AVERAGEIFS(BN$36:BN$167,$C$36:$C$167,"=1", $B$36:$B$167,"NO OFICIAL")</f>
        <v>7.5384615384615383</v>
      </c>
      <c r="BO30" s="65">
        <f>AVERAGEIFS(BO$36:BO$167,$C$36:$C$167,"=1", $B$36:$B$167,"NO OFICIAL")</f>
        <v>9.8461538461538475E-2</v>
      </c>
      <c r="BP30" s="65">
        <f t="shared" ref="BP30:CR30" si="123">AVERAGEIFS(BP$36:BP$167,$C$36:$C$167,"=1", $B$36:$B$167,"NO OFICIAL")</f>
        <v>0.61461538461538456</v>
      </c>
      <c r="BQ30" s="65">
        <f t="shared" si="123"/>
        <v>0.28076923076923077</v>
      </c>
      <c r="BR30" s="65">
        <f t="shared" si="123"/>
        <v>7.6923076923076927E-3</v>
      </c>
      <c r="BS30" s="65">
        <f t="shared" si="123"/>
        <v>0.35153846153846158</v>
      </c>
      <c r="BT30" s="65">
        <f t="shared" si="123"/>
        <v>0.51076923076923086</v>
      </c>
      <c r="BU30" s="65">
        <f t="shared" si="123"/>
        <v>0.58153846153846156</v>
      </c>
      <c r="BV30" s="65">
        <f t="shared" si="123"/>
        <v>0.29923076923076919</v>
      </c>
      <c r="BW30" s="65">
        <f t="shared" si="123"/>
        <v>0.62307692307692308</v>
      </c>
      <c r="BX30" s="65">
        <f t="shared" si="123"/>
        <v>0.36461538461538467</v>
      </c>
      <c r="BY30" s="65">
        <f t="shared" si="123"/>
        <v>0.46307692307692311</v>
      </c>
      <c r="BZ30" s="65">
        <f t="shared" si="123"/>
        <v>0.52692307692307694</v>
      </c>
      <c r="CA30" s="65">
        <f t="shared" si="123"/>
        <v>0.42230769230769233</v>
      </c>
      <c r="CB30" s="65">
        <f t="shared" si="123"/>
        <v>0.3584615384615385</v>
      </c>
      <c r="CC30" s="65">
        <f t="shared" si="123"/>
        <v>0.14307692307692305</v>
      </c>
      <c r="CD30" s="65">
        <f t="shared" si="123"/>
        <v>0.38384615384615378</v>
      </c>
      <c r="CE30" s="65">
        <f t="shared" si="123"/>
        <v>0.34923076923076923</v>
      </c>
      <c r="CF30" s="65">
        <f t="shared" si="123"/>
        <v>0.61538461538461531</v>
      </c>
      <c r="CG30" s="65">
        <f t="shared" si="123"/>
        <v>0.61230769230769233</v>
      </c>
      <c r="CH30" s="65">
        <f t="shared" si="123"/>
        <v>0.43076923076923079</v>
      </c>
      <c r="CI30" s="65">
        <f t="shared" si="123"/>
        <v>0.57076923076923081</v>
      </c>
      <c r="CJ30" s="65">
        <f t="shared" si="123"/>
        <v>0.36692307692307691</v>
      </c>
      <c r="CK30" s="65">
        <f t="shared" si="123"/>
        <v>0.686153846153846</v>
      </c>
      <c r="CL30" s="65">
        <f t="shared" si="123"/>
        <v>0.33692307692307699</v>
      </c>
      <c r="CM30" s="65">
        <f t="shared" si="123"/>
        <v>0.46230769230769231</v>
      </c>
      <c r="CN30" s="65">
        <f t="shared" si="123"/>
        <v>0.49923076923076926</v>
      </c>
      <c r="CO30" s="65">
        <f t="shared" si="123"/>
        <v>0.43</v>
      </c>
      <c r="CP30" s="65">
        <f t="shared" si="123"/>
        <v>0.36153846153846153</v>
      </c>
      <c r="CQ30" s="65">
        <f t="shared" si="123"/>
        <v>0.55615384615384611</v>
      </c>
      <c r="CR30" s="65">
        <f t="shared" si="123"/>
        <v>0.52461538461538471</v>
      </c>
      <c r="CS30" s="192">
        <f>AVERAGEIFS(CS$36:CS$167,$C$36:$C$167,"=1", $B$36:$B$167,"NO OFICIAL")</f>
        <v>49.46153846153846</v>
      </c>
      <c r="CT30" s="192">
        <f>AVERAGEIFS(CT$36:CT$167,$C$36:$C$167,"=1", $B$36:$B$167,"NO OFICIAL")</f>
        <v>7.7692307692307692</v>
      </c>
      <c r="CU30" s="65">
        <f>AVERAGEIFS(CU$36:CU$167,$C$36:$C$167,"=1", $B$36:$B$167,"NO OFICIAL")</f>
        <v>0.14692307692307696</v>
      </c>
      <c r="CV30" s="65">
        <f t="shared" ref="CV30:DW30" si="124">AVERAGEIFS(CV$36:CV$167,$C$36:$C$167,"=1", $B$36:$B$167,"NO OFICIAL")</f>
        <v>0.63307692307692309</v>
      </c>
      <c r="CW30" s="65">
        <f t="shared" si="124"/>
        <v>0.21153846153846154</v>
      </c>
      <c r="CX30" s="65">
        <f t="shared" si="124"/>
        <v>0.01</v>
      </c>
      <c r="CY30" s="65">
        <f t="shared" si="124"/>
        <v>0.52153846153846151</v>
      </c>
      <c r="CZ30" s="65">
        <f t="shared" si="124"/>
        <v>0.29384615384615381</v>
      </c>
      <c r="DA30" s="65">
        <f t="shared" si="124"/>
        <v>0.55076923076923068</v>
      </c>
      <c r="DB30" s="65">
        <f t="shared" si="124"/>
        <v>0.36846153846153851</v>
      </c>
      <c r="DC30" s="65">
        <f t="shared" si="124"/>
        <v>0.43692307692307686</v>
      </c>
      <c r="DD30" s="65">
        <f t="shared" si="124"/>
        <v>0.62538461538461543</v>
      </c>
      <c r="DE30" s="65">
        <f t="shared" si="124"/>
        <v>0.51384615384615395</v>
      </c>
      <c r="DF30" s="65">
        <f t="shared" si="124"/>
        <v>0.53999999999999992</v>
      </c>
      <c r="DG30" s="65">
        <f t="shared" si="124"/>
        <v>0.47692307692307701</v>
      </c>
      <c r="DH30" s="65">
        <f t="shared" si="124"/>
        <v>0.38230769230769235</v>
      </c>
      <c r="DI30" s="65">
        <f t="shared" si="124"/>
        <v>0.51923076923076938</v>
      </c>
      <c r="DJ30" s="65">
        <f t="shared" si="124"/>
        <v>0.54846153846153844</v>
      </c>
      <c r="DK30" s="65">
        <f t="shared" si="124"/>
        <v>0.41307692307692306</v>
      </c>
      <c r="DL30" s="65">
        <f t="shared" si="124"/>
        <v>0.36692307692307696</v>
      </c>
      <c r="DM30" s="65">
        <f t="shared" si="124"/>
        <v>0.5130769230769231</v>
      </c>
      <c r="DN30" s="65">
        <f t="shared" si="124"/>
        <v>0.53923076923076918</v>
      </c>
      <c r="DO30" s="65">
        <f t="shared" si="124"/>
        <v>0.44923076923076938</v>
      </c>
      <c r="DP30" s="65">
        <f t="shared" si="124"/>
        <v>0.4407692307692308</v>
      </c>
      <c r="DQ30" s="65">
        <f t="shared" si="124"/>
        <v>0.56615384615384623</v>
      </c>
      <c r="DR30" s="65">
        <f t="shared" si="124"/>
        <v>0.1846153846153846</v>
      </c>
      <c r="DS30" s="65">
        <f t="shared" si="124"/>
        <v>0.37307692307692314</v>
      </c>
      <c r="DT30" s="65">
        <f t="shared" si="124"/>
        <v>0.56692307692307697</v>
      </c>
      <c r="DU30" s="65">
        <f t="shared" si="124"/>
        <v>0.52230769230769225</v>
      </c>
      <c r="DV30" s="65">
        <f t="shared" si="124"/>
        <v>0.60076923076923072</v>
      </c>
      <c r="DW30" s="65">
        <f t="shared" si="124"/>
        <v>0.32538461538461533</v>
      </c>
      <c r="DX30" s="192">
        <f>AVERAGEIFS(DX$36:DX$167,$C$36:$C$167,"=1", $B$36:$B$167,"NO OFICIAL")</f>
        <v>49.769230769230766</v>
      </c>
      <c r="DY30" s="192">
        <f>AVERAGEIFS(DY$36:DY$167,$C$36:$C$167,"=1", $B$36:$B$167,"NO OFICIAL")</f>
        <v>8.3076923076923084</v>
      </c>
      <c r="DZ30" s="65">
        <f>AVERAGEIFS(DZ$36:DZ$167,$C$36:$C$167,"=1", $B$36:$B$167,"NO OFICIAL")</f>
        <v>0.15000000000000002</v>
      </c>
      <c r="EA30" s="65">
        <f t="shared" ref="EA30:FA30" si="125">AVERAGEIFS(EA$36:EA$167,$C$36:$C$167,"=1", $B$36:$B$167,"NO OFICIAL")</f>
        <v>0.57769230769230773</v>
      </c>
      <c r="EB30" s="65">
        <f t="shared" si="125"/>
        <v>0.26692307692307693</v>
      </c>
      <c r="EC30" s="65">
        <f t="shared" si="125"/>
        <v>6.1538461538461538E-3</v>
      </c>
      <c r="ED30" s="65">
        <f t="shared" si="125"/>
        <v>0.47538461538461535</v>
      </c>
      <c r="EE30" s="65">
        <f t="shared" si="125"/>
        <v>0.46692307692307694</v>
      </c>
      <c r="EF30" s="65">
        <f t="shared" si="125"/>
        <v>0.45615384615384624</v>
      </c>
      <c r="EG30" s="65">
        <f t="shared" si="125"/>
        <v>0.38384615384615384</v>
      </c>
      <c r="EH30" s="65">
        <f t="shared" si="125"/>
        <v>0.45769230769230762</v>
      </c>
      <c r="EI30" s="65">
        <f t="shared" si="125"/>
        <v>0.48153846153846153</v>
      </c>
      <c r="EJ30" s="65">
        <f t="shared" si="125"/>
        <v>0.61384615384615382</v>
      </c>
      <c r="EK30" s="65">
        <f t="shared" si="125"/>
        <v>0.26153846153846155</v>
      </c>
      <c r="EL30" s="65">
        <f t="shared" si="125"/>
        <v>0.47384615384615381</v>
      </c>
      <c r="EM30" s="65">
        <f t="shared" si="125"/>
        <v>0.61846153846153851</v>
      </c>
      <c r="EN30" s="65">
        <f t="shared" si="125"/>
        <v>0.39769230769230768</v>
      </c>
      <c r="EO30" s="65">
        <f t="shared" si="125"/>
        <v>0.53615384615384609</v>
      </c>
      <c r="EP30" s="65">
        <f t="shared" si="125"/>
        <v>0.39076923076923076</v>
      </c>
      <c r="EQ30" s="65">
        <f t="shared" si="125"/>
        <v>0.30384615384615388</v>
      </c>
      <c r="ER30" s="65">
        <f t="shared" si="125"/>
        <v>0.57923076923076922</v>
      </c>
      <c r="ES30" s="65">
        <f t="shared" si="125"/>
        <v>0.49692307692307697</v>
      </c>
      <c r="ET30" s="65">
        <f t="shared" si="125"/>
        <v>0.33538461538461539</v>
      </c>
      <c r="EU30" s="65">
        <f t="shared" si="125"/>
        <v>0.62692307692307692</v>
      </c>
      <c r="EV30" s="65">
        <f t="shared" si="125"/>
        <v>0.43999999999999989</v>
      </c>
      <c r="EW30" s="65">
        <f t="shared" si="125"/>
        <v>0.32384615384615384</v>
      </c>
      <c r="EX30" s="65">
        <f t="shared" si="125"/>
        <v>0.62076923076923074</v>
      </c>
      <c r="EY30" s="65">
        <f t="shared" si="125"/>
        <v>0.60461538461538467</v>
      </c>
      <c r="EZ30" s="65">
        <f t="shared" si="125"/>
        <v>0.24538461538461537</v>
      </c>
      <c r="FA30" s="65">
        <f t="shared" si="125"/>
        <v>0.58769230769230763</v>
      </c>
      <c r="FB30" s="192">
        <f>AVERAGEIFS(FB$36:FB$167,$C$36:$C$167,"=1", $B$36:$B$167,"NO OFICIAL")</f>
        <v>50</v>
      </c>
      <c r="FD30" s="192">
        <f>AVERAGEIFS(FD$36:FD$167,$C$36:$C$167,"=1", $B$36:$B$167,"NO OFICIAL")</f>
        <v>7.6923076923076925</v>
      </c>
      <c r="FF30" s="65">
        <f>AVERAGEIFS(FF$36:FF$167,$C$36:$C$167,"=1", $B$36:$B$167,"NO OFICIAL")</f>
        <v>0.12076923076923077</v>
      </c>
      <c r="FG30" s="65">
        <f t="shared" ref="FG30:GI30" si="126">AVERAGEIFS(FG$36:FG$167,$C$36:$C$167,"=1", $B$36:$B$167,"NO OFICIAL")</f>
        <v>0.61692307692307691</v>
      </c>
      <c r="FH30" s="65">
        <f t="shared" si="126"/>
        <v>0.25538461538461543</v>
      </c>
      <c r="FI30" s="65">
        <f t="shared" si="126"/>
        <v>7.6923076923076927E-3</v>
      </c>
      <c r="FJ30" s="65">
        <f t="shared" si="126"/>
        <v>0.44230769230769229</v>
      </c>
      <c r="FK30" s="65">
        <f t="shared" si="126"/>
        <v>0.62153846153846171</v>
      </c>
      <c r="FL30" s="65">
        <f t="shared" si="126"/>
        <v>0.47461538461538461</v>
      </c>
      <c r="FM30" s="65">
        <f t="shared" si="126"/>
        <v>0.4</v>
      </c>
      <c r="FN30" s="65">
        <f t="shared" si="126"/>
        <v>0.24076923076923076</v>
      </c>
      <c r="FO30" s="65">
        <f t="shared" si="126"/>
        <v>0.29769230769230764</v>
      </c>
      <c r="FP30" s="65">
        <f t="shared" si="126"/>
        <v>0.37615384615384612</v>
      </c>
      <c r="FQ30" s="65">
        <f t="shared" si="126"/>
        <v>0.42307692307692307</v>
      </c>
      <c r="FR30" s="65">
        <f t="shared" si="126"/>
        <v>0.57384615384615378</v>
      </c>
      <c r="FS30" s="65">
        <f t="shared" si="126"/>
        <v>0.48769230769230776</v>
      </c>
      <c r="FT30" s="65">
        <f t="shared" si="126"/>
        <v>0.52923076923076928</v>
      </c>
      <c r="FU30" s="65">
        <f t="shared" si="126"/>
        <v>0.37384615384615383</v>
      </c>
      <c r="FV30" s="65">
        <f t="shared" si="126"/>
        <v>0.55076923076923068</v>
      </c>
      <c r="FW30" s="65">
        <f t="shared" si="126"/>
        <v>0.5723076923076923</v>
      </c>
      <c r="FX30" s="65">
        <f t="shared" si="126"/>
        <v>0.49692307692307697</v>
      </c>
      <c r="FY30" s="65">
        <f t="shared" si="126"/>
        <v>0.37538461538461532</v>
      </c>
      <c r="FZ30" s="65">
        <f t="shared" si="126"/>
        <v>0.41384615384615386</v>
      </c>
      <c r="GA30" s="65">
        <f t="shared" si="126"/>
        <v>0.4653846153846154</v>
      </c>
      <c r="GB30" s="65">
        <f t="shared" si="126"/>
        <v>0.54153846153846164</v>
      </c>
      <c r="GC30" s="65">
        <f t="shared" si="126"/>
        <v>0.44461538461538458</v>
      </c>
      <c r="GD30" s="65">
        <f t="shared" si="126"/>
        <v>0.6576923076923078</v>
      </c>
      <c r="GE30" s="65">
        <f t="shared" si="126"/>
        <v>0.50923076923076926</v>
      </c>
      <c r="GF30" s="65">
        <f t="shared" si="126"/>
        <v>0.45230769230769224</v>
      </c>
      <c r="GG30" s="65">
        <f t="shared" si="126"/>
        <v>0.46230769230769231</v>
      </c>
      <c r="GH30" s="65">
        <f t="shared" si="126"/>
        <v>0.57999999999999996</v>
      </c>
      <c r="GI30" s="65">
        <f t="shared" si="126"/>
        <v>0.25461538461538463</v>
      </c>
      <c r="GJ30" s="192">
        <f>AVERAGEIFS(GJ$36:GJ$167,$C$36:$C$167,"=1", $B$36:$B$167,"NO OFICIAL")</f>
        <v>50.846153846153847</v>
      </c>
      <c r="GL30" s="192">
        <f>AVERAGEIFS(GL$36:GL$167,$C$36:$C$167,"=1", $B$36:$B$167,"NO OFICIAL")</f>
        <v>8.6923076923076916</v>
      </c>
      <c r="GN30" s="521">
        <f>AVERAGEIFS(GN$36:GN$167,$C$36:$C$167,"=1", $B$36:$B$167,"NO OFICIAL")</f>
        <v>0.14846153846153845</v>
      </c>
      <c r="GO30" s="521">
        <f t="shared" ref="GO30:HQ30" si="127">AVERAGEIFS(GO$36:GO$167,$C$36:$C$167,"=1", $B$36:$B$167,"NO OFICIAL")</f>
        <v>0.53076923076923077</v>
      </c>
      <c r="GP30" s="521">
        <f t="shared" si="127"/>
        <v>0.3115384615384616</v>
      </c>
      <c r="GQ30" s="521">
        <f t="shared" si="127"/>
        <v>9.2307692307692316E-3</v>
      </c>
      <c r="GR30" s="521">
        <f t="shared" si="127"/>
        <v>0.45692307692307693</v>
      </c>
      <c r="GS30" s="521">
        <f t="shared" si="127"/>
        <v>0.53461538461538471</v>
      </c>
      <c r="GT30" s="521">
        <f t="shared" si="127"/>
        <v>0.6184615384615384</v>
      </c>
      <c r="GU30" s="521">
        <f t="shared" si="127"/>
        <v>0.20153846153846156</v>
      </c>
      <c r="GV30" s="521">
        <f t="shared" si="127"/>
        <v>0.54538461538461547</v>
      </c>
      <c r="GW30" s="521">
        <f t="shared" si="127"/>
        <v>0.51846153846153842</v>
      </c>
      <c r="GX30" s="521">
        <f t="shared" si="127"/>
        <v>0.47692307692307695</v>
      </c>
      <c r="GY30" s="521" t="e">
        <f t="shared" si="127"/>
        <v>#DIV/0!</v>
      </c>
      <c r="GZ30" s="521">
        <f t="shared" si="127"/>
        <v>0.2976923076923077</v>
      </c>
      <c r="HA30" s="521">
        <f t="shared" si="127"/>
        <v>0.6776923076923077</v>
      </c>
      <c r="HB30" s="521">
        <f t="shared" si="127"/>
        <v>0.46846153846153843</v>
      </c>
      <c r="HC30" s="521">
        <f t="shared" si="127"/>
        <v>0.5099999999999999</v>
      </c>
      <c r="HD30" s="521">
        <f t="shared" si="127"/>
        <v>0.56000000000000005</v>
      </c>
      <c r="HE30" s="521">
        <f t="shared" si="127"/>
        <v>0.46769230769230768</v>
      </c>
      <c r="HF30" s="521">
        <f t="shared" si="127"/>
        <v>0.4661538461538462</v>
      </c>
      <c r="HG30" s="521">
        <f t="shared" si="127"/>
        <v>0.65384615384615385</v>
      </c>
      <c r="HH30" s="521">
        <f t="shared" si="127"/>
        <v>0.37692307692307681</v>
      </c>
      <c r="HI30" s="521">
        <f t="shared" si="127"/>
        <v>0.53307692307692311</v>
      </c>
      <c r="HJ30" s="521">
        <f t="shared" si="127"/>
        <v>0.58769230769230774</v>
      </c>
      <c r="HK30" s="521">
        <f t="shared" si="127"/>
        <v>0.5146153846153847</v>
      </c>
      <c r="HL30" s="521">
        <f t="shared" si="127"/>
        <v>0.36923076923076931</v>
      </c>
      <c r="HM30" s="521">
        <f t="shared" si="127"/>
        <v>0.49076923076923085</v>
      </c>
      <c r="HN30" s="521">
        <f t="shared" si="127"/>
        <v>0.51153846153846139</v>
      </c>
      <c r="HO30" s="521">
        <f t="shared" si="127"/>
        <v>0.40923076923076923</v>
      </c>
      <c r="HP30" s="521" t="e">
        <f t="shared" si="127"/>
        <v>#DIV/0!</v>
      </c>
      <c r="HQ30" s="521">
        <f t="shared" si="127"/>
        <v>0.41230769230769232</v>
      </c>
      <c r="HR30" s="192">
        <f>AVERAGEIFS(HR$36:HR$167,$C$36:$C$167,"=1", $B$36:$B$167,"NO OFICIAL")</f>
        <v>52</v>
      </c>
      <c r="HT30" s="192">
        <f>AVERAGEIFS(HT$36:HT$167,$C$36:$C$167,"=1", $B$36:$B$167,"NO OFICIAL")</f>
        <v>8.25</v>
      </c>
      <c r="HV30" s="521">
        <f>AVERAGEIFS(HV$36:HV$167,$C$36:$C$167,"=1", $B$36:$B$167,"NO OFICIAL")</f>
        <v>0.10500000000000002</v>
      </c>
      <c r="HW30" s="521">
        <f t="shared" ref="HW30:IY30" si="128">AVERAGEIFS(HW$36:HW$167,$C$36:$C$167,"=1", $B$36:$B$167,"NO OFICIAL")</f>
        <v>0.55500000000000005</v>
      </c>
      <c r="HX30" s="521">
        <f t="shared" si="128"/>
        <v>0.32416666666666666</v>
      </c>
      <c r="HY30" s="521">
        <f t="shared" si="128"/>
        <v>1.6666666666666666E-2</v>
      </c>
      <c r="HZ30" s="521">
        <f t="shared" si="128"/>
        <v>0.3691666666666667</v>
      </c>
      <c r="IA30" s="521">
        <f t="shared" si="128"/>
        <v>0.51500000000000001</v>
      </c>
      <c r="IB30" s="521">
        <f t="shared" si="128"/>
        <v>0.33</v>
      </c>
      <c r="IC30" s="521">
        <f t="shared" si="128"/>
        <v>0.5033333333333333</v>
      </c>
      <c r="ID30" s="521">
        <f t="shared" si="128"/>
        <v>0.59666666666666668</v>
      </c>
      <c r="IE30" s="521">
        <f t="shared" si="128"/>
        <v>0.32333333333333336</v>
      </c>
      <c r="IF30" s="521">
        <f t="shared" si="128"/>
        <v>0.36333333333333334</v>
      </c>
      <c r="IG30" s="521">
        <f t="shared" si="128"/>
        <v>0.57750000000000001</v>
      </c>
      <c r="IH30" s="521">
        <f t="shared" si="128"/>
        <v>0.47583333333333327</v>
      </c>
      <c r="II30" s="521">
        <f t="shared" si="128"/>
        <v>0.24000000000000002</v>
      </c>
      <c r="IJ30" s="521">
        <f t="shared" si="128"/>
        <v>0.24333333333333332</v>
      </c>
      <c r="IK30" s="521">
        <f t="shared" si="128"/>
        <v>0.57999999999999996</v>
      </c>
      <c r="IL30" s="521">
        <f t="shared" si="128"/>
        <v>0.34083333333333332</v>
      </c>
      <c r="IM30" s="521">
        <f t="shared" si="128"/>
        <v>0.56999999999999995</v>
      </c>
      <c r="IN30" s="521">
        <f t="shared" si="128"/>
        <v>0.42500000000000004</v>
      </c>
      <c r="IO30" s="521">
        <f t="shared" si="128"/>
        <v>0.51750000000000007</v>
      </c>
      <c r="IP30" s="521">
        <f t="shared" si="128"/>
        <v>0.39916666666666667</v>
      </c>
      <c r="IQ30" s="521">
        <f t="shared" si="128"/>
        <v>0.63500000000000012</v>
      </c>
      <c r="IR30" s="521">
        <f t="shared" si="128"/>
        <v>0.58083333333333331</v>
      </c>
      <c r="IS30" s="521">
        <f t="shared" si="128"/>
        <v>0.52333333333333332</v>
      </c>
      <c r="IT30" s="521">
        <f t="shared" si="128"/>
        <v>0.40833333333333338</v>
      </c>
      <c r="IU30" s="521" t="e">
        <f t="shared" si="128"/>
        <v>#DIV/0!</v>
      </c>
      <c r="IV30" s="521">
        <f t="shared" si="128"/>
        <v>0.6066666666666668</v>
      </c>
      <c r="IW30" s="521">
        <f t="shared" si="128"/>
        <v>0.39416666666666661</v>
      </c>
      <c r="IX30" s="521">
        <f t="shared" si="128"/>
        <v>0.4916666666666667</v>
      </c>
      <c r="IY30" s="521">
        <f t="shared" si="128"/>
        <v>0.50083333333333335</v>
      </c>
    </row>
    <row r="31" spans="1:259" s="434" customFormat="1" ht="24" customHeight="1" x14ac:dyDescent="0.25">
      <c r="A31" s="6" t="s">
        <v>938</v>
      </c>
      <c r="B31" s="447"/>
      <c r="C31" s="447"/>
      <c r="D31" s="192">
        <f>AVERAGEIFS(D$36:D$167,$C$36:$C$167,"=2", $B$36:$B$167,"NO OFICIAL")</f>
        <v>54.666666666666664</v>
      </c>
      <c r="E31" s="192">
        <f>AVERAGEIFS(E$36:E$167,$C$36:$C$167,"=2", $B$36:$B$167,"NO OFICIAL")</f>
        <v>6.8888888888888893</v>
      </c>
      <c r="F31" s="65">
        <f>AVERAGEIFS(F$36:F$167,$C$36:$C$167,"=2", $B$36:$B$167,"NO OFICIAL")</f>
        <v>4.4444444444444446E-2</v>
      </c>
      <c r="G31" s="65">
        <f t="shared" ref="G31:AG31" si="129">AVERAGEIFS(G$36:G$167,$C$36:$C$167,"=2", $B$36:$B$167,"NO OFICIAL")</f>
        <v>0.49555555555555553</v>
      </c>
      <c r="H31" s="65">
        <f t="shared" si="129"/>
        <v>0.45500000000000007</v>
      </c>
      <c r="I31" s="65">
        <f t="shared" si="129"/>
        <v>7.2222222222222228E-3</v>
      </c>
      <c r="J31" s="65">
        <f t="shared" si="129"/>
        <v>0.36388888888888887</v>
      </c>
      <c r="K31" s="65">
        <f t="shared" si="129"/>
        <v>0.2877777777777778</v>
      </c>
      <c r="L31" s="65">
        <f t="shared" si="129"/>
        <v>0.68500000000000016</v>
      </c>
      <c r="M31" s="65">
        <f t="shared" si="129"/>
        <v>0.20333333333333337</v>
      </c>
      <c r="N31" s="65">
        <f t="shared" si="129"/>
        <v>0.30166666666666669</v>
      </c>
      <c r="O31" s="65">
        <f t="shared" si="129"/>
        <v>0.67055555555555557</v>
      </c>
      <c r="P31" s="65">
        <f t="shared" si="129"/>
        <v>0.31388888888888888</v>
      </c>
      <c r="Q31" s="65">
        <f t="shared" si="129"/>
        <v>0.37111111111111117</v>
      </c>
      <c r="R31" s="65">
        <f t="shared" si="129"/>
        <v>0.49388888888888893</v>
      </c>
      <c r="S31" s="65">
        <f t="shared" si="129"/>
        <v>0.55555555555555569</v>
      </c>
      <c r="T31" s="65">
        <f t="shared" si="129"/>
        <v>0.48000000000000004</v>
      </c>
      <c r="U31" s="65">
        <f t="shared" si="129"/>
        <v>0.6216666666666667</v>
      </c>
      <c r="V31" s="65">
        <f t="shared" si="129"/>
        <v>8.0000000000000016E-2</v>
      </c>
      <c r="W31" s="65">
        <f t="shared" si="129"/>
        <v>0.15944444444444447</v>
      </c>
      <c r="X31" s="65">
        <f t="shared" si="129"/>
        <v>0.49222222222222217</v>
      </c>
      <c r="Y31" s="65">
        <f t="shared" si="129"/>
        <v>0.48500000000000004</v>
      </c>
      <c r="Z31" s="65">
        <f t="shared" si="129"/>
        <v>0.65</v>
      </c>
      <c r="AA31" s="65">
        <f t="shared" si="129"/>
        <v>9.2777777777777792E-2</v>
      </c>
      <c r="AB31" s="65">
        <f t="shared" si="129"/>
        <v>0.42555555555555563</v>
      </c>
      <c r="AC31" s="65">
        <f t="shared" si="129"/>
        <v>0.23777777777777778</v>
      </c>
      <c r="AD31" s="65">
        <f t="shared" si="129"/>
        <v>0.41388888888888897</v>
      </c>
      <c r="AE31" s="65">
        <f t="shared" si="129"/>
        <v>0.3938888888888889</v>
      </c>
      <c r="AF31" s="65">
        <f t="shared" si="129"/>
        <v>0.46611111111111114</v>
      </c>
      <c r="AG31" s="65">
        <f t="shared" si="129"/>
        <v>0.48888888888888893</v>
      </c>
      <c r="AH31" s="192">
        <f>AVERAGEIFS(AH$36:AH$167,$C$36:$C$167,"=2", $B$36:$B$167,"NO OFICIAL")</f>
        <v>52.823529411764703</v>
      </c>
      <c r="AI31" s="192">
        <f>AVERAGEIFS(AI$36:AI$167,$C$36:$C$167,"=2", $B$36:$B$167,"NO OFICIAL")</f>
        <v>7.1764705882352944</v>
      </c>
      <c r="AJ31" s="65">
        <f>AVERAGEIFS(AJ$36:AJ$167,$C$36:$C$167,"=2", $B$36:$B$167,"NO OFICIAL")</f>
        <v>8.7647058823529425E-2</v>
      </c>
      <c r="AK31" s="65">
        <f t="shared" ref="AK31:BL31" si="130">AVERAGEIFS(AK$36:AK$167,$C$36:$C$167,"=2", $B$36:$B$167,"NO OFICIAL")</f>
        <v>0.48470588235294121</v>
      </c>
      <c r="AL31" s="65">
        <f t="shared" si="130"/>
        <v>0.41588235294117648</v>
      </c>
      <c r="AM31" s="65">
        <f t="shared" si="130"/>
        <v>1.1764705882352941E-2</v>
      </c>
      <c r="AN31" s="65">
        <f t="shared" si="130"/>
        <v>0.30705882352941177</v>
      </c>
      <c r="AO31" s="65">
        <f t="shared" si="130"/>
        <v>0.41705882352941176</v>
      </c>
      <c r="AP31" s="65">
        <f t="shared" si="130"/>
        <v>0.55117647058823538</v>
      </c>
      <c r="AQ31" s="65">
        <f t="shared" si="130"/>
        <v>0.34941176470588226</v>
      </c>
      <c r="AR31" s="65">
        <f t="shared" si="130"/>
        <v>0.5358823529411767</v>
      </c>
      <c r="AS31" s="65">
        <f t="shared" si="130"/>
        <v>0.50058823529411767</v>
      </c>
      <c r="AT31" s="65">
        <f t="shared" si="130"/>
        <v>0.48058823529411776</v>
      </c>
      <c r="AU31" s="65">
        <f t="shared" si="130"/>
        <v>0.53176470588235292</v>
      </c>
      <c r="AV31" s="65">
        <f t="shared" si="130"/>
        <v>0.58941176470588219</v>
      </c>
      <c r="AW31" s="65">
        <f t="shared" si="130"/>
        <v>0.47562500000000008</v>
      </c>
      <c r="AX31" s="65">
        <f t="shared" si="130"/>
        <v>0.52823529411764703</v>
      </c>
      <c r="AY31" s="65">
        <f t="shared" si="130"/>
        <v>0.30058823529411766</v>
      </c>
      <c r="AZ31" s="65">
        <f t="shared" si="130"/>
        <v>0.24058823529411758</v>
      </c>
      <c r="BA31" s="65">
        <f t="shared" si="130"/>
        <v>0.4864705882352941</v>
      </c>
      <c r="BB31" s="65">
        <f t="shared" si="130"/>
        <v>0.62058823529411755</v>
      </c>
      <c r="BC31" s="65">
        <f t="shared" si="130"/>
        <v>0.63764705882352946</v>
      </c>
      <c r="BD31" s="65">
        <f t="shared" si="130"/>
        <v>0.42058823529411765</v>
      </c>
      <c r="BE31" s="65">
        <f t="shared" si="130"/>
        <v>0.55470588235294116</v>
      </c>
      <c r="BF31" s="65">
        <f t="shared" si="130"/>
        <v>0.63058823529411767</v>
      </c>
      <c r="BG31" s="65">
        <f t="shared" si="130"/>
        <v>0.45705882352941168</v>
      </c>
      <c r="BH31" s="65">
        <f t="shared" si="130"/>
        <v>0.43</v>
      </c>
      <c r="BI31" s="65">
        <f t="shared" si="130"/>
        <v>0.40941176470588236</v>
      </c>
      <c r="BJ31" s="65">
        <f t="shared" si="130"/>
        <v>0.34235294117647053</v>
      </c>
      <c r="BK31" s="65">
        <f t="shared" si="130"/>
        <v>0.43176470588235294</v>
      </c>
      <c r="BL31" s="65">
        <f t="shared" si="130"/>
        <v>0.45235294117647062</v>
      </c>
      <c r="BM31" s="192">
        <f>AVERAGEIFS(BM$36:BM$167,$C$36:$C$167,"=2", $B$36:$B$167,"NO OFICIAL")</f>
        <v>51.764705882352942</v>
      </c>
      <c r="BN31" s="192">
        <f>AVERAGEIFS(BN$36:BN$167,$C$36:$C$167,"=2", $B$36:$B$167,"NO OFICIAL")</f>
        <v>8.0588235294117645</v>
      </c>
      <c r="BO31" s="65">
        <f>AVERAGEIFS(BO$36:BO$167,$C$36:$C$167,"=2", $B$36:$B$167,"NO OFICIAL")</f>
        <v>9.941176470588238E-2</v>
      </c>
      <c r="BP31" s="65">
        <f t="shared" ref="BP31:CR31" si="131">AVERAGEIFS(BP$36:BP$167,$C$36:$C$167,"=2", $B$36:$B$167,"NO OFICIAL")</f>
        <v>0.56058823529411772</v>
      </c>
      <c r="BQ31" s="65">
        <f t="shared" si="131"/>
        <v>0.31705882352941173</v>
      </c>
      <c r="BR31" s="65">
        <f t="shared" si="131"/>
        <v>2.1764705882352939E-2</v>
      </c>
      <c r="BS31" s="65">
        <f t="shared" si="131"/>
        <v>0.3276470588235294</v>
      </c>
      <c r="BT31" s="65">
        <f t="shared" si="131"/>
        <v>0.5405882352941177</v>
      </c>
      <c r="BU31" s="65">
        <f t="shared" si="131"/>
        <v>0.64764705882352935</v>
      </c>
      <c r="BV31" s="65">
        <f t="shared" si="131"/>
        <v>0.34352941176470581</v>
      </c>
      <c r="BW31" s="65">
        <f t="shared" si="131"/>
        <v>0.62176470588235289</v>
      </c>
      <c r="BX31" s="65">
        <f t="shared" si="131"/>
        <v>0.36529411764705877</v>
      </c>
      <c r="BY31" s="65">
        <f t="shared" si="131"/>
        <v>0.40352941176470586</v>
      </c>
      <c r="BZ31" s="65">
        <f t="shared" si="131"/>
        <v>0.5235294117647058</v>
      </c>
      <c r="CA31" s="65">
        <f t="shared" si="131"/>
        <v>0.42470588235294121</v>
      </c>
      <c r="CB31" s="65">
        <f t="shared" si="131"/>
        <v>0.35411764705882348</v>
      </c>
      <c r="CC31" s="65">
        <f t="shared" si="131"/>
        <v>0.16588235294117648</v>
      </c>
      <c r="CD31" s="65">
        <f t="shared" si="131"/>
        <v>0.4052941176470588</v>
      </c>
      <c r="CE31" s="65">
        <f t="shared" si="131"/>
        <v>0.3252941176470589</v>
      </c>
      <c r="CF31" s="65">
        <f t="shared" si="131"/>
        <v>0.55647058823529405</v>
      </c>
      <c r="CG31" s="65">
        <f t="shared" si="131"/>
        <v>0.58470588235294119</v>
      </c>
      <c r="CH31" s="65">
        <f t="shared" si="131"/>
        <v>0.44411764705882356</v>
      </c>
      <c r="CI31" s="65">
        <f t="shared" si="131"/>
        <v>0.57176470588235284</v>
      </c>
      <c r="CJ31" s="65">
        <f t="shared" si="131"/>
        <v>0.37588235294117656</v>
      </c>
      <c r="CK31" s="65">
        <f t="shared" si="131"/>
        <v>0.6652941176470587</v>
      </c>
      <c r="CL31" s="65">
        <f t="shared" si="131"/>
        <v>0.29176470588235298</v>
      </c>
      <c r="CM31" s="65">
        <f t="shared" si="131"/>
        <v>0.41235294117647059</v>
      </c>
      <c r="CN31" s="65">
        <f t="shared" si="131"/>
        <v>0.45058823529411773</v>
      </c>
      <c r="CO31" s="65">
        <f t="shared" si="131"/>
        <v>0.40176470588235297</v>
      </c>
      <c r="CP31" s="65">
        <f t="shared" si="131"/>
        <v>0.3141176470588235</v>
      </c>
      <c r="CQ31" s="65">
        <f t="shared" si="131"/>
        <v>0.52352941176470602</v>
      </c>
      <c r="CR31" s="65">
        <f t="shared" si="131"/>
        <v>0.52117647058823524</v>
      </c>
      <c r="CS31" s="192">
        <f>AVERAGEIFS(CS$36:CS$167,$C$36:$C$167,"=2", $B$36:$B$167,"NO OFICIAL")</f>
        <v>51.5</v>
      </c>
      <c r="CT31" s="192">
        <f>AVERAGEIFS(CT$36:CT$167,$C$36:$C$167,"=2", $B$36:$B$167,"NO OFICIAL")</f>
        <v>7.9444444444444446</v>
      </c>
      <c r="CU31" s="65">
        <f>AVERAGEIFS(CU$36:CU$167,$C$36:$C$167,"=2", $B$36:$B$167,"NO OFICIAL")</f>
        <v>0.13055555555555559</v>
      </c>
      <c r="CV31" s="65">
        <f t="shared" ref="CV31:DW31" si="132">AVERAGEIFS(CV$36:CV$167,$C$36:$C$167,"=2", $B$36:$B$167,"NO OFICIAL")</f>
        <v>0.54611111111111099</v>
      </c>
      <c r="CW31" s="65">
        <f t="shared" si="132"/>
        <v>0.31055555555555558</v>
      </c>
      <c r="CX31" s="65">
        <f t="shared" si="132"/>
        <v>1.0555555555555556E-2</v>
      </c>
      <c r="CY31" s="65">
        <f t="shared" si="132"/>
        <v>0.46500000000000008</v>
      </c>
      <c r="CZ31" s="65">
        <f t="shared" si="132"/>
        <v>0.26833333333333331</v>
      </c>
      <c r="DA31" s="65">
        <f t="shared" si="132"/>
        <v>0.53444444444444461</v>
      </c>
      <c r="DB31" s="65">
        <f t="shared" si="132"/>
        <v>0.3116666666666667</v>
      </c>
      <c r="DC31" s="65">
        <f t="shared" si="132"/>
        <v>0.42111111111111105</v>
      </c>
      <c r="DD31" s="65">
        <f t="shared" si="132"/>
        <v>0.60444444444444445</v>
      </c>
      <c r="DE31" s="65">
        <f t="shared" si="132"/>
        <v>0.42555555555555558</v>
      </c>
      <c r="DF31" s="65">
        <f t="shared" si="132"/>
        <v>0.5344444444444445</v>
      </c>
      <c r="DG31" s="65">
        <f t="shared" si="132"/>
        <v>0.4022222222222222</v>
      </c>
      <c r="DH31" s="65">
        <f t="shared" si="132"/>
        <v>0.34611111111111109</v>
      </c>
      <c r="DI31" s="65">
        <f t="shared" si="132"/>
        <v>0.5377777777777778</v>
      </c>
      <c r="DJ31" s="65">
        <f t="shared" si="132"/>
        <v>0.5066666666666666</v>
      </c>
      <c r="DK31" s="65">
        <f t="shared" si="132"/>
        <v>0.36611111111111122</v>
      </c>
      <c r="DL31" s="65">
        <f t="shared" si="132"/>
        <v>0.23777777777777778</v>
      </c>
      <c r="DM31" s="65">
        <f t="shared" si="132"/>
        <v>0.49055555555555547</v>
      </c>
      <c r="DN31" s="65">
        <f t="shared" si="132"/>
        <v>0.45166666666666672</v>
      </c>
      <c r="DO31" s="65">
        <f t="shared" si="132"/>
        <v>0.38722222222222219</v>
      </c>
      <c r="DP31" s="65">
        <f t="shared" si="132"/>
        <v>0.44666666666666671</v>
      </c>
      <c r="DQ31" s="65">
        <f t="shared" si="132"/>
        <v>0.51666666666666672</v>
      </c>
      <c r="DR31" s="65">
        <f t="shared" si="132"/>
        <v>0.16388888888888886</v>
      </c>
      <c r="DS31" s="65">
        <f t="shared" si="132"/>
        <v>0.37111111111111111</v>
      </c>
      <c r="DT31" s="65">
        <f t="shared" si="132"/>
        <v>0.57388888888888889</v>
      </c>
      <c r="DU31" s="65">
        <f t="shared" si="132"/>
        <v>0.50611111111111118</v>
      </c>
      <c r="DV31" s="65">
        <f t="shared" si="132"/>
        <v>0.54500000000000004</v>
      </c>
      <c r="DW31" s="65">
        <f t="shared" si="132"/>
        <v>0.29833333333333328</v>
      </c>
      <c r="DX31" s="192">
        <f>AVERAGEIFS(DX$36:DX$167,$C$36:$C$167,"=2", $B$36:$B$167,"NO OFICIAL")</f>
        <v>49.81818181818182</v>
      </c>
      <c r="DY31" s="192">
        <f>AVERAGEIFS(DY$36:DY$167,$C$36:$C$167,"=2", $B$36:$B$167,"NO OFICIAL")</f>
        <v>7.0909090909090908</v>
      </c>
      <c r="DZ31" s="65">
        <f>AVERAGEIFS(DZ$36:DZ$167,$C$36:$C$167,"=2", $B$36:$B$167,"NO OFICIAL")</f>
        <v>0.20954545454545459</v>
      </c>
      <c r="EA31" s="65">
        <f t="shared" ref="EA31:FA31" si="133">AVERAGEIFS(EA$36:EA$167,$C$36:$C$167,"=2", $B$36:$B$167,"NO OFICIAL")</f>
        <v>0.51363636363636356</v>
      </c>
      <c r="EB31" s="65">
        <f t="shared" si="133"/>
        <v>0.26227272727272727</v>
      </c>
      <c r="EC31" s="65">
        <f t="shared" si="133"/>
        <v>1.4090909090909091E-2</v>
      </c>
      <c r="ED31" s="65">
        <f t="shared" si="133"/>
        <v>0.49545454545454548</v>
      </c>
      <c r="EE31" s="65">
        <f t="shared" si="133"/>
        <v>0.51272727272727281</v>
      </c>
      <c r="EF31" s="65">
        <f t="shared" si="133"/>
        <v>0.45590909090909099</v>
      </c>
      <c r="EG31" s="65">
        <f t="shared" si="133"/>
        <v>0.25863636363636361</v>
      </c>
      <c r="EH31" s="65">
        <f t="shared" si="133"/>
        <v>0.42181818181818181</v>
      </c>
      <c r="EI31" s="65">
        <f t="shared" si="133"/>
        <v>0.40272727272727271</v>
      </c>
      <c r="EJ31" s="65">
        <f t="shared" si="133"/>
        <v>0.55727272727272736</v>
      </c>
      <c r="EK31" s="65">
        <f t="shared" si="133"/>
        <v>0.31</v>
      </c>
      <c r="EL31" s="65">
        <f t="shared" si="133"/>
        <v>0.49454545454545451</v>
      </c>
      <c r="EM31" s="65">
        <f t="shared" si="133"/>
        <v>0.66142857142857148</v>
      </c>
      <c r="EN31" s="65">
        <f t="shared" si="133"/>
        <v>0.41090909090909095</v>
      </c>
      <c r="EO31" s="65">
        <f t="shared" si="133"/>
        <v>0.56818181818181801</v>
      </c>
      <c r="EP31" s="65">
        <f t="shared" si="133"/>
        <v>0.42136363636363627</v>
      </c>
      <c r="EQ31" s="65">
        <f t="shared" si="133"/>
        <v>0.32761904761904764</v>
      </c>
      <c r="ER31" s="65">
        <f t="shared" si="133"/>
        <v>0.61454545454545451</v>
      </c>
      <c r="ES31" s="65">
        <f t="shared" si="133"/>
        <v>0.44545454545454538</v>
      </c>
      <c r="ET31" s="65">
        <f t="shared" si="133"/>
        <v>0.31818181818181823</v>
      </c>
      <c r="EU31" s="65">
        <f t="shared" si="133"/>
        <v>0.62818181818181806</v>
      </c>
      <c r="EV31" s="65">
        <f t="shared" si="133"/>
        <v>0.30842105263157893</v>
      </c>
      <c r="EW31" s="65">
        <f t="shared" si="133"/>
        <v>0.32181818181818178</v>
      </c>
      <c r="EX31" s="65">
        <f t="shared" si="133"/>
        <v>0.63850000000000007</v>
      </c>
      <c r="EY31" s="65">
        <f t="shared" si="133"/>
        <v>0.59045454545454534</v>
      </c>
      <c r="EZ31" s="65">
        <f t="shared" si="133"/>
        <v>0.24904761904761902</v>
      </c>
      <c r="FA31" s="65">
        <f t="shared" si="133"/>
        <v>0.60181818181818181</v>
      </c>
      <c r="FB31" s="192">
        <f>AVERAGEIFS(FB$36:FB$167,$C$36:$C$167,"=2", $B$36:$B$167,"NO OFICIAL")</f>
        <v>50.3</v>
      </c>
      <c r="FD31" s="192">
        <f>AVERAGEIFS(FD$36:FD$167,$C$36:$C$167,"=2", $B$36:$B$167,"NO OFICIAL")</f>
        <v>7.7</v>
      </c>
      <c r="FF31" s="65">
        <f>AVERAGEIFS(FF$36:FF$167,$C$36:$C$167,"=2", $B$36:$B$167,"NO OFICIAL")</f>
        <v>0.1305</v>
      </c>
      <c r="FG31" s="65">
        <f t="shared" ref="FG31:GI31" si="134">AVERAGEIFS(FG$36:FG$167,$C$36:$C$167,"=2", $B$36:$B$167,"NO OFICIAL")</f>
        <v>0.58199999999999996</v>
      </c>
      <c r="FH31" s="65">
        <f t="shared" si="134"/>
        <v>0.27500000000000002</v>
      </c>
      <c r="FI31" s="65">
        <f t="shared" si="134"/>
        <v>1.3000000000000001E-2</v>
      </c>
      <c r="FJ31" s="65">
        <f t="shared" si="134"/>
        <v>0.4405</v>
      </c>
      <c r="FK31" s="65">
        <f t="shared" si="134"/>
        <v>0.62649999999999995</v>
      </c>
      <c r="FL31" s="65">
        <f t="shared" si="134"/>
        <v>0.48599999999999993</v>
      </c>
      <c r="FM31" s="65">
        <f t="shared" si="134"/>
        <v>0.4534999999999999</v>
      </c>
      <c r="FN31" s="65">
        <f t="shared" si="134"/>
        <v>0.27700000000000002</v>
      </c>
      <c r="FO31" s="65">
        <f t="shared" si="134"/>
        <v>0.28550000000000003</v>
      </c>
      <c r="FP31" s="65">
        <f t="shared" si="134"/>
        <v>0.36249999999999999</v>
      </c>
      <c r="FQ31" s="65">
        <f t="shared" si="134"/>
        <v>0.3755</v>
      </c>
      <c r="FR31" s="65">
        <f t="shared" si="134"/>
        <v>0.59250000000000014</v>
      </c>
      <c r="FS31" s="65">
        <f t="shared" si="134"/>
        <v>0.49400000000000005</v>
      </c>
      <c r="FT31" s="65">
        <f t="shared" si="134"/>
        <v>0.49350000000000016</v>
      </c>
      <c r="FU31" s="65">
        <f t="shared" si="134"/>
        <v>0.3765</v>
      </c>
      <c r="FV31" s="65">
        <f t="shared" si="134"/>
        <v>0.57350000000000001</v>
      </c>
      <c r="FW31" s="65">
        <f t="shared" si="134"/>
        <v>0.53</v>
      </c>
      <c r="FX31" s="65">
        <f t="shared" si="134"/>
        <v>0.48299999999999993</v>
      </c>
      <c r="FY31" s="65">
        <f t="shared" si="134"/>
        <v>0.374</v>
      </c>
      <c r="FZ31" s="65">
        <f t="shared" si="134"/>
        <v>0.44299999999999989</v>
      </c>
      <c r="GA31" s="65">
        <f t="shared" si="134"/>
        <v>0.4636842105263157</v>
      </c>
      <c r="GB31" s="65">
        <f t="shared" si="134"/>
        <v>0.48250000000000004</v>
      </c>
      <c r="GC31" s="65">
        <f t="shared" si="134"/>
        <v>0.45799999999999991</v>
      </c>
      <c r="GD31" s="65">
        <f t="shared" si="134"/>
        <v>0.58150000000000024</v>
      </c>
      <c r="GE31" s="65">
        <f t="shared" si="134"/>
        <v>0.48850000000000005</v>
      </c>
      <c r="GF31" s="65">
        <f t="shared" si="134"/>
        <v>0.43350000000000011</v>
      </c>
      <c r="GG31" s="65">
        <f t="shared" si="134"/>
        <v>0.44749999999999995</v>
      </c>
      <c r="GH31" s="65">
        <f t="shared" si="134"/>
        <v>0.5505000000000001</v>
      </c>
      <c r="GI31" s="65">
        <f t="shared" si="134"/>
        <v>0.30500000000000005</v>
      </c>
      <c r="GJ31" s="192">
        <f>AVERAGEIFS(GJ$36:GJ$167,$C$36:$C$167,"=2", $B$36:$B$167,"NO OFICIAL")</f>
        <v>51.857142857142854</v>
      </c>
      <c r="GL31" s="192">
        <f>AVERAGEIFS(GL$36:GL$167,$C$36:$C$167,"=2", $B$36:$B$167,"NO OFICIAL")</f>
        <v>7.8571428571428568</v>
      </c>
      <c r="GN31" s="521">
        <f>AVERAGEIFS(GN$36:GN$167,$C$36:$C$167,"=2", $B$36:$B$167,"NO OFICIAL")</f>
        <v>9.6666666666666679E-2</v>
      </c>
      <c r="GO31" s="521">
        <f t="shared" ref="GO31:HQ31" si="135">AVERAGEIFS(GO$36:GO$167,$C$36:$C$167,"=2", $B$36:$B$167,"NO OFICIAL")</f>
        <v>0.52428571428571435</v>
      </c>
      <c r="GP31" s="521">
        <f t="shared" si="135"/>
        <v>0.36809523809523814</v>
      </c>
      <c r="GQ31" s="521">
        <f t="shared" si="135"/>
        <v>1.2857142857142859E-2</v>
      </c>
      <c r="GR31" s="521">
        <f t="shared" si="135"/>
        <v>0.48285714285714287</v>
      </c>
      <c r="GS31" s="521">
        <f t="shared" si="135"/>
        <v>0.52380952380952384</v>
      </c>
      <c r="GT31" s="521">
        <f t="shared" si="135"/>
        <v>0.61857142857142855</v>
      </c>
      <c r="GU31" s="521">
        <f t="shared" si="135"/>
        <v>0.182</v>
      </c>
      <c r="GV31" s="521">
        <f t="shared" si="135"/>
        <v>0.5061904761904763</v>
      </c>
      <c r="GW31" s="521">
        <f t="shared" si="135"/>
        <v>0.41619047619047611</v>
      </c>
      <c r="GX31" s="521">
        <f t="shared" si="135"/>
        <v>0.44428571428571439</v>
      </c>
      <c r="GY31" s="521" t="e">
        <f t="shared" si="135"/>
        <v>#DIV/0!</v>
      </c>
      <c r="GZ31" s="521">
        <f t="shared" si="135"/>
        <v>0.26666666666666672</v>
      </c>
      <c r="HA31" s="521">
        <f t="shared" si="135"/>
        <v>0.71899999999999986</v>
      </c>
      <c r="HB31" s="521">
        <f t="shared" si="135"/>
        <v>0.4576190476190477</v>
      </c>
      <c r="HC31" s="521">
        <f t="shared" si="135"/>
        <v>0.51047619047619042</v>
      </c>
      <c r="HD31" s="521">
        <f t="shared" si="135"/>
        <v>0.53047619047619055</v>
      </c>
      <c r="HE31" s="521">
        <f t="shared" si="135"/>
        <v>0.4238095238095238</v>
      </c>
      <c r="HF31" s="521">
        <f t="shared" si="135"/>
        <v>0.42904761904761901</v>
      </c>
      <c r="HG31" s="521">
        <f t="shared" si="135"/>
        <v>0.62904761904761897</v>
      </c>
      <c r="HH31" s="521">
        <f t="shared" si="135"/>
        <v>0.37380952380952381</v>
      </c>
      <c r="HI31" s="521">
        <f t="shared" si="135"/>
        <v>0.53238095238095229</v>
      </c>
      <c r="HJ31" s="521">
        <f t="shared" si="135"/>
        <v>0.58904761904761904</v>
      </c>
      <c r="HK31" s="521">
        <f t="shared" si="135"/>
        <v>0.5195238095238095</v>
      </c>
      <c r="HL31" s="521">
        <f t="shared" si="135"/>
        <v>0.3880952380952381</v>
      </c>
      <c r="HM31" s="521">
        <f t="shared" si="135"/>
        <v>0.47857142857142859</v>
      </c>
      <c r="HN31" s="521">
        <f t="shared" si="135"/>
        <v>0.48238095238095241</v>
      </c>
      <c r="HO31" s="521">
        <f t="shared" si="135"/>
        <v>0.4319047619047619</v>
      </c>
      <c r="HP31" s="521" t="e">
        <f t="shared" si="135"/>
        <v>#DIV/0!</v>
      </c>
      <c r="HQ31" s="521">
        <f t="shared" si="135"/>
        <v>0.41476190476190472</v>
      </c>
      <c r="HR31" s="192">
        <f>AVERAGEIFS(HR$36:HR$167,$C$36:$C$167,"=2", $B$36:$B$167,"NO OFICIAL")</f>
        <v>51.68181818181818</v>
      </c>
      <c r="HT31" s="192">
        <f>AVERAGEIFS(HT$36:HT$167,$C$36:$C$167,"=2", $B$36:$B$167,"NO OFICIAL")</f>
        <v>7.7272727272727275</v>
      </c>
      <c r="HV31" s="521">
        <f>AVERAGEIFS(HV$36:HV$167,$C$36:$C$167,"=2", $B$36:$B$167,"NO OFICIAL")</f>
        <v>0.13227272727272726</v>
      </c>
      <c r="HW31" s="521">
        <f t="shared" ref="HW31:IY31" si="136">AVERAGEIFS(HW$36:HW$167,$C$36:$C$167,"=2", $B$36:$B$167,"NO OFICIAL")</f>
        <v>0.50818181818181818</v>
      </c>
      <c r="HX31" s="521">
        <f t="shared" si="136"/>
        <v>0.33818181818181819</v>
      </c>
      <c r="HY31" s="521">
        <f t="shared" si="136"/>
        <v>2.2272727272727274E-2</v>
      </c>
      <c r="HZ31" s="521">
        <f t="shared" si="136"/>
        <v>0.3431818181818182</v>
      </c>
      <c r="IA31" s="521">
        <f t="shared" si="136"/>
        <v>0.51136363636363646</v>
      </c>
      <c r="IB31" s="521">
        <f t="shared" si="136"/>
        <v>0.25545454545454543</v>
      </c>
      <c r="IC31" s="521">
        <f t="shared" si="136"/>
        <v>0.46772727272727271</v>
      </c>
      <c r="ID31" s="521">
        <f t="shared" si="136"/>
        <v>0.62954545454545463</v>
      </c>
      <c r="IE31" s="521">
        <f t="shared" si="136"/>
        <v>0.31909090909090909</v>
      </c>
      <c r="IF31" s="521">
        <f t="shared" si="136"/>
        <v>0.44272727272727275</v>
      </c>
      <c r="IG31" s="521">
        <f t="shared" si="136"/>
        <v>0.60545454545454536</v>
      </c>
      <c r="IH31" s="521">
        <f t="shared" si="136"/>
        <v>0.50727272727272732</v>
      </c>
      <c r="II31" s="521">
        <f t="shared" si="136"/>
        <v>0.34333333333333332</v>
      </c>
      <c r="IJ31" s="521">
        <f t="shared" si="136"/>
        <v>0.29772727272727278</v>
      </c>
      <c r="IK31" s="521">
        <f t="shared" si="136"/>
        <v>0.57818181818181824</v>
      </c>
      <c r="IL31" s="521">
        <f t="shared" si="136"/>
        <v>0.32545454545454544</v>
      </c>
      <c r="IM31" s="521">
        <f t="shared" si="136"/>
        <v>0.58363636363636362</v>
      </c>
      <c r="IN31" s="521">
        <f t="shared" si="136"/>
        <v>0.44045454545454538</v>
      </c>
      <c r="IO31" s="521">
        <f t="shared" si="136"/>
        <v>0.53681818181818164</v>
      </c>
      <c r="IP31" s="521">
        <f t="shared" si="136"/>
        <v>0.38818181818181824</v>
      </c>
      <c r="IQ31" s="521">
        <f t="shared" si="136"/>
        <v>0.59000000000000019</v>
      </c>
      <c r="IR31" s="521">
        <f t="shared" si="136"/>
        <v>0.57181818181818178</v>
      </c>
      <c r="IS31" s="521">
        <f t="shared" si="136"/>
        <v>0.55045454545454553</v>
      </c>
      <c r="IT31" s="521">
        <f t="shared" si="136"/>
        <v>0.41590909090909095</v>
      </c>
      <c r="IU31" s="521" t="e">
        <f t="shared" si="136"/>
        <v>#DIV/0!</v>
      </c>
      <c r="IV31" s="521">
        <f t="shared" si="136"/>
        <v>0.61590909090909107</v>
      </c>
      <c r="IW31" s="521">
        <f t="shared" si="136"/>
        <v>0.41409090909090907</v>
      </c>
      <c r="IX31" s="521">
        <f t="shared" si="136"/>
        <v>0.50727272727272732</v>
      </c>
      <c r="IY31" s="521">
        <f t="shared" si="136"/>
        <v>0.49500000000000005</v>
      </c>
    </row>
    <row r="32" spans="1:259" s="434" customFormat="1" ht="24" customHeight="1" x14ac:dyDescent="0.25">
      <c r="A32" s="6" t="s">
        <v>939</v>
      </c>
      <c r="B32" s="447"/>
      <c r="C32" s="447"/>
      <c r="D32" s="192">
        <f>AVERAGEIFS(D$36:D$167,$C$36:$C$167,"=3", $B$36:$B$167,"NO OFICIAL")</f>
        <v>55.46153846153846</v>
      </c>
      <c r="E32" s="192">
        <f>AVERAGEIFS(E$36:E$167,$C$36:$C$167,"=3", $B$36:$B$167,"NO OFICIAL")</f>
        <v>7.0769230769230766</v>
      </c>
      <c r="F32" s="65">
        <f>AVERAGEIFS(F$36:F$167,$C$36:$C$167,"=3", $B$36:$B$167,"NO OFICIAL")</f>
        <v>3.1538461538461543E-2</v>
      </c>
      <c r="G32" s="65">
        <f t="shared" ref="G32:AG32" si="137">AVERAGEIFS(G$36:G$167,$C$36:$C$167,"=3", $B$36:$B$167,"NO OFICIAL")</f>
        <v>0.48538461538461536</v>
      </c>
      <c r="H32" s="65">
        <f t="shared" si="137"/>
        <v>0.47538461538461541</v>
      </c>
      <c r="I32" s="65">
        <f t="shared" si="137"/>
        <v>7.6923076923076927E-3</v>
      </c>
      <c r="J32" s="65">
        <f t="shared" si="137"/>
        <v>0.30538461538461537</v>
      </c>
      <c r="K32" s="65">
        <f t="shared" si="137"/>
        <v>0.31307692307692309</v>
      </c>
      <c r="L32" s="65">
        <f t="shared" si="137"/>
        <v>0.71615384615384614</v>
      </c>
      <c r="M32" s="65">
        <f t="shared" si="137"/>
        <v>0.17153846153846153</v>
      </c>
      <c r="N32" s="65">
        <f t="shared" si="137"/>
        <v>0.26076923076923081</v>
      </c>
      <c r="O32" s="65">
        <f t="shared" si="137"/>
        <v>0.64538461538461545</v>
      </c>
      <c r="P32" s="65">
        <f t="shared" si="137"/>
        <v>0.30384615384615382</v>
      </c>
      <c r="Q32" s="65">
        <f t="shared" si="137"/>
        <v>0.38384615384615378</v>
      </c>
      <c r="R32" s="65">
        <f t="shared" si="137"/>
        <v>0.47230769230769237</v>
      </c>
      <c r="S32" s="65">
        <f t="shared" si="137"/>
        <v>0.58692307692307688</v>
      </c>
      <c r="T32" s="65">
        <f t="shared" si="137"/>
        <v>0.44769230769230772</v>
      </c>
      <c r="U32" s="65">
        <f t="shared" si="137"/>
        <v>0.55384615384615388</v>
      </c>
      <c r="V32" s="65">
        <f t="shared" si="137"/>
        <v>5.0769230769230761E-2</v>
      </c>
      <c r="W32" s="65">
        <f t="shared" si="137"/>
        <v>0.11846153846153847</v>
      </c>
      <c r="X32" s="65">
        <f t="shared" si="137"/>
        <v>0.47153846153846157</v>
      </c>
      <c r="Y32" s="65">
        <f t="shared" si="137"/>
        <v>0.44923076923076927</v>
      </c>
      <c r="Z32" s="65">
        <f t="shared" si="137"/>
        <v>1</v>
      </c>
      <c r="AA32" s="65">
        <f t="shared" si="137"/>
        <v>9.3076923076923085E-2</v>
      </c>
      <c r="AB32" s="65">
        <f t="shared" si="137"/>
        <v>0.42538461538461542</v>
      </c>
      <c r="AC32" s="65">
        <f t="shared" si="137"/>
        <v>0.20846153846153845</v>
      </c>
      <c r="AD32" s="65">
        <f t="shared" si="137"/>
        <v>0.43153846153846154</v>
      </c>
      <c r="AE32" s="65">
        <f t="shared" si="137"/>
        <v>0.38923076923076927</v>
      </c>
      <c r="AF32" s="65">
        <f t="shared" si="137"/>
        <v>0.47384615384615386</v>
      </c>
      <c r="AG32" s="65">
        <f t="shared" si="137"/>
        <v>0.45153846153846156</v>
      </c>
      <c r="AH32" s="192">
        <f>AVERAGEIFS(AH$36:AH$167,$C$36:$C$167,"=3", $B$36:$B$167,"NO OFICIAL")</f>
        <v>53.642857142857146</v>
      </c>
      <c r="AI32" s="192">
        <f>AVERAGEIFS(AI$36:AI$167,$C$36:$C$167,"=3", $B$36:$B$167,"NO OFICIAL")</f>
        <v>7.6428571428571432</v>
      </c>
      <c r="AJ32" s="65">
        <f>AVERAGEIFS(AJ$36:AJ$167,$C$36:$C$167,"=3", $B$36:$B$167,"NO OFICIAL")</f>
        <v>4.5714285714285714E-2</v>
      </c>
      <c r="AK32" s="65">
        <f t="shared" ref="AK32:BL32" si="138">AVERAGEIFS(AK$36:AK$167,$C$36:$C$167,"=3", $B$36:$B$167,"NO OFICIAL")</f>
        <v>0.55785714285714283</v>
      </c>
      <c r="AL32" s="65">
        <f t="shared" si="138"/>
        <v>0.37785714285714295</v>
      </c>
      <c r="AM32" s="65">
        <f t="shared" si="138"/>
        <v>1.7142857142857144E-2</v>
      </c>
      <c r="AN32" s="65">
        <f t="shared" si="138"/>
        <v>0.26285714285714284</v>
      </c>
      <c r="AO32" s="65">
        <f t="shared" si="138"/>
        <v>0.45071428571428573</v>
      </c>
      <c r="AP32" s="65">
        <f t="shared" si="138"/>
        <v>0.53428571428571425</v>
      </c>
      <c r="AQ32" s="65">
        <f t="shared" si="138"/>
        <v>0.33999999999999997</v>
      </c>
      <c r="AR32" s="65">
        <f t="shared" si="138"/>
        <v>0.55500000000000005</v>
      </c>
      <c r="AS32" s="65">
        <f t="shared" si="138"/>
        <v>0.48714285714285716</v>
      </c>
      <c r="AT32" s="65">
        <f t="shared" si="138"/>
        <v>0.49142857142857149</v>
      </c>
      <c r="AU32" s="65">
        <f t="shared" si="138"/>
        <v>0.49214285714285716</v>
      </c>
      <c r="AV32" s="65">
        <f t="shared" si="138"/>
        <v>0.57999999999999996</v>
      </c>
      <c r="AW32" s="65">
        <f t="shared" si="138"/>
        <v>0.4478571428571429</v>
      </c>
      <c r="AX32" s="65">
        <f t="shared" si="138"/>
        <v>0.50142857142857145</v>
      </c>
      <c r="AY32" s="65">
        <f t="shared" si="138"/>
        <v>0.28071428571428569</v>
      </c>
      <c r="AZ32" s="65">
        <f t="shared" si="138"/>
        <v>0.27642857142857141</v>
      </c>
      <c r="BA32" s="65">
        <f t="shared" si="138"/>
        <v>0.45642857142857135</v>
      </c>
      <c r="BB32" s="65">
        <f t="shared" si="138"/>
        <v>0.65642857142857125</v>
      </c>
      <c r="BC32" s="65">
        <f t="shared" si="138"/>
        <v>0.65428571428571425</v>
      </c>
      <c r="BD32" s="65">
        <f t="shared" si="138"/>
        <v>0.36857142857142861</v>
      </c>
      <c r="BE32" s="65">
        <f t="shared" si="138"/>
        <v>0.5485714285714286</v>
      </c>
      <c r="BF32" s="65">
        <f t="shared" si="138"/>
        <v>0.59071428571428564</v>
      </c>
      <c r="BG32" s="65">
        <f t="shared" si="138"/>
        <v>0.49857142857142861</v>
      </c>
      <c r="BH32" s="65">
        <f t="shared" si="138"/>
        <v>0.39642857142857141</v>
      </c>
      <c r="BI32" s="65">
        <f t="shared" si="138"/>
        <v>0.38285714285714284</v>
      </c>
      <c r="BJ32" s="65">
        <f t="shared" si="138"/>
        <v>0.33571428571428569</v>
      </c>
      <c r="BK32" s="65">
        <f t="shared" si="138"/>
        <v>0.41571428571428576</v>
      </c>
      <c r="BL32" s="65">
        <f t="shared" si="138"/>
        <v>0.47428571428571431</v>
      </c>
      <c r="BM32" s="192">
        <f>AVERAGEIFS(BM$36:BM$167,$C$36:$C$167,"=3", $B$36:$B$167,"NO OFICIAL")</f>
        <v>52.428571428571431</v>
      </c>
      <c r="BN32" s="192">
        <f>AVERAGEIFS(BN$36:BN$167,$C$36:$C$167,"=3", $B$36:$B$167,"NO OFICIAL")</f>
        <v>8.0714285714285712</v>
      </c>
      <c r="BO32" s="65">
        <f>AVERAGEIFS(BO$36:BO$167,$C$36:$C$167,"=3", $B$36:$B$167,"NO OFICIAL")</f>
        <v>8.7857142857142856E-2</v>
      </c>
      <c r="BP32" s="65">
        <f t="shared" ref="BP32:CR32" si="139">AVERAGEIFS(BP$36:BP$167,$C$36:$C$167,"=3", $B$36:$B$167,"NO OFICIAL")</f>
        <v>0.505</v>
      </c>
      <c r="BQ32" s="65">
        <f t="shared" si="139"/>
        <v>0.39285714285714279</v>
      </c>
      <c r="BR32" s="65">
        <f t="shared" si="139"/>
        <v>1.5000000000000001E-2</v>
      </c>
      <c r="BS32" s="65">
        <f t="shared" si="139"/>
        <v>0.33071428571428568</v>
      </c>
      <c r="BT32" s="65">
        <f t="shared" si="139"/>
        <v>0.55785714285714294</v>
      </c>
      <c r="BU32" s="65">
        <f t="shared" si="139"/>
        <v>0.62785714285714289</v>
      </c>
      <c r="BV32" s="65">
        <f t="shared" si="139"/>
        <v>0.26571428571428574</v>
      </c>
      <c r="BW32" s="65">
        <f t="shared" si="139"/>
        <v>0.61285714285714288</v>
      </c>
      <c r="BX32" s="65">
        <f t="shared" si="139"/>
        <v>0.32357142857142857</v>
      </c>
      <c r="BY32" s="65">
        <f t="shared" si="139"/>
        <v>0.40785714285714286</v>
      </c>
      <c r="BZ32" s="65">
        <f t="shared" si="139"/>
        <v>0.48</v>
      </c>
      <c r="CA32" s="65">
        <f t="shared" si="139"/>
        <v>0.40642857142857147</v>
      </c>
      <c r="CB32" s="65">
        <f t="shared" si="139"/>
        <v>0.34714285714285714</v>
      </c>
      <c r="CC32" s="65">
        <f t="shared" si="139"/>
        <v>0.18714285714285714</v>
      </c>
      <c r="CD32" s="65">
        <f t="shared" si="139"/>
        <v>0.37928571428571434</v>
      </c>
      <c r="CE32" s="65">
        <f t="shared" si="139"/>
        <v>0.29857142857142854</v>
      </c>
      <c r="CF32" s="65">
        <f t="shared" si="139"/>
        <v>0.56571428571428573</v>
      </c>
      <c r="CG32" s="65">
        <f t="shared" si="139"/>
        <v>0.56285714285714294</v>
      </c>
      <c r="CH32" s="65">
        <f t="shared" si="139"/>
        <v>0.3978571428571428</v>
      </c>
      <c r="CI32" s="65">
        <f t="shared" si="139"/>
        <v>0.52785714285714291</v>
      </c>
      <c r="CJ32" s="65">
        <f t="shared" si="139"/>
        <v>0.34142857142857147</v>
      </c>
      <c r="CK32" s="65">
        <f t="shared" si="139"/>
        <v>0.65214285714285702</v>
      </c>
      <c r="CL32" s="65">
        <f t="shared" si="139"/>
        <v>0.25714285714285717</v>
      </c>
      <c r="CM32" s="65">
        <f t="shared" si="139"/>
        <v>0.40357142857142864</v>
      </c>
      <c r="CN32" s="65">
        <f t="shared" si="139"/>
        <v>0.40214285714285714</v>
      </c>
      <c r="CO32" s="65">
        <f t="shared" si="139"/>
        <v>0.41500000000000004</v>
      </c>
      <c r="CP32" s="65">
        <f t="shared" si="139"/>
        <v>0.33000000000000007</v>
      </c>
      <c r="CQ32" s="65">
        <f t="shared" si="139"/>
        <v>0.52642857142857147</v>
      </c>
      <c r="CR32" s="65">
        <f t="shared" si="139"/>
        <v>0.51214285714285712</v>
      </c>
      <c r="CS32" s="192">
        <f>AVERAGEIFS(CS$36:CS$167,$C$36:$C$167,"=3", $B$36:$B$167,"NO OFICIAL")</f>
        <v>51.142857142857146</v>
      </c>
      <c r="CT32" s="192">
        <f>AVERAGEIFS(CT$36:CT$167,$C$36:$C$167,"=3", $B$36:$B$167,"NO OFICIAL")</f>
        <v>7.9285714285714288</v>
      </c>
      <c r="CU32" s="65">
        <f>AVERAGEIFS(CU$36:CU$167,$C$36:$C$167,"=3", $B$36:$B$167,"NO OFICIAL")</f>
        <v>8.8571428571428593E-2</v>
      </c>
      <c r="CV32" s="65">
        <f t="shared" ref="CV32:DW32" si="140">AVERAGEIFS(CV$36:CV$167,$C$36:$C$167,"=3", $B$36:$B$167,"NO OFICIAL")</f>
        <v>0.62428571428571433</v>
      </c>
      <c r="CW32" s="65">
        <f t="shared" si="140"/>
        <v>0.28357142857142853</v>
      </c>
      <c r="CX32" s="65">
        <f t="shared" si="140"/>
        <v>4.2857142857142859E-3</v>
      </c>
      <c r="CY32" s="65">
        <f t="shared" si="140"/>
        <v>0.48928571428571432</v>
      </c>
      <c r="CZ32" s="65">
        <f t="shared" si="140"/>
        <v>0.29285714285714282</v>
      </c>
      <c r="DA32" s="65">
        <f t="shared" si="140"/>
        <v>0.5635714285714285</v>
      </c>
      <c r="DB32" s="65">
        <f t="shared" si="140"/>
        <v>0.36071428571428577</v>
      </c>
      <c r="DC32" s="65">
        <f t="shared" si="140"/>
        <v>0.43285714285714283</v>
      </c>
      <c r="DD32" s="65">
        <f t="shared" si="140"/>
        <v>0.59928571428571431</v>
      </c>
      <c r="DE32" s="65">
        <f t="shared" si="140"/>
        <v>0.42642857142857143</v>
      </c>
      <c r="DF32" s="65">
        <f t="shared" si="140"/>
        <v>0.5128571428571429</v>
      </c>
      <c r="DG32" s="65">
        <f t="shared" si="140"/>
        <v>0.41857142857142854</v>
      </c>
      <c r="DH32" s="65">
        <f t="shared" si="140"/>
        <v>0.32857142857142857</v>
      </c>
      <c r="DI32" s="65">
        <f t="shared" si="140"/>
        <v>0.45642857142857146</v>
      </c>
      <c r="DJ32" s="65">
        <f t="shared" si="140"/>
        <v>0.48214285714285721</v>
      </c>
      <c r="DK32" s="65">
        <f t="shared" si="140"/>
        <v>0.34142857142857136</v>
      </c>
      <c r="DL32" s="65">
        <f t="shared" si="140"/>
        <v>0.34714285714285709</v>
      </c>
      <c r="DM32" s="65">
        <f t="shared" si="140"/>
        <v>0.4885714285714286</v>
      </c>
      <c r="DN32" s="65">
        <f t="shared" si="140"/>
        <v>0.46714285714285719</v>
      </c>
      <c r="DO32" s="65">
        <f t="shared" si="140"/>
        <v>0.41714285714285709</v>
      </c>
      <c r="DP32" s="65">
        <f t="shared" si="140"/>
        <v>0.45500000000000007</v>
      </c>
      <c r="DQ32" s="65">
        <f t="shared" si="140"/>
        <v>0.53857142857142859</v>
      </c>
      <c r="DR32" s="65">
        <f t="shared" si="140"/>
        <v>0.16500000000000001</v>
      </c>
      <c r="DS32" s="65">
        <f t="shared" si="140"/>
        <v>0.34928571428571425</v>
      </c>
      <c r="DT32" s="65">
        <f t="shared" si="140"/>
        <v>0.54</v>
      </c>
      <c r="DU32" s="65">
        <f t="shared" si="140"/>
        <v>0.48714285714285704</v>
      </c>
      <c r="DV32" s="65">
        <f t="shared" si="140"/>
        <v>0.58214285714285707</v>
      </c>
      <c r="DW32" s="65">
        <f t="shared" si="140"/>
        <v>0.32500000000000001</v>
      </c>
      <c r="DX32" s="192">
        <f>AVERAGEIFS(DX$36:DX$167,$C$36:$C$167,"=3", $B$36:$B$167,"NO OFICIAL")</f>
        <v>51.4</v>
      </c>
      <c r="DY32" s="192">
        <f>AVERAGEIFS(DY$36:DY$167,$C$36:$C$167,"=3", $B$36:$B$167,"NO OFICIAL")</f>
        <v>8.4666666666666668</v>
      </c>
      <c r="DZ32" s="65">
        <f>AVERAGEIFS(DZ$36:DZ$167,$C$36:$C$167,"=3", $B$36:$B$167,"NO OFICIAL")</f>
        <v>0.14133333333333334</v>
      </c>
      <c r="EA32" s="65">
        <f t="shared" ref="EA32:FA32" si="141">AVERAGEIFS(EA$36:EA$167,$C$36:$C$167,"=3", $B$36:$B$167,"NO OFICIAL")</f>
        <v>0.52</v>
      </c>
      <c r="EB32" s="65">
        <f t="shared" si="141"/>
        <v>0.33133333333333331</v>
      </c>
      <c r="EC32" s="65">
        <f t="shared" si="141"/>
        <v>0.01</v>
      </c>
      <c r="ED32" s="65">
        <f t="shared" si="141"/>
        <v>0.47266666666666668</v>
      </c>
      <c r="EE32" s="65">
        <f t="shared" si="141"/>
        <v>0.44466666666666671</v>
      </c>
      <c r="EF32" s="65">
        <f t="shared" si="141"/>
        <v>0.46199999999999997</v>
      </c>
      <c r="EG32" s="65">
        <f t="shared" si="141"/>
        <v>0.31</v>
      </c>
      <c r="EH32" s="65">
        <f t="shared" si="141"/>
        <v>0.42066666666666669</v>
      </c>
      <c r="EI32" s="65">
        <f t="shared" si="141"/>
        <v>0.46333333333333332</v>
      </c>
      <c r="EJ32" s="65">
        <f t="shared" si="141"/>
        <v>0.54466666666666674</v>
      </c>
      <c r="EK32" s="65">
        <f t="shared" si="141"/>
        <v>0.24400000000000002</v>
      </c>
      <c r="EL32" s="65">
        <f t="shared" si="141"/>
        <v>0.43066666666666664</v>
      </c>
      <c r="EM32" s="65">
        <f t="shared" si="141"/>
        <v>0.6186666666666667</v>
      </c>
      <c r="EN32" s="65">
        <f t="shared" si="141"/>
        <v>0.40599999999999997</v>
      </c>
      <c r="EO32" s="65">
        <f t="shared" si="141"/>
        <v>0.55666666666666664</v>
      </c>
      <c r="EP32" s="65">
        <f t="shared" si="141"/>
        <v>0.31533333333333335</v>
      </c>
      <c r="EQ32" s="65">
        <f t="shared" si="141"/>
        <v>0.23600000000000002</v>
      </c>
      <c r="ER32" s="65">
        <f t="shared" si="141"/>
        <v>0.58600000000000008</v>
      </c>
      <c r="ES32" s="65">
        <f t="shared" si="141"/>
        <v>0.44399999999999989</v>
      </c>
      <c r="ET32" s="65">
        <f t="shared" si="141"/>
        <v>0.28866666666666668</v>
      </c>
      <c r="EU32" s="65">
        <f t="shared" si="141"/>
        <v>0.58933333333333338</v>
      </c>
      <c r="EV32" s="65">
        <f t="shared" si="141"/>
        <v>0.35533333333333339</v>
      </c>
      <c r="EW32" s="65">
        <f t="shared" si="141"/>
        <v>0.29133333333333333</v>
      </c>
      <c r="EX32" s="65">
        <f t="shared" si="141"/>
        <v>0.67599999999999993</v>
      </c>
      <c r="EY32" s="65">
        <f t="shared" si="141"/>
        <v>0.55533333333333335</v>
      </c>
      <c r="EZ32" s="65">
        <f t="shared" si="141"/>
        <v>0.16800000000000001</v>
      </c>
      <c r="FA32" s="65">
        <f t="shared" si="141"/>
        <v>0.58733333333333337</v>
      </c>
      <c r="FB32" s="192">
        <f>AVERAGEIFS(FB$36:FB$167,$C$36:$C$167,"=3", $B$36:$B$167,"NO OFICIAL")</f>
        <v>51.666666666666664</v>
      </c>
      <c r="FD32" s="192">
        <f>AVERAGEIFS(FD$36:FD$167,$C$36:$C$167,"=3", $B$36:$B$167,"NO OFICIAL")</f>
        <v>7.8</v>
      </c>
      <c r="FF32" s="65">
        <f>AVERAGEIFS(FF$36:FF$167,$C$36:$C$167,"=3", $B$36:$B$167,"NO OFICIAL")</f>
        <v>8.4666666666666668E-2</v>
      </c>
      <c r="FG32" s="65">
        <f t="shared" ref="FG32:GI32" si="142">AVERAGEIFS(FG$36:FG$167,$C$36:$C$167,"=3", $B$36:$B$167,"NO OFICIAL")</f>
        <v>0.58466666666666667</v>
      </c>
      <c r="FH32" s="65">
        <f t="shared" si="142"/>
        <v>0.31799999999999995</v>
      </c>
      <c r="FI32" s="65">
        <f t="shared" si="142"/>
        <v>1.1333333333333334E-2</v>
      </c>
      <c r="FJ32" s="65">
        <f t="shared" si="142"/>
        <v>0.4373333333333333</v>
      </c>
      <c r="FK32" s="65">
        <f t="shared" si="142"/>
        <v>0.65933333333333322</v>
      </c>
      <c r="FL32" s="65">
        <f t="shared" si="142"/>
        <v>0.46199999999999997</v>
      </c>
      <c r="FM32" s="65">
        <f t="shared" si="142"/>
        <v>0.39866666666666661</v>
      </c>
      <c r="FN32" s="65">
        <f t="shared" si="142"/>
        <v>0.2273333333333333</v>
      </c>
      <c r="FO32" s="65">
        <f t="shared" si="142"/>
        <v>0.3066666666666667</v>
      </c>
      <c r="FP32" s="65">
        <f t="shared" si="142"/>
        <v>0.34600000000000003</v>
      </c>
      <c r="FQ32" s="65">
        <f t="shared" si="142"/>
        <v>0.36466666666666658</v>
      </c>
      <c r="FR32" s="65">
        <f t="shared" si="142"/>
        <v>0.55866666666666664</v>
      </c>
      <c r="FS32" s="65">
        <f t="shared" si="142"/>
        <v>0.51200000000000012</v>
      </c>
      <c r="FT32" s="65">
        <f t="shared" si="142"/>
        <v>0.47266666666666668</v>
      </c>
      <c r="FU32" s="65">
        <f t="shared" si="142"/>
        <v>0.31933333333333336</v>
      </c>
      <c r="FV32" s="65">
        <f t="shared" si="142"/>
        <v>0.53933333333333333</v>
      </c>
      <c r="FW32" s="65">
        <f t="shared" si="142"/>
        <v>0.53</v>
      </c>
      <c r="FX32" s="65">
        <f t="shared" si="142"/>
        <v>0.40066666666666673</v>
      </c>
      <c r="FY32" s="65">
        <f t="shared" si="142"/>
        <v>0.3186666666666666</v>
      </c>
      <c r="FZ32" s="65">
        <f t="shared" si="142"/>
        <v>0.37933333333333336</v>
      </c>
      <c r="GA32" s="65">
        <f t="shared" si="142"/>
        <v>0.47133333333333333</v>
      </c>
      <c r="GB32" s="65">
        <f t="shared" si="142"/>
        <v>0.50466666666666671</v>
      </c>
      <c r="GC32" s="65">
        <f t="shared" si="142"/>
        <v>0.40133333333333343</v>
      </c>
      <c r="GD32" s="65">
        <f t="shared" si="142"/>
        <v>0.58933333333333315</v>
      </c>
      <c r="GE32" s="65">
        <f t="shared" si="142"/>
        <v>0.49933333333333335</v>
      </c>
      <c r="GF32" s="65">
        <f t="shared" si="142"/>
        <v>0.42133333333333328</v>
      </c>
      <c r="GG32" s="65">
        <f t="shared" si="142"/>
        <v>0.39666666666666667</v>
      </c>
      <c r="GH32" s="65">
        <f t="shared" si="142"/>
        <v>0.53133333333333332</v>
      </c>
      <c r="GI32" s="65">
        <f t="shared" si="142"/>
        <v>0.22266666666666665</v>
      </c>
      <c r="GJ32" s="192">
        <f>AVERAGEIFS(GJ$36:GJ$167,$C$36:$C$167,"=3", $B$36:$B$167,"NO OFICIAL")</f>
        <v>52.125</v>
      </c>
      <c r="GL32" s="192">
        <f>AVERAGEIFS(GL$36:GL$167,$C$36:$C$167,"=3", $B$36:$B$167,"NO OFICIAL")</f>
        <v>8.625</v>
      </c>
      <c r="GN32" s="521">
        <f>AVERAGEIFS(GN$36:GN$167,$C$36:$C$167,"=3", $B$36:$B$167,"NO OFICIAL")</f>
        <v>0.10562500000000002</v>
      </c>
      <c r="GO32" s="521">
        <f t="shared" ref="GO32:HQ32" si="143">AVERAGEIFS(GO$36:GO$167,$C$36:$C$167,"=3", $B$36:$B$167,"NO OFICIAL")</f>
        <v>0.51812499999999995</v>
      </c>
      <c r="GP32" s="521">
        <f t="shared" si="143"/>
        <v>0.35812499999999992</v>
      </c>
      <c r="GQ32" s="521">
        <f t="shared" si="143"/>
        <v>1.8749999999999999E-2</v>
      </c>
      <c r="GR32" s="521">
        <f t="shared" si="143"/>
        <v>0.48000000000000009</v>
      </c>
      <c r="GS32" s="521">
        <f t="shared" si="143"/>
        <v>0.46937499999999999</v>
      </c>
      <c r="GT32" s="521">
        <f t="shared" si="143"/>
        <v>0.58062499999999995</v>
      </c>
      <c r="GU32" s="521">
        <f t="shared" si="143"/>
        <v>0.20374999999999999</v>
      </c>
      <c r="GV32" s="521">
        <f t="shared" si="143"/>
        <v>0.52875000000000005</v>
      </c>
      <c r="GW32" s="521">
        <f t="shared" si="143"/>
        <v>0.44500000000000006</v>
      </c>
      <c r="GX32" s="521">
        <f t="shared" si="143"/>
        <v>0.43250000000000005</v>
      </c>
      <c r="GY32" s="521" t="e">
        <f t="shared" si="143"/>
        <v>#DIV/0!</v>
      </c>
      <c r="GZ32" s="521">
        <f t="shared" si="143"/>
        <v>0.2475</v>
      </c>
      <c r="HA32" s="521">
        <f t="shared" si="143"/>
        <v>0.65250000000000008</v>
      </c>
      <c r="HB32" s="521">
        <f t="shared" si="143"/>
        <v>0.42875000000000002</v>
      </c>
      <c r="HC32" s="521">
        <f t="shared" si="143"/>
        <v>0.48250000000000004</v>
      </c>
      <c r="HD32" s="521">
        <f t="shared" si="143"/>
        <v>0.52437500000000004</v>
      </c>
      <c r="HE32" s="521">
        <f t="shared" si="143"/>
        <v>0.45687500000000003</v>
      </c>
      <c r="HF32" s="521">
        <f t="shared" si="143"/>
        <v>0.44812500000000005</v>
      </c>
      <c r="HG32" s="521">
        <f t="shared" si="143"/>
        <v>0.64562499999999989</v>
      </c>
      <c r="HH32" s="521">
        <f t="shared" si="143"/>
        <v>0.35062499999999996</v>
      </c>
      <c r="HI32" s="521">
        <f t="shared" si="143"/>
        <v>0.50187500000000007</v>
      </c>
      <c r="HJ32" s="521">
        <f t="shared" si="143"/>
        <v>0.58500000000000008</v>
      </c>
      <c r="HK32" s="521">
        <f t="shared" si="143"/>
        <v>0.52874999999999994</v>
      </c>
      <c r="HL32" s="521">
        <f t="shared" si="143"/>
        <v>0.40625</v>
      </c>
      <c r="HM32" s="521">
        <f t="shared" si="143"/>
        <v>0.45749999999999996</v>
      </c>
      <c r="HN32" s="521">
        <f t="shared" si="143"/>
        <v>0.46187500000000004</v>
      </c>
      <c r="HO32" s="521">
        <f t="shared" si="143"/>
        <v>0.37562499999999993</v>
      </c>
      <c r="HP32" s="521" t="e">
        <f t="shared" si="143"/>
        <v>#DIV/0!</v>
      </c>
      <c r="HQ32" s="521">
        <f t="shared" si="143"/>
        <v>0.40250000000000008</v>
      </c>
      <c r="HR32" s="192">
        <f>AVERAGEIFS(HR$36:HR$167,$C$36:$C$167,"=3", $B$36:$B$167,"NO OFICIAL")</f>
        <v>52.9375</v>
      </c>
      <c r="HT32" s="192">
        <f>AVERAGEIFS(HT$36:HT$167,$C$36:$C$167,"=3", $B$36:$B$167,"NO OFICIAL")</f>
        <v>8.5</v>
      </c>
      <c r="HV32" s="521">
        <f>AVERAGEIFS(HV$36:HV$167,$C$36:$C$167,"=3", $B$36:$B$167,"NO OFICIAL")</f>
        <v>9.5625000000000002E-2</v>
      </c>
      <c r="HW32" s="521">
        <f t="shared" ref="HW32:IY32" si="144">AVERAGEIFS(HW$36:HW$167,$C$36:$C$167,"=3", $B$36:$B$167,"NO OFICIAL")</f>
        <v>0.50187500000000007</v>
      </c>
      <c r="HX32" s="521">
        <f t="shared" si="144"/>
        <v>0.39</v>
      </c>
      <c r="HY32" s="521">
        <f t="shared" si="144"/>
        <v>1.4375000000000001E-2</v>
      </c>
      <c r="HZ32" s="521">
        <f t="shared" si="144"/>
        <v>0.32937499999999997</v>
      </c>
      <c r="IA32" s="521">
        <f t="shared" si="144"/>
        <v>0.50062499999999999</v>
      </c>
      <c r="IB32" s="521">
        <f t="shared" si="144"/>
        <v>0.32562500000000005</v>
      </c>
      <c r="IC32" s="521">
        <f t="shared" si="144"/>
        <v>0.45124999999999998</v>
      </c>
      <c r="ID32" s="521">
        <f t="shared" si="144"/>
        <v>0.60312500000000013</v>
      </c>
      <c r="IE32" s="521">
        <f t="shared" si="144"/>
        <v>0.29624999999999996</v>
      </c>
      <c r="IF32" s="521">
        <f t="shared" si="144"/>
        <v>0.38937500000000003</v>
      </c>
      <c r="IG32" s="521">
        <f t="shared" si="144"/>
        <v>0.51187499999999997</v>
      </c>
      <c r="IH32" s="521">
        <f t="shared" si="144"/>
        <v>0.48375000000000001</v>
      </c>
      <c r="II32" s="521">
        <f t="shared" si="144"/>
        <v>0.31687500000000002</v>
      </c>
      <c r="IJ32" s="521">
        <f t="shared" si="144"/>
        <v>0.24375000000000002</v>
      </c>
      <c r="IK32" s="521">
        <f t="shared" si="144"/>
        <v>0.54562500000000003</v>
      </c>
      <c r="IL32" s="521">
        <f t="shared" si="144"/>
        <v>0.30499999999999999</v>
      </c>
      <c r="IM32" s="521">
        <f t="shared" si="144"/>
        <v>0.54625000000000001</v>
      </c>
      <c r="IN32" s="521">
        <f t="shared" si="144"/>
        <v>0.40437500000000004</v>
      </c>
      <c r="IO32" s="521">
        <f t="shared" si="144"/>
        <v>0.51812500000000006</v>
      </c>
      <c r="IP32" s="521">
        <f t="shared" si="144"/>
        <v>0.37312500000000004</v>
      </c>
      <c r="IQ32" s="521">
        <f t="shared" si="144"/>
        <v>0.63812500000000005</v>
      </c>
      <c r="IR32" s="521">
        <f t="shared" si="144"/>
        <v>0.53562500000000002</v>
      </c>
      <c r="IS32" s="521">
        <f t="shared" si="144"/>
        <v>0.48000000000000004</v>
      </c>
      <c r="IT32" s="521">
        <f t="shared" si="144"/>
        <v>0.39000000000000007</v>
      </c>
      <c r="IU32" s="521" t="e">
        <f t="shared" si="144"/>
        <v>#DIV/0!</v>
      </c>
      <c r="IV32" s="521">
        <f t="shared" si="144"/>
        <v>0.58250000000000002</v>
      </c>
      <c r="IW32" s="521">
        <f t="shared" si="144"/>
        <v>0.40125</v>
      </c>
      <c r="IX32" s="521">
        <f t="shared" si="144"/>
        <v>0.46187499999999992</v>
      </c>
      <c r="IY32" s="521">
        <f t="shared" si="144"/>
        <v>0.46937499999999988</v>
      </c>
    </row>
    <row r="33" spans="1:259" s="434" customFormat="1" ht="24.9" customHeight="1" x14ac:dyDescent="0.25">
      <c r="A33" s="6" t="s">
        <v>940</v>
      </c>
      <c r="B33" s="447"/>
      <c r="C33" s="447"/>
      <c r="D33" s="192">
        <f>AVERAGEIFS(D$36:D$167,$C$36:$C$167,"=4", $B$36:$B$167,"NO OFICIAL")</f>
        <v>51.625</v>
      </c>
      <c r="E33" s="192">
        <f>AVERAGEIFS(E$36:E$167,$C$36:$C$167,"=4", $B$36:$B$167,"NO OFICIAL")</f>
        <v>6.75</v>
      </c>
      <c r="F33" s="65">
        <f>AVERAGEIFS(F$36:F$167,$C$36:$C$167,"=4", $B$36:$B$167,"NO OFICIAL")</f>
        <v>0.13375000000000001</v>
      </c>
      <c r="G33" s="65">
        <f t="shared" ref="G33:AG33" si="145">AVERAGEIFS(G$36:G$167,$C$36:$C$167,"=4", $B$36:$B$167,"NO OFICIAL")</f>
        <v>0.54374999999999996</v>
      </c>
      <c r="H33" s="65">
        <f t="shared" si="145"/>
        <v>0.32374999999999998</v>
      </c>
      <c r="I33" s="65">
        <f t="shared" si="145"/>
        <v>0</v>
      </c>
      <c r="J33" s="65">
        <f t="shared" si="145"/>
        <v>0.47250000000000003</v>
      </c>
      <c r="K33" s="65">
        <f t="shared" si="145"/>
        <v>0.46</v>
      </c>
      <c r="L33" s="65">
        <f t="shared" si="145"/>
        <v>0.77124999999999999</v>
      </c>
      <c r="M33" s="65">
        <f t="shared" si="145"/>
        <v>0.31</v>
      </c>
      <c r="N33" s="65">
        <f t="shared" si="145"/>
        <v>0.3125</v>
      </c>
      <c r="O33" s="65">
        <f t="shared" si="145"/>
        <v>0.61375000000000002</v>
      </c>
      <c r="P33" s="65">
        <f t="shared" si="145"/>
        <v>0.375</v>
      </c>
      <c r="Q33" s="65">
        <f t="shared" si="145"/>
        <v>0.38875000000000004</v>
      </c>
      <c r="R33" s="65">
        <f t="shared" si="145"/>
        <v>0.52749999999999997</v>
      </c>
      <c r="S33" s="65">
        <f t="shared" si="145"/>
        <v>0.54249999999999998</v>
      </c>
      <c r="T33" s="65">
        <f t="shared" si="145"/>
        <v>0.41499999999999998</v>
      </c>
      <c r="U33" s="65">
        <f t="shared" si="145"/>
        <v>0.64</v>
      </c>
      <c r="V33" s="65">
        <f t="shared" si="145"/>
        <v>8.2500000000000004E-2</v>
      </c>
      <c r="W33" s="65">
        <f t="shared" si="145"/>
        <v>0.20500000000000002</v>
      </c>
      <c r="X33" s="65">
        <f t="shared" si="145"/>
        <v>0.56875000000000009</v>
      </c>
      <c r="Y33" s="65">
        <f t="shared" si="145"/>
        <v>0.57874999999999999</v>
      </c>
      <c r="Z33" s="65">
        <f t="shared" si="145"/>
        <v>0.75</v>
      </c>
      <c r="AA33" s="65">
        <f t="shared" si="145"/>
        <v>0.15875</v>
      </c>
      <c r="AB33" s="65">
        <f t="shared" si="145"/>
        <v>0.51875000000000004</v>
      </c>
      <c r="AC33" s="65">
        <f t="shared" si="145"/>
        <v>0.39374999999999999</v>
      </c>
      <c r="AD33" s="65">
        <f t="shared" si="145"/>
        <v>0.49999999999999994</v>
      </c>
      <c r="AE33" s="65">
        <f t="shared" si="145"/>
        <v>0.50249999999999995</v>
      </c>
      <c r="AF33" s="65">
        <f t="shared" si="145"/>
        <v>0.495</v>
      </c>
      <c r="AG33" s="65">
        <f t="shared" si="145"/>
        <v>0.55249999999999999</v>
      </c>
      <c r="AH33" s="192">
        <f>AVERAGEIFS(AH$36:AH$167,$C$36:$C$167,"=4", $B$36:$B$167,"NO OFICIAL")</f>
        <v>52.111111111111114</v>
      </c>
      <c r="AI33" s="192">
        <f>AVERAGEIFS(AI$36:AI$167,$C$36:$C$167,"=4", $B$36:$B$167,"NO OFICIAL")</f>
        <v>6.4444444444444446</v>
      </c>
      <c r="AJ33" s="65">
        <f>AVERAGEIFS(AJ$36:AJ$167,$C$36:$C$167,"=4", $B$36:$B$167,"NO OFICIAL")</f>
        <v>0.10666666666666666</v>
      </c>
      <c r="AK33" s="65">
        <f t="shared" ref="AK33:BL33" si="146">AVERAGEIFS(AK$36:AK$167,$C$36:$C$167,"=4", $B$36:$B$167,"NO OFICIAL")</f>
        <v>0.48777777777777787</v>
      </c>
      <c r="AL33" s="65">
        <f t="shared" si="146"/>
        <v>0.40333333333333332</v>
      </c>
      <c r="AM33" s="65">
        <f t="shared" si="146"/>
        <v>3.3333333333333331E-3</v>
      </c>
      <c r="AN33" s="65">
        <f t="shared" si="146"/>
        <v>0.23666666666666666</v>
      </c>
      <c r="AO33" s="65">
        <f t="shared" si="146"/>
        <v>0.39777777777777779</v>
      </c>
      <c r="AP33" s="65">
        <f t="shared" si="146"/>
        <v>0.60555555555555562</v>
      </c>
      <c r="AQ33" s="65">
        <f t="shared" si="146"/>
        <v>0.39111111111111113</v>
      </c>
      <c r="AR33" s="65">
        <f t="shared" si="146"/>
        <v>0.57111111111111112</v>
      </c>
      <c r="AS33" s="65">
        <f t="shared" si="146"/>
        <v>0.51333333333333331</v>
      </c>
      <c r="AT33" s="65">
        <f t="shared" si="146"/>
        <v>0.52888888888888896</v>
      </c>
      <c r="AU33" s="65">
        <f t="shared" si="146"/>
        <v>0.53</v>
      </c>
      <c r="AV33" s="65">
        <f t="shared" si="146"/>
        <v>0.60000000000000009</v>
      </c>
      <c r="AW33" s="65">
        <f t="shared" si="146"/>
        <v>0.4466666666666666</v>
      </c>
      <c r="AX33" s="65">
        <f t="shared" si="146"/>
        <v>0.5774999999999999</v>
      </c>
      <c r="AY33" s="65">
        <f t="shared" si="146"/>
        <v>0.3477777777777778</v>
      </c>
      <c r="AZ33" s="65">
        <f t="shared" si="146"/>
        <v>0.35666666666666669</v>
      </c>
      <c r="BA33" s="65">
        <f t="shared" si="146"/>
        <v>0.46666666666666667</v>
      </c>
      <c r="BB33" s="65">
        <f t="shared" si="146"/>
        <v>0.60111111111111104</v>
      </c>
      <c r="BC33" s="65">
        <f t="shared" si="146"/>
        <v>0.55888888888888888</v>
      </c>
      <c r="BD33" s="65">
        <f t="shared" si="146"/>
        <v>0.42666666666666669</v>
      </c>
      <c r="BE33" s="65">
        <f t="shared" si="146"/>
        <v>0.53333333333333333</v>
      </c>
      <c r="BF33" s="65">
        <f t="shared" si="146"/>
        <v>0.61124999999999996</v>
      </c>
      <c r="BG33" s="65">
        <f t="shared" si="146"/>
        <v>0.43333333333333335</v>
      </c>
      <c r="BH33" s="65">
        <f t="shared" si="146"/>
        <v>0.43333333333333335</v>
      </c>
      <c r="BI33" s="65">
        <f t="shared" si="146"/>
        <v>0.39888888888888885</v>
      </c>
      <c r="BJ33" s="65">
        <f t="shared" si="146"/>
        <v>0.44</v>
      </c>
      <c r="BK33" s="65">
        <f t="shared" si="146"/>
        <v>0.43555555555555553</v>
      </c>
      <c r="BL33" s="65">
        <f t="shared" si="146"/>
        <v>0.46250000000000002</v>
      </c>
      <c r="BM33" s="192">
        <f>AVERAGEIFS(BM$36:BM$167,$C$36:$C$167,"=4", $B$36:$B$167,"NO OFICIAL")</f>
        <v>51.111111111111114</v>
      </c>
      <c r="BN33" s="192">
        <f>AVERAGEIFS(BN$36:BN$167,$C$36:$C$167,"=4", $B$36:$B$167,"NO OFICIAL")</f>
        <v>7</v>
      </c>
      <c r="BO33" s="65">
        <f>AVERAGEIFS(BO$36:BO$167,$C$36:$C$167,"=4", $B$36:$B$167,"NO OFICIAL")</f>
        <v>0.13</v>
      </c>
      <c r="BP33" s="65">
        <f t="shared" ref="BP33:CR33" si="147">AVERAGEIFS(BP$36:BP$167,$C$36:$C$167,"=4", $B$36:$B$167,"NO OFICIAL")</f>
        <v>0.55333333333333323</v>
      </c>
      <c r="BQ33" s="65">
        <f t="shared" si="147"/>
        <v>0.31555555555555559</v>
      </c>
      <c r="BR33" s="65">
        <f t="shared" si="147"/>
        <v>2.2222222222222222E-3</v>
      </c>
      <c r="BS33" s="65">
        <f t="shared" si="147"/>
        <v>0.32666666666666661</v>
      </c>
      <c r="BT33" s="65">
        <f t="shared" si="147"/>
        <v>0.66333333333333333</v>
      </c>
      <c r="BU33" s="65">
        <f t="shared" si="147"/>
        <v>0.67222222222222205</v>
      </c>
      <c r="BV33" s="65">
        <f t="shared" si="147"/>
        <v>0.28888888888888892</v>
      </c>
      <c r="BW33" s="65">
        <f t="shared" si="147"/>
        <v>0.67666666666666664</v>
      </c>
      <c r="BX33" s="65">
        <f t="shared" si="147"/>
        <v>0.40222222222222226</v>
      </c>
      <c r="BY33" s="65">
        <f t="shared" si="147"/>
        <v>0.47222222222222221</v>
      </c>
      <c r="BZ33" s="65">
        <f t="shared" si="147"/>
        <v>0.5377777777777778</v>
      </c>
      <c r="CA33" s="65">
        <f t="shared" si="147"/>
        <v>0.52</v>
      </c>
      <c r="CB33" s="65">
        <f t="shared" si="147"/>
        <v>0.3644444444444444</v>
      </c>
      <c r="CC33" s="65">
        <f t="shared" si="147"/>
        <v>0.17777777777777778</v>
      </c>
      <c r="CD33" s="65">
        <f t="shared" si="147"/>
        <v>0.42333333333333328</v>
      </c>
      <c r="CE33" s="65">
        <f t="shared" si="147"/>
        <v>0.27444444444444449</v>
      </c>
      <c r="CF33" s="65">
        <f t="shared" si="147"/>
        <v>0.59</v>
      </c>
      <c r="CG33" s="65">
        <f t="shared" si="147"/>
        <v>0.56111111111111112</v>
      </c>
      <c r="CH33" s="65">
        <f t="shared" si="147"/>
        <v>0.45444444444444443</v>
      </c>
      <c r="CI33" s="65">
        <f t="shared" si="147"/>
        <v>0.59222222222222221</v>
      </c>
      <c r="CJ33" s="65">
        <f t="shared" si="147"/>
        <v>0.26222222222222219</v>
      </c>
      <c r="CK33" s="65">
        <f t="shared" si="147"/>
        <v>0.74444444444444446</v>
      </c>
      <c r="CL33" s="65">
        <f t="shared" si="147"/>
        <v>0.31333333333333335</v>
      </c>
      <c r="CM33" s="65">
        <f t="shared" si="147"/>
        <v>0.42666666666666664</v>
      </c>
      <c r="CN33" s="65">
        <f t="shared" si="147"/>
        <v>0.4366666666666667</v>
      </c>
      <c r="CO33" s="65">
        <f t="shared" si="147"/>
        <v>0.54333333333333345</v>
      </c>
      <c r="CP33" s="65">
        <f t="shared" si="147"/>
        <v>0.34111111111111109</v>
      </c>
      <c r="CQ33" s="65">
        <f t="shared" si="147"/>
        <v>0.5</v>
      </c>
      <c r="CR33" s="65">
        <f t="shared" si="147"/>
        <v>0.51</v>
      </c>
      <c r="CS33" s="192">
        <f>AVERAGEIFS(CS$36:CS$167,$C$36:$C$167,"=4", $B$36:$B$167,"NO OFICIAL")</f>
        <v>49.375</v>
      </c>
      <c r="CT33" s="192">
        <f>AVERAGEIFS(CT$36:CT$167,$C$36:$C$167,"=4", $B$36:$B$167,"NO OFICIAL")</f>
        <v>7.25</v>
      </c>
      <c r="CU33" s="65">
        <f>AVERAGEIFS(CU$36:CU$167,$C$36:$C$167,"=4", $B$36:$B$167,"NO OFICIAL")</f>
        <v>0.13375000000000001</v>
      </c>
      <c r="CV33" s="65">
        <f t="shared" ref="CV33:DW33" si="148">AVERAGEIFS(CV$36:CV$167,$C$36:$C$167,"=4", $B$36:$B$167,"NO OFICIAL")</f>
        <v>0.64999999999999991</v>
      </c>
      <c r="CW33" s="65">
        <f t="shared" si="148"/>
        <v>0.21375</v>
      </c>
      <c r="CX33" s="65">
        <f t="shared" si="148"/>
        <v>2.5000000000000001E-3</v>
      </c>
      <c r="CY33" s="65">
        <f t="shared" si="148"/>
        <v>0.51124999999999998</v>
      </c>
      <c r="CZ33" s="65">
        <f t="shared" si="148"/>
        <v>0.3125</v>
      </c>
      <c r="DA33" s="65">
        <f t="shared" si="148"/>
        <v>0.57999999999999996</v>
      </c>
      <c r="DB33" s="65">
        <f t="shared" si="148"/>
        <v>0.37874999999999998</v>
      </c>
      <c r="DC33" s="65">
        <f t="shared" si="148"/>
        <v>0.41374999999999995</v>
      </c>
      <c r="DD33" s="65">
        <f t="shared" si="148"/>
        <v>0.62249999999999994</v>
      </c>
      <c r="DE33" s="65">
        <f t="shared" si="148"/>
        <v>0.45625000000000004</v>
      </c>
      <c r="DF33" s="65">
        <f t="shared" si="148"/>
        <v>0.56125000000000003</v>
      </c>
      <c r="DG33" s="65">
        <f t="shared" si="148"/>
        <v>0.43374999999999997</v>
      </c>
      <c r="DH33" s="65">
        <f t="shared" si="148"/>
        <v>0.36125000000000002</v>
      </c>
      <c r="DI33" s="65">
        <f t="shared" si="148"/>
        <v>0.495</v>
      </c>
      <c r="DJ33" s="65">
        <f t="shared" si="148"/>
        <v>0.57375000000000009</v>
      </c>
      <c r="DK33" s="65">
        <f t="shared" si="148"/>
        <v>0.3775</v>
      </c>
      <c r="DL33" s="65">
        <f t="shared" si="148"/>
        <v>0.39624999999999999</v>
      </c>
      <c r="DM33" s="65">
        <f t="shared" si="148"/>
        <v>0.5</v>
      </c>
      <c r="DN33" s="65">
        <f t="shared" si="148"/>
        <v>0.50250000000000006</v>
      </c>
      <c r="DO33" s="65">
        <f t="shared" si="148"/>
        <v>0.47125000000000006</v>
      </c>
      <c r="DP33" s="65">
        <f t="shared" si="148"/>
        <v>0.48374999999999996</v>
      </c>
      <c r="DQ33" s="65">
        <f t="shared" si="148"/>
        <v>0.55500000000000005</v>
      </c>
      <c r="DR33" s="65">
        <f t="shared" si="148"/>
        <v>0.215</v>
      </c>
      <c r="DS33" s="65">
        <f t="shared" si="148"/>
        <v>0.41750000000000004</v>
      </c>
      <c r="DT33" s="65">
        <f t="shared" si="148"/>
        <v>0.56625000000000003</v>
      </c>
      <c r="DU33" s="65">
        <f t="shared" si="148"/>
        <v>0.40125</v>
      </c>
      <c r="DV33" s="65">
        <f t="shared" si="148"/>
        <v>0.61124999999999996</v>
      </c>
      <c r="DW33" s="65">
        <f t="shared" si="148"/>
        <v>0.36375000000000002</v>
      </c>
      <c r="DX33" s="192">
        <f>AVERAGEIFS(DX$36:DX$167,$C$36:$C$167,"=4", $B$36:$B$167,"NO OFICIAL")</f>
        <v>48.571428571428569</v>
      </c>
      <c r="DY33" s="192">
        <f>AVERAGEIFS(DY$36:DY$167,$C$36:$C$167,"=4", $B$36:$B$167,"NO OFICIAL")</f>
        <v>8.2857142857142865</v>
      </c>
      <c r="DZ33" s="65">
        <f>AVERAGEIFS(DZ$36:DZ$167,$C$36:$C$167,"=4", $B$36:$B$167,"NO OFICIAL")</f>
        <v>0.20714285714285716</v>
      </c>
      <c r="EA33" s="65">
        <f t="shared" ref="EA33:FA33" si="149">AVERAGEIFS(EA$36:EA$167,$C$36:$C$167,"=4", $B$36:$B$167,"NO OFICIAL")</f>
        <v>0.51714285714285713</v>
      </c>
      <c r="EB33" s="65">
        <f t="shared" si="149"/>
        <v>0.2742857142857143</v>
      </c>
      <c r="EC33" s="65">
        <f t="shared" si="149"/>
        <v>2.8571428571428571E-3</v>
      </c>
      <c r="ED33" s="65">
        <f t="shared" si="149"/>
        <v>0.56285714285714294</v>
      </c>
      <c r="EE33" s="65">
        <f t="shared" si="149"/>
        <v>0.46571428571428575</v>
      </c>
      <c r="EF33" s="65">
        <f t="shared" si="149"/>
        <v>0.48999999999999994</v>
      </c>
      <c r="EG33" s="65">
        <f t="shared" si="149"/>
        <v>0.33571428571428574</v>
      </c>
      <c r="EH33" s="65">
        <f t="shared" si="149"/>
        <v>0.44142857142857139</v>
      </c>
      <c r="EI33" s="65">
        <f t="shared" si="149"/>
        <v>0.57714285714285718</v>
      </c>
      <c r="EJ33" s="65">
        <f t="shared" si="149"/>
        <v>0.55142857142857149</v>
      </c>
      <c r="EK33" s="65">
        <f t="shared" si="149"/>
        <v>0.25571428571428573</v>
      </c>
      <c r="EL33" s="65">
        <f t="shared" si="149"/>
        <v>0.51285714285714279</v>
      </c>
      <c r="EM33" s="65">
        <f t="shared" si="149"/>
        <v>0.67714285714285716</v>
      </c>
      <c r="EN33" s="65">
        <f t="shared" si="149"/>
        <v>0.44428571428571434</v>
      </c>
      <c r="EO33" s="65">
        <f t="shared" si="149"/>
        <v>0.60857142857142854</v>
      </c>
      <c r="EP33" s="65">
        <f t="shared" si="149"/>
        <v>0.38142857142857139</v>
      </c>
      <c r="EQ33" s="65">
        <f t="shared" si="149"/>
        <v>0.32714285714285712</v>
      </c>
      <c r="ER33" s="65">
        <f t="shared" si="149"/>
        <v>0.59</v>
      </c>
      <c r="ES33" s="65">
        <f t="shared" si="149"/>
        <v>0.4628571428571428</v>
      </c>
      <c r="ET33" s="65">
        <f t="shared" si="149"/>
        <v>0.36285714285714288</v>
      </c>
      <c r="EU33" s="65">
        <f t="shared" si="149"/>
        <v>0.59714285714285709</v>
      </c>
      <c r="EV33" s="65">
        <f t="shared" si="149"/>
        <v>0.36</v>
      </c>
      <c r="EW33" s="65">
        <f t="shared" si="149"/>
        <v>0.38714285714285712</v>
      </c>
      <c r="EX33" s="65">
        <f t="shared" si="149"/>
        <v>0.75285714285714289</v>
      </c>
      <c r="EY33" s="65">
        <f t="shared" si="149"/>
        <v>0.59428571428571431</v>
      </c>
      <c r="EZ33" s="65">
        <f t="shared" si="149"/>
        <v>0.24428571428571427</v>
      </c>
      <c r="FA33" s="65">
        <f t="shared" si="149"/>
        <v>0.6428571428571429</v>
      </c>
      <c r="FB33" s="192">
        <f>AVERAGEIFS(FB$36:FB$167,$C$36:$C$167,"=4", $B$36:$B$167,"NO OFICIAL")</f>
        <v>48.75</v>
      </c>
      <c r="FD33" s="192">
        <f>AVERAGEIFS(FD$36:FD$167,$C$36:$C$167,"=4", $B$36:$B$167,"NO OFICIAL")</f>
        <v>6.875</v>
      </c>
      <c r="FF33" s="65">
        <f>AVERAGEIFS(FF$36:FF$167,$C$36:$C$167,"=4", $B$36:$B$167,"NO OFICIAL")</f>
        <v>0.14750000000000002</v>
      </c>
      <c r="FG33" s="65">
        <f t="shared" ref="FG33:GI33" si="150">AVERAGEIFS(FG$36:FG$167,$C$36:$C$167,"=4", $B$36:$B$167,"NO OFICIAL")</f>
        <v>0.65249999999999997</v>
      </c>
      <c r="FH33" s="65">
        <f t="shared" si="150"/>
        <v>0.2</v>
      </c>
      <c r="FI33" s="65">
        <f t="shared" si="150"/>
        <v>2.5000000000000001E-3</v>
      </c>
      <c r="FJ33" s="65">
        <f t="shared" si="150"/>
        <v>0.54375000000000007</v>
      </c>
      <c r="FK33" s="65">
        <f t="shared" si="150"/>
        <v>0.65375000000000005</v>
      </c>
      <c r="FL33" s="65">
        <f t="shared" si="150"/>
        <v>0.52750000000000008</v>
      </c>
      <c r="FM33" s="65">
        <f t="shared" si="150"/>
        <v>0.52</v>
      </c>
      <c r="FN33" s="65">
        <f t="shared" si="150"/>
        <v>0.31714285714285717</v>
      </c>
      <c r="FO33" s="65">
        <f t="shared" si="150"/>
        <v>0.38750000000000001</v>
      </c>
      <c r="FP33" s="65">
        <f t="shared" si="150"/>
        <v>0.44624999999999998</v>
      </c>
      <c r="FQ33" s="65">
        <f t="shared" si="150"/>
        <v>0.44249999999999995</v>
      </c>
      <c r="FR33" s="65">
        <f t="shared" si="150"/>
        <v>0.5575</v>
      </c>
      <c r="FS33" s="65">
        <f t="shared" si="150"/>
        <v>0.58374999999999999</v>
      </c>
      <c r="FT33" s="65">
        <f t="shared" si="150"/>
        <v>0.53125</v>
      </c>
      <c r="FU33" s="65">
        <f t="shared" si="150"/>
        <v>0.41571428571428576</v>
      </c>
      <c r="FV33" s="65">
        <f t="shared" si="150"/>
        <v>0.64499999999999991</v>
      </c>
      <c r="FW33" s="65">
        <f t="shared" si="150"/>
        <v>0.54125000000000001</v>
      </c>
      <c r="FX33" s="65">
        <f t="shared" si="150"/>
        <v>0.49874999999999997</v>
      </c>
      <c r="FY33" s="65">
        <f t="shared" si="150"/>
        <v>0.32875000000000004</v>
      </c>
      <c r="FZ33" s="65">
        <f t="shared" si="150"/>
        <v>0.39500000000000007</v>
      </c>
      <c r="GA33" s="65">
        <f t="shared" si="150"/>
        <v>0.48124999999999996</v>
      </c>
      <c r="GB33" s="65">
        <f t="shared" si="150"/>
        <v>0.6412500000000001</v>
      </c>
      <c r="GC33" s="65">
        <f t="shared" si="150"/>
        <v>0.44624999999999998</v>
      </c>
      <c r="GD33" s="65">
        <f t="shared" si="150"/>
        <v>0.65499999999999992</v>
      </c>
      <c r="GE33" s="65">
        <f t="shared" si="150"/>
        <v>0.45124999999999998</v>
      </c>
      <c r="GF33" s="65">
        <f t="shared" si="150"/>
        <v>0.46</v>
      </c>
      <c r="GG33" s="65">
        <f t="shared" si="150"/>
        <v>0.50625000000000009</v>
      </c>
      <c r="GH33" s="65">
        <f t="shared" si="150"/>
        <v>0.53</v>
      </c>
      <c r="GI33" s="65">
        <f t="shared" si="150"/>
        <v>0.26</v>
      </c>
      <c r="GJ33" s="192">
        <f>AVERAGEIFS(GJ$36:GJ$167,$C$36:$C$167,"=4", $B$36:$B$167,"NO OFICIAL")</f>
        <v>50.25</v>
      </c>
      <c r="GL33" s="192">
        <f>AVERAGEIFS(GL$36:GL$167,$C$36:$C$167,"=4", $B$36:$B$167,"NO OFICIAL")</f>
        <v>8.375</v>
      </c>
      <c r="GN33" s="521">
        <f>AVERAGEIFS(GN$36:GN$167,$C$36:$C$167,"=4", $B$36:$B$167,"NO OFICIAL")</f>
        <v>0.17250000000000004</v>
      </c>
      <c r="GO33" s="521">
        <f t="shared" ref="GO33:HQ33" si="151">AVERAGEIFS(GO$36:GO$167,$C$36:$C$167,"=4", $B$36:$B$167,"NO OFICIAL")</f>
        <v>0.55125000000000002</v>
      </c>
      <c r="GP33" s="521">
        <f t="shared" si="151"/>
        <v>0.25625000000000003</v>
      </c>
      <c r="GQ33" s="521">
        <f t="shared" si="151"/>
        <v>0.02</v>
      </c>
      <c r="GR33" s="521">
        <f t="shared" si="151"/>
        <v>0.5</v>
      </c>
      <c r="GS33" s="521">
        <f t="shared" si="151"/>
        <v>0.56000000000000005</v>
      </c>
      <c r="GT33" s="521">
        <f t="shared" si="151"/>
        <v>0.61750000000000005</v>
      </c>
      <c r="GU33" s="521">
        <f t="shared" si="151"/>
        <v>0.29250000000000004</v>
      </c>
      <c r="GV33" s="521">
        <f t="shared" si="151"/>
        <v>0.61124999999999996</v>
      </c>
      <c r="GW33" s="521">
        <f t="shared" si="151"/>
        <v>0.45750000000000002</v>
      </c>
      <c r="GX33" s="521">
        <f t="shared" si="151"/>
        <v>0.47875000000000001</v>
      </c>
      <c r="GY33" s="521" t="e">
        <f t="shared" si="151"/>
        <v>#DIV/0!</v>
      </c>
      <c r="GZ33" s="521">
        <f t="shared" si="151"/>
        <v>0.31125000000000003</v>
      </c>
      <c r="HA33" s="521">
        <f t="shared" si="151"/>
        <v>0.64874999999999994</v>
      </c>
      <c r="HB33" s="521">
        <f t="shared" si="151"/>
        <v>0.46249999999999997</v>
      </c>
      <c r="HC33" s="521">
        <f t="shared" si="151"/>
        <v>0.52875000000000005</v>
      </c>
      <c r="HD33" s="521">
        <f t="shared" si="151"/>
        <v>0.55875000000000008</v>
      </c>
      <c r="HE33" s="521">
        <f t="shared" si="151"/>
        <v>0.44999999999999996</v>
      </c>
      <c r="HF33" s="521">
        <f t="shared" si="151"/>
        <v>0.47625000000000006</v>
      </c>
      <c r="HG33" s="521">
        <f t="shared" si="151"/>
        <v>0.65000000000000013</v>
      </c>
      <c r="HH33" s="521">
        <f t="shared" si="151"/>
        <v>0.40000000000000008</v>
      </c>
      <c r="HI33" s="521">
        <f t="shared" si="151"/>
        <v>0.57375000000000009</v>
      </c>
      <c r="HJ33" s="521">
        <f t="shared" si="151"/>
        <v>0.58875000000000011</v>
      </c>
      <c r="HK33" s="521">
        <f t="shared" si="151"/>
        <v>0.47249999999999998</v>
      </c>
      <c r="HL33" s="521">
        <f t="shared" si="151"/>
        <v>0.41375000000000001</v>
      </c>
      <c r="HM33" s="521">
        <f t="shared" si="151"/>
        <v>0.48</v>
      </c>
      <c r="HN33" s="521">
        <f t="shared" si="151"/>
        <v>0.42999999999999994</v>
      </c>
      <c r="HO33" s="521">
        <f t="shared" si="151"/>
        <v>0.40750000000000003</v>
      </c>
      <c r="HP33" s="521" t="e">
        <f t="shared" si="151"/>
        <v>#DIV/0!</v>
      </c>
      <c r="HQ33" s="521">
        <f t="shared" si="151"/>
        <v>0.42750000000000005</v>
      </c>
      <c r="HR33" s="192">
        <f>AVERAGEIFS(HR$36:HR$167,$C$36:$C$167,"=4", $B$36:$B$167,"NO OFICIAL")</f>
        <v>48.888888888888886</v>
      </c>
      <c r="HT33" s="192">
        <f>AVERAGEIFS(HT$36:HT$167,$C$36:$C$167,"=4", $B$36:$B$167,"NO OFICIAL")</f>
        <v>7.7777777777777777</v>
      </c>
      <c r="HV33" s="521">
        <f>AVERAGEIFS(HV$36:HV$167,$C$36:$C$167,"=4", $B$36:$B$167,"NO OFICIAL")</f>
        <v>0.16444444444444445</v>
      </c>
      <c r="HW33" s="521">
        <f t="shared" ref="HW33:IY33" si="152">AVERAGEIFS(HW$36:HW$167,$C$36:$C$167,"=4", $B$36:$B$167,"NO OFICIAL")</f>
        <v>0.5888888888888888</v>
      </c>
      <c r="HX33" s="521">
        <f t="shared" si="152"/>
        <v>0.24333333333333337</v>
      </c>
      <c r="HY33" s="521">
        <f t="shared" si="152"/>
        <v>4.4444444444444444E-3</v>
      </c>
      <c r="HZ33" s="521">
        <f t="shared" si="152"/>
        <v>0.40777777777777779</v>
      </c>
      <c r="IA33" s="521">
        <f t="shared" si="152"/>
        <v>0.56444444444444453</v>
      </c>
      <c r="IB33" s="521">
        <f t="shared" si="152"/>
        <v>0.3511111111111111</v>
      </c>
      <c r="IC33" s="521">
        <f t="shared" si="152"/>
        <v>0.56222222222222229</v>
      </c>
      <c r="ID33" s="521">
        <f t="shared" si="152"/>
        <v>0.68</v>
      </c>
      <c r="IE33" s="521">
        <f t="shared" si="152"/>
        <v>0.41555555555555551</v>
      </c>
      <c r="IF33" s="521">
        <f t="shared" si="152"/>
        <v>0.46111111111111114</v>
      </c>
      <c r="IG33" s="521">
        <f t="shared" si="152"/>
        <v>0.53111111111111109</v>
      </c>
      <c r="IH33" s="521">
        <f t="shared" si="152"/>
        <v>0.60000000000000009</v>
      </c>
      <c r="II33" s="521">
        <f t="shared" si="152"/>
        <v>0.41333333333333333</v>
      </c>
      <c r="IJ33" s="521">
        <f t="shared" si="152"/>
        <v>0.30777777777777776</v>
      </c>
      <c r="IK33" s="521">
        <f t="shared" si="152"/>
        <v>0.57888888888888879</v>
      </c>
      <c r="IL33" s="521">
        <f t="shared" si="152"/>
        <v>0.3355555555555555</v>
      </c>
      <c r="IM33" s="521">
        <f t="shared" si="152"/>
        <v>0.59111111111111114</v>
      </c>
      <c r="IN33" s="521">
        <f t="shared" si="152"/>
        <v>0.51222222222222225</v>
      </c>
      <c r="IO33" s="521">
        <f t="shared" si="152"/>
        <v>0.57444444444444454</v>
      </c>
      <c r="IP33" s="521">
        <f t="shared" si="152"/>
        <v>0.47888888888888892</v>
      </c>
      <c r="IQ33" s="521">
        <f t="shared" si="152"/>
        <v>0.66222222222222227</v>
      </c>
      <c r="IR33" s="521">
        <f t="shared" si="152"/>
        <v>0.61111111111111116</v>
      </c>
      <c r="IS33" s="521">
        <f t="shared" si="152"/>
        <v>0.56666666666666665</v>
      </c>
      <c r="IT33" s="521">
        <f t="shared" si="152"/>
        <v>0.47222222222222221</v>
      </c>
      <c r="IU33" s="521" t="e">
        <f t="shared" si="152"/>
        <v>#DIV/0!</v>
      </c>
      <c r="IV33" s="521">
        <f t="shared" si="152"/>
        <v>0.66222222222222216</v>
      </c>
      <c r="IW33" s="521">
        <f t="shared" si="152"/>
        <v>0.40666666666666662</v>
      </c>
      <c r="IX33" s="521">
        <f t="shared" si="152"/>
        <v>0.55888888888888877</v>
      </c>
      <c r="IY33" s="521">
        <f t="shared" si="152"/>
        <v>0.52111111111111119</v>
      </c>
    </row>
    <row r="34" spans="1:259" s="434" customFormat="1" ht="24.9" customHeight="1" x14ac:dyDescent="0.25">
      <c r="A34" s="6" t="s">
        <v>941</v>
      </c>
      <c r="B34" s="447"/>
      <c r="C34" s="447"/>
      <c r="D34" s="192">
        <f>AVERAGEIFS(D$36:D$167,$C$36:$C$167,"=5", $B$36:$B$167,"NO OFICIAL")</f>
        <v>56.533333333333331</v>
      </c>
      <c r="E34" s="192">
        <f>AVERAGEIFS(E$36:E$167,$C$36:$C$167,"=5", $B$36:$B$167,"NO OFICIAL")</f>
        <v>6.6</v>
      </c>
      <c r="F34" s="65">
        <f>AVERAGEIFS(F$36:F$167,$C$36:$C$167,"=5", $B$36:$B$167,"NO OFICIAL")</f>
        <v>1.5333333333333334E-2</v>
      </c>
      <c r="G34" s="65">
        <f t="shared" ref="G34:AG34" si="153">AVERAGEIFS(G$36:G$167,$C$36:$C$167,"=5", $B$36:$B$167,"NO OFICIAL")</f>
        <v>0.45000000000000012</v>
      </c>
      <c r="H34" s="65">
        <f t="shared" si="153"/>
        <v>0.51666666666666661</v>
      </c>
      <c r="I34" s="65">
        <f t="shared" si="153"/>
        <v>1.6000000000000004E-2</v>
      </c>
      <c r="J34" s="65">
        <f t="shared" si="153"/>
        <v>0.30199999999999999</v>
      </c>
      <c r="K34" s="65">
        <f t="shared" si="153"/>
        <v>0.30666666666666664</v>
      </c>
      <c r="L34" s="65">
        <f t="shared" si="153"/>
        <v>0.69</v>
      </c>
      <c r="M34" s="65">
        <f t="shared" si="153"/>
        <v>0.15466666666666665</v>
      </c>
      <c r="N34" s="65">
        <f t="shared" si="153"/>
        <v>0.23666666666666669</v>
      </c>
      <c r="O34" s="65">
        <f t="shared" si="153"/>
        <v>0.66200000000000014</v>
      </c>
      <c r="P34" s="65">
        <f t="shared" si="153"/>
        <v>0.3073333333333334</v>
      </c>
      <c r="Q34" s="65">
        <f t="shared" si="153"/>
        <v>0.36666666666666664</v>
      </c>
      <c r="R34" s="65">
        <f t="shared" si="153"/>
        <v>0.50066666666666648</v>
      </c>
      <c r="S34" s="65">
        <f t="shared" si="153"/>
        <v>0.55199999999999994</v>
      </c>
      <c r="T34" s="65">
        <f t="shared" si="153"/>
        <v>0.42133333333333328</v>
      </c>
      <c r="U34" s="65">
        <f t="shared" si="153"/>
        <v>0.51866666666666672</v>
      </c>
      <c r="V34" s="65">
        <f t="shared" si="153"/>
        <v>4.6666666666666662E-2</v>
      </c>
      <c r="W34" s="65">
        <f t="shared" si="153"/>
        <v>0.12200000000000001</v>
      </c>
      <c r="X34" s="65">
        <f t="shared" si="153"/>
        <v>0.44533333333333336</v>
      </c>
      <c r="Y34" s="65">
        <f t="shared" si="153"/>
        <v>0.45466666666666661</v>
      </c>
      <c r="Z34" s="65">
        <f t="shared" si="153"/>
        <v>0.72222222222222221</v>
      </c>
      <c r="AA34" s="65">
        <f t="shared" si="153"/>
        <v>7.9333333333333339E-2</v>
      </c>
      <c r="AB34" s="65">
        <f t="shared" si="153"/>
        <v>0.42000000000000004</v>
      </c>
      <c r="AC34" s="65">
        <f t="shared" si="153"/>
        <v>0.18866666666666665</v>
      </c>
      <c r="AD34" s="65">
        <f t="shared" si="153"/>
        <v>0.38533333333333336</v>
      </c>
      <c r="AE34" s="65">
        <f t="shared" si="153"/>
        <v>0.31666666666666665</v>
      </c>
      <c r="AF34" s="65">
        <f t="shared" si="153"/>
        <v>0.47399999999999998</v>
      </c>
      <c r="AG34" s="65">
        <f t="shared" si="153"/>
        <v>0.46466666666666667</v>
      </c>
      <c r="AH34" s="192">
        <f>AVERAGEIFS(AH$36:AH$167,$C$36:$C$167,"=5", $B$36:$B$167,"NO OFICIAL")</f>
        <v>55.466666666666669</v>
      </c>
      <c r="AI34" s="192">
        <f>AVERAGEIFS(AI$36:AI$167,$C$36:$C$167,"=5", $B$36:$B$167,"NO OFICIAL")</f>
        <v>7.666666666666667</v>
      </c>
      <c r="AJ34" s="65">
        <f>AVERAGEIFS(AJ$36:AJ$167,$C$36:$C$167,"=5", $B$36:$B$167,"NO OFICIAL")</f>
        <v>5.8000000000000003E-2</v>
      </c>
      <c r="AK34" s="65">
        <f t="shared" ref="AK34:BL34" si="154">AVERAGEIFS(AK$36:AK$167,$C$36:$C$167,"=5", $B$36:$B$167,"NO OFICIAL")</f>
        <v>0.41866666666666669</v>
      </c>
      <c r="AL34" s="65">
        <f t="shared" si="154"/>
        <v>0.51333333333333331</v>
      </c>
      <c r="AM34" s="65">
        <f t="shared" si="154"/>
        <v>1.0666666666666666E-2</v>
      </c>
      <c r="AN34" s="65">
        <f t="shared" si="154"/>
        <v>0.222</v>
      </c>
      <c r="AO34" s="65">
        <f t="shared" si="154"/>
        <v>0.43533333333333335</v>
      </c>
      <c r="AP34" s="65">
        <f t="shared" si="154"/>
        <v>0.4906666666666667</v>
      </c>
      <c r="AQ34" s="65">
        <f t="shared" si="154"/>
        <v>0.29666666666666663</v>
      </c>
      <c r="AR34" s="65">
        <f t="shared" si="154"/>
        <v>0.48400000000000004</v>
      </c>
      <c r="AS34" s="65">
        <f t="shared" si="154"/>
        <v>0.4466666666666666</v>
      </c>
      <c r="AT34" s="65">
        <f t="shared" si="154"/>
        <v>0.45133333333333331</v>
      </c>
      <c r="AU34" s="65">
        <f t="shared" si="154"/>
        <v>0.4200000000000001</v>
      </c>
      <c r="AV34" s="65">
        <f t="shared" si="154"/>
        <v>0.53</v>
      </c>
      <c r="AW34" s="65">
        <f t="shared" si="154"/>
        <v>0.44333333333333341</v>
      </c>
      <c r="AX34" s="65">
        <f t="shared" si="154"/>
        <v>0.47266666666666668</v>
      </c>
      <c r="AY34" s="65">
        <f t="shared" si="154"/>
        <v>0.25666666666666671</v>
      </c>
      <c r="AZ34" s="65">
        <f t="shared" si="154"/>
        <v>0.19733333333333336</v>
      </c>
      <c r="BA34" s="65">
        <f t="shared" si="154"/>
        <v>0.39733333333333326</v>
      </c>
      <c r="BB34" s="65">
        <f t="shared" si="154"/>
        <v>0.59066666666666678</v>
      </c>
      <c r="BC34" s="65">
        <f t="shared" si="154"/>
        <v>0.59599999999999997</v>
      </c>
      <c r="BD34" s="65">
        <f t="shared" si="154"/>
        <v>0.3726666666666667</v>
      </c>
      <c r="BE34" s="65">
        <f t="shared" si="154"/>
        <v>0.54333333333333345</v>
      </c>
      <c r="BF34" s="65">
        <f t="shared" si="154"/>
        <v>0.53599999999999992</v>
      </c>
      <c r="BG34" s="65">
        <f t="shared" si="154"/>
        <v>0.44399999999999995</v>
      </c>
      <c r="BH34" s="65">
        <f t="shared" si="154"/>
        <v>0.40133333333333332</v>
      </c>
      <c r="BI34" s="65">
        <f t="shared" si="154"/>
        <v>0.35399999999999993</v>
      </c>
      <c r="BJ34" s="65">
        <f t="shared" si="154"/>
        <v>0.29866666666666669</v>
      </c>
      <c r="BK34" s="65">
        <f t="shared" si="154"/>
        <v>0.36399999999999999</v>
      </c>
      <c r="BL34" s="65">
        <f t="shared" si="154"/>
        <v>0.438</v>
      </c>
      <c r="BM34" s="192">
        <f>AVERAGEIFS(BM$36:BM$167,$C$36:$C$167,"=5", $B$36:$B$167,"NO OFICIAL")</f>
        <v>54.125</v>
      </c>
      <c r="BN34" s="192">
        <f>AVERAGEIFS(BN$36:BN$167,$C$36:$C$167,"=5", $B$36:$B$167,"NO OFICIAL")</f>
        <v>7.8125</v>
      </c>
      <c r="BO34" s="65">
        <f>AVERAGEIFS(BO$36:BO$167,$C$36:$C$167,"=5", $B$36:$B$167,"NO OFICIAL")</f>
        <v>5.9375000000000011E-2</v>
      </c>
      <c r="BP34" s="65">
        <f t="shared" ref="BP34:CR34" si="155">AVERAGEIFS(BP$36:BP$167,$C$36:$C$167,"=5", $B$36:$B$167,"NO OFICIAL")</f>
        <v>0.52937500000000004</v>
      </c>
      <c r="BQ34" s="65">
        <f t="shared" si="155"/>
        <v>0.38562499999999994</v>
      </c>
      <c r="BR34" s="65">
        <f t="shared" si="155"/>
        <v>2.5625000000000002E-2</v>
      </c>
      <c r="BS34" s="65">
        <f t="shared" si="155"/>
        <v>0.265625</v>
      </c>
      <c r="BT34" s="65">
        <f t="shared" si="155"/>
        <v>0.58733333333333337</v>
      </c>
      <c r="BU34" s="65">
        <f t="shared" si="155"/>
        <v>0.58133333333333337</v>
      </c>
      <c r="BV34" s="65">
        <f t="shared" si="155"/>
        <v>0.29874999999999996</v>
      </c>
      <c r="BW34" s="65">
        <f t="shared" si="155"/>
        <v>0.60125000000000006</v>
      </c>
      <c r="BX34" s="65">
        <f t="shared" si="155"/>
        <v>0.29500000000000004</v>
      </c>
      <c r="BY34" s="65">
        <f t="shared" si="155"/>
        <v>0.37624999999999997</v>
      </c>
      <c r="BZ34" s="65">
        <f t="shared" si="155"/>
        <v>0.45687500000000009</v>
      </c>
      <c r="CA34" s="65">
        <f t="shared" si="155"/>
        <v>0.421875</v>
      </c>
      <c r="CB34" s="65">
        <f t="shared" si="155"/>
        <v>0.29000000000000004</v>
      </c>
      <c r="CC34" s="65">
        <f t="shared" si="155"/>
        <v>0.18875</v>
      </c>
      <c r="CD34" s="65">
        <f t="shared" si="155"/>
        <v>0.33499999999999996</v>
      </c>
      <c r="CE34" s="65">
        <f t="shared" si="155"/>
        <v>0.28562499999999996</v>
      </c>
      <c r="CF34" s="65">
        <f t="shared" si="155"/>
        <v>0.58499999999999996</v>
      </c>
      <c r="CG34" s="65">
        <f t="shared" si="155"/>
        <v>0.52937500000000004</v>
      </c>
      <c r="CH34" s="65">
        <f t="shared" si="155"/>
        <v>0.39874999999999994</v>
      </c>
      <c r="CI34" s="65">
        <f t="shared" si="155"/>
        <v>0.495</v>
      </c>
      <c r="CJ34" s="65">
        <f t="shared" si="155"/>
        <v>0.32874999999999999</v>
      </c>
      <c r="CK34" s="65">
        <f t="shared" si="155"/>
        <v>0.604375</v>
      </c>
      <c r="CL34" s="65">
        <f t="shared" si="155"/>
        <v>0.22</v>
      </c>
      <c r="CM34" s="65">
        <f t="shared" si="155"/>
        <v>0.38187500000000002</v>
      </c>
      <c r="CN34" s="65">
        <f t="shared" si="155"/>
        <v>0.37</v>
      </c>
      <c r="CO34" s="65">
        <f t="shared" si="155"/>
        <v>0.37874999999999998</v>
      </c>
      <c r="CP34" s="65">
        <f t="shared" si="155"/>
        <v>0.27625</v>
      </c>
      <c r="CQ34" s="65">
        <f t="shared" si="155"/>
        <v>0.50312500000000004</v>
      </c>
      <c r="CR34" s="65">
        <f t="shared" si="155"/>
        <v>0.46250000000000002</v>
      </c>
      <c r="CS34" s="192">
        <f>AVERAGEIFS(CS$36:CS$167,$C$36:$C$167,"=5", $B$36:$B$167,"NO OFICIAL")</f>
        <v>52.470588235294116</v>
      </c>
      <c r="CT34" s="192">
        <f>AVERAGEIFS(CT$36:CT$167,$C$36:$C$167,"=5", $B$36:$B$167,"NO OFICIAL")</f>
        <v>8.235294117647058</v>
      </c>
      <c r="CU34" s="65">
        <f>AVERAGEIFS(CU$36:CU$167,$C$36:$C$167,"=5", $B$36:$B$167,"NO OFICIAL")</f>
        <v>9.6470588235294127E-2</v>
      </c>
      <c r="CV34" s="65">
        <f t="shared" ref="CV34:DW34" si="156">AVERAGEIFS(CV$36:CV$167,$C$36:$C$167,"=5", $B$36:$B$167,"NO OFICIAL")</f>
        <v>0.5135294117647059</v>
      </c>
      <c r="CW34" s="65">
        <f t="shared" si="156"/>
        <v>0.36588235294117649</v>
      </c>
      <c r="CX34" s="65">
        <f t="shared" si="156"/>
        <v>2.5882352941176471E-2</v>
      </c>
      <c r="CY34" s="65">
        <f t="shared" si="156"/>
        <v>0.44588235294117645</v>
      </c>
      <c r="CZ34" s="65">
        <f t="shared" si="156"/>
        <v>0.24647058823529419</v>
      </c>
      <c r="DA34" s="65">
        <f t="shared" si="156"/>
        <v>0.51705882352941179</v>
      </c>
      <c r="DB34" s="65">
        <f t="shared" si="156"/>
        <v>0.30705882352941183</v>
      </c>
      <c r="DC34" s="65">
        <f t="shared" si="156"/>
        <v>0.40235294117647058</v>
      </c>
      <c r="DD34" s="65">
        <f t="shared" si="156"/>
        <v>0.60294117647058809</v>
      </c>
      <c r="DE34" s="65">
        <f t="shared" si="156"/>
        <v>0.4052941176470588</v>
      </c>
      <c r="DF34" s="65">
        <f t="shared" si="156"/>
        <v>0.49764705882352944</v>
      </c>
      <c r="DG34" s="65">
        <f t="shared" si="156"/>
        <v>0.41058823529411759</v>
      </c>
      <c r="DH34" s="65">
        <f t="shared" si="156"/>
        <v>0.33529411764705885</v>
      </c>
      <c r="DI34" s="65">
        <f t="shared" si="156"/>
        <v>0.48529411764705882</v>
      </c>
      <c r="DJ34" s="65">
        <f t="shared" si="156"/>
        <v>0.4300000000000001</v>
      </c>
      <c r="DK34" s="65">
        <f t="shared" si="156"/>
        <v>0.26470588235294124</v>
      </c>
      <c r="DL34" s="65">
        <f t="shared" si="156"/>
        <v>0.33058823529411763</v>
      </c>
      <c r="DM34" s="65">
        <f t="shared" si="156"/>
        <v>0.48352941176470582</v>
      </c>
      <c r="DN34" s="65">
        <f t="shared" si="156"/>
        <v>0.43999999999999995</v>
      </c>
      <c r="DO34" s="65">
        <f t="shared" si="156"/>
        <v>0.36823529411764705</v>
      </c>
      <c r="DP34" s="65">
        <f t="shared" si="156"/>
        <v>0.39176470588235296</v>
      </c>
      <c r="DQ34" s="65">
        <f t="shared" si="156"/>
        <v>0.51588235294117646</v>
      </c>
      <c r="DR34" s="65">
        <f t="shared" si="156"/>
        <v>0.18823529411764706</v>
      </c>
      <c r="DS34" s="65">
        <f t="shared" si="156"/>
        <v>0.3623529411764706</v>
      </c>
      <c r="DT34" s="65">
        <f t="shared" si="156"/>
        <v>0.57294117647058818</v>
      </c>
      <c r="DU34" s="65">
        <f t="shared" si="156"/>
        <v>0.40823529411764703</v>
      </c>
      <c r="DV34" s="65">
        <f t="shared" si="156"/>
        <v>0.5423529411764707</v>
      </c>
      <c r="DW34" s="65">
        <f t="shared" si="156"/>
        <v>0.29882352941176471</v>
      </c>
      <c r="DX34" s="192">
        <f>AVERAGEIFS(DX$36:DX$167,$C$36:$C$167,"=5", $B$36:$B$167,"NO OFICIAL")</f>
        <v>53.25</v>
      </c>
      <c r="DY34" s="192">
        <f>AVERAGEIFS(DY$36:DY$167,$C$36:$C$167,"=5", $B$36:$B$167,"NO OFICIAL")</f>
        <v>7.6875</v>
      </c>
      <c r="DZ34" s="65">
        <f>AVERAGEIFS(DZ$36:DZ$167,$C$36:$C$167,"=5", $B$36:$B$167,"NO OFICIAL")</f>
        <v>7.8750000000000014E-2</v>
      </c>
      <c r="EA34" s="65">
        <f t="shared" ref="EA34:FA34" si="157">AVERAGEIFS(EA$36:EA$167,$C$36:$C$167,"=5", $B$36:$B$167,"NO OFICIAL")</f>
        <v>0.49312499999999998</v>
      </c>
      <c r="EB34" s="65">
        <f t="shared" si="157"/>
        <v>0.42062500000000003</v>
      </c>
      <c r="EC34" s="65">
        <f t="shared" si="157"/>
        <v>8.7499999999999991E-3</v>
      </c>
      <c r="ED34" s="65">
        <f t="shared" si="157"/>
        <v>0.45624999999999999</v>
      </c>
      <c r="EE34" s="65">
        <f t="shared" si="157"/>
        <v>0.416875</v>
      </c>
      <c r="EF34" s="65">
        <f t="shared" si="157"/>
        <v>0.44375000000000003</v>
      </c>
      <c r="EG34" s="65">
        <f t="shared" si="157"/>
        <v>0.22750000000000001</v>
      </c>
      <c r="EH34" s="65">
        <f t="shared" si="157"/>
        <v>0.32874999999999999</v>
      </c>
      <c r="EI34" s="65">
        <f t="shared" si="157"/>
        <v>0.458125</v>
      </c>
      <c r="EJ34" s="65">
        <f t="shared" si="157"/>
        <v>0.52124999999999988</v>
      </c>
      <c r="EK34" s="65">
        <f t="shared" si="157"/>
        <v>0.21812500000000001</v>
      </c>
      <c r="EL34" s="65">
        <f t="shared" si="157"/>
        <v>0.36124999999999996</v>
      </c>
      <c r="EM34" s="65">
        <f t="shared" si="157"/>
        <v>0.58187500000000014</v>
      </c>
      <c r="EN34" s="65">
        <f t="shared" si="157"/>
        <v>0.34500000000000003</v>
      </c>
      <c r="EO34" s="65">
        <f t="shared" si="157"/>
        <v>0.52750000000000008</v>
      </c>
      <c r="EP34" s="65">
        <f t="shared" si="157"/>
        <v>0.34937499999999999</v>
      </c>
      <c r="EQ34" s="65">
        <f t="shared" si="157"/>
        <v>0.17937500000000003</v>
      </c>
      <c r="ER34" s="65">
        <f t="shared" si="157"/>
        <v>0.53875000000000006</v>
      </c>
      <c r="ES34" s="65">
        <f t="shared" si="157"/>
        <v>0.393125</v>
      </c>
      <c r="ET34" s="65">
        <f t="shared" si="157"/>
        <v>0.25312500000000004</v>
      </c>
      <c r="EU34" s="65">
        <f t="shared" si="157"/>
        <v>0.52124999999999999</v>
      </c>
      <c r="EV34" s="65">
        <f t="shared" si="157"/>
        <v>0.25124999999999997</v>
      </c>
      <c r="EW34" s="65">
        <f t="shared" si="157"/>
        <v>0.27687499999999998</v>
      </c>
      <c r="EX34" s="65">
        <f t="shared" si="157"/>
        <v>0.66374999999999995</v>
      </c>
      <c r="EY34" s="65">
        <f t="shared" si="157"/>
        <v>0.49562499999999998</v>
      </c>
      <c r="EZ34" s="65">
        <f t="shared" si="157"/>
        <v>0.16874999999999998</v>
      </c>
      <c r="FA34" s="65">
        <f t="shared" si="157"/>
        <v>0.55687500000000012</v>
      </c>
      <c r="FB34" s="192">
        <f>AVERAGEIFS(FB$36:FB$167,$C$36:$C$167,"=5", $B$36:$B$167,"NO OFICIAL")</f>
        <v>52.75</v>
      </c>
      <c r="FD34" s="192">
        <f>AVERAGEIFS(FD$36:FD$167,$C$36:$C$167,"=5", $B$36:$B$167,"NO OFICIAL")</f>
        <v>8</v>
      </c>
      <c r="FF34" s="65">
        <f>AVERAGEIFS(FF$36:FF$167,$C$36:$C$167,"=5", $B$36:$B$167,"NO OFICIAL")</f>
        <v>6.9375000000000006E-2</v>
      </c>
      <c r="FG34" s="65">
        <f t="shared" ref="FG34:GI34" si="158">AVERAGEIFS(FG$36:FG$167,$C$36:$C$167,"=5", $B$36:$B$167,"NO OFICIAL")</f>
        <v>0.55437499999999984</v>
      </c>
      <c r="FH34" s="65">
        <f t="shared" si="158"/>
        <v>0.36749999999999999</v>
      </c>
      <c r="FI34" s="65">
        <f t="shared" si="158"/>
        <v>1.1875E-2</v>
      </c>
      <c r="FJ34" s="65">
        <f t="shared" si="158"/>
        <v>0.390625</v>
      </c>
      <c r="FK34" s="65">
        <f t="shared" si="158"/>
        <v>0.625</v>
      </c>
      <c r="FL34" s="65">
        <f t="shared" si="158"/>
        <v>0.44187500000000002</v>
      </c>
      <c r="FM34" s="65">
        <f t="shared" si="158"/>
        <v>0.40000000000000008</v>
      </c>
      <c r="FN34" s="65">
        <f t="shared" si="158"/>
        <v>0.23500000000000007</v>
      </c>
      <c r="FO34" s="65">
        <f t="shared" si="158"/>
        <v>0.26999999999999996</v>
      </c>
      <c r="FP34" s="65">
        <f t="shared" si="158"/>
        <v>0.33687500000000004</v>
      </c>
      <c r="FQ34" s="65">
        <f t="shared" si="158"/>
        <v>0.35250000000000004</v>
      </c>
      <c r="FR34" s="65">
        <f t="shared" si="158"/>
        <v>0.53625</v>
      </c>
      <c r="FS34" s="65">
        <f t="shared" si="158"/>
        <v>0.47125</v>
      </c>
      <c r="FT34" s="65">
        <f t="shared" si="158"/>
        <v>0.44499999999999995</v>
      </c>
      <c r="FU34" s="65">
        <f t="shared" si="158"/>
        <v>0.31062499999999998</v>
      </c>
      <c r="FV34" s="65">
        <f t="shared" si="158"/>
        <v>0.53749999999999998</v>
      </c>
      <c r="FW34" s="65">
        <f t="shared" si="158"/>
        <v>0.50375000000000003</v>
      </c>
      <c r="FX34" s="65">
        <f t="shared" si="158"/>
        <v>0.40875</v>
      </c>
      <c r="FY34" s="65">
        <f t="shared" si="158"/>
        <v>0.32187500000000002</v>
      </c>
      <c r="FZ34" s="65">
        <f t="shared" si="158"/>
        <v>0.33937500000000004</v>
      </c>
      <c r="GA34" s="65">
        <f t="shared" si="158"/>
        <v>0.45687500000000009</v>
      </c>
      <c r="GB34" s="65">
        <f t="shared" si="158"/>
        <v>0.47187499999999999</v>
      </c>
      <c r="GC34" s="65">
        <f t="shared" si="158"/>
        <v>0.39187500000000003</v>
      </c>
      <c r="GD34" s="65">
        <f t="shared" si="158"/>
        <v>0.54625000000000012</v>
      </c>
      <c r="GE34" s="65">
        <f t="shared" si="158"/>
        <v>0.45374999999999999</v>
      </c>
      <c r="GF34" s="65">
        <f t="shared" si="158"/>
        <v>0.38687500000000008</v>
      </c>
      <c r="GG34" s="65">
        <f t="shared" si="158"/>
        <v>0.39187500000000008</v>
      </c>
      <c r="GH34" s="65">
        <f t="shared" si="158"/>
        <v>0.52</v>
      </c>
      <c r="GI34" s="65">
        <f t="shared" si="158"/>
        <v>0.26062500000000005</v>
      </c>
      <c r="GJ34" s="192">
        <f>AVERAGEIFS(GJ$36:GJ$167,$C$36:$C$167,"=5", $B$36:$B$167,"NO OFICIAL")</f>
        <v>54.133333333333333</v>
      </c>
      <c r="GL34" s="192">
        <f>AVERAGEIFS(GL$36:GL$167,$C$36:$C$167,"=5", $B$36:$B$167,"NO OFICIAL")</f>
        <v>8.0666666666666664</v>
      </c>
      <c r="GN34" s="521">
        <f>AVERAGEIFS(GN$36:GN$167,$C$36:$C$167,"=5", $B$36:$B$167,"NO OFICIAL")</f>
        <v>6.0000000000000005E-2</v>
      </c>
      <c r="GO34" s="521">
        <f t="shared" ref="GO34:HQ34" si="159">AVERAGEIFS(GO$36:GO$167,$C$36:$C$167,"=5", $B$36:$B$167,"NO OFICIAL")</f>
        <v>0.49799999999999994</v>
      </c>
      <c r="GP34" s="521">
        <f t="shared" si="159"/>
        <v>0.42066666666666669</v>
      </c>
      <c r="GQ34" s="521">
        <f t="shared" si="159"/>
        <v>2.1333333333333333E-2</v>
      </c>
      <c r="GR34" s="521">
        <f t="shared" si="159"/>
        <v>0.41666666666666669</v>
      </c>
      <c r="GS34" s="521">
        <f t="shared" si="159"/>
        <v>0.45133333333333342</v>
      </c>
      <c r="GT34" s="521">
        <f t="shared" si="159"/>
        <v>0.55933333333333324</v>
      </c>
      <c r="GU34" s="521">
        <f t="shared" si="159"/>
        <v>0.18266666666666664</v>
      </c>
      <c r="GV34" s="521">
        <f t="shared" si="159"/>
        <v>0.48333333333333345</v>
      </c>
      <c r="GW34" s="521">
        <f t="shared" si="159"/>
        <v>0.34799999999999998</v>
      </c>
      <c r="GX34" s="521">
        <f t="shared" si="159"/>
        <v>0.39066666666666666</v>
      </c>
      <c r="GY34" s="521" t="e">
        <f t="shared" si="159"/>
        <v>#DIV/0!</v>
      </c>
      <c r="GZ34" s="521">
        <f t="shared" si="159"/>
        <v>0.25400000000000006</v>
      </c>
      <c r="HA34" s="521">
        <f t="shared" si="159"/>
        <v>0.59866666666666668</v>
      </c>
      <c r="HB34" s="521">
        <f t="shared" si="159"/>
        <v>0.38466666666666671</v>
      </c>
      <c r="HC34" s="521">
        <f t="shared" si="159"/>
        <v>0.49933333333333346</v>
      </c>
      <c r="HD34" s="521">
        <f t="shared" si="159"/>
        <v>0.48733333333333334</v>
      </c>
      <c r="HE34" s="521">
        <f t="shared" si="159"/>
        <v>0.40666666666666662</v>
      </c>
      <c r="HF34" s="521">
        <f t="shared" si="159"/>
        <v>0.41733333333333333</v>
      </c>
      <c r="HG34" s="521">
        <f t="shared" si="159"/>
        <v>0.64200000000000002</v>
      </c>
      <c r="HH34" s="521">
        <f t="shared" si="159"/>
        <v>0.32533333333333336</v>
      </c>
      <c r="HI34" s="521">
        <f t="shared" si="159"/>
        <v>0.45200000000000007</v>
      </c>
      <c r="HJ34" s="521">
        <f t="shared" si="159"/>
        <v>0.53666666666666674</v>
      </c>
      <c r="HK34" s="521">
        <f t="shared" si="159"/>
        <v>0.46066666666666667</v>
      </c>
      <c r="HL34" s="521">
        <f t="shared" si="159"/>
        <v>0.3133333333333333</v>
      </c>
      <c r="HM34" s="521">
        <f t="shared" si="159"/>
        <v>0.44800000000000006</v>
      </c>
      <c r="HN34" s="521">
        <f t="shared" si="159"/>
        <v>0.41133333333333338</v>
      </c>
      <c r="HO34" s="521">
        <f t="shared" si="159"/>
        <v>0.34866666666666662</v>
      </c>
      <c r="HP34" s="521" t="e">
        <f t="shared" si="159"/>
        <v>#DIV/0!</v>
      </c>
      <c r="HQ34" s="521">
        <f t="shared" si="159"/>
        <v>0.33800000000000002</v>
      </c>
      <c r="HR34" s="192">
        <f>AVERAGEIFS(HR$36:HR$167,$C$36:$C$167,"=5", $B$36:$B$167,"NO OFICIAL")</f>
        <v>55.133333333333333</v>
      </c>
      <c r="HT34" s="192">
        <f>AVERAGEIFS(HT$36:HT$167,$C$36:$C$167,"=5", $B$36:$B$167,"NO OFICIAL")</f>
        <v>8.1999999999999993</v>
      </c>
      <c r="HV34" s="521">
        <f>AVERAGEIFS(HV$36:HV$167,$C$36:$C$167,"=5", $B$36:$B$167,"NO OFICIAL")</f>
        <v>4.8666666666666671E-2</v>
      </c>
      <c r="HW34" s="521">
        <f t="shared" ref="HW34:IY34" si="160">AVERAGEIFS(HW$36:HW$167,$C$36:$C$167,"=5", $B$36:$B$167,"NO OFICIAL")</f>
        <v>0.46666666666666667</v>
      </c>
      <c r="HX34" s="521">
        <f t="shared" si="160"/>
        <v>0.44600000000000001</v>
      </c>
      <c r="HY34" s="521">
        <f t="shared" si="160"/>
        <v>3.6666666666666667E-2</v>
      </c>
      <c r="HZ34" s="521">
        <f t="shared" si="160"/>
        <v>0.3246666666666666</v>
      </c>
      <c r="IA34" s="521">
        <f t="shared" si="160"/>
        <v>0.4479999999999999</v>
      </c>
      <c r="IB34" s="521">
        <f t="shared" si="160"/>
        <v>0.29466666666666669</v>
      </c>
      <c r="IC34" s="521">
        <f t="shared" si="160"/>
        <v>0.4346666666666667</v>
      </c>
      <c r="ID34" s="521">
        <f t="shared" si="160"/>
        <v>0.58333333333333337</v>
      </c>
      <c r="IE34" s="521">
        <f t="shared" si="160"/>
        <v>0.26400000000000001</v>
      </c>
      <c r="IF34" s="521">
        <f t="shared" si="160"/>
        <v>0.33333333333333337</v>
      </c>
      <c r="IG34" s="521">
        <f t="shared" si="160"/>
        <v>0.47199999999999992</v>
      </c>
      <c r="IH34" s="521">
        <f t="shared" si="160"/>
        <v>0.44866666666666671</v>
      </c>
      <c r="II34" s="521">
        <f t="shared" si="160"/>
        <v>0.20133333333333334</v>
      </c>
      <c r="IJ34" s="521">
        <f t="shared" si="160"/>
        <v>0.19333333333333336</v>
      </c>
      <c r="IK34" s="521">
        <f t="shared" si="160"/>
        <v>0.50733333333333341</v>
      </c>
      <c r="IL34" s="521">
        <f t="shared" si="160"/>
        <v>0.28600000000000009</v>
      </c>
      <c r="IM34" s="521">
        <f t="shared" si="160"/>
        <v>0.54733333333333334</v>
      </c>
      <c r="IN34" s="521">
        <f t="shared" si="160"/>
        <v>0.34466666666666668</v>
      </c>
      <c r="IO34" s="521">
        <f t="shared" si="160"/>
        <v>0.47133333333333344</v>
      </c>
      <c r="IP34" s="521">
        <f t="shared" si="160"/>
        <v>0.30599999999999999</v>
      </c>
      <c r="IQ34" s="521">
        <f t="shared" si="160"/>
        <v>0.60266666666666668</v>
      </c>
      <c r="IR34" s="521">
        <f t="shared" si="160"/>
        <v>0.47133333333333333</v>
      </c>
      <c r="IS34" s="521">
        <f t="shared" si="160"/>
        <v>0.45666666666666661</v>
      </c>
      <c r="IT34" s="521">
        <f t="shared" si="160"/>
        <v>0.36000000000000004</v>
      </c>
      <c r="IU34" s="521" t="e">
        <f t="shared" si="160"/>
        <v>#DIV/0!</v>
      </c>
      <c r="IV34" s="521">
        <f t="shared" si="160"/>
        <v>0.55000000000000016</v>
      </c>
      <c r="IW34" s="521">
        <f t="shared" si="160"/>
        <v>0.34666666666666668</v>
      </c>
      <c r="IX34" s="521">
        <f t="shared" si="160"/>
        <v>0.39133333333333337</v>
      </c>
      <c r="IY34" s="521">
        <f t="shared" si="160"/>
        <v>0.40133333333333343</v>
      </c>
    </row>
    <row r="35" spans="1:259" s="434" customFormat="1" ht="24.9" customHeight="1" x14ac:dyDescent="0.25">
      <c r="A35" s="6" t="s">
        <v>942</v>
      </c>
      <c r="B35" s="447"/>
      <c r="C35" s="447"/>
      <c r="D35" s="192">
        <f>AVERAGEIFS(D$36:D$167,$C$36:$C$167,"=6", $B$36:$B$167,"NO OFICIAL")</f>
        <v>55.5</v>
      </c>
      <c r="E35" s="192">
        <f>AVERAGEIFS(E$36:E$167,$C$36:$C$167,"=6", $B$36:$B$167,"NO OFICIAL")</f>
        <v>5.5</v>
      </c>
      <c r="F35" s="65">
        <f>AVERAGEIFS(F$36:F$167,$C$36:$C$167,"=6", $B$36:$B$167,"NO OFICIAL")</f>
        <v>1.1666666666666667E-2</v>
      </c>
      <c r="G35" s="65">
        <f t="shared" ref="G35:AG35" si="161">AVERAGEIFS(G$36:G$167,$C$36:$C$167,"=6", $B$36:$B$167,"NO OFICIAL")</f>
        <v>0.50166666666666671</v>
      </c>
      <c r="H35" s="65">
        <f t="shared" si="161"/>
        <v>0.48083333333333328</v>
      </c>
      <c r="I35" s="65">
        <f t="shared" si="161"/>
        <v>4.1666666666666666E-3</v>
      </c>
      <c r="J35" s="65">
        <f t="shared" si="161"/>
        <v>0.38999999999999996</v>
      </c>
      <c r="K35" s="65">
        <f t="shared" si="161"/>
        <v>0.38250000000000001</v>
      </c>
      <c r="L35" s="65">
        <f t="shared" si="161"/>
        <v>0.72750000000000004</v>
      </c>
      <c r="M35" s="65">
        <f t="shared" si="161"/>
        <v>0.14833333333333332</v>
      </c>
      <c r="N35" s="65">
        <f t="shared" si="161"/>
        <v>0.26666666666666666</v>
      </c>
      <c r="O35" s="65">
        <f t="shared" si="161"/>
        <v>0.59750000000000003</v>
      </c>
      <c r="P35" s="65">
        <f t="shared" si="161"/>
        <v>0.34333333333333327</v>
      </c>
      <c r="Q35" s="65">
        <f t="shared" si="161"/>
        <v>0.40583333333333343</v>
      </c>
      <c r="R35" s="65">
        <f t="shared" si="161"/>
        <v>0.49249999999999999</v>
      </c>
      <c r="S35" s="65">
        <f t="shared" si="161"/>
        <v>0.56666666666666676</v>
      </c>
      <c r="T35" s="65">
        <f t="shared" si="161"/>
        <v>0.44750000000000001</v>
      </c>
      <c r="U35" s="65">
        <f t="shared" si="161"/>
        <v>0.47916666666666669</v>
      </c>
      <c r="V35" s="65">
        <f t="shared" si="161"/>
        <v>6.5000000000000016E-2</v>
      </c>
      <c r="W35" s="65">
        <f t="shared" si="161"/>
        <v>8.9166666666666672E-2</v>
      </c>
      <c r="X35" s="65">
        <f t="shared" si="161"/>
        <v>0.46083333333333337</v>
      </c>
      <c r="Y35" s="65">
        <f t="shared" si="161"/>
        <v>0.39499999999999996</v>
      </c>
      <c r="Z35" s="65">
        <f t="shared" si="161"/>
        <v>0.54714285714285715</v>
      </c>
      <c r="AA35" s="65">
        <f t="shared" si="161"/>
        <v>8.083333333333334E-2</v>
      </c>
      <c r="AB35" s="65">
        <f t="shared" si="161"/>
        <v>0.39250000000000002</v>
      </c>
      <c r="AC35" s="65">
        <f t="shared" si="161"/>
        <v>0.25166666666666665</v>
      </c>
      <c r="AD35" s="65">
        <f t="shared" si="161"/>
        <v>0.40333333333333338</v>
      </c>
      <c r="AE35" s="65">
        <f t="shared" si="161"/>
        <v>0.40500000000000003</v>
      </c>
      <c r="AF35" s="65">
        <f t="shared" si="161"/>
        <v>0.48333333333333339</v>
      </c>
      <c r="AG35" s="65">
        <f t="shared" si="161"/>
        <v>0.50416666666666676</v>
      </c>
      <c r="AH35" s="192">
        <f>AVERAGEIFS(AH$36:AH$167,$C$36:$C$167,"=6", $B$36:$B$167,"NO OFICIAL")</f>
        <v>52.083333333333336</v>
      </c>
      <c r="AI35" s="192">
        <f>AVERAGEIFS(AI$36:AI$167,$C$36:$C$167,"=6", $B$36:$B$167,"NO OFICIAL")</f>
        <v>8</v>
      </c>
      <c r="AJ35" s="65">
        <f>AVERAGEIFS(AJ$36:AJ$167,$C$36:$C$167,"=6", $B$36:$B$167,"NO OFICIAL")</f>
        <v>0.11250000000000003</v>
      </c>
      <c r="AK35" s="65">
        <f t="shared" ref="AK35:BL35" si="162">AVERAGEIFS(AK$36:AK$167,$C$36:$C$167,"=6", $B$36:$B$167,"NO OFICIAL")</f>
        <v>0.51916666666666667</v>
      </c>
      <c r="AL35" s="65">
        <f t="shared" si="162"/>
        <v>0.35666666666666669</v>
      </c>
      <c r="AM35" s="65">
        <f t="shared" si="162"/>
        <v>1.1666666666666667E-2</v>
      </c>
      <c r="AN35" s="65">
        <f t="shared" si="162"/>
        <v>0.27166666666666667</v>
      </c>
      <c r="AO35" s="65">
        <f t="shared" si="162"/>
        <v>0.47833333333333333</v>
      </c>
      <c r="AP35" s="65">
        <f t="shared" si="162"/>
        <v>0.58166666666666667</v>
      </c>
      <c r="AQ35" s="65">
        <f t="shared" si="162"/>
        <v>0.36666666666666664</v>
      </c>
      <c r="AR35" s="65">
        <f t="shared" si="162"/>
        <v>0.4958333333333334</v>
      </c>
      <c r="AS35" s="65">
        <f t="shared" si="162"/>
        <v>0.53166666666666662</v>
      </c>
      <c r="AT35" s="65">
        <f t="shared" si="162"/>
        <v>0.51416666666666677</v>
      </c>
      <c r="AU35" s="65">
        <f t="shared" si="162"/>
        <v>0.52749999999999997</v>
      </c>
      <c r="AV35" s="65">
        <f t="shared" si="162"/>
        <v>0.58666666666666667</v>
      </c>
      <c r="AW35" s="65">
        <f t="shared" si="162"/>
        <v>0.5575</v>
      </c>
      <c r="AX35" s="65">
        <f t="shared" si="162"/>
        <v>0.53250000000000008</v>
      </c>
      <c r="AY35" s="65">
        <f t="shared" si="162"/>
        <v>0.34500000000000003</v>
      </c>
      <c r="AZ35" s="65">
        <f t="shared" si="162"/>
        <v>0.35749999999999998</v>
      </c>
      <c r="BA35" s="65">
        <f t="shared" si="162"/>
        <v>0.48083333333333339</v>
      </c>
      <c r="BB35" s="65">
        <f t="shared" si="162"/>
        <v>0.66333333333333322</v>
      </c>
      <c r="BC35" s="65">
        <f t="shared" si="162"/>
        <v>0.62666666666666659</v>
      </c>
      <c r="BD35" s="65">
        <f t="shared" si="162"/>
        <v>0.39583333333333343</v>
      </c>
      <c r="BE35" s="65">
        <f t="shared" si="162"/>
        <v>0.58166666666666667</v>
      </c>
      <c r="BF35" s="65">
        <f t="shared" si="162"/>
        <v>0.68916666666666659</v>
      </c>
      <c r="BG35" s="65">
        <f t="shared" si="162"/>
        <v>0.48833333333333345</v>
      </c>
      <c r="BH35" s="65">
        <f t="shared" si="162"/>
        <v>0.42500000000000004</v>
      </c>
      <c r="BI35" s="65">
        <f t="shared" si="162"/>
        <v>0.42499999999999999</v>
      </c>
      <c r="BJ35" s="65">
        <f t="shared" si="162"/>
        <v>0.37083333333333329</v>
      </c>
      <c r="BK35" s="65">
        <f t="shared" si="162"/>
        <v>0.43250000000000005</v>
      </c>
      <c r="BL35" s="65">
        <f t="shared" si="162"/>
        <v>0.38416666666666671</v>
      </c>
      <c r="BM35" s="192">
        <f>AVERAGEIFS(BM$36:BM$167,$C$36:$C$167,"=6", $B$36:$B$167,"NO OFICIAL")</f>
        <v>51.18181818181818</v>
      </c>
      <c r="BN35" s="192">
        <f>AVERAGEIFS(BN$36:BN$167,$C$36:$C$167,"=6", $B$36:$B$167,"NO OFICIAL")</f>
        <v>8.545454545454545</v>
      </c>
      <c r="BO35" s="65">
        <f>AVERAGEIFS(BO$36:BO$167,$C$36:$C$167,"=6", $B$36:$B$167,"NO OFICIAL")</f>
        <v>8.2727272727272746E-2</v>
      </c>
      <c r="BP35" s="65">
        <f t="shared" ref="BP35:CR35" si="163">AVERAGEIFS(BP$36:BP$167,$C$36:$C$167,"=6", $B$36:$B$167,"NO OFICIAL")</f>
        <v>0.61363636363636365</v>
      </c>
      <c r="BQ35" s="65">
        <f t="shared" si="163"/>
        <v>0.29909090909090907</v>
      </c>
      <c r="BR35" s="65">
        <f t="shared" si="163"/>
        <v>7.2727272727272727E-3</v>
      </c>
      <c r="BS35" s="65">
        <f t="shared" si="163"/>
        <v>0.33727272727272734</v>
      </c>
      <c r="BT35" s="65">
        <f t="shared" si="163"/>
        <v>0.47818181818181826</v>
      </c>
      <c r="BU35" s="65">
        <f t="shared" si="163"/>
        <v>0.61181818181818182</v>
      </c>
      <c r="BV35" s="65">
        <f t="shared" si="163"/>
        <v>0.26636363636363636</v>
      </c>
      <c r="BW35" s="65">
        <f t="shared" si="163"/>
        <v>0.60272727272727289</v>
      </c>
      <c r="BX35" s="65">
        <f t="shared" si="163"/>
        <v>0.32454545454545458</v>
      </c>
      <c r="BY35" s="65">
        <f t="shared" si="163"/>
        <v>0.42090909090909084</v>
      </c>
      <c r="BZ35" s="65">
        <f t="shared" si="163"/>
        <v>0.5154545454545455</v>
      </c>
      <c r="CA35" s="65">
        <f t="shared" si="163"/>
        <v>0.46545454545454545</v>
      </c>
      <c r="CB35" s="65">
        <f t="shared" si="163"/>
        <v>0.30909090909090908</v>
      </c>
      <c r="CC35" s="65">
        <f t="shared" si="163"/>
        <v>0.20454545454545456</v>
      </c>
      <c r="CD35" s="65">
        <f t="shared" si="163"/>
        <v>0.42363636363636364</v>
      </c>
      <c r="CE35" s="65">
        <f t="shared" si="163"/>
        <v>0.33818181818181819</v>
      </c>
      <c r="CF35" s="65">
        <f t="shared" si="163"/>
        <v>0.61636363636363634</v>
      </c>
      <c r="CG35" s="65">
        <f t="shared" si="163"/>
        <v>0.59727272727272729</v>
      </c>
      <c r="CH35" s="65">
        <f t="shared" si="163"/>
        <v>0.4518181818181819</v>
      </c>
      <c r="CI35" s="65">
        <f t="shared" si="163"/>
        <v>0.58090909090909093</v>
      </c>
      <c r="CJ35" s="65">
        <f t="shared" si="163"/>
        <v>0.32181818181818184</v>
      </c>
      <c r="CK35" s="65">
        <f t="shared" si="163"/>
        <v>0.66272727272727272</v>
      </c>
      <c r="CL35" s="65">
        <f t="shared" si="163"/>
        <v>0.32454545454545458</v>
      </c>
      <c r="CM35" s="65">
        <f t="shared" si="163"/>
        <v>0.43545454545454548</v>
      </c>
      <c r="CN35" s="65">
        <f t="shared" si="163"/>
        <v>0.46363636363636362</v>
      </c>
      <c r="CO35" s="65">
        <f t="shared" si="163"/>
        <v>0.42818181818181816</v>
      </c>
      <c r="CP35" s="65">
        <f t="shared" si="163"/>
        <v>0.34090909090909088</v>
      </c>
      <c r="CQ35" s="65">
        <f t="shared" si="163"/>
        <v>0.57181818181818178</v>
      </c>
      <c r="CR35" s="65">
        <f t="shared" si="163"/>
        <v>0.57818181818181824</v>
      </c>
      <c r="CS35" s="192">
        <f>AVERAGEIFS(CS$36:CS$167,$C$36:$C$167,"=6", $B$36:$B$167,"NO OFICIAL")</f>
        <v>50.833333333333336</v>
      </c>
      <c r="CT35" s="192">
        <f>AVERAGEIFS(CT$36:CT$167,$C$36:$C$167,"=6", $B$36:$B$167,"NO OFICIAL")</f>
        <v>8.1666666666666661</v>
      </c>
      <c r="CU35" s="65">
        <f>AVERAGEIFS(CU$36:CU$167,$C$36:$C$167,"=6", $B$36:$B$167,"NO OFICIAL")</f>
        <v>0.11333333333333334</v>
      </c>
      <c r="CV35" s="65">
        <f t="shared" ref="CV35:DW35" si="164">AVERAGEIFS(CV$36:CV$167,$C$36:$C$167,"=6", $B$36:$B$167,"NO OFICIAL")</f>
        <v>0.62333333333333341</v>
      </c>
      <c r="CW35" s="65">
        <f t="shared" si="164"/>
        <v>0.23583333333333334</v>
      </c>
      <c r="CX35" s="65">
        <f t="shared" si="164"/>
        <v>2.9166666666666664E-2</v>
      </c>
      <c r="CY35" s="65">
        <f t="shared" si="164"/>
        <v>0.5</v>
      </c>
      <c r="CZ35" s="65">
        <f t="shared" si="164"/>
        <v>0.31083333333333335</v>
      </c>
      <c r="DA35" s="65">
        <f t="shared" si="164"/>
        <v>0.54666666666666663</v>
      </c>
      <c r="DB35" s="65">
        <f t="shared" si="164"/>
        <v>0.38833333333333336</v>
      </c>
      <c r="DC35" s="65">
        <f t="shared" si="164"/>
        <v>0.44500000000000001</v>
      </c>
      <c r="DD35" s="65">
        <f t="shared" si="164"/>
        <v>0.62</v>
      </c>
      <c r="DE35" s="65">
        <f t="shared" si="164"/>
        <v>0.41250000000000003</v>
      </c>
      <c r="DF35" s="65">
        <f t="shared" si="164"/>
        <v>0.52916666666666679</v>
      </c>
      <c r="DG35" s="65">
        <f t="shared" si="164"/>
        <v>0.36333333333333329</v>
      </c>
      <c r="DH35" s="65">
        <f t="shared" si="164"/>
        <v>0.39999999999999997</v>
      </c>
      <c r="DI35" s="65">
        <f t="shared" si="164"/>
        <v>0.47166666666666673</v>
      </c>
      <c r="DJ35" s="65">
        <f t="shared" si="164"/>
        <v>0.53833333333333344</v>
      </c>
      <c r="DK35" s="65">
        <f t="shared" si="164"/>
        <v>0.41749999999999998</v>
      </c>
      <c r="DL35" s="65">
        <f t="shared" si="164"/>
        <v>0.39272727272727276</v>
      </c>
      <c r="DM35" s="65">
        <f t="shared" si="164"/>
        <v>0.51833333333333331</v>
      </c>
      <c r="DN35" s="65">
        <f t="shared" si="164"/>
        <v>0.46666666666666662</v>
      </c>
      <c r="DO35" s="65">
        <f t="shared" si="164"/>
        <v>0.43916666666666665</v>
      </c>
      <c r="DP35" s="65">
        <f t="shared" si="164"/>
        <v>0.45666666666666672</v>
      </c>
      <c r="DQ35" s="65">
        <f t="shared" si="164"/>
        <v>0.52583333333333349</v>
      </c>
      <c r="DR35" s="65">
        <f t="shared" si="164"/>
        <v>0.13666666666666669</v>
      </c>
      <c r="DS35" s="65">
        <f t="shared" si="164"/>
        <v>0.34666666666666668</v>
      </c>
      <c r="DT35" s="65">
        <f t="shared" si="164"/>
        <v>0.59666666666666679</v>
      </c>
      <c r="DU35" s="65">
        <f t="shared" si="164"/>
        <v>0.48833333333333345</v>
      </c>
      <c r="DV35" s="65">
        <f t="shared" si="164"/>
        <v>0.52916666666666667</v>
      </c>
      <c r="DW35" s="65">
        <f t="shared" si="164"/>
        <v>0.30666666666666664</v>
      </c>
      <c r="DX35" s="192">
        <f>AVERAGEIFS(DX$36:DX$167,$C$36:$C$167,"=6", $B$36:$B$167,"NO OFICIAL")</f>
        <v>49.428571428571431</v>
      </c>
      <c r="DY35" s="192">
        <f>AVERAGEIFS(DY$36:DY$167,$C$36:$C$167,"=6", $B$36:$B$167,"NO OFICIAL")</f>
        <v>7.7142857142857144</v>
      </c>
      <c r="DZ35" s="65">
        <f>AVERAGEIFS(DZ$36:DZ$167,$C$36:$C$167,"=6", $B$36:$B$167,"NO OFICIAL")</f>
        <v>0.15142857142857141</v>
      </c>
      <c r="EA35" s="65">
        <f t="shared" ref="EA35:FA35" si="165">AVERAGEIFS(EA$36:EA$167,$C$36:$C$167,"=6", $B$36:$B$167,"NO OFICIAL")</f>
        <v>0.57642857142857129</v>
      </c>
      <c r="EB35" s="65">
        <f t="shared" si="165"/>
        <v>0.26999999999999996</v>
      </c>
      <c r="EC35" s="65">
        <f t="shared" si="165"/>
        <v>3.5714285714285718E-3</v>
      </c>
      <c r="ED35" s="65">
        <f t="shared" si="165"/>
        <v>0.54</v>
      </c>
      <c r="EE35" s="65">
        <f t="shared" si="165"/>
        <v>0.45071428571428568</v>
      </c>
      <c r="EF35" s="65">
        <f t="shared" si="165"/>
        <v>0.51</v>
      </c>
      <c r="EG35" s="65">
        <f t="shared" si="165"/>
        <v>0.40285714285714286</v>
      </c>
      <c r="EH35" s="65">
        <f t="shared" si="165"/>
        <v>0.47714285714285715</v>
      </c>
      <c r="EI35" s="65">
        <f t="shared" si="165"/>
        <v>0.57714285714285718</v>
      </c>
      <c r="EJ35" s="65">
        <f t="shared" si="165"/>
        <v>0.55642857142857138</v>
      </c>
      <c r="EK35" s="65">
        <f t="shared" si="165"/>
        <v>0.3507142857142857</v>
      </c>
      <c r="EL35" s="65">
        <f t="shared" si="165"/>
        <v>0.46500000000000002</v>
      </c>
      <c r="EM35" s="65">
        <f t="shared" si="165"/>
        <v>0.64214285714285713</v>
      </c>
      <c r="EN35" s="65">
        <f t="shared" si="165"/>
        <v>0.41142857142857142</v>
      </c>
      <c r="EO35" s="65">
        <f t="shared" si="165"/>
        <v>0.55428571428571427</v>
      </c>
      <c r="EP35" s="65">
        <f t="shared" si="165"/>
        <v>0.41428571428571426</v>
      </c>
      <c r="EQ35" s="65">
        <f t="shared" si="165"/>
        <v>0.31928571428571428</v>
      </c>
      <c r="ER35" s="65">
        <f t="shared" si="165"/>
        <v>0.58785714285714274</v>
      </c>
      <c r="ES35" s="65">
        <f t="shared" si="165"/>
        <v>0.48142857142857143</v>
      </c>
      <c r="ET35" s="65">
        <f t="shared" si="165"/>
        <v>0.32357142857142851</v>
      </c>
      <c r="EU35" s="65">
        <f t="shared" si="165"/>
        <v>0.5614285714285715</v>
      </c>
      <c r="EV35" s="65">
        <f t="shared" si="165"/>
        <v>0.32857142857142863</v>
      </c>
      <c r="EW35" s="65">
        <f t="shared" si="165"/>
        <v>0.36500000000000005</v>
      </c>
      <c r="EX35" s="65">
        <f t="shared" si="165"/>
        <v>0.68916666666666659</v>
      </c>
      <c r="EY35" s="65">
        <f t="shared" si="165"/>
        <v>0.59500000000000008</v>
      </c>
      <c r="EZ35" s="65">
        <f t="shared" si="165"/>
        <v>0.18230769230769234</v>
      </c>
      <c r="FA35" s="65">
        <f t="shared" si="165"/>
        <v>0.67071428571428571</v>
      </c>
      <c r="FB35" s="192">
        <f>AVERAGEIFS(FB$36:FB$167,$C$36:$C$167,"=6", $B$36:$B$167,"NO OFICIAL")</f>
        <v>49.571428571428569</v>
      </c>
      <c r="FD35" s="192">
        <f>AVERAGEIFS(FD$36:FD$167,$C$36:$C$167,"=6", $B$36:$B$167,"NO OFICIAL")</f>
        <v>6.7142857142857144</v>
      </c>
      <c r="FF35" s="65">
        <f>AVERAGEIFS(FF$36:FF$167,$C$36:$C$167,"=6", $B$36:$B$167,"NO OFICIAL")</f>
        <v>0.17785714285714288</v>
      </c>
      <c r="FG35" s="65">
        <f t="shared" ref="FG35:GI35" si="166">AVERAGEIFS(FG$36:FG$167,$C$36:$C$167,"=6", $B$36:$B$167,"NO OFICIAL")</f>
        <v>0.56714285714285706</v>
      </c>
      <c r="FH35" s="65">
        <f t="shared" si="166"/>
        <v>0.24571428571428569</v>
      </c>
      <c r="FI35" s="65">
        <f t="shared" si="166"/>
        <v>9.285714285714286E-3</v>
      </c>
      <c r="FJ35" s="65">
        <f t="shared" si="166"/>
        <v>0.44142857142857139</v>
      </c>
      <c r="FK35" s="65">
        <f t="shared" si="166"/>
        <v>0.67499999999999993</v>
      </c>
      <c r="FL35" s="65">
        <f t="shared" si="166"/>
        <v>0.51928571428571435</v>
      </c>
      <c r="FM35" s="65">
        <f t="shared" si="166"/>
        <v>0.34923076923076923</v>
      </c>
      <c r="FN35" s="65">
        <f t="shared" si="166"/>
        <v>0.34428571428571431</v>
      </c>
      <c r="FO35" s="65">
        <f t="shared" si="166"/>
        <v>0.34785714285714286</v>
      </c>
      <c r="FP35" s="65">
        <f t="shared" si="166"/>
        <v>0.36</v>
      </c>
      <c r="FQ35" s="65">
        <f t="shared" si="166"/>
        <v>0.47000000000000003</v>
      </c>
      <c r="FR35" s="65">
        <f t="shared" si="166"/>
        <v>0.5971428571428572</v>
      </c>
      <c r="FS35" s="65">
        <f t="shared" si="166"/>
        <v>0.53846153846153844</v>
      </c>
      <c r="FT35" s="65">
        <f t="shared" si="166"/>
        <v>0.50357142857142867</v>
      </c>
      <c r="FU35" s="65">
        <f t="shared" si="166"/>
        <v>0.37538461538461537</v>
      </c>
      <c r="FV35" s="65">
        <f t="shared" si="166"/>
        <v>0.67499999999999993</v>
      </c>
      <c r="FW35" s="65">
        <f t="shared" si="166"/>
        <v>0.49428571428571427</v>
      </c>
      <c r="FX35" s="65">
        <f t="shared" si="166"/>
        <v>0.43769230769230766</v>
      </c>
      <c r="FY35" s="65">
        <f t="shared" si="166"/>
        <v>0.4007142857142858</v>
      </c>
      <c r="FZ35" s="65">
        <f t="shared" si="166"/>
        <v>0.39571428571428574</v>
      </c>
      <c r="GA35" s="65">
        <f t="shared" si="166"/>
        <v>0.47500000000000003</v>
      </c>
      <c r="GB35" s="65">
        <f t="shared" si="166"/>
        <v>0.54642857142857149</v>
      </c>
      <c r="GC35" s="65">
        <f t="shared" si="166"/>
        <v>0.44928571428571429</v>
      </c>
      <c r="GD35" s="65">
        <f t="shared" si="166"/>
        <v>0.55428571428571438</v>
      </c>
      <c r="GE35" s="65">
        <f t="shared" si="166"/>
        <v>0.50142857142857145</v>
      </c>
      <c r="GF35" s="65">
        <f t="shared" si="166"/>
        <v>0.45499999999999996</v>
      </c>
      <c r="GG35" s="65">
        <f t="shared" si="166"/>
        <v>0.47214285714285714</v>
      </c>
      <c r="GH35" s="65">
        <f t="shared" si="166"/>
        <v>0.53928571428571437</v>
      </c>
      <c r="GI35" s="65">
        <f t="shared" si="166"/>
        <v>0.24999999999999997</v>
      </c>
      <c r="GJ35" s="192">
        <f>AVERAGEIFS(GJ$36:GJ$167,$C$36:$C$167,"=6", $B$36:$B$167,"NO OFICIAL")</f>
        <v>49.875</v>
      </c>
      <c r="GL35" s="192">
        <f>AVERAGEIFS(GL$36:GL$167,$C$36:$C$167,"=6", $B$36:$B$167,"NO OFICIAL")</f>
        <v>8.625</v>
      </c>
      <c r="GN35" s="521">
        <f>AVERAGEIFS(GN$36:GN$167,$C$36:$C$167,"=6", $B$36:$B$167,"NO OFICIAL")</f>
        <v>0.20937500000000003</v>
      </c>
      <c r="GO35" s="521">
        <f t="shared" ref="GO35:HQ35" si="167">AVERAGEIFS(GO$36:GO$167,$C$36:$C$167,"=6", $B$36:$B$167,"NO OFICIAL")</f>
        <v>0.52062500000000012</v>
      </c>
      <c r="GP35" s="521">
        <f t="shared" si="167"/>
        <v>0.25375000000000003</v>
      </c>
      <c r="GQ35" s="521">
        <f t="shared" si="167"/>
        <v>1.6250000000000001E-2</v>
      </c>
      <c r="GR35" s="521">
        <f t="shared" si="167"/>
        <v>0.45374999999999999</v>
      </c>
      <c r="GS35" s="521">
        <f t="shared" si="167"/>
        <v>0.55125000000000013</v>
      </c>
      <c r="GT35" s="521">
        <f t="shared" si="167"/>
        <v>0.59750000000000003</v>
      </c>
      <c r="GU35" s="521">
        <f t="shared" si="167"/>
        <v>0.27866666666666673</v>
      </c>
      <c r="GV35" s="521">
        <f t="shared" si="167"/>
        <v>0.54625000000000001</v>
      </c>
      <c r="GW35" s="521">
        <f t="shared" si="167"/>
        <v>0.46875</v>
      </c>
      <c r="GX35" s="521">
        <f t="shared" si="167"/>
        <v>0.49499999999999994</v>
      </c>
      <c r="GY35" s="521" t="e">
        <f t="shared" si="167"/>
        <v>#DIV/0!</v>
      </c>
      <c r="GZ35" s="521">
        <f t="shared" si="167"/>
        <v>0.32374999999999998</v>
      </c>
      <c r="HA35" s="521">
        <f t="shared" si="167"/>
        <v>0.69500000000000006</v>
      </c>
      <c r="HB35" s="521">
        <f t="shared" si="167"/>
        <v>0.48812499999999998</v>
      </c>
      <c r="HC35" s="521">
        <f t="shared" si="167"/>
        <v>0.49749999999999994</v>
      </c>
      <c r="HD35" s="521">
        <f t="shared" si="167"/>
        <v>0.57374999999999987</v>
      </c>
      <c r="HE35" s="521">
        <f t="shared" si="167"/>
        <v>0.48875000000000002</v>
      </c>
      <c r="HF35" s="521">
        <f t="shared" si="167"/>
        <v>0.47749999999999998</v>
      </c>
      <c r="HG35" s="521">
        <f t="shared" si="167"/>
        <v>0.67374999999999985</v>
      </c>
      <c r="HH35" s="521">
        <f t="shared" si="167"/>
        <v>0.41875000000000007</v>
      </c>
      <c r="HI35" s="521">
        <f t="shared" si="167"/>
        <v>0.54499999999999993</v>
      </c>
      <c r="HJ35" s="521">
        <f t="shared" si="167"/>
        <v>0.59875000000000012</v>
      </c>
      <c r="HK35" s="521">
        <f t="shared" si="167"/>
        <v>0.50687500000000008</v>
      </c>
      <c r="HL35" s="521">
        <f t="shared" si="167"/>
        <v>0.44562499999999999</v>
      </c>
      <c r="HM35" s="521">
        <f t="shared" si="167"/>
        <v>0.51437499999999992</v>
      </c>
      <c r="HN35" s="521">
        <f t="shared" si="167"/>
        <v>0.49999999999999994</v>
      </c>
      <c r="HO35" s="521">
        <f t="shared" si="167"/>
        <v>0.43437500000000007</v>
      </c>
      <c r="HP35" s="521" t="e">
        <f t="shared" si="167"/>
        <v>#DIV/0!</v>
      </c>
      <c r="HQ35" s="521">
        <f t="shared" si="167"/>
        <v>0.43437500000000007</v>
      </c>
      <c r="HR35" s="192">
        <f>AVERAGEIFS(HR$36:HR$167,$C$36:$C$167,"=6", $B$36:$B$167,"NO OFICIAL")</f>
        <v>51.235294117647058</v>
      </c>
      <c r="HT35" s="192">
        <f>AVERAGEIFS(HT$36:HT$167,$C$36:$C$167,"=6", $B$36:$B$167,"NO OFICIAL")</f>
        <v>8.2941176470588243</v>
      </c>
      <c r="HV35" s="521">
        <f>AVERAGEIFS(HV$36:HV$167,$C$36:$C$167,"=6", $B$36:$B$167,"NO OFICIAL")</f>
        <v>0.16411764705882353</v>
      </c>
      <c r="HW35" s="521">
        <f t="shared" ref="HW35:IY35" si="168">AVERAGEIFS(HW$36:HW$167,$C$36:$C$167,"=6", $B$36:$B$167,"NO OFICIAL")</f>
        <v>0.48705882352941171</v>
      </c>
      <c r="HX35" s="521">
        <f t="shared" si="168"/>
        <v>0.33882352941176475</v>
      </c>
      <c r="HY35" s="521">
        <f t="shared" si="168"/>
        <v>1.1176470588235295E-2</v>
      </c>
      <c r="HZ35" s="521">
        <f t="shared" si="168"/>
        <v>0.35411764705882354</v>
      </c>
      <c r="IA35" s="521">
        <f t="shared" si="168"/>
        <v>0.51117647058823523</v>
      </c>
      <c r="IB35" s="521">
        <f t="shared" si="168"/>
        <v>0.35764705882352943</v>
      </c>
      <c r="IC35" s="521">
        <f t="shared" si="168"/>
        <v>0.48529411764705882</v>
      </c>
      <c r="ID35" s="521">
        <f t="shared" si="168"/>
        <v>0.60529411764705876</v>
      </c>
      <c r="IE35" s="521">
        <f t="shared" si="168"/>
        <v>0.31352941176470595</v>
      </c>
      <c r="IF35" s="521">
        <f t="shared" si="168"/>
        <v>0.41647058823529415</v>
      </c>
      <c r="IG35" s="521">
        <f t="shared" si="168"/>
        <v>0.53529411764705881</v>
      </c>
      <c r="IH35" s="521">
        <f t="shared" si="168"/>
        <v>0.48176470588235293</v>
      </c>
      <c r="II35" s="521">
        <f t="shared" si="168"/>
        <v>0.31624999999999998</v>
      </c>
      <c r="IJ35" s="521">
        <f t="shared" si="168"/>
        <v>0.2964705882352941</v>
      </c>
      <c r="IK35" s="521">
        <f t="shared" si="168"/>
        <v>0.5911764705882353</v>
      </c>
      <c r="IL35" s="521">
        <f t="shared" si="168"/>
        <v>0.37941176470588234</v>
      </c>
      <c r="IM35" s="521">
        <f t="shared" si="168"/>
        <v>0.63411764705882356</v>
      </c>
      <c r="IN35" s="521">
        <f t="shared" si="168"/>
        <v>0.45647058823529413</v>
      </c>
      <c r="IO35" s="521">
        <f t="shared" si="168"/>
        <v>0.52529411764705869</v>
      </c>
      <c r="IP35" s="521">
        <f t="shared" si="168"/>
        <v>0.4105882352941177</v>
      </c>
      <c r="IQ35" s="521">
        <f t="shared" si="168"/>
        <v>0.60235294117647065</v>
      </c>
      <c r="IR35" s="521">
        <f t="shared" si="168"/>
        <v>0.57470588235294129</v>
      </c>
      <c r="IS35" s="521">
        <f t="shared" si="168"/>
        <v>0.53374999999999995</v>
      </c>
      <c r="IT35" s="521">
        <f t="shared" si="168"/>
        <v>0.42</v>
      </c>
      <c r="IU35" s="521" t="e">
        <f t="shared" si="168"/>
        <v>#DIV/0!</v>
      </c>
      <c r="IV35" s="521">
        <f t="shared" si="168"/>
        <v>0.59882352941176475</v>
      </c>
      <c r="IW35" s="521">
        <f t="shared" si="168"/>
        <v>0.41705882352941176</v>
      </c>
      <c r="IX35" s="521">
        <f t="shared" si="168"/>
        <v>0.52588235294117647</v>
      </c>
      <c r="IY35" s="521">
        <f t="shared" si="168"/>
        <v>0.53764705882352959</v>
      </c>
    </row>
    <row r="36" spans="1:259" ht="24.9" customHeight="1" x14ac:dyDescent="0.25">
      <c r="A36" s="188" t="s">
        <v>29</v>
      </c>
      <c r="B36" s="1" t="s">
        <v>222</v>
      </c>
      <c r="C36" s="2">
        <v>2</v>
      </c>
      <c r="D36" s="16">
        <v>53</v>
      </c>
      <c r="E36" s="16">
        <v>8</v>
      </c>
      <c r="F36" s="99">
        <v>0.04</v>
      </c>
      <c r="G36" s="99">
        <v>0.67</v>
      </c>
      <c r="H36" s="99">
        <v>0.28999999999999998</v>
      </c>
      <c r="I36" s="99">
        <v>0</v>
      </c>
      <c r="J36" s="99">
        <v>0.57999999999999996</v>
      </c>
      <c r="K36" s="99">
        <v>0.32</v>
      </c>
      <c r="L36" s="99">
        <v>0.72</v>
      </c>
      <c r="M36" s="99">
        <v>0.21</v>
      </c>
      <c r="N36" s="99">
        <v>0.33</v>
      </c>
      <c r="O36" s="99">
        <v>0.65</v>
      </c>
      <c r="P36" s="99">
        <v>0.28999999999999998</v>
      </c>
      <c r="Q36" s="99">
        <v>0.38</v>
      </c>
      <c r="R36" s="99">
        <v>0.56000000000000005</v>
      </c>
      <c r="S36" s="99">
        <v>0.65</v>
      </c>
      <c r="T36" s="99">
        <v>0.49</v>
      </c>
      <c r="U36" s="99">
        <v>0.65</v>
      </c>
      <c r="V36" s="99">
        <v>0.1</v>
      </c>
      <c r="W36" s="99">
        <v>0.11</v>
      </c>
      <c r="X36" s="99">
        <v>0.56000000000000005</v>
      </c>
      <c r="Y36" s="99">
        <v>0.57999999999999996</v>
      </c>
      <c r="Z36" s="99">
        <v>1</v>
      </c>
      <c r="AA36" s="99">
        <v>0.06</v>
      </c>
      <c r="AB36" s="99">
        <v>0.48</v>
      </c>
      <c r="AC36" s="99">
        <v>0.23</v>
      </c>
      <c r="AD36" s="99">
        <v>0.46</v>
      </c>
      <c r="AE36" s="99">
        <v>0.38</v>
      </c>
      <c r="AF36" s="99">
        <v>0.59</v>
      </c>
      <c r="AG36" s="99">
        <v>0.45</v>
      </c>
      <c r="AH36" s="16">
        <v>52</v>
      </c>
      <c r="AI36" s="16">
        <v>8</v>
      </c>
      <c r="AJ36" s="66">
        <v>0.05</v>
      </c>
      <c r="AK36" s="66">
        <v>0.64</v>
      </c>
      <c r="AL36" s="66">
        <v>0.3</v>
      </c>
      <c r="AM36" s="66">
        <v>0.01</v>
      </c>
      <c r="AN36" s="66">
        <v>0.19</v>
      </c>
      <c r="AO36" s="66">
        <v>0.45</v>
      </c>
      <c r="AP36" s="66">
        <v>0.66</v>
      </c>
      <c r="AQ36" s="66">
        <v>0.35</v>
      </c>
      <c r="AR36" s="66">
        <v>0.57999999999999996</v>
      </c>
      <c r="AS36" s="66">
        <v>0.56999999999999995</v>
      </c>
      <c r="AT36" s="66">
        <v>0.51</v>
      </c>
      <c r="AU36" s="66">
        <v>0.55000000000000004</v>
      </c>
      <c r="AV36" s="66">
        <v>0.64</v>
      </c>
      <c r="AW36" s="66">
        <v>0.45</v>
      </c>
      <c r="AX36" s="66">
        <v>0.59</v>
      </c>
      <c r="AY36" s="66">
        <v>0.36</v>
      </c>
      <c r="AZ36" s="66">
        <v>0.27</v>
      </c>
      <c r="BA36" s="66">
        <v>0.44</v>
      </c>
      <c r="BB36" s="66">
        <v>0.72</v>
      </c>
      <c r="BC36" s="66">
        <v>0.66</v>
      </c>
      <c r="BD36" s="66">
        <v>0.39</v>
      </c>
      <c r="BE36" s="66">
        <v>0.57999999999999996</v>
      </c>
      <c r="BF36" s="66">
        <v>0.59</v>
      </c>
      <c r="BG36" s="66">
        <v>0.48</v>
      </c>
      <c r="BH36" s="66">
        <v>0.44</v>
      </c>
      <c r="BI36" s="66">
        <v>0.39</v>
      </c>
      <c r="BJ36" s="66">
        <v>0.37</v>
      </c>
      <c r="BK36" s="66">
        <v>0.47</v>
      </c>
      <c r="BL36" s="66">
        <v>0.55000000000000004</v>
      </c>
      <c r="BM36" s="16">
        <v>50</v>
      </c>
      <c r="BN36" s="16">
        <v>9</v>
      </c>
      <c r="BO36" s="99">
        <v>0.17</v>
      </c>
      <c r="BP36" s="99">
        <v>0.51</v>
      </c>
      <c r="BQ36" s="99">
        <v>0.32</v>
      </c>
      <c r="BR36" s="99">
        <v>0</v>
      </c>
      <c r="BS36" s="99">
        <v>0.41</v>
      </c>
      <c r="BT36" s="99">
        <v>0.68</v>
      </c>
      <c r="BU36" s="99">
        <v>0.65</v>
      </c>
      <c r="BV36" s="99">
        <v>0.28000000000000003</v>
      </c>
      <c r="BW36" s="99">
        <v>0.63</v>
      </c>
      <c r="BX36" s="99">
        <v>0.42</v>
      </c>
      <c r="BY36" s="99">
        <v>0.49</v>
      </c>
      <c r="BZ36" s="99">
        <v>0.52</v>
      </c>
      <c r="CA36" s="99">
        <v>0.45</v>
      </c>
      <c r="CB36" s="99">
        <v>0.37</v>
      </c>
      <c r="CC36" s="99">
        <v>0.28000000000000003</v>
      </c>
      <c r="CD36" s="99">
        <v>0.43</v>
      </c>
      <c r="CE36" s="99">
        <v>0.37</v>
      </c>
      <c r="CF36" s="99">
        <v>0.7</v>
      </c>
      <c r="CG36" s="99">
        <v>0.56000000000000005</v>
      </c>
      <c r="CH36" s="99">
        <v>0.42</v>
      </c>
      <c r="CI36" s="99">
        <v>0.56999999999999995</v>
      </c>
      <c r="CJ36" s="99">
        <v>0.37</v>
      </c>
      <c r="CK36" s="99">
        <v>0.64</v>
      </c>
      <c r="CL36" s="99">
        <v>0.28999999999999998</v>
      </c>
      <c r="CM36" s="99">
        <v>0.43</v>
      </c>
      <c r="CN36" s="99">
        <v>0.48</v>
      </c>
      <c r="CO36" s="99">
        <v>0.48</v>
      </c>
      <c r="CP36" s="99">
        <v>0.35</v>
      </c>
      <c r="CQ36" s="99">
        <v>0.6</v>
      </c>
      <c r="CR36" s="99">
        <v>0.62</v>
      </c>
      <c r="CS36" s="16">
        <v>52</v>
      </c>
      <c r="CT36" s="16">
        <v>9</v>
      </c>
      <c r="CU36" s="96">
        <v>0.13</v>
      </c>
      <c r="CV36" s="96">
        <v>0.55000000000000004</v>
      </c>
      <c r="CW36" s="96">
        <v>0.32</v>
      </c>
      <c r="CX36" s="96">
        <v>0</v>
      </c>
      <c r="CY36" s="96">
        <v>0.51</v>
      </c>
      <c r="CZ36" s="96">
        <v>0.31</v>
      </c>
      <c r="DA36" s="96">
        <v>0.49</v>
      </c>
      <c r="DB36" s="96">
        <v>0.33</v>
      </c>
      <c r="DC36" s="96">
        <v>0.46</v>
      </c>
      <c r="DD36" s="96">
        <v>0.57999999999999996</v>
      </c>
      <c r="DE36" s="96">
        <v>0.42</v>
      </c>
      <c r="DF36" s="96">
        <v>0.59</v>
      </c>
      <c r="DG36" s="96">
        <v>0.35</v>
      </c>
      <c r="DH36" s="96">
        <v>0.36</v>
      </c>
      <c r="DI36" s="96">
        <v>0.48</v>
      </c>
      <c r="DJ36" s="96">
        <v>0.5</v>
      </c>
      <c r="DK36" s="96">
        <v>0.21</v>
      </c>
      <c r="DL36" s="96">
        <v>0.33</v>
      </c>
      <c r="DM36" s="96">
        <v>0.49</v>
      </c>
      <c r="DN36" s="96">
        <v>0.46</v>
      </c>
      <c r="DO36" s="96">
        <v>0.33</v>
      </c>
      <c r="DP36" s="96">
        <v>0.48</v>
      </c>
      <c r="DQ36" s="96">
        <v>0.55000000000000004</v>
      </c>
      <c r="DR36" s="96">
        <v>0.15</v>
      </c>
      <c r="DS36" s="96">
        <v>0.35</v>
      </c>
      <c r="DT36" s="96">
        <v>0.56999999999999995</v>
      </c>
      <c r="DU36" s="96">
        <v>0.49</v>
      </c>
      <c r="DV36" s="96">
        <v>0.52</v>
      </c>
      <c r="DW36" s="96">
        <v>0.31</v>
      </c>
      <c r="DX36" s="61">
        <v>50</v>
      </c>
      <c r="DY36" s="61">
        <v>10</v>
      </c>
      <c r="DZ36" s="66">
        <v>0.17</v>
      </c>
      <c r="EA36" s="66">
        <v>0.59</v>
      </c>
      <c r="EB36" s="66">
        <v>0.2</v>
      </c>
      <c r="EC36" s="66">
        <v>0.03</v>
      </c>
      <c r="ED36" s="66">
        <v>0.48</v>
      </c>
      <c r="EE36" s="66">
        <v>0.45</v>
      </c>
      <c r="EF36" s="66">
        <v>0.56999999999999995</v>
      </c>
      <c r="EG36" s="66">
        <v>0.31</v>
      </c>
      <c r="EH36" s="66">
        <v>0.45</v>
      </c>
      <c r="EI36" s="66">
        <v>0.56000000000000005</v>
      </c>
      <c r="EJ36" s="66">
        <v>0.56999999999999995</v>
      </c>
      <c r="EK36" s="66">
        <v>0.16</v>
      </c>
      <c r="EL36" s="66">
        <v>0.44</v>
      </c>
      <c r="EM36" s="66">
        <v>0.69</v>
      </c>
      <c r="EN36" s="66">
        <v>0.39</v>
      </c>
      <c r="EO36" s="66">
        <v>0.56000000000000005</v>
      </c>
      <c r="EP36" s="66">
        <v>0.39</v>
      </c>
      <c r="EQ36" s="66">
        <v>0.39</v>
      </c>
      <c r="ER36" s="66">
        <v>0.59</v>
      </c>
      <c r="ES36" s="66">
        <v>0.46</v>
      </c>
      <c r="ET36" s="66">
        <v>0.3</v>
      </c>
      <c r="EU36" s="66">
        <v>0.64</v>
      </c>
      <c r="EV36" s="66">
        <v>0.27</v>
      </c>
      <c r="EW36" s="66">
        <v>0.3</v>
      </c>
      <c r="EX36" s="66">
        <v>0.56999999999999995</v>
      </c>
      <c r="EY36" s="66">
        <v>0.61</v>
      </c>
      <c r="EZ36" s="66">
        <v>0.1</v>
      </c>
      <c r="FA36" s="66">
        <v>0.6</v>
      </c>
      <c r="FB36" s="349">
        <v>51</v>
      </c>
      <c r="FC36" s="348" t="s">
        <v>910</v>
      </c>
      <c r="FD36" s="349">
        <v>9</v>
      </c>
      <c r="FE36" s="348" t="s">
        <v>910</v>
      </c>
      <c r="FF36" s="371">
        <v>0.13</v>
      </c>
      <c r="FG36" s="371">
        <v>0.61</v>
      </c>
      <c r="FH36" s="371">
        <v>0.24</v>
      </c>
      <c r="FI36" s="371">
        <v>0.03</v>
      </c>
      <c r="FJ36" s="371">
        <v>0.45</v>
      </c>
      <c r="FK36" s="371">
        <v>0.59</v>
      </c>
      <c r="FL36" s="371">
        <v>0.46</v>
      </c>
      <c r="FM36" s="371">
        <v>0.4</v>
      </c>
      <c r="FN36" s="371">
        <v>0.24</v>
      </c>
      <c r="FO36" s="371">
        <v>0.4</v>
      </c>
      <c r="FP36" s="371">
        <v>0.35</v>
      </c>
      <c r="FQ36" s="371">
        <v>0.43</v>
      </c>
      <c r="FR36" s="371">
        <v>0.62</v>
      </c>
      <c r="FS36" s="371">
        <v>0.49</v>
      </c>
      <c r="FT36" s="371">
        <v>0.5</v>
      </c>
      <c r="FU36" s="371">
        <v>0.33</v>
      </c>
      <c r="FV36" s="371">
        <v>0.55000000000000004</v>
      </c>
      <c r="FW36" s="371">
        <v>0.54</v>
      </c>
      <c r="FX36" s="371">
        <v>0.44</v>
      </c>
      <c r="FY36" s="371">
        <v>0.42</v>
      </c>
      <c r="FZ36" s="371">
        <v>0.34</v>
      </c>
      <c r="GA36" s="371">
        <v>0.5</v>
      </c>
      <c r="GB36" s="371">
        <v>0.44</v>
      </c>
      <c r="GC36" s="371">
        <v>0.39</v>
      </c>
      <c r="GD36" s="371">
        <v>0.6</v>
      </c>
      <c r="GE36" s="371">
        <v>0.5</v>
      </c>
      <c r="GF36" s="371">
        <v>0.44</v>
      </c>
      <c r="GG36" s="371">
        <v>0.44</v>
      </c>
      <c r="GH36" s="371">
        <v>0.56999999999999995</v>
      </c>
      <c r="GI36" s="371">
        <v>0.27</v>
      </c>
    </row>
    <row r="37" spans="1:259" s="53" customFormat="1" ht="24.9" customHeight="1" x14ac:dyDescent="0.25">
      <c r="A37" s="189" t="s">
        <v>272</v>
      </c>
      <c r="B37" s="15" t="s">
        <v>222</v>
      </c>
      <c r="C37" s="2">
        <v>2</v>
      </c>
      <c r="D37" s="13" t="s">
        <v>226</v>
      </c>
      <c r="E37" s="13" t="s">
        <v>226</v>
      </c>
      <c r="F37" s="13"/>
      <c r="G37" s="13"/>
      <c r="H37" s="13"/>
      <c r="I37" s="13"/>
      <c r="J37" s="13"/>
      <c r="K37" s="13"/>
      <c r="L37" s="13"/>
      <c r="M37" s="13"/>
      <c r="N37" s="13"/>
      <c r="O37" s="13"/>
      <c r="P37" s="13"/>
      <c r="Q37" s="13"/>
      <c r="R37" s="13"/>
      <c r="S37" s="13"/>
      <c r="T37" s="13"/>
      <c r="U37" s="13"/>
      <c r="V37" s="13"/>
      <c r="W37" s="13"/>
      <c r="X37" s="13"/>
      <c r="Y37" s="13"/>
      <c r="Z37" s="13"/>
      <c r="AA37" s="13"/>
      <c r="AB37" s="13"/>
      <c r="AC37" s="13"/>
      <c r="AD37" s="13"/>
      <c r="AE37" s="13"/>
      <c r="AF37" s="13"/>
      <c r="AG37" s="13"/>
      <c r="AH37" s="13" t="s">
        <v>226</v>
      </c>
      <c r="AI37" s="13" t="s">
        <v>226</v>
      </c>
      <c r="AJ37" s="66"/>
      <c r="AK37" s="66"/>
      <c r="AL37" s="66"/>
      <c r="AM37" s="66"/>
      <c r="AN37" s="66"/>
      <c r="AO37" s="66"/>
      <c r="AP37" s="66"/>
      <c r="AQ37" s="66"/>
      <c r="AR37" s="66"/>
      <c r="AS37" s="66"/>
      <c r="AT37" s="66"/>
      <c r="AU37" s="66"/>
      <c r="AV37" s="66"/>
      <c r="AW37" s="66"/>
      <c r="AX37" s="66"/>
      <c r="AY37" s="66"/>
      <c r="AZ37" s="66"/>
      <c r="BA37" s="66"/>
      <c r="BB37" s="66"/>
      <c r="BC37" s="66"/>
      <c r="BD37" s="66"/>
      <c r="BE37" s="66"/>
      <c r="BF37" s="66"/>
      <c r="BG37" s="66"/>
      <c r="BH37" s="66"/>
      <c r="BI37" s="66"/>
      <c r="BJ37" s="66"/>
      <c r="BK37" s="66"/>
      <c r="BL37" s="66"/>
      <c r="BM37" s="13" t="s">
        <v>226</v>
      </c>
      <c r="BN37" s="13" t="s">
        <v>226</v>
      </c>
      <c r="BO37" s="13"/>
      <c r="BP37" s="13"/>
      <c r="BQ37" s="13"/>
      <c r="BR37" s="13"/>
      <c r="BS37" s="13"/>
      <c r="BT37" s="13"/>
      <c r="BU37" s="13"/>
      <c r="BV37" s="13"/>
      <c r="BW37" s="13"/>
      <c r="BX37" s="13"/>
      <c r="BY37" s="13"/>
      <c r="BZ37" s="13"/>
      <c r="CA37" s="13"/>
      <c r="CB37" s="13"/>
      <c r="CC37" s="13"/>
      <c r="CD37" s="13"/>
      <c r="CE37" s="13"/>
      <c r="CF37" s="13"/>
      <c r="CG37" s="13"/>
      <c r="CH37" s="13"/>
      <c r="CI37" s="13"/>
      <c r="CJ37" s="13"/>
      <c r="CK37" s="13"/>
      <c r="CL37" s="13"/>
      <c r="CM37" s="13"/>
      <c r="CN37" s="13"/>
      <c r="CO37" s="13"/>
      <c r="CP37" s="13"/>
      <c r="CQ37" s="13"/>
      <c r="CR37" s="13"/>
      <c r="CS37" s="13" t="s">
        <v>226</v>
      </c>
      <c r="CT37" s="13" t="s">
        <v>226</v>
      </c>
      <c r="CU37" s="2"/>
      <c r="CV37" s="2"/>
      <c r="CW37" s="2"/>
      <c r="CX37" s="2"/>
      <c r="CY37" s="2"/>
      <c r="CZ37" s="2"/>
      <c r="DA37" s="2"/>
      <c r="DB37" s="2"/>
      <c r="DC37" s="2"/>
      <c r="DD37" s="2"/>
      <c r="DE37" s="2"/>
      <c r="DF37" s="2"/>
      <c r="DG37" s="2"/>
      <c r="DH37" s="2"/>
      <c r="DI37" s="2"/>
      <c r="DJ37" s="2"/>
      <c r="DK37" s="2"/>
      <c r="DL37" s="2"/>
      <c r="DM37" s="2"/>
      <c r="DN37" s="2"/>
      <c r="DO37" s="2"/>
      <c r="DP37" s="2"/>
      <c r="DQ37" s="2"/>
      <c r="DR37" s="2"/>
      <c r="DS37" s="2"/>
      <c r="DT37" s="2"/>
      <c r="DU37" s="2"/>
      <c r="DV37" s="2"/>
      <c r="DW37" s="2"/>
      <c r="DX37" s="61">
        <v>46</v>
      </c>
      <c r="DY37" s="61">
        <v>4</v>
      </c>
      <c r="DZ37" s="66">
        <v>0</v>
      </c>
      <c r="EA37" s="66">
        <v>1</v>
      </c>
      <c r="EB37" s="66">
        <v>0</v>
      </c>
      <c r="EC37" s="66">
        <v>0</v>
      </c>
      <c r="ED37" s="66">
        <v>0.67</v>
      </c>
      <c r="EE37" s="66">
        <v>0.5</v>
      </c>
      <c r="EF37" s="66">
        <v>0.33</v>
      </c>
      <c r="EG37" s="66">
        <v>0</v>
      </c>
      <c r="EH37" s="66">
        <v>0.5</v>
      </c>
      <c r="EI37" s="66">
        <v>0.8</v>
      </c>
      <c r="EJ37" s="66">
        <v>1</v>
      </c>
      <c r="EK37" s="66">
        <v>1</v>
      </c>
      <c r="EL37" s="66">
        <v>0.5</v>
      </c>
      <c r="EM37" s="66">
        <v>0.5</v>
      </c>
      <c r="EN37" s="66">
        <v>0.25</v>
      </c>
      <c r="EO37" s="66">
        <v>0.8</v>
      </c>
      <c r="EP37" s="66">
        <v>0.5</v>
      </c>
      <c r="EQ37" s="66">
        <v>1</v>
      </c>
      <c r="ER37" s="66">
        <v>0.5</v>
      </c>
      <c r="ES37" s="66">
        <v>1</v>
      </c>
      <c r="ET37" s="66">
        <v>0.28999999999999998</v>
      </c>
      <c r="EU37" s="66">
        <v>1</v>
      </c>
      <c r="EV37" s="61" t="s">
        <v>287</v>
      </c>
      <c r="EW37" s="66">
        <v>0</v>
      </c>
      <c r="EX37" s="66">
        <v>0.5</v>
      </c>
      <c r="EY37" s="66">
        <v>0.71</v>
      </c>
      <c r="EZ37" s="61" t="s">
        <v>287</v>
      </c>
      <c r="FA37" s="66">
        <v>0.4</v>
      </c>
      <c r="FB37" s="349">
        <v>46</v>
      </c>
      <c r="FC37" s="348" t="s">
        <v>910</v>
      </c>
      <c r="FD37" s="349">
        <v>0</v>
      </c>
      <c r="FE37" s="348" t="s">
        <v>912</v>
      </c>
      <c r="FF37" s="371">
        <v>0</v>
      </c>
      <c r="FG37" s="371">
        <v>1</v>
      </c>
      <c r="FH37" s="371">
        <v>0</v>
      </c>
      <c r="FI37" s="371">
        <v>0</v>
      </c>
      <c r="FJ37" s="371">
        <v>0.33</v>
      </c>
      <c r="FK37" s="371">
        <v>0.5</v>
      </c>
      <c r="FL37" s="371">
        <v>0.67</v>
      </c>
      <c r="FM37" s="371">
        <v>1</v>
      </c>
      <c r="FN37" s="371">
        <v>0</v>
      </c>
      <c r="FO37" s="371">
        <v>0</v>
      </c>
      <c r="FP37" s="371">
        <v>0</v>
      </c>
      <c r="FQ37" s="371">
        <v>0</v>
      </c>
      <c r="FR37" s="371">
        <v>0.75</v>
      </c>
      <c r="FS37" s="371">
        <v>0.33</v>
      </c>
      <c r="FT37" s="371">
        <v>1</v>
      </c>
      <c r="FU37" s="371">
        <v>0.5</v>
      </c>
      <c r="FV37" s="371">
        <v>1</v>
      </c>
      <c r="FW37" s="371">
        <v>0</v>
      </c>
      <c r="FX37" s="371">
        <v>1</v>
      </c>
      <c r="FY37" s="371">
        <v>0.5</v>
      </c>
      <c r="FZ37" s="371">
        <v>1</v>
      </c>
      <c r="GA37" s="348" t="s">
        <v>287</v>
      </c>
      <c r="GB37" s="371">
        <v>0.5</v>
      </c>
      <c r="GC37" s="371">
        <v>1</v>
      </c>
      <c r="GD37" s="371">
        <v>0.67</v>
      </c>
      <c r="GE37" s="371">
        <v>0.5</v>
      </c>
      <c r="GF37" s="371">
        <v>0.5</v>
      </c>
      <c r="GG37" s="371">
        <v>1</v>
      </c>
      <c r="GH37" s="371">
        <v>0</v>
      </c>
      <c r="GI37" s="371">
        <v>0.33</v>
      </c>
      <c r="GJ37" s="469">
        <v>43</v>
      </c>
      <c r="GK37" s="471" t="s">
        <v>912</v>
      </c>
      <c r="GL37" s="469">
        <v>13</v>
      </c>
      <c r="GM37" s="471" t="s">
        <v>911</v>
      </c>
      <c r="GN37" s="501">
        <v>0.67</v>
      </c>
      <c r="GO37" s="501">
        <v>0</v>
      </c>
      <c r="GP37" s="501">
        <v>0.33</v>
      </c>
      <c r="GQ37" s="501">
        <v>0</v>
      </c>
      <c r="GR37" s="501">
        <v>0.5</v>
      </c>
      <c r="GS37" s="501">
        <v>0.5</v>
      </c>
      <c r="GT37" s="501">
        <v>0.5</v>
      </c>
      <c r="GU37" s="501">
        <v>0</v>
      </c>
      <c r="GV37" s="501">
        <v>0.71</v>
      </c>
      <c r="GW37" s="501">
        <v>0.4</v>
      </c>
      <c r="GX37" s="501">
        <v>0.77</v>
      </c>
      <c r="GY37" s="471" t="s">
        <v>287</v>
      </c>
      <c r="GZ37" s="501">
        <v>0</v>
      </c>
      <c r="HA37" s="471" t="s">
        <v>287</v>
      </c>
      <c r="HB37" s="501">
        <v>0.67</v>
      </c>
      <c r="HC37" s="501">
        <v>0.4</v>
      </c>
      <c r="HD37" s="501">
        <v>0.67</v>
      </c>
      <c r="HE37" s="501">
        <v>0.8</v>
      </c>
      <c r="HF37" s="501">
        <v>0.57999999999999996</v>
      </c>
      <c r="HG37" s="501">
        <v>0.6</v>
      </c>
      <c r="HH37" s="501">
        <v>0.56999999999999995</v>
      </c>
      <c r="HI37" s="501">
        <v>0.8</v>
      </c>
      <c r="HJ37" s="501">
        <v>0.82</v>
      </c>
      <c r="HK37" s="501">
        <v>0.67</v>
      </c>
      <c r="HL37" s="501">
        <v>0.38</v>
      </c>
      <c r="HM37" s="501">
        <v>1</v>
      </c>
      <c r="HN37" s="501">
        <v>0.75</v>
      </c>
      <c r="HO37" s="501">
        <v>0.75</v>
      </c>
      <c r="HP37" s="471" t="s">
        <v>287</v>
      </c>
      <c r="HQ37" s="501">
        <v>0.56999999999999995</v>
      </c>
      <c r="HR37" s="630">
        <v>42</v>
      </c>
      <c r="HS37" s="640" t="s">
        <v>912</v>
      </c>
      <c r="HT37" s="630">
        <v>0</v>
      </c>
      <c r="HU37" s="640" t="s">
        <v>912</v>
      </c>
      <c r="HV37" s="644">
        <v>0</v>
      </c>
      <c r="HW37" s="644">
        <v>1</v>
      </c>
      <c r="HX37" s="644">
        <v>0</v>
      </c>
      <c r="HY37" s="644">
        <v>0</v>
      </c>
      <c r="HZ37" s="644">
        <v>0.5</v>
      </c>
      <c r="IA37" s="644">
        <v>0.5</v>
      </c>
      <c r="IB37" s="644">
        <v>0</v>
      </c>
      <c r="IC37" s="644">
        <v>0</v>
      </c>
      <c r="ID37" s="644">
        <v>1</v>
      </c>
      <c r="IE37" s="644">
        <v>0.5</v>
      </c>
      <c r="IF37" s="644">
        <v>1</v>
      </c>
      <c r="IG37" s="644">
        <v>1</v>
      </c>
      <c r="IH37" s="644">
        <v>1</v>
      </c>
      <c r="II37" s="640" t="s">
        <v>287</v>
      </c>
      <c r="IJ37" s="644">
        <v>0.67</v>
      </c>
      <c r="IK37" s="644">
        <v>0.67</v>
      </c>
      <c r="IL37" s="644">
        <v>0.5</v>
      </c>
      <c r="IM37" s="644">
        <v>1</v>
      </c>
      <c r="IN37" s="644">
        <v>0.33</v>
      </c>
      <c r="IO37" s="644">
        <v>0.5</v>
      </c>
      <c r="IP37" s="644">
        <v>0.5</v>
      </c>
      <c r="IQ37" s="644">
        <v>0.5</v>
      </c>
      <c r="IR37" s="644">
        <v>1</v>
      </c>
      <c r="IS37" s="644">
        <v>1</v>
      </c>
      <c r="IT37" s="644">
        <v>0.5</v>
      </c>
      <c r="IU37" s="640" t="s">
        <v>287</v>
      </c>
      <c r="IV37" s="644">
        <v>1</v>
      </c>
      <c r="IW37" s="644">
        <v>1</v>
      </c>
      <c r="IX37" s="644">
        <v>1</v>
      </c>
      <c r="IY37" s="644">
        <v>0.67</v>
      </c>
    </row>
    <row r="38" spans="1:259" s="461" customFormat="1" ht="24.9" customHeight="1" x14ac:dyDescent="0.25">
      <c r="A38" s="470" t="s">
        <v>952</v>
      </c>
      <c r="B38" s="15" t="s">
        <v>222</v>
      </c>
      <c r="C38" s="471">
        <v>2</v>
      </c>
      <c r="D38" s="505"/>
      <c r="E38" s="505"/>
      <c r="F38" s="505"/>
      <c r="G38" s="505"/>
      <c r="H38" s="505"/>
      <c r="I38" s="505"/>
      <c r="J38" s="505"/>
      <c r="K38" s="505"/>
      <c r="L38" s="505"/>
      <c r="M38" s="505"/>
      <c r="N38" s="505"/>
      <c r="O38" s="505"/>
      <c r="P38" s="505"/>
      <c r="Q38" s="505"/>
      <c r="R38" s="505"/>
      <c r="S38" s="505"/>
      <c r="T38" s="505"/>
      <c r="U38" s="505"/>
      <c r="V38" s="505"/>
      <c r="W38" s="505"/>
      <c r="X38" s="505"/>
      <c r="Y38" s="505"/>
      <c r="Z38" s="505"/>
      <c r="AA38" s="505"/>
      <c r="AB38" s="505"/>
      <c r="AC38" s="505"/>
      <c r="AD38" s="505"/>
      <c r="AE38" s="505"/>
      <c r="AF38" s="505"/>
      <c r="AG38" s="505"/>
      <c r="AH38" s="505"/>
      <c r="AI38" s="505"/>
      <c r="AJ38" s="506"/>
      <c r="AK38" s="506"/>
      <c r="AL38" s="506"/>
      <c r="AM38" s="506"/>
      <c r="AN38" s="506"/>
      <c r="AO38" s="506"/>
      <c r="AP38" s="506"/>
      <c r="AQ38" s="506"/>
      <c r="AR38" s="506"/>
      <c r="AS38" s="506"/>
      <c r="AT38" s="506"/>
      <c r="AU38" s="506"/>
      <c r="AV38" s="506"/>
      <c r="AW38" s="506"/>
      <c r="AX38" s="506"/>
      <c r="AY38" s="506"/>
      <c r="AZ38" s="506"/>
      <c r="BA38" s="506"/>
      <c r="BB38" s="506"/>
      <c r="BC38" s="506"/>
      <c r="BD38" s="506"/>
      <c r="BE38" s="506"/>
      <c r="BF38" s="506"/>
      <c r="BG38" s="506"/>
      <c r="BH38" s="506"/>
      <c r="BI38" s="506"/>
      <c r="BJ38" s="506"/>
      <c r="BK38" s="506"/>
      <c r="BL38" s="506"/>
      <c r="BM38" s="505"/>
      <c r="BN38" s="505"/>
      <c r="BO38" s="505"/>
      <c r="BP38" s="505"/>
      <c r="BQ38" s="505"/>
      <c r="BR38" s="505"/>
      <c r="BS38" s="505"/>
      <c r="BT38" s="505"/>
      <c r="BU38" s="505"/>
      <c r="BV38" s="505"/>
      <c r="BW38" s="505"/>
      <c r="BX38" s="505"/>
      <c r="BY38" s="505"/>
      <c r="BZ38" s="505"/>
      <c r="CA38" s="505"/>
      <c r="CB38" s="505"/>
      <c r="CC38" s="505"/>
      <c r="CD38" s="505"/>
      <c r="CE38" s="505"/>
      <c r="CF38" s="505"/>
      <c r="CG38" s="505"/>
      <c r="CH38" s="505"/>
      <c r="CI38" s="505"/>
      <c r="CJ38" s="505"/>
      <c r="CK38" s="505"/>
      <c r="CL38" s="505"/>
      <c r="CM38" s="505"/>
      <c r="CN38" s="505"/>
      <c r="CO38" s="505"/>
      <c r="CP38" s="505"/>
      <c r="CQ38" s="505"/>
      <c r="CR38" s="505"/>
      <c r="CS38" s="505"/>
      <c r="CT38" s="505"/>
      <c r="CU38" s="471"/>
      <c r="CV38" s="471"/>
      <c r="CW38" s="471"/>
      <c r="CX38" s="471"/>
      <c r="CY38" s="471"/>
      <c r="CZ38" s="471"/>
      <c r="DA38" s="471"/>
      <c r="DB38" s="471"/>
      <c r="DC38" s="471"/>
      <c r="DD38" s="471"/>
      <c r="DE38" s="471"/>
      <c r="DF38" s="471"/>
      <c r="DG38" s="471"/>
      <c r="DH38" s="471"/>
      <c r="DI38" s="471"/>
      <c r="DJ38" s="471"/>
      <c r="DK38" s="471"/>
      <c r="DL38" s="471"/>
      <c r="DM38" s="471"/>
      <c r="DN38" s="471"/>
      <c r="DO38" s="471"/>
      <c r="DP38" s="471"/>
      <c r="DQ38" s="471"/>
      <c r="DR38" s="471"/>
      <c r="DS38" s="471"/>
      <c r="DT38" s="471"/>
      <c r="DU38" s="471"/>
      <c r="DV38" s="471"/>
      <c r="DW38" s="471"/>
      <c r="DX38" s="472"/>
      <c r="DY38" s="472"/>
      <c r="DZ38" s="506"/>
      <c r="EA38" s="506"/>
      <c r="EB38" s="506"/>
      <c r="EC38" s="506"/>
      <c r="ED38" s="506"/>
      <c r="EE38" s="506"/>
      <c r="EF38" s="506"/>
      <c r="EG38" s="506"/>
      <c r="EH38" s="506"/>
      <c r="EI38" s="506"/>
      <c r="EJ38" s="506"/>
      <c r="EK38" s="506"/>
      <c r="EL38" s="506"/>
      <c r="EM38" s="506"/>
      <c r="EN38" s="506"/>
      <c r="EO38" s="506"/>
      <c r="EP38" s="506"/>
      <c r="EQ38" s="506"/>
      <c r="ER38" s="506"/>
      <c r="ES38" s="506"/>
      <c r="ET38" s="506"/>
      <c r="EU38" s="506"/>
      <c r="EV38" s="472"/>
      <c r="EW38" s="506"/>
      <c r="EX38" s="506"/>
      <c r="EY38" s="506"/>
      <c r="EZ38" s="472"/>
      <c r="FA38" s="506"/>
      <c r="FB38" s="475"/>
      <c r="FC38" s="493"/>
      <c r="FD38" s="475"/>
      <c r="FE38" s="493"/>
      <c r="FF38" s="507"/>
      <c r="FG38" s="507"/>
      <c r="FH38" s="507"/>
      <c r="FI38" s="507"/>
      <c r="FJ38" s="507"/>
      <c r="FK38" s="507"/>
      <c r="FL38" s="507"/>
      <c r="FM38" s="507"/>
      <c r="FN38" s="507"/>
      <c r="FO38" s="507"/>
      <c r="FP38" s="507"/>
      <c r="FQ38" s="507"/>
      <c r="FR38" s="507"/>
      <c r="FS38" s="507"/>
      <c r="FT38" s="507"/>
      <c r="FU38" s="507"/>
      <c r="FV38" s="507"/>
      <c r="FW38" s="507"/>
      <c r="FX38" s="507"/>
      <c r="FY38" s="507"/>
      <c r="FZ38" s="507"/>
      <c r="GA38" s="493"/>
      <c r="GB38" s="507"/>
      <c r="GC38" s="507"/>
      <c r="GD38" s="507"/>
      <c r="GE38" s="507"/>
      <c r="GF38" s="507"/>
      <c r="GG38" s="507"/>
      <c r="GH38" s="507"/>
      <c r="GI38" s="507"/>
      <c r="GJ38" s="469">
        <v>42</v>
      </c>
      <c r="GK38" s="471" t="s">
        <v>912</v>
      </c>
      <c r="GL38" s="469">
        <v>4</v>
      </c>
      <c r="GM38" s="471" t="s">
        <v>912</v>
      </c>
      <c r="GN38" s="501">
        <v>0.25</v>
      </c>
      <c r="GO38" s="501">
        <v>0.75</v>
      </c>
      <c r="GP38" s="501">
        <v>0</v>
      </c>
      <c r="GQ38" s="501">
        <v>0</v>
      </c>
      <c r="GR38" s="501">
        <v>0.83</v>
      </c>
      <c r="GS38" s="501">
        <v>0.8</v>
      </c>
      <c r="GT38" s="501">
        <v>0.91</v>
      </c>
      <c r="GU38" s="501">
        <v>0.43</v>
      </c>
      <c r="GV38" s="501">
        <v>0.68</v>
      </c>
      <c r="GW38" s="501">
        <v>0.43</v>
      </c>
      <c r="GX38" s="501">
        <v>0.68</v>
      </c>
      <c r="GY38" s="471" t="s">
        <v>287</v>
      </c>
      <c r="GZ38" s="501">
        <v>0.27</v>
      </c>
      <c r="HA38" s="501">
        <v>0.83</v>
      </c>
      <c r="HB38" s="501">
        <v>0.67</v>
      </c>
      <c r="HC38" s="501">
        <v>0.77</v>
      </c>
      <c r="HD38" s="501">
        <v>0.86</v>
      </c>
      <c r="HE38" s="501">
        <v>0.67</v>
      </c>
      <c r="HF38" s="501">
        <v>0.73</v>
      </c>
      <c r="HG38" s="501">
        <v>0.71</v>
      </c>
      <c r="HH38" s="501">
        <v>0.43</v>
      </c>
      <c r="HI38" s="501">
        <v>0.75</v>
      </c>
      <c r="HJ38" s="501">
        <v>0.67</v>
      </c>
      <c r="HK38" s="501">
        <v>0.43</v>
      </c>
      <c r="HL38" s="501">
        <v>0.55000000000000004</v>
      </c>
      <c r="HM38" s="501">
        <v>0.6</v>
      </c>
      <c r="HN38" s="501">
        <v>0.71</v>
      </c>
      <c r="HO38" s="501">
        <v>0.8</v>
      </c>
      <c r="HP38" s="471" t="s">
        <v>287</v>
      </c>
      <c r="HQ38" s="501">
        <v>0.79</v>
      </c>
      <c r="HR38" s="630">
        <v>41</v>
      </c>
      <c r="HS38" s="640" t="s">
        <v>912</v>
      </c>
      <c r="HT38" s="630">
        <v>8</v>
      </c>
      <c r="HU38" s="640" t="s">
        <v>910</v>
      </c>
      <c r="HV38" s="644">
        <v>0.5</v>
      </c>
      <c r="HW38" s="644">
        <v>0.5</v>
      </c>
      <c r="HX38" s="644">
        <v>0</v>
      </c>
      <c r="HY38" s="644">
        <v>0</v>
      </c>
      <c r="HZ38" s="644">
        <v>0.43</v>
      </c>
      <c r="IA38" s="644">
        <v>0.56000000000000005</v>
      </c>
      <c r="IB38" s="644">
        <v>0.2</v>
      </c>
      <c r="IC38" s="644">
        <v>0.88</v>
      </c>
      <c r="ID38" s="644">
        <v>0.5</v>
      </c>
      <c r="IE38" s="644">
        <v>0.89</v>
      </c>
      <c r="IF38" s="644">
        <v>0.4</v>
      </c>
      <c r="IG38" s="644">
        <v>0.71</v>
      </c>
      <c r="IH38" s="644">
        <v>0.5</v>
      </c>
      <c r="II38" s="644">
        <v>0.67</v>
      </c>
      <c r="IJ38" s="644">
        <v>0.67</v>
      </c>
      <c r="IK38" s="644">
        <v>0.85</v>
      </c>
      <c r="IL38" s="644">
        <v>0.5</v>
      </c>
      <c r="IM38" s="644">
        <v>0.63</v>
      </c>
      <c r="IN38" s="644">
        <v>0.83</v>
      </c>
      <c r="IO38" s="644">
        <v>0.8</v>
      </c>
      <c r="IP38" s="644">
        <v>0.4</v>
      </c>
      <c r="IQ38" s="644">
        <v>0.43</v>
      </c>
      <c r="IR38" s="644">
        <v>1</v>
      </c>
      <c r="IS38" s="644">
        <v>0.75</v>
      </c>
      <c r="IT38" s="644">
        <v>0.77</v>
      </c>
      <c r="IU38" s="640" t="s">
        <v>287</v>
      </c>
      <c r="IV38" s="644">
        <v>0.56999999999999995</v>
      </c>
      <c r="IW38" s="644">
        <v>0.28999999999999998</v>
      </c>
      <c r="IX38" s="644">
        <v>1</v>
      </c>
      <c r="IY38" s="644">
        <v>0.4</v>
      </c>
    </row>
    <row r="39" spans="1:259" ht="24.9" customHeight="1" x14ac:dyDescent="0.25">
      <c r="A39" s="188" t="s">
        <v>34</v>
      </c>
      <c r="B39" s="1" t="s">
        <v>222</v>
      </c>
      <c r="C39" s="2">
        <v>3</v>
      </c>
      <c r="D39" s="16">
        <v>53</v>
      </c>
      <c r="E39" s="16">
        <v>5</v>
      </c>
      <c r="F39" s="99">
        <v>0</v>
      </c>
      <c r="G39" s="99">
        <v>0.67</v>
      </c>
      <c r="H39" s="99">
        <v>0.33</v>
      </c>
      <c r="I39" s="99">
        <v>0</v>
      </c>
      <c r="J39" s="99">
        <v>0.39</v>
      </c>
      <c r="K39" s="99">
        <v>0.28999999999999998</v>
      </c>
      <c r="L39" s="99">
        <v>0.68</v>
      </c>
      <c r="M39" s="99">
        <v>0.17</v>
      </c>
      <c r="N39" s="99">
        <v>0.35</v>
      </c>
      <c r="O39" s="99">
        <v>0.6</v>
      </c>
      <c r="P39" s="99">
        <v>0.26</v>
      </c>
      <c r="Q39" s="99">
        <v>0.53</v>
      </c>
      <c r="R39" s="99">
        <v>0.51</v>
      </c>
      <c r="S39" s="99">
        <v>0.61</v>
      </c>
      <c r="T39" s="99">
        <v>0.43</v>
      </c>
      <c r="U39" s="99">
        <v>0.7</v>
      </c>
      <c r="V39" s="99">
        <v>0.05</v>
      </c>
      <c r="W39" s="99">
        <v>0.12</v>
      </c>
      <c r="X39" s="99">
        <v>0.51</v>
      </c>
      <c r="Y39" s="99">
        <v>0.45</v>
      </c>
      <c r="Z39" s="99">
        <v>1</v>
      </c>
      <c r="AA39" s="99">
        <v>0.16</v>
      </c>
      <c r="AB39" s="99">
        <v>0.42</v>
      </c>
      <c r="AC39" s="99">
        <v>0.22</v>
      </c>
      <c r="AD39" s="99">
        <v>0.49</v>
      </c>
      <c r="AE39" s="99">
        <v>0.44</v>
      </c>
      <c r="AF39" s="99">
        <v>0.51</v>
      </c>
      <c r="AG39" s="99">
        <v>0.44</v>
      </c>
      <c r="AH39" s="16">
        <v>51</v>
      </c>
      <c r="AI39" s="16">
        <v>8</v>
      </c>
      <c r="AJ39" s="66">
        <v>0.1</v>
      </c>
      <c r="AK39" s="66">
        <v>0.56999999999999995</v>
      </c>
      <c r="AL39" s="66">
        <v>0.33</v>
      </c>
      <c r="AM39" s="66">
        <v>0</v>
      </c>
      <c r="AN39" s="66">
        <v>0.32</v>
      </c>
      <c r="AO39" s="66">
        <v>0.49</v>
      </c>
      <c r="AP39" s="66">
        <v>0.56000000000000005</v>
      </c>
      <c r="AQ39" s="66">
        <v>0.43</v>
      </c>
      <c r="AR39" s="66">
        <v>0.65</v>
      </c>
      <c r="AS39" s="66">
        <v>0.5</v>
      </c>
      <c r="AT39" s="66">
        <v>0.52</v>
      </c>
      <c r="AU39" s="66">
        <v>0.56999999999999995</v>
      </c>
      <c r="AV39" s="66">
        <v>0.65</v>
      </c>
      <c r="AW39" s="66">
        <v>0.56000000000000005</v>
      </c>
      <c r="AX39" s="66">
        <v>0.55000000000000004</v>
      </c>
      <c r="AY39" s="66">
        <v>0.33</v>
      </c>
      <c r="AZ39" s="66">
        <v>0.34</v>
      </c>
      <c r="BA39" s="66">
        <v>0.55000000000000004</v>
      </c>
      <c r="BB39" s="66">
        <v>0.72</v>
      </c>
      <c r="BC39" s="66">
        <v>0.74</v>
      </c>
      <c r="BD39" s="66">
        <v>0.4</v>
      </c>
      <c r="BE39" s="66">
        <v>0.46</v>
      </c>
      <c r="BF39" s="66">
        <v>0.63</v>
      </c>
      <c r="BG39" s="66">
        <v>0.56999999999999995</v>
      </c>
      <c r="BH39" s="66">
        <v>0.42</v>
      </c>
      <c r="BI39" s="66">
        <v>0.4</v>
      </c>
      <c r="BJ39" s="66">
        <v>0.37</v>
      </c>
      <c r="BK39" s="66">
        <v>0.42</v>
      </c>
      <c r="BL39" s="66">
        <v>0.42</v>
      </c>
      <c r="BM39" s="16">
        <v>47</v>
      </c>
      <c r="BN39" s="16">
        <v>8</v>
      </c>
      <c r="BO39" s="99">
        <v>0.2</v>
      </c>
      <c r="BP39" s="99">
        <v>0.63</v>
      </c>
      <c r="BQ39" s="99">
        <v>0.17</v>
      </c>
      <c r="BR39" s="99">
        <v>0</v>
      </c>
      <c r="BS39" s="99">
        <v>0.44</v>
      </c>
      <c r="BT39" s="99">
        <v>0.75</v>
      </c>
      <c r="BU39" s="99">
        <v>0.74</v>
      </c>
      <c r="BV39" s="99">
        <v>0.35</v>
      </c>
      <c r="BW39" s="99">
        <v>0.57999999999999996</v>
      </c>
      <c r="BX39" s="99">
        <v>0.49</v>
      </c>
      <c r="BY39" s="99">
        <v>0.48</v>
      </c>
      <c r="BZ39" s="99">
        <v>0.62</v>
      </c>
      <c r="CA39" s="99">
        <v>0.36</v>
      </c>
      <c r="CB39" s="99">
        <v>0.42</v>
      </c>
      <c r="CC39" s="99">
        <v>0.3</v>
      </c>
      <c r="CD39" s="99">
        <v>0.49</v>
      </c>
      <c r="CE39" s="99">
        <v>0.49</v>
      </c>
      <c r="CF39" s="99">
        <v>0.65</v>
      </c>
      <c r="CG39" s="99">
        <v>0.56999999999999995</v>
      </c>
      <c r="CH39" s="99">
        <v>0.5</v>
      </c>
      <c r="CI39" s="99">
        <v>0.59</v>
      </c>
      <c r="CJ39" s="99">
        <v>0.3</v>
      </c>
      <c r="CK39" s="99">
        <v>0.69</v>
      </c>
      <c r="CL39" s="99">
        <v>0.41</v>
      </c>
      <c r="CM39" s="99">
        <v>0.53</v>
      </c>
      <c r="CN39" s="99">
        <v>0.57999999999999996</v>
      </c>
      <c r="CO39" s="99">
        <v>0.59</v>
      </c>
      <c r="CP39" s="99">
        <v>0.38</v>
      </c>
      <c r="CQ39" s="99">
        <v>0.66</v>
      </c>
      <c r="CR39" s="99">
        <v>0.68</v>
      </c>
      <c r="CS39" s="16">
        <v>47</v>
      </c>
      <c r="CT39" s="16">
        <v>7</v>
      </c>
      <c r="CU39" s="96">
        <v>0.13</v>
      </c>
      <c r="CV39" s="96">
        <v>0.79</v>
      </c>
      <c r="CW39" s="96">
        <v>0.08</v>
      </c>
      <c r="CX39" s="96">
        <v>0</v>
      </c>
      <c r="CY39" s="96">
        <v>0.5</v>
      </c>
      <c r="CZ39" s="96">
        <v>0.32</v>
      </c>
      <c r="DA39" s="96">
        <v>0.59</v>
      </c>
      <c r="DB39" s="96">
        <v>0.44</v>
      </c>
      <c r="DC39" s="96">
        <v>0.46</v>
      </c>
      <c r="DD39" s="96">
        <v>0.64</v>
      </c>
      <c r="DE39" s="96">
        <v>0.53</v>
      </c>
      <c r="DF39" s="96">
        <v>0.55000000000000004</v>
      </c>
      <c r="DG39" s="96">
        <v>0.48</v>
      </c>
      <c r="DH39" s="96">
        <v>0.36</v>
      </c>
      <c r="DI39" s="96">
        <v>0.59</v>
      </c>
      <c r="DJ39" s="96">
        <v>0.62</v>
      </c>
      <c r="DK39" s="96">
        <v>0.35</v>
      </c>
      <c r="DL39" s="96">
        <v>0.61</v>
      </c>
      <c r="DM39" s="96">
        <v>0.62</v>
      </c>
      <c r="DN39" s="96">
        <v>0.53</v>
      </c>
      <c r="DO39" s="96">
        <v>0.47</v>
      </c>
      <c r="DP39" s="96">
        <v>0.47</v>
      </c>
      <c r="DQ39" s="96">
        <v>0.63</v>
      </c>
      <c r="DR39" s="96">
        <v>0.24</v>
      </c>
      <c r="DS39" s="96">
        <v>0.4</v>
      </c>
      <c r="DT39" s="96">
        <v>0.68</v>
      </c>
      <c r="DU39" s="96">
        <v>0.48</v>
      </c>
      <c r="DV39" s="96">
        <v>0.66</v>
      </c>
      <c r="DW39" s="96">
        <v>0.39</v>
      </c>
      <c r="DX39" s="61">
        <v>48</v>
      </c>
      <c r="DY39" s="61">
        <v>9</v>
      </c>
      <c r="DZ39" s="66">
        <v>0.24</v>
      </c>
      <c r="EA39" s="66">
        <v>0.62</v>
      </c>
      <c r="EB39" s="66">
        <v>0.14000000000000001</v>
      </c>
      <c r="EC39" s="66">
        <v>0</v>
      </c>
      <c r="ED39" s="66">
        <v>0.5</v>
      </c>
      <c r="EE39" s="66">
        <v>0.51</v>
      </c>
      <c r="EF39" s="66">
        <v>0.47</v>
      </c>
      <c r="EG39" s="66">
        <v>0.18</v>
      </c>
      <c r="EH39" s="66">
        <v>0.46</v>
      </c>
      <c r="EI39" s="66">
        <v>0.51</v>
      </c>
      <c r="EJ39" s="66">
        <v>0.62</v>
      </c>
      <c r="EK39" s="66">
        <v>0.38</v>
      </c>
      <c r="EL39" s="66">
        <v>0.5</v>
      </c>
      <c r="EM39" s="66">
        <v>0.69</v>
      </c>
      <c r="EN39" s="66">
        <v>0.51</v>
      </c>
      <c r="EO39" s="66">
        <v>0.53</v>
      </c>
      <c r="EP39" s="66">
        <v>0.45</v>
      </c>
      <c r="EQ39" s="66">
        <v>0.41</v>
      </c>
      <c r="ER39" s="66">
        <v>0.67</v>
      </c>
      <c r="ES39" s="66">
        <v>0.51</v>
      </c>
      <c r="ET39" s="66">
        <v>0.35</v>
      </c>
      <c r="EU39" s="66">
        <v>0.7</v>
      </c>
      <c r="EV39" s="66">
        <v>0.33</v>
      </c>
      <c r="EW39" s="66">
        <v>0.33</v>
      </c>
      <c r="EX39" s="66">
        <v>0.81</v>
      </c>
      <c r="EY39" s="66">
        <v>0.66</v>
      </c>
      <c r="EZ39" s="66">
        <v>0.22</v>
      </c>
      <c r="FA39" s="66">
        <v>0.64</v>
      </c>
      <c r="FB39" s="349">
        <v>51</v>
      </c>
      <c r="FC39" s="348" t="s">
        <v>910</v>
      </c>
      <c r="FD39" s="349">
        <v>7</v>
      </c>
      <c r="FE39" s="348" t="s">
        <v>910</v>
      </c>
      <c r="FF39" s="371">
        <v>0.03</v>
      </c>
      <c r="FG39" s="371">
        <v>0.67</v>
      </c>
      <c r="FH39" s="371">
        <v>0.31</v>
      </c>
      <c r="FI39" s="371">
        <v>0</v>
      </c>
      <c r="FJ39" s="371">
        <v>0.48</v>
      </c>
      <c r="FK39" s="371">
        <v>0.74</v>
      </c>
      <c r="FL39" s="371">
        <v>0.48</v>
      </c>
      <c r="FM39" s="371">
        <v>0.42</v>
      </c>
      <c r="FN39" s="371">
        <v>0.21</v>
      </c>
      <c r="FO39" s="371">
        <v>0.37</v>
      </c>
      <c r="FP39" s="371">
        <v>0.34</v>
      </c>
      <c r="FQ39" s="371">
        <v>0.38</v>
      </c>
      <c r="FR39" s="371">
        <v>0.63</v>
      </c>
      <c r="FS39" s="371">
        <v>0.47</v>
      </c>
      <c r="FT39" s="371">
        <v>0.55000000000000004</v>
      </c>
      <c r="FU39" s="371">
        <v>0.43</v>
      </c>
      <c r="FV39" s="371">
        <v>0.63</v>
      </c>
      <c r="FW39" s="371">
        <v>0.5</v>
      </c>
      <c r="FX39" s="371">
        <v>0.43</v>
      </c>
      <c r="FY39" s="371">
        <v>0.33</v>
      </c>
      <c r="FZ39" s="371">
        <v>0.28999999999999998</v>
      </c>
      <c r="GA39" s="371">
        <v>0.45</v>
      </c>
      <c r="GB39" s="371">
        <v>0.52</v>
      </c>
      <c r="GC39" s="371">
        <v>0.35</v>
      </c>
      <c r="GD39" s="371">
        <v>0.62</v>
      </c>
      <c r="GE39" s="371">
        <v>0.46</v>
      </c>
      <c r="GF39" s="371">
        <v>0.45</v>
      </c>
      <c r="GG39" s="371">
        <v>0.35</v>
      </c>
      <c r="GH39" s="371">
        <v>0.62</v>
      </c>
      <c r="GI39" s="371">
        <v>0.18</v>
      </c>
      <c r="GJ39" s="469">
        <v>50</v>
      </c>
      <c r="GK39" s="471" t="s">
        <v>910</v>
      </c>
      <c r="GL39" s="469">
        <v>9</v>
      </c>
      <c r="GM39" s="471" t="s">
        <v>910</v>
      </c>
      <c r="GN39" s="501">
        <v>0.12</v>
      </c>
      <c r="GO39" s="501">
        <v>0.64</v>
      </c>
      <c r="GP39" s="501">
        <v>0.24</v>
      </c>
      <c r="GQ39" s="501">
        <v>0</v>
      </c>
      <c r="GR39" s="501">
        <v>0.72</v>
      </c>
      <c r="GS39" s="501">
        <v>0.49</v>
      </c>
      <c r="GT39" s="501">
        <v>0.69</v>
      </c>
      <c r="GU39" s="501">
        <v>0.19</v>
      </c>
      <c r="GV39" s="501">
        <v>0.56000000000000005</v>
      </c>
      <c r="GW39" s="501">
        <v>0.57999999999999996</v>
      </c>
      <c r="GX39" s="501">
        <v>0.42</v>
      </c>
      <c r="GY39" s="471" t="s">
        <v>287</v>
      </c>
      <c r="GZ39" s="501">
        <v>0.39</v>
      </c>
      <c r="HA39" s="501">
        <v>0.59</v>
      </c>
      <c r="HB39" s="501">
        <v>0.43</v>
      </c>
      <c r="HC39" s="501">
        <v>0.57999999999999996</v>
      </c>
      <c r="HD39" s="501">
        <v>0.6</v>
      </c>
      <c r="HE39" s="501">
        <v>0.48</v>
      </c>
      <c r="HF39" s="501">
        <v>0.48</v>
      </c>
      <c r="HG39" s="501">
        <v>0.73</v>
      </c>
      <c r="HH39" s="501">
        <v>0.36</v>
      </c>
      <c r="HI39" s="501">
        <v>0.48</v>
      </c>
      <c r="HJ39" s="501">
        <v>0.7</v>
      </c>
      <c r="HK39" s="501">
        <v>0.55000000000000004</v>
      </c>
      <c r="HL39" s="501">
        <v>0.46</v>
      </c>
      <c r="HM39" s="501">
        <v>0.43</v>
      </c>
      <c r="HN39" s="501">
        <v>0.57999999999999996</v>
      </c>
      <c r="HO39" s="501">
        <v>0.4</v>
      </c>
      <c r="HP39" s="471" t="s">
        <v>287</v>
      </c>
      <c r="HQ39" s="501">
        <v>0.33</v>
      </c>
      <c r="HR39" s="630">
        <v>52</v>
      </c>
      <c r="HS39" s="640" t="s">
        <v>910</v>
      </c>
      <c r="HT39" s="630">
        <v>9</v>
      </c>
      <c r="HU39" s="640" t="s">
        <v>910</v>
      </c>
      <c r="HV39" s="644">
        <v>0.08</v>
      </c>
      <c r="HW39" s="644">
        <v>0.5</v>
      </c>
      <c r="HX39" s="644">
        <v>0.42</v>
      </c>
      <c r="HY39" s="644">
        <v>0</v>
      </c>
      <c r="HZ39" s="644">
        <v>0.42</v>
      </c>
      <c r="IA39" s="644">
        <v>0.59</v>
      </c>
      <c r="IB39" s="644">
        <v>0.68</v>
      </c>
      <c r="IC39" s="644">
        <v>0.45</v>
      </c>
      <c r="ID39" s="644">
        <v>0.62</v>
      </c>
      <c r="IE39" s="644">
        <v>0.32</v>
      </c>
      <c r="IF39" s="644">
        <v>0.46</v>
      </c>
      <c r="IG39" s="644">
        <v>0.63</v>
      </c>
      <c r="IH39" s="644">
        <v>0.44</v>
      </c>
      <c r="II39" s="644">
        <v>0.38</v>
      </c>
      <c r="IJ39" s="644">
        <v>0.24</v>
      </c>
      <c r="IK39" s="644">
        <v>0.57999999999999996</v>
      </c>
      <c r="IL39" s="644">
        <v>0.27</v>
      </c>
      <c r="IM39" s="644">
        <v>0.65</v>
      </c>
      <c r="IN39" s="644">
        <v>0.38</v>
      </c>
      <c r="IO39" s="644">
        <v>0.47</v>
      </c>
      <c r="IP39" s="644">
        <v>0.37</v>
      </c>
      <c r="IQ39" s="644">
        <v>0.73</v>
      </c>
      <c r="IR39" s="644">
        <v>0.52</v>
      </c>
      <c r="IS39" s="644">
        <v>0.47</v>
      </c>
      <c r="IT39" s="644">
        <v>0.46</v>
      </c>
      <c r="IU39" s="640" t="s">
        <v>287</v>
      </c>
      <c r="IV39" s="644">
        <v>0.57999999999999996</v>
      </c>
      <c r="IW39" s="644">
        <v>0.42</v>
      </c>
      <c r="IX39" s="644">
        <v>0.47</v>
      </c>
      <c r="IY39" s="644">
        <v>0.4</v>
      </c>
    </row>
    <row r="40" spans="1:259" ht="24.9" customHeight="1" x14ac:dyDescent="0.25">
      <c r="A40" s="189" t="s">
        <v>273</v>
      </c>
      <c r="B40" s="1" t="s">
        <v>222</v>
      </c>
      <c r="C40" s="2">
        <v>4</v>
      </c>
      <c r="D40" s="16">
        <v>50</v>
      </c>
      <c r="E40" s="16">
        <v>8</v>
      </c>
      <c r="F40" s="99">
        <v>0.15</v>
      </c>
      <c r="G40" s="99">
        <v>0.61</v>
      </c>
      <c r="H40" s="99">
        <v>0.24</v>
      </c>
      <c r="I40" s="99">
        <v>0</v>
      </c>
      <c r="J40" s="99">
        <v>0.34</v>
      </c>
      <c r="K40" s="99">
        <v>0.59</v>
      </c>
      <c r="L40" s="99">
        <v>0.73</v>
      </c>
      <c r="M40" s="99">
        <v>0.3</v>
      </c>
      <c r="N40" s="99">
        <v>0.31</v>
      </c>
      <c r="O40" s="99">
        <v>0.6</v>
      </c>
      <c r="P40" s="99">
        <v>0.38</v>
      </c>
      <c r="Q40" s="99">
        <v>0.46</v>
      </c>
      <c r="R40" s="99">
        <v>0.57999999999999996</v>
      </c>
      <c r="S40" s="99">
        <v>0.67</v>
      </c>
      <c r="T40" s="99">
        <v>0.39</v>
      </c>
      <c r="U40" s="99">
        <v>0.63</v>
      </c>
      <c r="V40" s="99">
        <v>0.18</v>
      </c>
      <c r="W40" s="99">
        <v>0.26</v>
      </c>
      <c r="X40" s="99">
        <v>0.56000000000000005</v>
      </c>
      <c r="Y40" s="99">
        <v>0.54</v>
      </c>
      <c r="Z40" s="99">
        <v>1</v>
      </c>
      <c r="AA40" s="99">
        <v>0.09</v>
      </c>
      <c r="AB40" s="99">
        <v>0.52</v>
      </c>
      <c r="AC40" s="99">
        <v>0.3</v>
      </c>
      <c r="AD40" s="99">
        <v>0.53</v>
      </c>
      <c r="AE40" s="99">
        <v>0.47</v>
      </c>
      <c r="AF40" s="99">
        <v>0.45</v>
      </c>
      <c r="AG40" s="99">
        <v>0.64</v>
      </c>
      <c r="AH40" s="16">
        <v>47</v>
      </c>
      <c r="AI40" s="16">
        <v>8</v>
      </c>
      <c r="AJ40" s="66">
        <v>0.23</v>
      </c>
      <c r="AK40" s="66">
        <v>0.61</v>
      </c>
      <c r="AL40" s="66">
        <v>0.16</v>
      </c>
      <c r="AM40" s="66">
        <v>0</v>
      </c>
      <c r="AN40" s="66">
        <v>0.43</v>
      </c>
      <c r="AO40" s="66">
        <v>0.56999999999999995</v>
      </c>
      <c r="AP40" s="66">
        <v>0.64</v>
      </c>
      <c r="AQ40" s="66">
        <v>0.57999999999999996</v>
      </c>
      <c r="AR40" s="66">
        <v>0.63</v>
      </c>
      <c r="AS40" s="66">
        <v>0.59</v>
      </c>
      <c r="AT40" s="66">
        <v>0.53</v>
      </c>
      <c r="AU40" s="66">
        <v>0.61</v>
      </c>
      <c r="AV40" s="66">
        <v>0.68</v>
      </c>
      <c r="AW40" s="66">
        <v>0.82</v>
      </c>
      <c r="AX40" s="66">
        <v>0.66</v>
      </c>
      <c r="AY40" s="66">
        <v>0.44</v>
      </c>
      <c r="AZ40" s="66">
        <v>0.38</v>
      </c>
      <c r="BA40" s="66">
        <v>0.67</v>
      </c>
      <c r="BB40" s="66">
        <v>0.74</v>
      </c>
      <c r="BC40" s="66">
        <v>0.57999999999999996</v>
      </c>
      <c r="BD40" s="66">
        <v>0.52</v>
      </c>
      <c r="BE40" s="66">
        <v>0.73</v>
      </c>
      <c r="BF40" s="66">
        <v>0.71</v>
      </c>
      <c r="BG40" s="66">
        <v>0.55000000000000004</v>
      </c>
      <c r="BH40" s="66">
        <v>0.52</v>
      </c>
      <c r="BI40" s="66">
        <v>0.49</v>
      </c>
      <c r="BJ40" s="66">
        <v>0.51</v>
      </c>
      <c r="BK40" s="66">
        <v>0.49</v>
      </c>
      <c r="BL40" s="66">
        <v>0.55000000000000004</v>
      </c>
      <c r="BM40" s="16">
        <v>45</v>
      </c>
      <c r="BN40" s="16">
        <v>7</v>
      </c>
      <c r="BO40" s="99">
        <v>0.27</v>
      </c>
      <c r="BP40" s="99">
        <v>0.62</v>
      </c>
      <c r="BQ40" s="99">
        <v>0.11</v>
      </c>
      <c r="BR40" s="99">
        <v>0</v>
      </c>
      <c r="BS40" s="99">
        <v>0.5</v>
      </c>
      <c r="BT40" s="99">
        <v>0.63</v>
      </c>
      <c r="BU40" s="99">
        <v>0.57999999999999996</v>
      </c>
      <c r="BV40" s="99">
        <v>0.35</v>
      </c>
      <c r="BW40" s="99">
        <v>0.74</v>
      </c>
      <c r="BX40" s="99">
        <v>0.52</v>
      </c>
      <c r="BY40" s="99">
        <v>0.65</v>
      </c>
      <c r="BZ40" s="99">
        <v>0.71</v>
      </c>
      <c r="CA40" s="99">
        <v>0.54</v>
      </c>
      <c r="CB40" s="99">
        <v>0.4</v>
      </c>
      <c r="CC40" s="99">
        <v>0.28000000000000003</v>
      </c>
      <c r="CD40" s="99">
        <v>0.56999999999999995</v>
      </c>
      <c r="CE40" s="99">
        <v>0.47</v>
      </c>
      <c r="CF40" s="99">
        <v>0.6</v>
      </c>
      <c r="CG40" s="99">
        <v>0.57999999999999996</v>
      </c>
      <c r="CH40" s="99">
        <v>0.59</v>
      </c>
      <c r="CI40" s="99">
        <v>0.68</v>
      </c>
      <c r="CJ40" s="99">
        <v>0.65</v>
      </c>
      <c r="CK40" s="99">
        <v>0.72</v>
      </c>
      <c r="CL40" s="99">
        <v>0.42</v>
      </c>
      <c r="CM40" s="99">
        <v>0.44</v>
      </c>
      <c r="CN40" s="99">
        <v>0.57999999999999996</v>
      </c>
      <c r="CO40" s="99">
        <v>0.46</v>
      </c>
      <c r="CP40" s="99">
        <v>0.5</v>
      </c>
      <c r="CQ40" s="99">
        <v>0.57999999999999996</v>
      </c>
      <c r="CR40" s="99">
        <v>0.69</v>
      </c>
      <c r="CS40" s="16">
        <v>47</v>
      </c>
      <c r="CT40" s="16">
        <v>7</v>
      </c>
      <c r="CU40" s="96">
        <v>0.14000000000000001</v>
      </c>
      <c r="CV40" s="96">
        <v>0.76</v>
      </c>
      <c r="CW40" s="96">
        <v>0.1</v>
      </c>
      <c r="CX40" s="96">
        <v>0</v>
      </c>
      <c r="CY40" s="96">
        <v>0.57999999999999996</v>
      </c>
      <c r="CZ40" s="96">
        <v>0.38</v>
      </c>
      <c r="DA40" s="96">
        <v>0.46</v>
      </c>
      <c r="DB40" s="96">
        <v>0.34</v>
      </c>
      <c r="DC40" s="96">
        <v>0.49</v>
      </c>
      <c r="DD40" s="96">
        <v>0.56999999999999995</v>
      </c>
      <c r="DE40" s="96">
        <v>0.55000000000000004</v>
      </c>
      <c r="DF40" s="96">
        <v>0.64</v>
      </c>
      <c r="DG40" s="96">
        <v>0.5</v>
      </c>
      <c r="DH40" s="96">
        <v>0.4</v>
      </c>
      <c r="DI40" s="96">
        <v>0.66</v>
      </c>
      <c r="DJ40" s="96">
        <v>0.63</v>
      </c>
      <c r="DK40" s="96">
        <v>0.37</v>
      </c>
      <c r="DL40" s="96">
        <v>0.48</v>
      </c>
      <c r="DM40" s="96">
        <v>0.57999999999999996</v>
      </c>
      <c r="DN40" s="96">
        <v>0.53</v>
      </c>
      <c r="DO40" s="96">
        <v>0.64</v>
      </c>
      <c r="DP40" s="96">
        <v>0.56999999999999995</v>
      </c>
      <c r="DQ40" s="96">
        <v>0.63</v>
      </c>
      <c r="DR40" s="96">
        <v>0.26</v>
      </c>
      <c r="DS40" s="96">
        <v>0.43</v>
      </c>
      <c r="DT40" s="96">
        <v>0.65</v>
      </c>
      <c r="DU40" s="96">
        <v>0.75</v>
      </c>
      <c r="DV40" s="96">
        <v>0.61</v>
      </c>
      <c r="DW40" s="96">
        <v>0.37</v>
      </c>
      <c r="DX40" s="61">
        <v>47</v>
      </c>
      <c r="DY40" s="61">
        <v>8</v>
      </c>
      <c r="DZ40" s="66">
        <v>0.2</v>
      </c>
      <c r="EA40" s="66">
        <v>0.63</v>
      </c>
      <c r="EB40" s="66">
        <v>0.18</v>
      </c>
      <c r="EC40" s="66">
        <v>0</v>
      </c>
      <c r="ED40" s="66">
        <v>0.5</v>
      </c>
      <c r="EE40" s="66">
        <v>0.52</v>
      </c>
      <c r="EF40" s="66">
        <v>0.57999999999999996</v>
      </c>
      <c r="EG40" s="66">
        <v>0.56999999999999995</v>
      </c>
      <c r="EH40" s="66">
        <v>0.46</v>
      </c>
      <c r="EI40" s="66">
        <v>0.64</v>
      </c>
      <c r="EJ40" s="66">
        <v>0.62</v>
      </c>
      <c r="EK40" s="66">
        <v>0.3</v>
      </c>
      <c r="EL40" s="66">
        <v>0.41</v>
      </c>
      <c r="EM40" s="66">
        <v>0.75</v>
      </c>
      <c r="EN40" s="66">
        <v>0.53</v>
      </c>
      <c r="EO40" s="66">
        <v>0.63</v>
      </c>
      <c r="EP40" s="66">
        <v>0.5</v>
      </c>
      <c r="EQ40" s="66">
        <v>0.26</v>
      </c>
      <c r="ER40" s="66">
        <v>0.59</v>
      </c>
      <c r="ES40" s="66">
        <v>0.52</v>
      </c>
      <c r="ET40" s="66">
        <v>0.35</v>
      </c>
      <c r="EU40" s="66">
        <v>0.64</v>
      </c>
      <c r="EV40" s="66">
        <v>0.44</v>
      </c>
      <c r="EW40" s="66">
        <v>0.36</v>
      </c>
      <c r="EX40" s="66">
        <v>0.68</v>
      </c>
      <c r="EY40" s="66">
        <v>0.62</v>
      </c>
      <c r="EZ40" s="66">
        <v>0.32</v>
      </c>
      <c r="FA40" s="66">
        <v>0.66</v>
      </c>
      <c r="FB40" s="349">
        <v>47</v>
      </c>
      <c r="FC40" s="348" t="s">
        <v>910</v>
      </c>
      <c r="FD40" s="349">
        <v>8</v>
      </c>
      <c r="FE40" s="348" t="s">
        <v>910</v>
      </c>
      <c r="FF40" s="371">
        <v>0.28999999999999998</v>
      </c>
      <c r="FG40" s="371">
        <v>0.54</v>
      </c>
      <c r="FH40" s="371">
        <v>0.17</v>
      </c>
      <c r="FI40" s="371">
        <v>0</v>
      </c>
      <c r="FJ40" s="371">
        <v>0.51</v>
      </c>
      <c r="FK40" s="371">
        <v>0.74</v>
      </c>
      <c r="FL40" s="371">
        <v>0.6</v>
      </c>
      <c r="FM40" s="371">
        <v>0.51</v>
      </c>
      <c r="FN40" s="371">
        <v>0.37</v>
      </c>
      <c r="FO40" s="371">
        <v>0.39</v>
      </c>
      <c r="FP40" s="371">
        <v>0.43</v>
      </c>
      <c r="FQ40" s="371">
        <v>0.46</v>
      </c>
      <c r="FR40" s="371">
        <v>0.64</v>
      </c>
      <c r="FS40" s="371">
        <v>0.64</v>
      </c>
      <c r="FT40" s="371">
        <v>0.6</v>
      </c>
      <c r="FU40" s="371">
        <v>0.36</v>
      </c>
      <c r="FV40" s="371">
        <v>0.71</v>
      </c>
      <c r="FW40" s="371">
        <v>0.56000000000000005</v>
      </c>
      <c r="FX40" s="371">
        <v>0.56000000000000005</v>
      </c>
      <c r="FY40" s="371">
        <v>0.45</v>
      </c>
      <c r="FZ40" s="371">
        <v>0.46</v>
      </c>
      <c r="GA40" s="371">
        <v>0.43</v>
      </c>
      <c r="GB40" s="371">
        <v>0.62</v>
      </c>
      <c r="GC40" s="371">
        <v>0.49</v>
      </c>
      <c r="GD40" s="371">
        <v>0.56999999999999995</v>
      </c>
      <c r="GE40" s="371">
        <v>0.57999999999999996</v>
      </c>
      <c r="GF40" s="371">
        <v>0.49</v>
      </c>
      <c r="GG40" s="371">
        <v>0.55000000000000004</v>
      </c>
      <c r="GH40" s="371">
        <v>0.68</v>
      </c>
      <c r="GI40" s="371">
        <v>0.3</v>
      </c>
      <c r="GJ40" s="469">
        <v>44</v>
      </c>
      <c r="GK40" s="471" t="s">
        <v>910</v>
      </c>
      <c r="GL40" s="469">
        <v>7</v>
      </c>
      <c r="GM40" s="471" t="s">
        <v>910</v>
      </c>
      <c r="GN40" s="501">
        <v>0.41</v>
      </c>
      <c r="GO40" s="501">
        <v>0.54</v>
      </c>
      <c r="GP40" s="501">
        <v>0.04</v>
      </c>
      <c r="GQ40" s="501">
        <v>0</v>
      </c>
      <c r="GR40" s="501">
        <v>0.49</v>
      </c>
      <c r="GS40" s="501">
        <v>0.6</v>
      </c>
      <c r="GT40" s="501">
        <v>0.67</v>
      </c>
      <c r="GU40" s="501">
        <v>0.46</v>
      </c>
      <c r="GV40" s="501">
        <v>0.71</v>
      </c>
      <c r="GW40" s="501">
        <v>0.62</v>
      </c>
      <c r="GX40" s="501">
        <v>0.56999999999999995</v>
      </c>
      <c r="GY40" s="471" t="s">
        <v>287</v>
      </c>
      <c r="GZ40" s="501">
        <v>0.43</v>
      </c>
      <c r="HA40" s="501">
        <v>0.74</v>
      </c>
      <c r="HB40" s="501">
        <v>0.52</v>
      </c>
      <c r="HC40" s="501">
        <v>0.64</v>
      </c>
      <c r="HD40" s="501">
        <v>0.64</v>
      </c>
      <c r="HE40" s="501">
        <v>0.65</v>
      </c>
      <c r="HF40" s="501">
        <v>0.61</v>
      </c>
      <c r="HG40" s="501">
        <v>0.73</v>
      </c>
      <c r="HH40" s="501">
        <v>0.53</v>
      </c>
      <c r="HI40" s="501">
        <v>0.56000000000000005</v>
      </c>
      <c r="HJ40" s="501">
        <v>0.68</v>
      </c>
      <c r="HK40" s="501">
        <v>0.59</v>
      </c>
      <c r="HL40" s="501">
        <v>0.57999999999999996</v>
      </c>
      <c r="HM40" s="501">
        <v>0.63</v>
      </c>
      <c r="HN40" s="501">
        <v>0.6</v>
      </c>
      <c r="HO40" s="501">
        <v>0.56999999999999995</v>
      </c>
      <c r="HP40" s="471" t="s">
        <v>287</v>
      </c>
      <c r="HQ40" s="501">
        <v>0.57999999999999996</v>
      </c>
      <c r="HR40" s="630">
        <v>49</v>
      </c>
      <c r="HS40" s="640" t="s">
        <v>910</v>
      </c>
      <c r="HT40" s="630">
        <v>8</v>
      </c>
      <c r="HU40" s="640" t="s">
        <v>910</v>
      </c>
      <c r="HV40" s="644">
        <v>0.14000000000000001</v>
      </c>
      <c r="HW40" s="644">
        <v>0.65</v>
      </c>
      <c r="HX40" s="644">
        <v>0.22</v>
      </c>
      <c r="HY40" s="644">
        <v>0</v>
      </c>
      <c r="HZ40" s="644">
        <v>0.42</v>
      </c>
      <c r="IA40" s="644">
        <v>0.56999999999999995</v>
      </c>
      <c r="IB40" s="644">
        <v>0.31</v>
      </c>
      <c r="IC40" s="644">
        <v>0.6</v>
      </c>
      <c r="ID40" s="644">
        <v>0.63</v>
      </c>
      <c r="IE40" s="644">
        <v>0.43</v>
      </c>
      <c r="IF40" s="644">
        <v>0.43</v>
      </c>
      <c r="IG40" s="644">
        <v>0.52</v>
      </c>
      <c r="IH40" s="644">
        <v>0.59</v>
      </c>
      <c r="II40" s="644">
        <v>0.35</v>
      </c>
      <c r="IJ40" s="644">
        <v>0.25</v>
      </c>
      <c r="IK40" s="644">
        <v>0.46</v>
      </c>
      <c r="IL40" s="644">
        <v>0.41</v>
      </c>
      <c r="IM40" s="644">
        <v>0.55000000000000004</v>
      </c>
      <c r="IN40" s="644">
        <v>0.51</v>
      </c>
      <c r="IO40" s="644">
        <v>0.63</v>
      </c>
      <c r="IP40" s="644">
        <v>0.52</v>
      </c>
      <c r="IQ40" s="644">
        <v>0.71</v>
      </c>
      <c r="IR40" s="644">
        <v>0.75</v>
      </c>
      <c r="IS40" s="644">
        <v>0.46</v>
      </c>
      <c r="IT40" s="644">
        <v>0.43</v>
      </c>
      <c r="IU40" s="640" t="s">
        <v>287</v>
      </c>
      <c r="IV40" s="644">
        <v>0.62</v>
      </c>
      <c r="IW40" s="644">
        <v>0.36</v>
      </c>
      <c r="IX40" s="644">
        <v>0.73</v>
      </c>
      <c r="IY40" s="644">
        <v>0.56999999999999995</v>
      </c>
    </row>
    <row r="41" spans="1:259" s="53" customFormat="1" ht="24.9" customHeight="1" x14ac:dyDescent="0.25">
      <c r="A41" s="188" t="s">
        <v>296</v>
      </c>
      <c r="B41" s="1" t="s">
        <v>222</v>
      </c>
      <c r="C41" s="2">
        <v>5</v>
      </c>
      <c r="D41" s="13" t="s">
        <v>226</v>
      </c>
      <c r="E41" s="13" t="s">
        <v>226</v>
      </c>
      <c r="F41" s="13"/>
      <c r="G41" s="13"/>
      <c r="H41" s="13"/>
      <c r="I41" s="13"/>
      <c r="J41" s="13"/>
      <c r="K41" s="13"/>
      <c r="L41" s="13"/>
      <c r="M41" s="13"/>
      <c r="N41" s="13"/>
      <c r="O41" s="13"/>
      <c r="P41" s="13"/>
      <c r="Q41" s="13"/>
      <c r="R41" s="13"/>
      <c r="S41" s="13"/>
      <c r="T41" s="13"/>
      <c r="U41" s="13"/>
      <c r="V41" s="13"/>
      <c r="W41" s="13"/>
      <c r="X41" s="13"/>
      <c r="Y41" s="13"/>
      <c r="Z41" s="13"/>
      <c r="AA41" s="13"/>
      <c r="AB41" s="13"/>
      <c r="AC41" s="13"/>
      <c r="AD41" s="13"/>
      <c r="AE41" s="13"/>
      <c r="AF41" s="13"/>
      <c r="AG41" s="13"/>
      <c r="AH41" s="13" t="s">
        <v>226</v>
      </c>
      <c r="AI41" s="13" t="s">
        <v>226</v>
      </c>
      <c r="AJ41" s="66"/>
      <c r="AK41" s="66"/>
      <c r="AL41" s="66"/>
      <c r="AM41" s="66"/>
      <c r="AN41" s="66"/>
      <c r="AO41" s="66"/>
      <c r="AP41" s="66"/>
      <c r="AQ41" s="66"/>
      <c r="AR41" s="66"/>
      <c r="AS41" s="66"/>
      <c r="AT41" s="66"/>
      <c r="AU41" s="66"/>
      <c r="AV41" s="66"/>
      <c r="AW41" s="66"/>
      <c r="AX41" s="66"/>
      <c r="AY41" s="66"/>
      <c r="AZ41" s="66"/>
      <c r="BA41" s="66"/>
      <c r="BB41" s="66"/>
      <c r="BC41" s="66"/>
      <c r="BD41" s="66"/>
      <c r="BE41" s="66"/>
      <c r="BF41" s="66"/>
      <c r="BG41" s="66"/>
      <c r="BH41" s="66"/>
      <c r="BI41" s="66"/>
      <c r="BJ41" s="66"/>
      <c r="BK41" s="66"/>
      <c r="BL41" s="66"/>
      <c r="BM41" s="16">
        <v>54</v>
      </c>
      <c r="BN41" s="16">
        <v>6</v>
      </c>
      <c r="BO41" s="99">
        <v>0.06</v>
      </c>
      <c r="BP41" s="99">
        <v>0.5</v>
      </c>
      <c r="BQ41" s="99">
        <v>0.44</v>
      </c>
      <c r="BR41" s="99">
        <v>0</v>
      </c>
      <c r="BS41" s="99">
        <v>0.22</v>
      </c>
      <c r="BT41" s="99">
        <v>0.9</v>
      </c>
      <c r="BU41" s="99">
        <v>0.61</v>
      </c>
      <c r="BV41" s="99">
        <v>0.42</v>
      </c>
      <c r="BW41" s="99">
        <v>0.6</v>
      </c>
      <c r="BX41" s="99">
        <v>0.3</v>
      </c>
      <c r="BY41" s="99">
        <v>0.31</v>
      </c>
      <c r="BZ41" s="99">
        <v>0.35</v>
      </c>
      <c r="CA41" s="99">
        <v>0.44</v>
      </c>
      <c r="CB41" s="99">
        <v>0.25</v>
      </c>
      <c r="CC41" s="99">
        <v>0.12</v>
      </c>
      <c r="CD41" s="99">
        <v>0.38</v>
      </c>
      <c r="CE41" s="99">
        <v>0.32</v>
      </c>
      <c r="CF41" s="99">
        <v>0.65</v>
      </c>
      <c r="CG41" s="99">
        <v>0.6</v>
      </c>
      <c r="CH41" s="99">
        <v>0.51</v>
      </c>
      <c r="CI41" s="99">
        <v>0.47</v>
      </c>
      <c r="CJ41" s="99">
        <v>0.25</v>
      </c>
      <c r="CK41" s="99">
        <v>0.67</v>
      </c>
      <c r="CL41" s="99">
        <v>0.19</v>
      </c>
      <c r="CM41" s="99">
        <v>0.43</v>
      </c>
      <c r="CN41" s="99">
        <v>0.33</v>
      </c>
      <c r="CO41" s="99">
        <v>0.24</v>
      </c>
      <c r="CP41" s="99">
        <v>0.37</v>
      </c>
      <c r="CQ41" s="99">
        <v>0.56000000000000005</v>
      </c>
      <c r="CR41" s="99">
        <v>0.49</v>
      </c>
      <c r="CS41" s="16">
        <v>48</v>
      </c>
      <c r="CT41" s="16">
        <v>7</v>
      </c>
      <c r="CU41" s="96">
        <v>0.13</v>
      </c>
      <c r="CV41" s="96">
        <v>0.67</v>
      </c>
      <c r="CW41" s="96">
        <v>0.2</v>
      </c>
      <c r="CX41" s="96">
        <v>0</v>
      </c>
      <c r="CY41" s="96">
        <v>0.51</v>
      </c>
      <c r="CZ41" s="96">
        <v>0.31</v>
      </c>
      <c r="DA41" s="96">
        <v>0.56000000000000005</v>
      </c>
      <c r="DB41" s="96">
        <v>0.41</v>
      </c>
      <c r="DC41" s="96">
        <v>0.28000000000000003</v>
      </c>
      <c r="DD41" s="96">
        <v>0.74</v>
      </c>
      <c r="DE41" s="96">
        <v>0.52</v>
      </c>
      <c r="DF41" s="96">
        <v>0.68</v>
      </c>
      <c r="DG41" s="96">
        <v>0.62</v>
      </c>
      <c r="DH41" s="96">
        <v>0.26</v>
      </c>
      <c r="DI41" s="96">
        <v>0.68</v>
      </c>
      <c r="DJ41" s="96">
        <v>0.56999999999999995</v>
      </c>
      <c r="DK41" s="96">
        <v>0.33</v>
      </c>
      <c r="DL41" s="96">
        <v>0.5</v>
      </c>
      <c r="DM41" s="96">
        <v>0.56999999999999995</v>
      </c>
      <c r="DN41" s="96">
        <v>0.41</v>
      </c>
      <c r="DO41" s="96">
        <v>0.31</v>
      </c>
      <c r="DP41" s="96">
        <v>0.46</v>
      </c>
      <c r="DQ41" s="96">
        <v>0.67</v>
      </c>
      <c r="DR41" s="96">
        <v>0.15</v>
      </c>
      <c r="DS41" s="96">
        <v>0.44</v>
      </c>
      <c r="DT41" s="96">
        <v>0.68</v>
      </c>
      <c r="DU41" s="96">
        <v>0.43</v>
      </c>
      <c r="DV41" s="96">
        <v>0.5</v>
      </c>
      <c r="DW41" s="96">
        <v>0.44</v>
      </c>
      <c r="DX41" s="61">
        <v>48</v>
      </c>
      <c r="DY41" s="61">
        <v>9</v>
      </c>
      <c r="DZ41" s="66">
        <v>0.18</v>
      </c>
      <c r="EA41" s="66">
        <v>0.59</v>
      </c>
      <c r="EB41" s="66">
        <v>0.23</v>
      </c>
      <c r="EC41" s="66">
        <v>0</v>
      </c>
      <c r="ED41" s="66">
        <v>0.49</v>
      </c>
      <c r="EE41" s="66">
        <v>0.49</v>
      </c>
      <c r="EF41" s="66">
        <v>0.38</v>
      </c>
      <c r="EG41" s="66">
        <v>0.36</v>
      </c>
      <c r="EH41" s="66">
        <v>0.39</v>
      </c>
      <c r="EI41" s="66">
        <v>0.67</v>
      </c>
      <c r="EJ41" s="66">
        <v>0.56000000000000005</v>
      </c>
      <c r="EK41" s="66">
        <v>0.47</v>
      </c>
      <c r="EL41" s="66">
        <v>0.49</v>
      </c>
      <c r="EM41" s="66">
        <v>0.75</v>
      </c>
      <c r="EN41" s="66">
        <v>0.49</v>
      </c>
      <c r="EO41" s="66">
        <v>0.59</v>
      </c>
      <c r="EP41" s="66">
        <v>0.56000000000000005</v>
      </c>
      <c r="EQ41" s="66">
        <v>0.33</v>
      </c>
      <c r="ER41" s="66">
        <v>0.38</v>
      </c>
      <c r="ES41" s="66">
        <v>0.5</v>
      </c>
      <c r="ET41" s="66">
        <v>0.45</v>
      </c>
      <c r="EU41" s="66">
        <v>0.8</v>
      </c>
      <c r="EV41" s="66">
        <v>0.42</v>
      </c>
      <c r="EW41" s="66">
        <v>0.37</v>
      </c>
      <c r="EX41" s="66">
        <v>0.57999999999999996</v>
      </c>
      <c r="EY41" s="66">
        <v>0.59</v>
      </c>
      <c r="EZ41" s="66">
        <v>0.14000000000000001</v>
      </c>
      <c r="FA41" s="66">
        <v>0.6</v>
      </c>
      <c r="FB41" s="349">
        <v>50</v>
      </c>
      <c r="FC41" s="348" t="s">
        <v>910</v>
      </c>
      <c r="FD41" s="349">
        <v>8</v>
      </c>
      <c r="FE41" s="348" t="s">
        <v>910</v>
      </c>
      <c r="FF41" s="371">
        <v>0.12</v>
      </c>
      <c r="FG41" s="371">
        <v>0.57999999999999996</v>
      </c>
      <c r="FH41" s="371">
        <v>0.31</v>
      </c>
      <c r="FI41" s="371">
        <v>0</v>
      </c>
      <c r="FJ41" s="371">
        <v>0.47</v>
      </c>
      <c r="FK41" s="371">
        <v>0.62</v>
      </c>
      <c r="FL41" s="371">
        <v>0.57999999999999996</v>
      </c>
      <c r="FM41" s="371">
        <v>0.22</v>
      </c>
      <c r="FN41" s="371">
        <v>0.26</v>
      </c>
      <c r="FO41" s="371">
        <v>0.4</v>
      </c>
      <c r="FP41" s="371">
        <v>0.38</v>
      </c>
      <c r="FQ41" s="371">
        <v>0.43</v>
      </c>
      <c r="FR41" s="371">
        <v>0.56999999999999995</v>
      </c>
      <c r="FS41" s="371">
        <v>0.7</v>
      </c>
      <c r="FT41" s="371">
        <v>0.47</v>
      </c>
      <c r="FU41" s="371">
        <v>0.18</v>
      </c>
      <c r="FV41" s="371">
        <v>0.73</v>
      </c>
      <c r="FW41" s="371">
        <v>0.61</v>
      </c>
      <c r="FX41" s="371">
        <v>0.51</v>
      </c>
      <c r="FY41" s="371">
        <v>0.48</v>
      </c>
      <c r="FZ41" s="371">
        <v>0.39</v>
      </c>
      <c r="GA41" s="371">
        <v>0.55000000000000004</v>
      </c>
      <c r="GB41" s="371">
        <v>0.54</v>
      </c>
      <c r="GC41" s="371">
        <v>0.52</v>
      </c>
      <c r="GD41" s="371">
        <v>0.56000000000000005</v>
      </c>
      <c r="GE41" s="371">
        <v>0.47</v>
      </c>
      <c r="GF41" s="371">
        <v>0.26</v>
      </c>
      <c r="GG41" s="371">
        <v>0.52</v>
      </c>
      <c r="GH41" s="371">
        <v>0.56000000000000005</v>
      </c>
      <c r="GI41" s="371">
        <v>0.28999999999999998</v>
      </c>
      <c r="GJ41" s="469">
        <v>51</v>
      </c>
      <c r="GK41" s="471" t="s">
        <v>910</v>
      </c>
      <c r="GL41" s="469">
        <v>8</v>
      </c>
      <c r="GM41" s="471" t="s">
        <v>910</v>
      </c>
      <c r="GN41" s="501">
        <v>0.08</v>
      </c>
      <c r="GO41" s="501">
        <v>0.69</v>
      </c>
      <c r="GP41" s="501">
        <v>0.23</v>
      </c>
      <c r="GQ41" s="501">
        <v>0</v>
      </c>
      <c r="GR41" s="501">
        <v>0.59</v>
      </c>
      <c r="GS41" s="501">
        <v>0.76</v>
      </c>
      <c r="GT41" s="501">
        <v>0.57999999999999996</v>
      </c>
      <c r="GU41" s="501">
        <v>0.43</v>
      </c>
      <c r="GV41" s="501">
        <v>0.55000000000000004</v>
      </c>
      <c r="GW41" s="501">
        <v>0.4</v>
      </c>
      <c r="GX41" s="501">
        <v>0.4</v>
      </c>
      <c r="GY41" s="471" t="s">
        <v>287</v>
      </c>
      <c r="GZ41" s="501">
        <v>0.43</v>
      </c>
      <c r="HA41" s="501">
        <v>0.56000000000000005</v>
      </c>
      <c r="HB41" s="501">
        <v>0.33</v>
      </c>
      <c r="HC41" s="501">
        <v>0.63</v>
      </c>
      <c r="HD41" s="501">
        <v>0.55000000000000004</v>
      </c>
      <c r="HE41" s="501">
        <v>0.5</v>
      </c>
      <c r="HF41" s="501">
        <v>0.56999999999999995</v>
      </c>
      <c r="HG41" s="501">
        <v>0.68</v>
      </c>
      <c r="HH41" s="501">
        <v>0.55000000000000004</v>
      </c>
      <c r="HI41" s="501">
        <v>0.47</v>
      </c>
      <c r="HJ41" s="501">
        <v>0.51</v>
      </c>
      <c r="HK41" s="501">
        <v>0.37</v>
      </c>
      <c r="HL41" s="501">
        <v>0.28999999999999998</v>
      </c>
      <c r="HM41" s="501">
        <v>0.45</v>
      </c>
      <c r="HN41" s="501">
        <v>0.5</v>
      </c>
      <c r="HO41" s="501">
        <v>0.42</v>
      </c>
      <c r="HP41" s="471" t="s">
        <v>287</v>
      </c>
      <c r="HQ41" s="501">
        <v>0.42</v>
      </c>
      <c r="HR41" s="630">
        <v>53</v>
      </c>
      <c r="HS41" s="640" t="s">
        <v>910</v>
      </c>
      <c r="HT41" s="630">
        <v>9</v>
      </c>
      <c r="HU41" s="640" t="s">
        <v>910</v>
      </c>
      <c r="HV41" s="644">
        <v>0</v>
      </c>
      <c r="HW41" s="644">
        <v>0.59</v>
      </c>
      <c r="HX41" s="644">
        <v>0.32</v>
      </c>
      <c r="HY41" s="644">
        <v>0.09</v>
      </c>
      <c r="HZ41" s="644">
        <v>0.3</v>
      </c>
      <c r="IA41" s="644">
        <v>0.55000000000000004</v>
      </c>
      <c r="IB41" s="644">
        <v>0.21</v>
      </c>
      <c r="IC41" s="644">
        <v>0.42</v>
      </c>
      <c r="ID41" s="644">
        <v>0.55000000000000004</v>
      </c>
      <c r="IE41" s="644">
        <v>0.32</v>
      </c>
      <c r="IF41" s="644">
        <v>0.41</v>
      </c>
      <c r="IG41" s="644">
        <v>0.36</v>
      </c>
      <c r="IH41" s="644">
        <v>0.48</v>
      </c>
      <c r="II41" s="644">
        <v>0.56000000000000005</v>
      </c>
      <c r="IJ41" s="644">
        <v>0.24</v>
      </c>
      <c r="IK41" s="644">
        <v>0.49</v>
      </c>
      <c r="IL41" s="644">
        <v>0.27</v>
      </c>
      <c r="IM41" s="644">
        <v>0.55000000000000004</v>
      </c>
      <c r="IN41" s="644">
        <v>0.41</v>
      </c>
      <c r="IO41" s="644">
        <v>0.51</v>
      </c>
      <c r="IP41" s="644">
        <v>0.37</v>
      </c>
      <c r="IQ41" s="644">
        <v>0.64</v>
      </c>
      <c r="IR41" s="644">
        <v>0.66</v>
      </c>
      <c r="IS41" s="644">
        <v>0.63</v>
      </c>
      <c r="IT41" s="644">
        <v>0.5</v>
      </c>
      <c r="IU41" s="640" t="s">
        <v>287</v>
      </c>
      <c r="IV41" s="644">
        <v>0.61</v>
      </c>
      <c r="IW41" s="644">
        <v>0.37</v>
      </c>
      <c r="IX41" s="644">
        <v>0.21</v>
      </c>
      <c r="IY41" s="644">
        <v>0.56000000000000005</v>
      </c>
    </row>
    <row r="42" spans="1:259" ht="24.9" customHeight="1" x14ac:dyDescent="0.25">
      <c r="A42" s="189" t="s">
        <v>269</v>
      </c>
      <c r="B42" s="15" t="s">
        <v>222</v>
      </c>
      <c r="C42" s="2">
        <v>6</v>
      </c>
      <c r="D42" s="13" t="s">
        <v>226</v>
      </c>
      <c r="E42" s="13" t="s">
        <v>226</v>
      </c>
      <c r="F42" s="13"/>
      <c r="G42" s="13"/>
      <c r="H42" s="13"/>
      <c r="I42" s="13"/>
      <c r="J42" s="13"/>
      <c r="K42" s="13"/>
      <c r="L42" s="13"/>
      <c r="M42" s="13"/>
      <c r="N42" s="13"/>
      <c r="O42" s="13"/>
      <c r="P42" s="13"/>
      <c r="Q42" s="13"/>
      <c r="R42" s="13"/>
      <c r="S42" s="13"/>
      <c r="T42" s="13"/>
      <c r="U42" s="13"/>
      <c r="V42" s="13"/>
      <c r="W42" s="13"/>
      <c r="X42" s="13"/>
      <c r="Y42" s="13"/>
      <c r="Z42" s="13"/>
      <c r="AA42" s="13"/>
      <c r="AB42" s="13"/>
      <c r="AC42" s="13"/>
      <c r="AD42" s="13"/>
      <c r="AE42" s="13"/>
      <c r="AF42" s="13"/>
      <c r="AG42" s="13"/>
      <c r="AH42" s="13" t="s">
        <v>226</v>
      </c>
      <c r="AI42" s="13" t="s">
        <v>226</v>
      </c>
      <c r="AJ42" s="66"/>
      <c r="AK42" s="66"/>
      <c r="AL42" s="66"/>
      <c r="AM42" s="66"/>
      <c r="AN42" s="66"/>
      <c r="AO42" s="66"/>
      <c r="AP42" s="66"/>
      <c r="AQ42" s="66"/>
      <c r="AR42" s="66"/>
      <c r="AS42" s="66"/>
      <c r="AT42" s="66"/>
      <c r="AU42" s="66"/>
      <c r="AV42" s="66"/>
      <c r="AW42" s="66"/>
      <c r="AX42" s="66"/>
      <c r="AY42" s="66"/>
      <c r="AZ42" s="66"/>
      <c r="BA42" s="66"/>
      <c r="BB42" s="66"/>
      <c r="BC42" s="66"/>
      <c r="BD42" s="66"/>
      <c r="BE42" s="66"/>
      <c r="BF42" s="66"/>
      <c r="BG42" s="66"/>
      <c r="BH42" s="66"/>
      <c r="BI42" s="66"/>
      <c r="BJ42" s="66"/>
      <c r="BK42" s="66"/>
      <c r="BL42" s="66"/>
      <c r="BM42" s="13" t="s">
        <v>226</v>
      </c>
      <c r="BN42" s="13" t="s">
        <v>226</v>
      </c>
      <c r="BO42" s="13"/>
      <c r="BP42" s="13"/>
      <c r="BQ42" s="13"/>
      <c r="BR42" s="13"/>
      <c r="BS42" s="13"/>
      <c r="BT42" s="13"/>
      <c r="BU42" s="13"/>
      <c r="BV42" s="13"/>
      <c r="BW42" s="13"/>
      <c r="BX42" s="13"/>
      <c r="BY42" s="13"/>
      <c r="BZ42" s="13"/>
      <c r="CA42" s="13"/>
      <c r="CB42" s="13"/>
      <c r="CC42" s="13"/>
      <c r="CD42" s="13"/>
      <c r="CE42" s="13"/>
      <c r="CF42" s="13"/>
      <c r="CG42" s="13"/>
      <c r="CH42" s="13"/>
      <c r="CI42" s="13"/>
      <c r="CJ42" s="13"/>
      <c r="CK42" s="13"/>
      <c r="CL42" s="13"/>
      <c r="CM42" s="13"/>
      <c r="CN42" s="13"/>
      <c r="CO42" s="13"/>
      <c r="CP42" s="13"/>
      <c r="CQ42" s="13"/>
      <c r="CR42" s="13"/>
      <c r="CS42" s="13" t="s">
        <v>226</v>
      </c>
      <c r="CT42" s="13" t="s">
        <v>226</v>
      </c>
      <c r="CU42" s="2"/>
      <c r="CV42" s="2"/>
      <c r="CW42" s="2"/>
      <c r="CX42" s="2"/>
      <c r="CY42" s="2"/>
      <c r="CZ42" s="2"/>
      <c r="DA42" s="2"/>
      <c r="DB42" s="2"/>
      <c r="DC42" s="2"/>
      <c r="DD42" s="2"/>
      <c r="DE42" s="2"/>
      <c r="DF42" s="2"/>
      <c r="DG42" s="2"/>
      <c r="DH42" s="2"/>
      <c r="DI42" s="2"/>
      <c r="DJ42" s="2"/>
      <c r="DK42" s="2"/>
      <c r="DL42" s="2"/>
      <c r="DM42" s="2"/>
      <c r="DN42" s="2"/>
      <c r="DO42" s="2"/>
      <c r="DP42" s="2"/>
      <c r="DQ42" s="2"/>
      <c r="DR42" s="2"/>
      <c r="DS42" s="2"/>
      <c r="DT42" s="2"/>
      <c r="DU42" s="2"/>
      <c r="DV42" s="2"/>
      <c r="DW42" s="2"/>
      <c r="DX42" s="61">
        <v>56</v>
      </c>
      <c r="DY42" s="61">
        <v>3</v>
      </c>
      <c r="DZ42" s="66">
        <v>0</v>
      </c>
      <c r="EA42" s="66">
        <v>0.5</v>
      </c>
      <c r="EB42" s="66">
        <v>0.5</v>
      </c>
      <c r="EC42" s="66">
        <v>0</v>
      </c>
      <c r="ED42" s="66">
        <v>0.75</v>
      </c>
      <c r="EE42" s="66">
        <v>0</v>
      </c>
      <c r="EF42" s="66">
        <v>0.5</v>
      </c>
      <c r="EG42" s="66">
        <v>0</v>
      </c>
      <c r="EH42" s="66">
        <v>0.67</v>
      </c>
      <c r="EI42" s="66">
        <v>1</v>
      </c>
      <c r="EJ42" s="66">
        <v>0.75</v>
      </c>
      <c r="EK42" s="66">
        <v>1</v>
      </c>
      <c r="EL42" s="66">
        <v>0.5</v>
      </c>
      <c r="EM42" s="66">
        <v>0.5</v>
      </c>
      <c r="EN42" s="66">
        <v>0</v>
      </c>
      <c r="EO42" s="66">
        <v>0.67</v>
      </c>
      <c r="EP42" s="66">
        <v>0.25</v>
      </c>
      <c r="EQ42" s="66">
        <v>0</v>
      </c>
      <c r="ER42" s="66">
        <v>0.33</v>
      </c>
      <c r="ES42" s="66">
        <v>0.25</v>
      </c>
      <c r="ET42" s="66">
        <v>0</v>
      </c>
      <c r="EU42" s="66">
        <v>0.5</v>
      </c>
      <c r="EV42" s="66">
        <v>0</v>
      </c>
      <c r="EW42" s="66">
        <v>0</v>
      </c>
      <c r="EX42" s="61" t="s">
        <v>287</v>
      </c>
      <c r="EY42" s="66">
        <v>0.5</v>
      </c>
      <c r="EZ42" s="61" t="s">
        <v>287</v>
      </c>
      <c r="FA42" s="66">
        <v>1</v>
      </c>
      <c r="FB42" s="349">
        <v>46</v>
      </c>
      <c r="FC42" s="348" t="s">
        <v>910</v>
      </c>
      <c r="FD42" s="349">
        <v>0</v>
      </c>
      <c r="FE42" s="348" t="s">
        <v>912</v>
      </c>
      <c r="FF42" s="371">
        <v>0</v>
      </c>
      <c r="FG42" s="371">
        <v>1</v>
      </c>
      <c r="FH42" s="371">
        <v>0</v>
      </c>
      <c r="FI42" s="371">
        <v>0</v>
      </c>
      <c r="FJ42" s="371">
        <v>0</v>
      </c>
      <c r="FK42" s="371">
        <v>1</v>
      </c>
      <c r="FL42" s="371">
        <v>1</v>
      </c>
      <c r="FM42" s="371">
        <v>0</v>
      </c>
      <c r="FN42" s="371">
        <v>1</v>
      </c>
      <c r="FO42" s="371">
        <v>0</v>
      </c>
      <c r="FP42" s="371">
        <v>0</v>
      </c>
      <c r="FQ42" s="371">
        <v>0.67</v>
      </c>
      <c r="FR42" s="371">
        <v>1</v>
      </c>
      <c r="FS42" s="371">
        <v>1</v>
      </c>
      <c r="FT42" s="371">
        <v>0.5</v>
      </c>
      <c r="FU42" s="348" t="s">
        <v>287</v>
      </c>
      <c r="FV42" s="371">
        <v>1</v>
      </c>
      <c r="FW42" s="371">
        <v>0.5</v>
      </c>
      <c r="FX42" s="348" t="s">
        <v>287</v>
      </c>
      <c r="FY42" s="371">
        <v>0.67</v>
      </c>
      <c r="FZ42" s="371">
        <v>0</v>
      </c>
      <c r="GA42" s="371">
        <v>0.5</v>
      </c>
      <c r="GB42" s="371">
        <v>0.5</v>
      </c>
      <c r="GC42" s="371">
        <v>0</v>
      </c>
      <c r="GD42" s="371">
        <v>0.25</v>
      </c>
      <c r="GE42" s="371">
        <v>0.5</v>
      </c>
      <c r="GF42" s="371">
        <v>0.5</v>
      </c>
      <c r="GG42" s="371">
        <v>0.5</v>
      </c>
      <c r="GH42" s="371">
        <v>0</v>
      </c>
      <c r="GI42" s="371">
        <v>0</v>
      </c>
      <c r="GJ42" s="469">
        <v>47</v>
      </c>
      <c r="GK42" s="471" t="s">
        <v>910</v>
      </c>
      <c r="GL42" s="469">
        <v>10</v>
      </c>
      <c r="GM42" s="471" t="s">
        <v>910</v>
      </c>
      <c r="GN42" s="501">
        <v>0.33</v>
      </c>
      <c r="GO42" s="501">
        <v>0.67</v>
      </c>
      <c r="GP42" s="501">
        <v>0</v>
      </c>
      <c r="GQ42" s="501">
        <v>0</v>
      </c>
      <c r="GR42" s="501">
        <v>0.5</v>
      </c>
      <c r="GS42" s="501">
        <v>0.8</v>
      </c>
      <c r="GT42" s="501">
        <v>0.43</v>
      </c>
      <c r="GU42" s="471" t="s">
        <v>287</v>
      </c>
      <c r="GV42" s="501">
        <v>0.83</v>
      </c>
      <c r="GW42" s="501">
        <v>0.67</v>
      </c>
      <c r="GX42" s="501">
        <v>0.75</v>
      </c>
      <c r="GY42" s="471" t="s">
        <v>287</v>
      </c>
      <c r="GZ42" s="501">
        <v>0.25</v>
      </c>
      <c r="HA42" s="501">
        <v>1</v>
      </c>
      <c r="HB42" s="501">
        <v>0.38</v>
      </c>
      <c r="HC42" s="501">
        <v>0.25</v>
      </c>
      <c r="HD42" s="501">
        <v>0.6</v>
      </c>
      <c r="HE42" s="501">
        <v>0.71</v>
      </c>
      <c r="HF42" s="501">
        <v>0.36</v>
      </c>
      <c r="HG42" s="501">
        <v>0.6</v>
      </c>
      <c r="HH42" s="501">
        <v>0.4</v>
      </c>
      <c r="HI42" s="501">
        <v>0.71</v>
      </c>
      <c r="HJ42" s="501">
        <v>0.55000000000000004</v>
      </c>
      <c r="HK42" s="501">
        <v>0.25</v>
      </c>
      <c r="HL42" s="501">
        <v>0.67</v>
      </c>
      <c r="HM42" s="501">
        <v>0.56999999999999995</v>
      </c>
      <c r="HN42" s="501">
        <v>0.67</v>
      </c>
      <c r="HO42" s="501">
        <v>0.5</v>
      </c>
      <c r="HP42" s="471" t="s">
        <v>287</v>
      </c>
      <c r="HQ42" s="501">
        <v>0.56000000000000005</v>
      </c>
      <c r="HR42" s="630">
        <v>52</v>
      </c>
      <c r="HS42" s="640" t="s">
        <v>910</v>
      </c>
      <c r="HT42" s="630">
        <v>7</v>
      </c>
      <c r="HU42" s="640" t="s">
        <v>910</v>
      </c>
      <c r="HV42" s="644">
        <v>0.08</v>
      </c>
      <c r="HW42" s="644">
        <v>0.57999999999999996</v>
      </c>
      <c r="HX42" s="644">
        <v>0.33</v>
      </c>
      <c r="HY42" s="644">
        <v>0</v>
      </c>
      <c r="HZ42" s="644">
        <v>0.18</v>
      </c>
      <c r="IA42" s="644">
        <v>0.45</v>
      </c>
      <c r="IB42" s="644">
        <v>0.45</v>
      </c>
      <c r="IC42" s="644">
        <v>0.46</v>
      </c>
      <c r="ID42" s="644">
        <v>0.67</v>
      </c>
      <c r="IE42" s="644">
        <v>0.27</v>
      </c>
      <c r="IF42" s="644">
        <v>0.43</v>
      </c>
      <c r="IG42" s="644">
        <v>0.62</v>
      </c>
      <c r="IH42" s="644">
        <v>0.41</v>
      </c>
      <c r="II42" s="644">
        <v>0.25</v>
      </c>
      <c r="IJ42" s="644">
        <v>0.32</v>
      </c>
      <c r="IK42" s="644">
        <v>0.63</v>
      </c>
      <c r="IL42" s="644">
        <v>0.44</v>
      </c>
      <c r="IM42" s="644">
        <v>0.6</v>
      </c>
      <c r="IN42" s="644">
        <v>0.44</v>
      </c>
      <c r="IO42" s="644">
        <v>0.45</v>
      </c>
      <c r="IP42" s="644">
        <v>0.47</v>
      </c>
      <c r="IQ42" s="644">
        <v>0.63</v>
      </c>
      <c r="IR42" s="644">
        <v>0.39</v>
      </c>
      <c r="IS42" s="644">
        <v>0.46</v>
      </c>
      <c r="IT42" s="644">
        <v>0.57999999999999996</v>
      </c>
      <c r="IU42" s="640" t="s">
        <v>287</v>
      </c>
      <c r="IV42" s="644">
        <v>0.7</v>
      </c>
      <c r="IW42" s="644">
        <v>0.48</v>
      </c>
      <c r="IX42" s="644">
        <v>0.35</v>
      </c>
      <c r="IY42" s="644">
        <v>0.5</v>
      </c>
    </row>
    <row r="43" spans="1:259" ht="24.9" customHeight="1" x14ac:dyDescent="0.25">
      <c r="A43" s="188" t="s">
        <v>190</v>
      </c>
      <c r="B43" s="1" t="s">
        <v>222</v>
      </c>
      <c r="C43" s="2">
        <v>2</v>
      </c>
      <c r="D43" s="16">
        <v>65</v>
      </c>
      <c r="E43" s="16">
        <v>0</v>
      </c>
      <c r="F43" s="99">
        <v>0</v>
      </c>
      <c r="G43" s="99">
        <v>0</v>
      </c>
      <c r="H43" s="99">
        <v>1</v>
      </c>
      <c r="I43" s="99">
        <v>0</v>
      </c>
      <c r="J43" s="99">
        <v>0</v>
      </c>
      <c r="K43" s="99">
        <v>0</v>
      </c>
      <c r="L43" s="99">
        <v>0</v>
      </c>
      <c r="M43" s="99">
        <v>0</v>
      </c>
      <c r="N43" s="99">
        <v>0.2</v>
      </c>
      <c r="O43" s="99">
        <v>0.5</v>
      </c>
      <c r="P43" s="99">
        <v>0</v>
      </c>
      <c r="Q43" s="99">
        <v>0</v>
      </c>
      <c r="R43" s="99">
        <v>0</v>
      </c>
      <c r="S43" s="99">
        <v>0</v>
      </c>
      <c r="T43" s="99">
        <v>1</v>
      </c>
      <c r="U43" s="99">
        <v>1</v>
      </c>
      <c r="V43" s="99">
        <v>0</v>
      </c>
      <c r="W43" s="99">
        <v>0</v>
      </c>
      <c r="X43" s="99">
        <v>0.5</v>
      </c>
      <c r="Y43" s="99">
        <v>0.5</v>
      </c>
      <c r="Z43" s="13" t="s">
        <v>287</v>
      </c>
      <c r="AA43" s="99">
        <v>0</v>
      </c>
      <c r="AB43" s="99">
        <v>0</v>
      </c>
      <c r="AC43" s="99">
        <v>0</v>
      </c>
      <c r="AD43" s="99">
        <v>0</v>
      </c>
      <c r="AE43" s="99">
        <v>0</v>
      </c>
      <c r="AF43" s="99">
        <v>0</v>
      </c>
      <c r="AG43" s="99">
        <v>0.33</v>
      </c>
      <c r="AH43" s="13" t="s">
        <v>226</v>
      </c>
      <c r="AI43" s="13" t="s">
        <v>226</v>
      </c>
      <c r="AJ43" s="66"/>
      <c r="AK43" s="66"/>
      <c r="AL43" s="66"/>
      <c r="AM43" s="66"/>
      <c r="AN43" s="66"/>
      <c r="AO43" s="66"/>
      <c r="AP43" s="66"/>
      <c r="AQ43" s="66"/>
      <c r="AR43" s="66"/>
      <c r="AS43" s="66"/>
      <c r="AT43" s="66"/>
      <c r="AU43" s="66"/>
      <c r="AV43" s="66"/>
      <c r="AW43" s="66"/>
      <c r="AX43" s="66"/>
      <c r="AY43" s="66"/>
      <c r="AZ43" s="66"/>
      <c r="BA43" s="66"/>
      <c r="BB43" s="66"/>
      <c r="BC43" s="66"/>
      <c r="BD43" s="66"/>
      <c r="BE43" s="66"/>
      <c r="BF43" s="66"/>
      <c r="BG43" s="66"/>
      <c r="BH43" s="66"/>
      <c r="BI43" s="66"/>
      <c r="BJ43" s="66"/>
      <c r="BK43" s="66"/>
      <c r="BL43" s="66"/>
      <c r="BM43" s="13" t="s">
        <v>226</v>
      </c>
      <c r="BN43" s="13" t="s">
        <v>226</v>
      </c>
      <c r="BO43" s="13"/>
      <c r="BP43" s="13"/>
      <c r="BQ43" s="13"/>
      <c r="BR43" s="13"/>
      <c r="BS43" s="13"/>
      <c r="BT43" s="13"/>
      <c r="BU43" s="13"/>
      <c r="BV43" s="13"/>
      <c r="BW43" s="13"/>
      <c r="BX43" s="13"/>
      <c r="BY43" s="13"/>
      <c r="BZ43" s="13"/>
      <c r="CA43" s="13"/>
      <c r="CB43" s="13"/>
      <c r="CC43" s="13"/>
      <c r="CD43" s="13"/>
      <c r="CE43" s="13"/>
      <c r="CF43" s="13"/>
      <c r="CG43" s="13"/>
      <c r="CH43" s="13"/>
      <c r="CI43" s="13"/>
      <c r="CJ43" s="13"/>
      <c r="CK43" s="13"/>
      <c r="CL43" s="13"/>
      <c r="CM43" s="13"/>
      <c r="CN43" s="13"/>
      <c r="CO43" s="13"/>
      <c r="CP43" s="13"/>
      <c r="CQ43" s="13"/>
      <c r="CR43" s="13"/>
      <c r="CS43" s="13" t="s">
        <v>226</v>
      </c>
      <c r="CT43" s="13" t="s">
        <v>226</v>
      </c>
      <c r="CU43" s="2"/>
      <c r="CV43" s="2"/>
      <c r="CW43" s="2"/>
      <c r="CX43" s="2"/>
      <c r="CY43" s="2"/>
      <c r="CZ43" s="2"/>
      <c r="DA43" s="2"/>
      <c r="DB43" s="2"/>
      <c r="DC43" s="2"/>
      <c r="DD43" s="2"/>
      <c r="DE43" s="2"/>
      <c r="DF43" s="2"/>
      <c r="DG43" s="2"/>
      <c r="DH43" s="2"/>
      <c r="DI43" s="2"/>
      <c r="DJ43" s="2"/>
      <c r="DK43" s="2"/>
      <c r="DL43" s="2"/>
      <c r="DM43" s="2"/>
      <c r="DN43" s="2"/>
      <c r="DO43" s="2"/>
      <c r="DP43" s="2"/>
      <c r="DQ43" s="2"/>
      <c r="DR43" s="2"/>
      <c r="DS43" s="2"/>
      <c r="DT43" s="2"/>
      <c r="DU43" s="2"/>
      <c r="DV43" s="2"/>
      <c r="DW43" s="2"/>
      <c r="DX43" s="61">
        <v>38</v>
      </c>
      <c r="DY43" s="61">
        <v>0</v>
      </c>
      <c r="DZ43" s="66">
        <v>1</v>
      </c>
      <c r="EA43" s="66">
        <v>0</v>
      </c>
      <c r="EB43" s="66">
        <v>0</v>
      </c>
      <c r="EC43" s="66">
        <v>0</v>
      </c>
      <c r="ED43" s="66">
        <v>1</v>
      </c>
      <c r="EE43" s="66">
        <v>1</v>
      </c>
      <c r="EF43" s="66">
        <v>0</v>
      </c>
      <c r="EG43" s="66">
        <v>0</v>
      </c>
      <c r="EH43" s="66">
        <v>0.5</v>
      </c>
      <c r="EI43" s="66">
        <v>0</v>
      </c>
      <c r="EJ43" s="66">
        <v>0.67</v>
      </c>
      <c r="EK43" s="66">
        <v>1</v>
      </c>
      <c r="EL43" s="66">
        <v>1</v>
      </c>
      <c r="EM43" s="66">
        <v>1</v>
      </c>
      <c r="EN43" s="66">
        <v>1</v>
      </c>
      <c r="EO43" s="66">
        <v>0.67</v>
      </c>
      <c r="EP43" s="66">
        <v>1</v>
      </c>
      <c r="EQ43" s="61" t="s">
        <v>287</v>
      </c>
      <c r="ER43" s="66">
        <v>1</v>
      </c>
      <c r="ES43" s="66">
        <v>0.67</v>
      </c>
      <c r="ET43" s="66">
        <v>0.67</v>
      </c>
      <c r="EU43" s="66">
        <v>1</v>
      </c>
      <c r="EV43" s="66">
        <v>0</v>
      </c>
      <c r="EW43" s="66">
        <v>1</v>
      </c>
      <c r="EX43" s="61" t="s">
        <v>287</v>
      </c>
      <c r="EY43" s="66">
        <v>0.67</v>
      </c>
      <c r="EZ43" s="66">
        <v>0</v>
      </c>
      <c r="FA43" s="66">
        <v>0.67</v>
      </c>
    </row>
    <row r="44" spans="1:259" s="461" customFormat="1" ht="24.9" customHeight="1" x14ac:dyDescent="0.25">
      <c r="A44" s="470" t="s">
        <v>954</v>
      </c>
      <c r="B44" s="15" t="s">
        <v>222</v>
      </c>
      <c r="C44" s="471">
        <v>2</v>
      </c>
      <c r="D44" s="502"/>
      <c r="E44" s="502"/>
      <c r="F44" s="508"/>
      <c r="G44" s="508"/>
      <c r="H44" s="508"/>
      <c r="I44" s="508"/>
      <c r="J44" s="508"/>
      <c r="K44" s="508"/>
      <c r="L44" s="508"/>
      <c r="M44" s="508"/>
      <c r="N44" s="508"/>
      <c r="O44" s="508"/>
      <c r="P44" s="508"/>
      <c r="Q44" s="508"/>
      <c r="R44" s="508"/>
      <c r="S44" s="508"/>
      <c r="T44" s="508"/>
      <c r="U44" s="508"/>
      <c r="V44" s="508"/>
      <c r="W44" s="508"/>
      <c r="X44" s="508"/>
      <c r="Y44" s="508"/>
      <c r="Z44" s="505"/>
      <c r="AA44" s="508"/>
      <c r="AB44" s="508"/>
      <c r="AC44" s="508"/>
      <c r="AD44" s="508"/>
      <c r="AE44" s="508"/>
      <c r="AF44" s="508"/>
      <c r="AG44" s="508"/>
      <c r="AH44" s="505"/>
      <c r="AI44" s="505"/>
      <c r="AJ44" s="506"/>
      <c r="AK44" s="506"/>
      <c r="AL44" s="506"/>
      <c r="AM44" s="506"/>
      <c r="AN44" s="506"/>
      <c r="AO44" s="506"/>
      <c r="AP44" s="506"/>
      <c r="AQ44" s="506"/>
      <c r="AR44" s="506"/>
      <c r="AS44" s="506"/>
      <c r="AT44" s="506"/>
      <c r="AU44" s="506"/>
      <c r="AV44" s="506"/>
      <c r="AW44" s="506"/>
      <c r="AX44" s="506"/>
      <c r="AY44" s="506"/>
      <c r="AZ44" s="506"/>
      <c r="BA44" s="506"/>
      <c r="BB44" s="506"/>
      <c r="BC44" s="506"/>
      <c r="BD44" s="506"/>
      <c r="BE44" s="506"/>
      <c r="BF44" s="506"/>
      <c r="BG44" s="506"/>
      <c r="BH44" s="506"/>
      <c r="BI44" s="506"/>
      <c r="BJ44" s="506"/>
      <c r="BK44" s="506"/>
      <c r="BL44" s="506"/>
      <c r="BM44" s="505"/>
      <c r="BN44" s="505"/>
      <c r="BO44" s="505"/>
      <c r="BP44" s="505"/>
      <c r="BQ44" s="505"/>
      <c r="BR44" s="505"/>
      <c r="BS44" s="505"/>
      <c r="BT44" s="505"/>
      <c r="BU44" s="505"/>
      <c r="BV44" s="505"/>
      <c r="BW44" s="505"/>
      <c r="BX44" s="505"/>
      <c r="BY44" s="505"/>
      <c r="BZ44" s="505"/>
      <c r="CA44" s="505"/>
      <c r="CB44" s="505"/>
      <c r="CC44" s="505"/>
      <c r="CD44" s="505"/>
      <c r="CE44" s="505"/>
      <c r="CF44" s="505"/>
      <c r="CG44" s="505"/>
      <c r="CH44" s="505"/>
      <c r="CI44" s="505"/>
      <c r="CJ44" s="505"/>
      <c r="CK44" s="505"/>
      <c r="CL44" s="505"/>
      <c r="CM44" s="505"/>
      <c r="CN44" s="505"/>
      <c r="CO44" s="505"/>
      <c r="CP44" s="505"/>
      <c r="CQ44" s="505"/>
      <c r="CR44" s="505"/>
      <c r="CS44" s="505"/>
      <c r="CT44" s="505"/>
      <c r="CU44" s="471"/>
      <c r="CV44" s="471"/>
      <c r="CW44" s="471"/>
      <c r="CX44" s="471"/>
      <c r="CY44" s="471"/>
      <c r="CZ44" s="471"/>
      <c r="DA44" s="471"/>
      <c r="DB44" s="471"/>
      <c r="DC44" s="471"/>
      <c r="DD44" s="471"/>
      <c r="DE44" s="471"/>
      <c r="DF44" s="471"/>
      <c r="DG44" s="471"/>
      <c r="DH44" s="471"/>
      <c r="DI44" s="471"/>
      <c r="DJ44" s="471"/>
      <c r="DK44" s="471"/>
      <c r="DL44" s="471"/>
      <c r="DM44" s="471"/>
      <c r="DN44" s="471"/>
      <c r="DO44" s="471"/>
      <c r="DP44" s="471"/>
      <c r="DQ44" s="471"/>
      <c r="DR44" s="471"/>
      <c r="DS44" s="471"/>
      <c r="DT44" s="471"/>
      <c r="DU44" s="471"/>
      <c r="DV44" s="471"/>
      <c r="DW44" s="471"/>
      <c r="DX44" s="472"/>
      <c r="DY44" s="472"/>
      <c r="DZ44" s="506"/>
      <c r="EA44" s="506"/>
      <c r="EB44" s="506"/>
      <c r="EC44" s="506"/>
      <c r="ED44" s="506"/>
      <c r="EE44" s="506"/>
      <c r="EF44" s="506"/>
      <c r="EG44" s="506"/>
      <c r="EH44" s="506"/>
      <c r="EI44" s="506"/>
      <c r="EJ44" s="506"/>
      <c r="EK44" s="506"/>
      <c r="EL44" s="506"/>
      <c r="EM44" s="506"/>
      <c r="EN44" s="506"/>
      <c r="EO44" s="506"/>
      <c r="EP44" s="506"/>
      <c r="EQ44" s="472"/>
      <c r="ER44" s="506"/>
      <c r="ES44" s="506"/>
      <c r="ET44" s="506"/>
      <c r="EU44" s="506"/>
      <c r="EV44" s="506"/>
      <c r="EW44" s="506"/>
      <c r="EX44" s="472"/>
      <c r="EY44" s="506"/>
      <c r="EZ44" s="506"/>
      <c r="FA44" s="506"/>
      <c r="GJ44" s="469">
        <v>59</v>
      </c>
      <c r="GK44" s="471" t="s">
        <v>911</v>
      </c>
      <c r="GL44" s="469">
        <v>8</v>
      </c>
      <c r="GM44" s="471" t="s">
        <v>910</v>
      </c>
      <c r="GN44" s="501">
        <v>0</v>
      </c>
      <c r="GO44" s="501">
        <v>0.33</v>
      </c>
      <c r="GP44" s="501">
        <v>0.67</v>
      </c>
      <c r="GQ44" s="501">
        <v>0</v>
      </c>
      <c r="GR44" s="501">
        <v>0.2</v>
      </c>
      <c r="GS44" s="501">
        <v>0.5</v>
      </c>
      <c r="GT44" s="501">
        <v>0.4</v>
      </c>
      <c r="GU44" s="501">
        <v>0</v>
      </c>
      <c r="GV44" s="501">
        <v>0.5</v>
      </c>
      <c r="GW44" s="501">
        <v>0</v>
      </c>
      <c r="GX44" s="501">
        <v>0.33</v>
      </c>
      <c r="GY44" s="471" t="s">
        <v>287</v>
      </c>
      <c r="GZ44" s="501">
        <v>0.2</v>
      </c>
      <c r="HA44" s="501">
        <v>0.67</v>
      </c>
      <c r="HB44" s="501">
        <v>0.18</v>
      </c>
      <c r="HC44" s="501">
        <v>0.33</v>
      </c>
      <c r="HD44" s="501">
        <v>0.3</v>
      </c>
      <c r="HE44" s="501">
        <v>0.43</v>
      </c>
      <c r="HF44" s="501">
        <v>0.23</v>
      </c>
      <c r="HG44" s="501">
        <v>0.55000000000000004</v>
      </c>
      <c r="HH44" s="501">
        <v>0.25</v>
      </c>
      <c r="HI44" s="501">
        <v>0.6</v>
      </c>
      <c r="HJ44" s="501">
        <v>0.55000000000000004</v>
      </c>
      <c r="HK44" s="501">
        <v>0.67</v>
      </c>
      <c r="HL44" s="501">
        <v>0</v>
      </c>
      <c r="HM44" s="501">
        <v>0.28999999999999998</v>
      </c>
      <c r="HN44" s="501">
        <v>0.38</v>
      </c>
      <c r="HO44" s="501">
        <v>0</v>
      </c>
      <c r="HP44" s="471" t="s">
        <v>287</v>
      </c>
      <c r="HQ44" s="501">
        <v>0.33</v>
      </c>
      <c r="HR44" s="630">
        <v>51</v>
      </c>
      <c r="HS44" s="640" t="s">
        <v>910</v>
      </c>
      <c r="HT44" s="630">
        <v>7</v>
      </c>
      <c r="HU44" s="640" t="s">
        <v>910</v>
      </c>
      <c r="HV44" s="644">
        <v>0.14000000000000001</v>
      </c>
      <c r="HW44" s="644">
        <v>0.56999999999999995</v>
      </c>
      <c r="HX44" s="644">
        <v>0.28999999999999998</v>
      </c>
      <c r="HY44" s="644">
        <v>0</v>
      </c>
      <c r="HZ44" s="644">
        <v>0.25</v>
      </c>
      <c r="IA44" s="644">
        <v>0.5</v>
      </c>
      <c r="IB44" s="644">
        <v>0.38</v>
      </c>
      <c r="IC44" s="644">
        <v>0.33</v>
      </c>
      <c r="ID44" s="644">
        <v>0.79</v>
      </c>
      <c r="IE44" s="644">
        <v>0.19</v>
      </c>
      <c r="IF44" s="644">
        <v>0.59</v>
      </c>
      <c r="IG44" s="644">
        <v>0.55000000000000004</v>
      </c>
      <c r="IH44" s="644">
        <v>0.38</v>
      </c>
      <c r="II44" s="644">
        <v>0.5</v>
      </c>
      <c r="IJ44" s="644">
        <v>0.26</v>
      </c>
      <c r="IK44" s="644">
        <v>0.64</v>
      </c>
      <c r="IL44" s="644">
        <v>0.13</v>
      </c>
      <c r="IM44" s="644">
        <v>0.69</v>
      </c>
      <c r="IN44" s="644">
        <v>0.45</v>
      </c>
      <c r="IO44" s="644">
        <v>0.63</v>
      </c>
      <c r="IP44" s="644">
        <v>0.2</v>
      </c>
      <c r="IQ44" s="644">
        <v>0.4</v>
      </c>
      <c r="IR44" s="644">
        <v>0.64</v>
      </c>
      <c r="IS44" s="644">
        <v>0.82</v>
      </c>
      <c r="IT44" s="644">
        <v>0.48</v>
      </c>
      <c r="IU44" s="640" t="s">
        <v>287</v>
      </c>
      <c r="IV44" s="644">
        <v>0.67</v>
      </c>
      <c r="IW44" s="644">
        <v>0.44</v>
      </c>
      <c r="IX44" s="644">
        <v>0.3</v>
      </c>
      <c r="IY44" s="644">
        <v>0.62</v>
      </c>
    </row>
    <row r="45" spans="1:259" ht="24.9" customHeight="1" x14ac:dyDescent="0.25">
      <c r="A45" s="188" t="s">
        <v>63</v>
      </c>
      <c r="B45" s="1" t="s">
        <v>222</v>
      </c>
      <c r="C45" s="2">
        <v>4</v>
      </c>
      <c r="D45" s="16">
        <v>51</v>
      </c>
      <c r="E45" s="16">
        <v>8</v>
      </c>
      <c r="F45" s="99">
        <v>0.1</v>
      </c>
      <c r="G45" s="99">
        <v>0.6</v>
      </c>
      <c r="H45" s="99">
        <v>0.3</v>
      </c>
      <c r="I45" s="99">
        <v>0</v>
      </c>
      <c r="J45" s="99">
        <v>0.5</v>
      </c>
      <c r="K45" s="99">
        <v>0.57999999999999996</v>
      </c>
      <c r="L45" s="99">
        <v>0.71</v>
      </c>
      <c r="M45" s="99">
        <v>0.38</v>
      </c>
      <c r="N45" s="99">
        <v>0.37</v>
      </c>
      <c r="O45" s="99">
        <v>0.67</v>
      </c>
      <c r="P45" s="99">
        <v>0.39</v>
      </c>
      <c r="Q45" s="99">
        <v>0.3</v>
      </c>
      <c r="R45" s="99">
        <v>0.52</v>
      </c>
      <c r="S45" s="99">
        <v>0.4</v>
      </c>
      <c r="T45" s="99">
        <v>0.21</v>
      </c>
      <c r="U45" s="99">
        <v>0.83</v>
      </c>
      <c r="V45" s="99">
        <v>0</v>
      </c>
      <c r="W45" s="99">
        <v>0.17</v>
      </c>
      <c r="X45" s="99">
        <v>0.56000000000000005</v>
      </c>
      <c r="Y45" s="99">
        <v>0.56000000000000005</v>
      </c>
      <c r="Z45" s="13" t="s">
        <v>287</v>
      </c>
      <c r="AA45" s="99">
        <v>0.21</v>
      </c>
      <c r="AB45" s="99">
        <v>0.54</v>
      </c>
      <c r="AC45" s="99">
        <v>0.5</v>
      </c>
      <c r="AD45" s="99">
        <v>0.46</v>
      </c>
      <c r="AE45" s="99">
        <v>0.46</v>
      </c>
      <c r="AF45" s="99">
        <v>0.5</v>
      </c>
      <c r="AG45" s="99">
        <v>0.56000000000000005</v>
      </c>
      <c r="AH45" s="13">
        <v>54</v>
      </c>
      <c r="AI45" s="13">
        <v>7</v>
      </c>
      <c r="AJ45" s="66">
        <v>0</v>
      </c>
      <c r="AK45" s="66">
        <v>0.6</v>
      </c>
      <c r="AL45" s="66">
        <v>0.4</v>
      </c>
      <c r="AM45" s="66">
        <v>0</v>
      </c>
      <c r="AN45" s="66">
        <v>0</v>
      </c>
      <c r="AO45" s="66">
        <v>0.19</v>
      </c>
      <c r="AP45" s="66">
        <v>0.2</v>
      </c>
      <c r="AQ45" s="66">
        <v>0.28999999999999998</v>
      </c>
      <c r="AR45" s="66">
        <v>1</v>
      </c>
      <c r="AS45" s="66">
        <v>0.45</v>
      </c>
      <c r="AT45" s="66">
        <v>0.89</v>
      </c>
      <c r="AU45" s="66">
        <v>0.64</v>
      </c>
      <c r="AV45" s="66">
        <v>0.67</v>
      </c>
      <c r="AW45" s="66">
        <v>0.75</v>
      </c>
      <c r="AX45" s="66">
        <v>0.5</v>
      </c>
      <c r="AY45" s="66">
        <v>0.35</v>
      </c>
      <c r="AZ45" s="66">
        <v>0.38</v>
      </c>
      <c r="BA45" s="66">
        <v>0.23</v>
      </c>
      <c r="BB45" s="66">
        <v>0.75</v>
      </c>
      <c r="BC45" s="66">
        <v>0.56000000000000005</v>
      </c>
      <c r="BD45" s="66">
        <v>0.64</v>
      </c>
      <c r="BE45" s="66">
        <v>0</v>
      </c>
      <c r="BF45" s="66">
        <v>1</v>
      </c>
      <c r="BG45" s="66">
        <v>0.22</v>
      </c>
      <c r="BH45" s="66">
        <v>0.39</v>
      </c>
      <c r="BI45" s="66">
        <v>0.36</v>
      </c>
      <c r="BJ45" s="66">
        <v>0.6</v>
      </c>
      <c r="BK45" s="66">
        <v>0.22</v>
      </c>
      <c r="BL45" s="66">
        <v>0.5</v>
      </c>
      <c r="BM45" s="13">
        <v>55</v>
      </c>
      <c r="BN45" s="13">
        <v>9</v>
      </c>
      <c r="BO45" s="99">
        <v>0.09</v>
      </c>
      <c r="BP45" s="99">
        <v>0.36</v>
      </c>
      <c r="BQ45" s="99">
        <v>0.55000000000000004</v>
      </c>
      <c r="BR45" s="99">
        <v>0</v>
      </c>
      <c r="BS45" s="99">
        <v>0.28000000000000003</v>
      </c>
      <c r="BT45" s="99">
        <v>0.5</v>
      </c>
      <c r="BU45" s="99">
        <v>0.64</v>
      </c>
      <c r="BV45" s="99">
        <v>0.5</v>
      </c>
      <c r="BW45" s="99">
        <v>0.6</v>
      </c>
      <c r="BX45" s="99">
        <v>0.36</v>
      </c>
      <c r="BY45" s="99">
        <v>0.36</v>
      </c>
      <c r="BZ45" s="99">
        <v>0.36</v>
      </c>
      <c r="CA45" s="99">
        <v>0.47</v>
      </c>
      <c r="CB45" s="99">
        <v>0.33</v>
      </c>
      <c r="CC45" s="99">
        <v>0.04</v>
      </c>
      <c r="CD45" s="99">
        <v>0.34</v>
      </c>
      <c r="CE45" s="99">
        <v>0.22</v>
      </c>
      <c r="CF45" s="99">
        <v>0.78</v>
      </c>
      <c r="CG45" s="99">
        <v>0.59</v>
      </c>
      <c r="CH45" s="99">
        <v>0.52</v>
      </c>
      <c r="CI45" s="99">
        <v>0.54</v>
      </c>
      <c r="CJ45" s="99">
        <v>0.14000000000000001</v>
      </c>
      <c r="CK45" s="99">
        <v>0.67</v>
      </c>
      <c r="CL45" s="99">
        <v>0.32</v>
      </c>
      <c r="CM45" s="99">
        <v>0.46</v>
      </c>
      <c r="CN45" s="99">
        <v>0.28999999999999998</v>
      </c>
      <c r="CO45" s="99">
        <v>0.44</v>
      </c>
      <c r="CP45" s="99">
        <v>0.19</v>
      </c>
      <c r="CQ45" s="99">
        <v>0.51</v>
      </c>
      <c r="CR45" s="99">
        <v>0.42</v>
      </c>
      <c r="CS45" s="13">
        <v>56</v>
      </c>
      <c r="CT45" s="13">
        <v>8</v>
      </c>
      <c r="CU45" s="96">
        <v>0</v>
      </c>
      <c r="CV45" s="96">
        <v>0.6</v>
      </c>
      <c r="CW45" s="96">
        <v>0.4</v>
      </c>
      <c r="CX45" s="96">
        <v>0</v>
      </c>
      <c r="CY45" s="96">
        <v>0.44</v>
      </c>
      <c r="CZ45" s="96">
        <v>0.2</v>
      </c>
      <c r="DA45" s="96">
        <v>0.44</v>
      </c>
      <c r="DB45" s="96">
        <v>0.22</v>
      </c>
      <c r="DC45" s="96">
        <v>0.18</v>
      </c>
      <c r="DD45" s="96">
        <v>0.67</v>
      </c>
      <c r="DE45" s="96">
        <v>0.36</v>
      </c>
      <c r="DF45" s="96">
        <v>0.62</v>
      </c>
      <c r="DG45" s="96">
        <v>0.28000000000000003</v>
      </c>
      <c r="DH45" s="96">
        <v>0.19</v>
      </c>
      <c r="DI45" s="96">
        <v>0.33</v>
      </c>
      <c r="DJ45" s="96">
        <v>0.46</v>
      </c>
      <c r="DK45" s="96">
        <v>0.21</v>
      </c>
      <c r="DL45" s="96">
        <v>0.2</v>
      </c>
      <c r="DM45" s="96">
        <v>0.44</v>
      </c>
      <c r="DN45" s="96">
        <v>0.28999999999999998</v>
      </c>
      <c r="DO45" s="96">
        <v>0.15</v>
      </c>
      <c r="DP45" s="96">
        <v>0.23</v>
      </c>
      <c r="DQ45" s="96">
        <v>0.44</v>
      </c>
      <c r="DR45" s="96">
        <v>0.05</v>
      </c>
      <c r="DS45" s="96">
        <v>0.3</v>
      </c>
      <c r="DT45" s="96">
        <v>0.35</v>
      </c>
      <c r="DU45" s="96">
        <v>0.13</v>
      </c>
      <c r="DV45" s="96">
        <v>0.72</v>
      </c>
      <c r="DW45" s="96">
        <v>0.28000000000000003</v>
      </c>
      <c r="DX45" s="61">
        <v>46</v>
      </c>
      <c r="DY45" s="61">
        <v>9</v>
      </c>
      <c r="DZ45" s="66">
        <v>0.23</v>
      </c>
      <c r="EA45" s="66">
        <v>0.62</v>
      </c>
      <c r="EB45" s="66">
        <v>0.15</v>
      </c>
      <c r="EC45" s="66">
        <v>0</v>
      </c>
      <c r="ED45" s="66">
        <v>0.56000000000000005</v>
      </c>
      <c r="EE45" s="66">
        <v>0.55000000000000004</v>
      </c>
      <c r="EF45" s="66">
        <v>0.53</v>
      </c>
      <c r="EG45" s="66">
        <v>0.14000000000000001</v>
      </c>
      <c r="EH45" s="66">
        <v>0.48</v>
      </c>
      <c r="EI45" s="66">
        <v>0.63</v>
      </c>
      <c r="EJ45" s="66">
        <v>0.77</v>
      </c>
      <c r="EK45" s="66">
        <v>0.17</v>
      </c>
      <c r="EL45" s="66">
        <v>0.65</v>
      </c>
      <c r="EM45" s="66">
        <v>0.71</v>
      </c>
      <c r="EN45" s="66">
        <v>0.5</v>
      </c>
      <c r="EO45" s="66">
        <v>0.69</v>
      </c>
      <c r="EP45" s="66">
        <v>0.33</v>
      </c>
      <c r="EQ45" s="66">
        <v>0.42</v>
      </c>
      <c r="ER45" s="66">
        <v>0.67</v>
      </c>
      <c r="ES45" s="66">
        <v>0.41</v>
      </c>
      <c r="ET45" s="66">
        <v>0.53</v>
      </c>
      <c r="EU45" s="66">
        <v>0.67</v>
      </c>
      <c r="EV45" s="66">
        <v>0.25</v>
      </c>
      <c r="EW45" s="66">
        <v>0.55000000000000004</v>
      </c>
      <c r="EX45" s="66">
        <v>1</v>
      </c>
      <c r="EY45" s="66">
        <v>0.64</v>
      </c>
      <c r="EZ45" s="66">
        <v>0.67</v>
      </c>
      <c r="FA45" s="66">
        <v>0.64</v>
      </c>
      <c r="FB45" s="349">
        <v>49</v>
      </c>
      <c r="FC45" s="348" t="s">
        <v>910</v>
      </c>
      <c r="FD45" s="349">
        <v>9</v>
      </c>
      <c r="FE45" s="348" t="s">
        <v>910</v>
      </c>
      <c r="FF45" s="371">
        <v>0.19</v>
      </c>
      <c r="FG45" s="371">
        <v>0.52</v>
      </c>
      <c r="FH45" s="371">
        <v>0.28999999999999998</v>
      </c>
      <c r="FI45" s="371">
        <v>0</v>
      </c>
      <c r="FJ45" s="371">
        <v>0.55000000000000004</v>
      </c>
      <c r="FK45" s="371">
        <v>0.68</v>
      </c>
      <c r="FL45" s="371">
        <v>0.42</v>
      </c>
      <c r="FM45" s="371">
        <v>0.5</v>
      </c>
      <c r="FN45" s="371">
        <v>0.27</v>
      </c>
      <c r="FO45" s="371">
        <v>0.26</v>
      </c>
      <c r="FP45" s="371">
        <v>0.5</v>
      </c>
      <c r="FQ45" s="371">
        <v>0.41</v>
      </c>
      <c r="FR45" s="371">
        <v>0.6</v>
      </c>
      <c r="FS45" s="371">
        <v>0.48</v>
      </c>
      <c r="FT45" s="371">
        <v>0.5</v>
      </c>
      <c r="FU45" s="371">
        <v>0.5</v>
      </c>
      <c r="FV45" s="371">
        <v>0.56999999999999995</v>
      </c>
      <c r="FW45" s="371">
        <v>0.55000000000000004</v>
      </c>
      <c r="FX45" s="371">
        <v>0.39</v>
      </c>
      <c r="FY45" s="371">
        <v>0.38</v>
      </c>
      <c r="FZ45" s="371">
        <v>0.33</v>
      </c>
      <c r="GA45" s="371">
        <v>0.52</v>
      </c>
      <c r="GB45" s="371">
        <v>0.59</v>
      </c>
      <c r="GC45" s="371">
        <v>0.43</v>
      </c>
      <c r="GD45" s="371">
        <v>0.71</v>
      </c>
      <c r="GE45" s="371">
        <v>0.56999999999999995</v>
      </c>
      <c r="GF45" s="371">
        <v>0.37</v>
      </c>
      <c r="GG45" s="371">
        <v>0.38</v>
      </c>
      <c r="GH45" s="371">
        <v>0.6</v>
      </c>
      <c r="GI45" s="371">
        <v>0.33</v>
      </c>
      <c r="GJ45" s="469">
        <v>50</v>
      </c>
      <c r="GK45" s="471" t="s">
        <v>910</v>
      </c>
      <c r="GL45" s="469">
        <v>7</v>
      </c>
      <c r="GM45" s="471" t="s">
        <v>910</v>
      </c>
      <c r="GN45" s="501">
        <v>0.08</v>
      </c>
      <c r="GO45" s="501">
        <v>0.72</v>
      </c>
      <c r="GP45" s="501">
        <v>0.2</v>
      </c>
      <c r="GQ45" s="501">
        <v>0</v>
      </c>
      <c r="GR45" s="501">
        <v>0.49</v>
      </c>
      <c r="GS45" s="501">
        <v>0.66</v>
      </c>
      <c r="GT45" s="501">
        <v>0.56999999999999995</v>
      </c>
      <c r="GU45" s="501">
        <v>0.31</v>
      </c>
      <c r="GV45" s="501">
        <v>0.66</v>
      </c>
      <c r="GW45" s="501">
        <v>0.42</v>
      </c>
      <c r="GX45" s="501">
        <v>0.46</v>
      </c>
      <c r="GY45" s="471" t="s">
        <v>287</v>
      </c>
      <c r="GZ45" s="501">
        <v>0.32</v>
      </c>
      <c r="HA45" s="501">
        <v>0.6</v>
      </c>
      <c r="HB45" s="501">
        <v>0.52</v>
      </c>
      <c r="HC45" s="501">
        <v>0.46</v>
      </c>
      <c r="HD45" s="501">
        <v>0.62</v>
      </c>
      <c r="HE45" s="501">
        <v>0.38</v>
      </c>
      <c r="HF45" s="501">
        <v>0.56000000000000005</v>
      </c>
      <c r="HG45" s="501">
        <v>0.55000000000000004</v>
      </c>
      <c r="HH45" s="501">
        <v>0.38</v>
      </c>
      <c r="HI45" s="501">
        <v>0.68</v>
      </c>
      <c r="HJ45" s="501">
        <v>0.63</v>
      </c>
      <c r="HK45" s="501">
        <v>0.34</v>
      </c>
      <c r="HL45" s="501">
        <v>0.36</v>
      </c>
      <c r="HM45" s="501">
        <v>0.59</v>
      </c>
      <c r="HN45" s="501">
        <v>0.47</v>
      </c>
      <c r="HO45" s="501">
        <v>0.41</v>
      </c>
      <c r="HP45" s="471" t="s">
        <v>287</v>
      </c>
      <c r="HQ45" s="501">
        <v>0.43</v>
      </c>
      <c r="HR45" s="630">
        <v>51</v>
      </c>
      <c r="HS45" s="640" t="s">
        <v>910</v>
      </c>
      <c r="HT45" s="630">
        <v>8</v>
      </c>
      <c r="HU45" s="640" t="s">
        <v>910</v>
      </c>
      <c r="HV45" s="644">
        <v>0.11</v>
      </c>
      <c r="HW45" s="644">
        <v>0.61</v>
      </c>
      <c r="HX45" s="644">
        <v>0.28000000000000003</v>
      </c>
      <c r="HY45" s="644">
        <v>0</v>
      </c>
      <c r="HZ45" s="644">
        <v>0.27</v>
      </c>
      <c r="IA45" s="644">
        <v>0.49</v>
      </c>
      <c r="IB45" s="644">
        <v>0.13</v>
      </c>
      <c r="IC45" s="644">
        <v>0.47</v>
      </c>
      <c r="ID45" s="644">
        <v>0.61</v>
      </c>
      <c r="IE45" s="644">
        <v>0.36</v>
      </c>
      <c r="IF45" s="644">
        <v>0.49</v>
      </c>
      <c r="IG45" s="644">
        <v>0.55000000000000004</v>
      </c>
      <c r="IH45" s="644">
        <v>0.65</v>
      </c>
      <c r="II45" s="644">
        <v>0.56999999999999995</v>
      </c>
      <c r="IJ45" s="644">
        <v>0.24</v>
      </c>
      <c r="IK45" s="644">
        <v>0.66</v>
      </c>
      <c r="IL45" s="644">
        <v>0.21</v>
      </c>
      <c r="IM45" s="644">
        <v>0.64</v>
      </c>
      <c r="IN45" s="644">
        <v>0.41</v>
      </c>
      <c r="IO45" s="644">
        <v>0.53</v>
      </c>
      <c r="IP45" s="644">
        <v>0.48</v>
      </c>
      <c r="IQ45" s="644">
        <v>0.72</v>
      </c>
      <c r="IR45" s="644">
        <v>0.44</v>
      </c>
      <c r="IS45" s="644">
        <v>0.39</v>
      </c>
      <c r="IT45" s="644">
        <v>0.44</v>
      </c>
      <c r="IU45" s="640" t="s">
        <v>287</v>
      </c>
      <c r="IV45" s="644">
        <v>0.74</v>
      </c>
      <c r="IW45" s="644">
        <v>0.49</v>
      </c>
      <c r="IX45" s="644">
        <v>0.52</v>
      </c>
      <c r="IY45" s="644">
        <v>0.55000000000000004</v>
      </c>
    </row>
    <row r="46" spans="1:259" ht="24.9" customHeight="1" x14ac:dyDescent="0.25">
      <c r="A46" s="188" t="s">
        <v>44</v>
      </c>
      <c r="B46" s="1" t="s">
        <v>222</v>
      </c>
      <c r="C46" s="2">
        <v>1</v>
      </c>
      <c r="D46" s="16">
        <v>49</v>
      </c>
      <c r="E46" s="16">
        <v>8</v>
      </c>
      <c r="F46" s="99">
        <v>0.2</v>
      </c>
      <c r="G46" s="99">
        <v>0.6</v>
      </c>
      <c r="H46" s="99">
        <v>0.2</v>
      </c>
      <c r="I46" s="99">
        <v>0</v>
      </c>
      <c r="J46" s="99">
        <v>0.57999999999999996</v>
      </c>
      <c r="K46" s="99">
        <v>0.6</v>
      </c>
      <c r="L46" s="99">
        <v>0.79</v>
      </c>
      <c r="M46" s="99">
        <v>0.28999999999999998</v>
      </c>
      <c r="N46" s="99">
        <v>0.39</v>
      </c>
      <c r="O46" s="99">
        <v>0.78</v>
      </c>
      <c r="P46" s="99">
        <v>0.38</v>
      </c>
      <c r="Q46" s="99">
        <v>0.49</v>
      </c>
      <c r="R46" s="99">
        <v>0.61</v>
      </c>
      <c r="S46" s="99">
        <v>0.72</v>
      </c>
      <c r="T46" s="99">
        <v>0.46</v>
      </c>
      <c r="U46" s="99">
        <v>0.65</v>
      </c>
      <c r="V46" s="99">
        <v>0.13</v>
      </c>
      <c r="W46" s="99">
        <v>0.06</v>
      </c>
      <c r="X46" s="99">
        <v>0.49</v>
      </c>
      <c r="Y46" s="99">
        <v>0.6</v>
      </c>
      <c r="Z46" s="13" t="s">
        <v>287</v>
      </c>
      <c r="AA46" s="99">
        <v>0.27</v>
      </c>
      <c r="AB46" s="99">
        <v>0.53</v>
      </c>
      <c r="AC46" s="99">
        <v>0.3</v>
      </c>
      <c r="AD46" s="99">
        <v>0.6</v>
      </c>
      <c r="AE46" s="99">
        <v>0.5</v>
      </c>
      <c r="AF46" s="99">
        <v>0.75</v>
      </c>
      <c r="AG46" s="99">
        <v>0.56000000000000005</v>
      </c>
      <c r="AH46" s="13" t="s">
        <v>226</v>
      </c>
      <c r="AI46" s="13" t="s">
        <v>226</v>
      </c>
      <c r="AJ46" s="66"/>
      <c r="AK46" s="66"/>
      <c r="AL46" s="66"/>
      <c r="AM46" s="66"/>
      <c r="AN46" s="66"/>
      <c r="AO46" s="66"/>
      <c r="AP46" s="66"/>
      <c r="AQ46" s="66"/>
      <c r="AR46" s="66"/>
      <c r="AS46" s="66"/>
      <c r="AT46" s="66"/>
      <c r="AU46" s="66"/>
      <c r="AV46" s="66"/>
      <c r="AW46" s="66"/>
      <c r="AX46" s="66"/>
      <c r="AY46" s="66"/>
      <c r="AZ46" s="66"/>
      <c r="BA46" s="66"/>
      <c r="BB46" s="66"/>
      <c r="BC46" s="66"/>
      <c r="BD46" s="66"/>
      <c r="BE46" s="66"/>
      <c r="BF46" s="66"/>
      <c r="BG46" s="66"/>
      <c r="BH46" s="66"/>
      <c r="BI46" s="66"/>
      <c r="BJ46" s="66"/>
      <c r="BK46" s="66"/>
      <c r="BL46" s="66"/>
      <c r="BM46" s="13" t="s">
        <v>226</v>
      </c>
      <c r="BN46" s="13" t="s">
        <v>226</v>
      </c>
      <c r="BO46" s="13"/>
      <c r="BP46" s="13"/>
      <c r="BQ46" s="13"/>
      <c r="BR46" s="13"/>
      <c r="BS46" s="13"/>
      <c r="BT46" s="13"/>
      <c r="BU46" s="13"/>
      <c r="BV46" s="13"/>
      <c r="BW46" s="13"/>
      <c r="BX46" s="13"/>
      <c r="BY46" s="13"/>
      <c r="BZ46" s="13"/>
      <c r="CA46" s="13"/>
      <c r="CB46" s="13"/>
      <c r="CC46" s="13"/>
      <c r="CD46" s="13"/>
      <c r="CE46" s="13"/>
      <c r="CF46" s="13"/>
      <c r="CG46" s="13"/>
      <c r="CH46" s="13"/>
      <c r="CI46" s="13"/>
      <c r="CJ46" s="13"/>
      <c r="CK46" s="13"/>
      <c r="CL46" s="13"/>
      <c r="CM46" s="13"/>
      <c r="CN46" s="13"/>
      <c r="CO46" s="13"/>
      <c r="CP46" s="13"/>
      <c r="CQ46" s="13"/>
      <c r="CR46" s="13"/>
      <c r="CS46" s="13" t="s">
        <v>226</v>
      </c>
      <c r="CT46" s="13" t="s">
        <v>226</v>
      </c>
      <c r="CU46" s="2"/>
      <c r="CV46" s="2"/>
      <c r="CW46" s="2"/>
      <c r="CX46" s="2"/>
      <c r="CY46" s="2"/>
      <c r="CZ46" s="2"/>
      <c r="DA46" s="2"/>
      <c r="DB46" s="2"/>
      <c r="DC46" s="2"/>
      <c r="DD46" s="2"/>
      <c r="DE46" s="2"/>
      <c r="DF46" s="2"/>
      <c r="DG46" s="2"/>
      <c r="DH46" s="2"/>
      <c r="DI46" s="2"/>
      <c r="DJ46" s="2"/>
      <c r="DK46" s="2"/>
      <c r="DL46" s="2"/>
      <c r="DM46" s="2"/>
      <c r="DN46" s="2"/>
      <c r="DO46" s="2"/>
      <c r="DP46" s="2"/>
      <c r="DQ46" s="2"/>
      <c r="DR46" s="2"/>
      <c r="DS46" s="2"/>
      <c r="DT46" s="2"/>
      <c r="DU46" s="2"/>
      <c r="DV46" s="2"/>
      <c r="DW46" s="2"/>
      <c r="DX46" s="61"/>
      <c r="DY46" s="61"/>
      <c r="DZ46" s="66"/>
      <c r="EA46" s="66"/>
      <c r="EB46" s="66"/>
      <c r="EC46" s="66"/>
      <c r="ED46" s="66"/>
      <c r="EE46" s="66"/>
      <c r="EF46" s="66"/>
      <c r="EG46" s="66"/>
      <c r="EH46" s="66"/>
      <c r="EI46" s="66"/>
      <c r="EJ46" s="66"/>
      <c r="EK46" s="66"/>
      <c r="EL46" s="66"/>
      <c r="EM46" s="66"/>
      <c r="EN46" s="66"/>
      <c r="EO46" s="66"/>
      <c r="EP46" s="66"/>
      <c r="EQ46" s="66"/>
      <c r="ER46" s="66"/>
      <c r="ES46" s="66"/>
      <c r="ET46" s="66"/>
      <c r="EU46" s="66"/>
      <c r="EV46" s="66"/>
      <c r="EW46" s="66"/>
      <c r="EX46" s="66"/>
      <c r="EY46" s="66"/>
      <c r="EZ46" s="66"/>
      <c r="FA46" s="66"/>
    </row>
    <row r="47" spans="1:259" s="53" customFormat="1" ht="24.9" customHeight="1" x14ac:dyDescent="0.25">
      <c r="A47" s="188" t="s">
        <v>69</v>
      </c>
      <c r="B47" s="1" t="s">
        <v>222</v>
      </c>
      <c r="C47" s="2">
        <v>2</v>
      </c>
      <c r="D47" s="16">
        <v>48</v>
      </c>
      <c r="E47" s="16">
        <v>7</v>
      </c>
      <c r="F47" s="99">
        <v>0.17</v>
      </c>
      <c r="G47" s="99">
        <v>0.75</v>
      </c>
      <c r="H47" s="99">
        <v>0.08</v>
      </c>
      <c r="I47" s="99">
        <v>0</v>
      </c>
      <c r="J47" s="99">
        <v>0.75</v>
      </c>
      <c r="K47" s="99">
        <v>0.5</v>
      </c>
      <c r="L47" s="99">
        <v>0.79</v>
      </c>
      <c r="M47" s="99">
        <v>0.5</v>
      </c>
      <c r="N47" s="99">
        <v>0.33</v>
      </c>
      <c r="O47" s="99">
        <v>0.78</v>
      </c>
      <c r="P47" s="99">
        <v>0.46</v>
      </c>
      <c r="Q47" s="99">
        <v>0.48</v>
      </c>
      <c r="R47" s="99">
        <v>0.67</v>
      </c>
      <c r="S47" s="99">
        <v>0.57999999999999996</v>
      </c>
      <c r="T47" s="99">
        <v>0.33</v>
      </c>
      <c r="U47" s="99">
        <v>0.83</v>
      </c>
      <c r="V47" s="99">
        <v>0.33</v>
      </c>
      <c r="W47" s="99">
        <v>0.33</v>
      </c>
      <c r="X47" s="99">
        <v>0.67</v>
      </c>
      <c r="Y47" s="99">
        <v>0.67</v>
      </c>
      <c r="Z47" s="13" t="s">
        <v>287</v>
      </c>
      <c r="AA47" s="99">
        <v>0.08</v>
      </c>
      <c r="AB47" s="99">
        <v>0.64</v>
      </c>
      <c r="AC47" s="99">
        <v>0.33</v>
      </c>
      <c r="AD47" s="99">
        <v>0.57999999999999996</v>
      </c>
      <c r="AE47" s="99">
        <v>0.57999999999999996</v>
      </c>
      <c r="AF47" s="99">
        <v>0.46</v>
      </c>
      <c r="AG47" s="99">
        <v>0.57999999999999996</v>
      </c>
      <c r="AH47" s="13" t="s">
        <v>226</v>
      </c>
      <c r="AI47" s="13" t="s">
        <v>226</v>
      </c>
      <c r="AJ47" s="66"/>
      <c r="AK47" s="66"/>
      <c r="AL47" s="66"/>
      <c r="AM47" s="66"/>
      <c r="AN47" s="66"/>
      <c r="AO47" s="66"/>
      <c r="AP47" s="66"/>
      <c r="AQ47" s="66"/>
      <c r="AR47" s="66"/>
      <c r="AS47" s="66"/>
      <c r="AT47" s="66"/>
      <c r="AU47" s="66"/>
      <c r="AV47" s="66"/>
      <c r="AW47" s="66"/>
      <c r="AX47" s="66"/>
      <c r="AY47" s="66"/>
      <c r="AZ47" s="66"/>
      <c r="BA47" s="66"/>
      <c r="BB47" s="66"/>
      <c r="BC47" s="66"/>
      <c r="BD47" s="66"/>
      <c r="BE47" s="66"/>
      <c r="BF47" s="66"/>
      <c r="BG47" s="66"/>
      <c r="BH47" s="66"/>
      <c r="BI47" s="66"/>
      <c r="BJ47" s="66"/>
      <c r="BK47" s="66"/>
      <c r="BL47" s="66"/>
      <c r="BM47" s="16">
        <v>44</v>
      </c>
      <c r="BN47" s="16">
        <v>5</v>
      </c>
      <c r="BO47" s="99">
        <v>0.28999999999999998</v>
      </c>
      <c r="BP47" s="99">
        <v>0.71</v>
      </c>
      <c r="BQ47" s="99">
        <v>0</v>
      </c>
      <c r="BR47" s="99">
        <v>0</v>
      </c>
      <c r="BS47" s="99">
        <v>0.6</v>
      </c>
      <c r="BT47" s="99">
        <v>0.75</v>
      </c>
      <c r="BU47" s="99">
        <v>0.5</v>
      </c>
      <c r="BV47" s="99">
        <v>0.25</v>
      </c>
      <c r="BW47" s="99">
        <v>0.92</v>
      </c>
      <c r="BX47" s="99">
        <v>0.6</v>
      </c>
      <c r="BY47" s="99">
        <v>0.56999999999999995</v>
      </c>
      <c r="BZ47" s="99">
        <v>0.73</v>
      </c>
      <c r="CA47" s="99">
        <v>0.25</v>
      </c>
      <c r="CB47" s="99">
        <v>0.75</v>
      </c>
      <c r="CC47" s="99">
        <v>0.33</v>
      </c>
      <c r="CD47" s="99">
        <v>0.69</v>
      </c>
      <c r="CE47" s="99">
        <v>0.43</v>
      </c>
      <c r="CF47" s="99">
        <v>0.33</v>
      </c>
      <c r="CG47" s="99">
        <v>0.7</v>
      </c>
      <c r="CH47" s="99">
        <v>0.68</v>
      </c>
      <c r="CI47" s="99">
        <v>0.72</v>
      </c>
      <c r="CJ47" s="99">
        <v>0.83</v>
      </c>
      <c r="CK47" s="99">
        <v>0.77</v>
      </c>
      <c r="CL47" s="99">
        <v>0.43</v>
      </c>
      <c r="CM47" s="99">
        <v>0.5</v>
      </c>
      <c r="CN47" s="99">
        <v>0.7</v>
      </c>
      <c r="CO47" s="99">
        <v>0.5</v>
      </c>
      <c r="CP47" s="99">
        <v>0.23</v>
      </c>
      <c r="CQ47" s="99">
        <v>0.57999999999999996</v>
      </c>
      <c r="CR47" s="99">
        <v>0.79</v>
      </c>
      <c r="CS47" s="16">
        <v>48</v>
      </c>
      <c r="CT47" s="16">
        <v>6</v>
      </c>
      <c r="CU47" s="96">
        <v>0.08</v>
      </c>
      <c r="CV47" s="96">
        <v>0.77</v>
      </c>
      <c r="CW47" s="96">
        <v>0.15</v>
      </c>
      <c r="CX47" s="96">
        <v>0</v>
      </c>
      <c r="CY47" s="96">
        <v>0.53</v>
      </c>
      <c r="CZ47" s="96">
        <v>0.25</v>
      </c>
      <c r="DA47" s="96">
        <v>0.67</v>
      </c>
      <c r="DB47" s="96">
        <v>0.48</v>
      </c>
      <c r="DC47" s="96">
        <v>0.48</v>
      </c>
      <c r="DD47" s="96">
        <v>0.6</v>
      </c>
      <c r="DE47" s="96">
        <v>0.46</v>
      </c>
      <c r="DF47" s="96">
        <v>0.48</v>
      </c>
      <c r="DG47" s="96">
        <v>0.39</v>
      </c>
      <c r="DH47" s="96">
        <v>0.42</v>
      </c>
      <c r="DI47" s="96">
        <v>0.48</v>
      </c>
      <c r="DJ47" s="96">
        <v>0.72</v>
      </c>
      <c r="DK47" s="96">
        <v>0.52</v>
      </c>
      <c r="DL47" s="96">
        <v>0</v>
      </c>
      <c r="DM47" s="96">
        <v>0.68</v>
      </c>
      <c r="DN47" s="96">
        <v>0.52</v>
      </c>
      <c r="DO47" s="96">
        <v>0.31</v>
      </c>
      <c r="DP47" s="96">
        <v>0.52</v>
      </c>
      <c r="DQ47" s="96">
        <v>0.56000000000000005</v>
      </c>
      <c r="DR47" s="96">
        <v>0.21</v>
      </c>
      <c r="DS47" s="96">
        <v>0.46</v>
      </c>
      <c r="DT47" s="96">
        <v>0.78</v>
      </c>
      <c r="DU47" s="96">
        <v>0.5</v>
      </c>
      <c r="DV47" s="96">
        <v>0.48</v>
      </c>
      <c r="DW47" s="96">
        <v>0.18</v>
      </c>
      <c r="DX47" s="61">
        <v>51</v>
      </c>
      <c r="DY47" s="61">
        <v>5</v>
      </c>
      <c r="DZ47" s="66">
        <v>0</v>
      </c>
      <c r="EA47" s="66">
        <v>0.83</v>
      </c>
      <c r="EB47" s="66">
        <v>0.17</v>
      </c>
      <c r="EC47" s="66">
        <v>0</v>
      </c>
      <c r="ED47" s="66">
        <v>0.42</v>
      </c>
      <c r="EE47" s="66">
        <v>0.44</v>
      </c>
      <c r="EF47" s="66">
        <v>0.5</v>
      </c>
      <c r="EG47" s="66">
        <v>0.33</v>
      </c>
      <c r="EH47" s="66">
        <v>0.4</v>
      </c>
      <c r="EI47" s="66">
        <v>0.33</v>
      </c>
      <c r="EJ47" s="66">
        <v>0.64</v>
      </c>
      <c r="EK47" s="66">
        <v>0.2</v>
      </c>
      <c r="EL47" s="66">
        <v>0.42</v>
      </c>
      <c r="EM47" s="66">
        <v>0.86</v>
      </c>
      <c r="EN47" s="66">
        <v>0.54</v>
      </c>
      <c r="EO47" s="66">
        <v>0.47</v>
      </c>
      <c r="EP47" s="66">
        <v>0.36</v>
      </c>
      <c r="EQ47" s="66">
        <v>0.17</v>
      </c>
      <c r="ER47" s="66">
        <v>0.45</v>
      </c>
      <c r="ES47" s="66">
        <v>0.3</v>
      </c>
      <c r="ET47" s="66">
        <v>0.56999999999999995</v>
      </c>
      <c r="EU47" s="66">
        <v>0.6</v>
      </c>
      <c r="EV47" s="66">
        <v>0.25</v>
      </c>
      <c r="EW47" s="66">
        <v>0.11</v>
      </c>
      <c r="EX47" s="66">
        <v>0.33</v>
      </c>
      <c r="EY47" s="66">
        <v>0.56999999999999995</v>
      </c>
      <c r="EZ47" s="66">
        <v>0</v>
      </c>
      <c r="FA47" s="66">
        <v>0.67</v>
      </c>
      <c r="FB47" s="349">
        <v>46</v>
      </c>
      <c r="FC47" s="348" t="s">
        <v>910</v>
      </c>
      <c r="FD47" s="349">
        <v>10</v>
      </c>
      <c r="FE47" s="348" t="s">
        <v>910</v>
      </c>
      <c r="FF47" s="371">
        <v>0.33</v>
      </c>
      <c r="FG47" s="371">
        <v>0.5</v>
      </c>
      <c r="FH47" s="371">
        <v>0.17</v>
      </c>
      <c r="FI47" s="371">
        <v>0</v>
      </c>
      <c r="FJ47" s="371">
        <v>0.57999999999999996</v>
      </c>
      <c r="FK47" s="371">
        <v>0.61</v>
      </c>
      <c r="FL47" s="371">
        <v>0.6</v>
      </c>
      <c r="FM47" s="371">
        <v>0.64</v>
      </c>
      <c r="FN47" s="371">
        <v>0.38</v>
      </c>
      <c r="FO47" s="371">
        <v>0.33</v>
      </c>
      <c r="FP47" s="371">
        <v>0.41</v>
      </c>
      <c r="FQ47" s="371">
        <v>0.33</v>
      </c>
      <c r="FR47" s="371">
        <v>0.64</v>
      </c>
      <c r="FS47" s="371">
        <v>0.65</v>
      </c>
      <c r="FT47" s="371">
        <v>0.5</v>
      </c>
      <c r="FU47" s="371">
        <v>0.5</v>
      </c>
      <c r="FV47" s="371">
        <v>0.59</v>
      </c>
      <c r="FW47" s="371">
        <v>0.54</v>
      </c>
      <c r="FX47" s="371">
        <v>0.61</v>
      </c>
      <c r="FY47" s="371">
        <v>0.52</v>
      </c>
      <c r="FZ47" s="371">
        <v>0.59</v>
      </c>
      <c r="GA47" s="371">
        <v>0.44</v>
      </c>
      <c r="GB47" s="371">
        <v>0.64</v>
      </c>
      <c r="GC47" s="371">
        <v>0.59</v>
      </c>
      <c r="GD47" s="371">
        <v>0.61</v>
      </c>
      <c r="GE47" s="371">
        <v>0.48</v>
      </c>
      <c r="GF47" s="371">
        <v>0.42</v>
      </c>
      <c r="GG47" s="371">
        <v>0.55000000000000004</v>
      </c>
      <c r="GH47" s="371">
        <v>0.79</v>
      </c>
      <c r="GI47" s="371">
        <v>0.45</v>
      </c>
      <c r="HR47" s="630">
        <v>52</v>
      </c>
      <c r="HS47" s="640" t="s">
        <v>910</v>
      </c>
      <c r="HT47" s="630">
        <v>8</v>
      </c>
      <c r="HU47" s="640" t="s">
        <v>910</v>
      </c>
      <c r="HV47" s="644">
        <v>0</v>
      </c>
      <c r="HW47" s="644">
        <v>0.71</v>
      </c>
      <c r="HX47" s="644">
        <v>0.28999999999999998</v>
      </c>
      <c r="HY47" s="644">
        <v>0</v>
      </c>
      <c r="HZ47" s="644">
        <v>0.36</v>
      </c>
      <c r="IA47" s="644">
        <v>0.56000000000000005</v>
      </c>
      <c r="IB47" s="644">
        <v>0.17</v>
      </c>
      <c r="IC47" s="644">
        <v>0.41</v>
      </c>
      <c r="ID47" s="644">
        <v>0.59</v>
      </c>
      <c r="IE47" s="644">
        <v>0.21</v>
      </c>
      <c r="IF47" s="644">
        <v>0.38</v>
      </c>
      <c r="IG47" s="644">
        <v>0.64</v>
      </c>
      <c r="IH47" s="644">
        <v>0.47</v>
      </c>
      <c r="II47" s="644">
        <v>0.5</v>
      </c>
      <c r="IJ47" s="644">
        <v>0.26</v>
      </c>
      <c r="IK47" s="644">
        <v>0.56000000000000005</v>
      </c>
      <c r="IL47" s="644">
        <v>0.5</v>
      </c>
      <c r="IM47" s="644">
        <v>0.52</v>
      </c>
      <c r="IN47" s="644">
        <v>0.46</v>
      </c>
      <c r="IO47" s="644">
        <v>0.6</v>
      </c>
      <c r="IP47" s="644">
        <v>0.75</v>
      </c>
      <c r="IQ47" s="644">
        <v>0.76</v>
      </c>
      <c r="IR47" s="644">
        <v>0.45</v>
      </c>
      <c r="IS47" s="644">
        <v>0.45</v>
      </c>
      <c r="IT47" s="644">
        <v>0.33</v>
      </c>
      <c r="IU47" s="640" t="s">
        <v>287</v>
      </c>
      <c r="IV47" s="644">
        <v>0.59</v>
      </c>
      <c r="IW47" s="644">
        <v>0.43</v>
      </c>
      <c r="IX47" s="644">
        <v>0.6</v>
      </c>
      <c r="IY47" s="644">
        <v>0.76</v>
      </c>
    </row>
    <row r="48" spans="1:259" ht="24.9" customHeight="1" x14ac:dyDescent="0.25">
      <c r="A48" s="189" t="s">
        <v>270</v>
      </c>
      <c r="B48" s="1" t="s">
        <v>222</v>
      </c>
      <c r="C48" s="2">
        <v>6</v>
      </c>
      <c r="D48" s="13" t="s">
        <v>226</v>
      </c>
      <c r="E48" s="13" t="s">
        <v>226</v>
      </c>
      <c r="F48" s="13"/>
      <c r="G48" s="13"/>
      <c r="H48" s="13"/>
      <c r="I48" s="13"/>
      <c r="J48" s="13"/>
      <c r="K48" s="13"/>
      <c r="L48" s="13"/>
      <c r="M48" s="13"/>
      <c r="N48" s="13"/>
      <c r="O48" s="13"/>
      <c r="P48" s="13"/>
      <c r="Q48" s="13"/>
      <c r="R48" s="13"/>
      <c r="S48" s="13"/>
      <c r="T48" s="13"/>
      <c r="U48" s="13"/>
      <c r="V48" s="13"/>
      <c r="W48" s="13"/>
      <c r="X48" s="13"/>
      <c r="Y48" s="13"/>
      <c r="Z48" s="13"/>
      <c r="AA48" s="13"/>
      <c r="AB48" s="13"/>
      <c r="AC48" s="13"/>
      <c r="AD48" s="13"/>
      <c r="AE48" s="13"/>
      <c r="AF48" s="13"/>
      <c r="AG48" s="13"/>
      <c r="AH48" s="13" t="s">
        <v>226</v>
      </c>
      <c r="AI48" s="13" t="s">
        <v>226</v>
      </c>
      <c r="AJ48" s="66"/>
      <c r="AK48" s="66"/>
      <c r="AL48" s="66"/>
      <c r="AM48" s="66"/>
      <c r="AN48" s="66"/>
      <c r="AO48" s="66"/>
      <c r="AP48" s="66"/>
      <c r="AQ48" s="66"/>
      <c r="AR48" s="66"/>
      <c r="AS48" s="66"/>
      <c r="AT48" s="66"/>
      <c r="AU48" s="66"/>
      <c r="AV48" s="66"/>
      <c r="AW48" s="66"/>
      <c r="AX48" s="66"/>
      <c r="AY48" s="66"/>
      <c r="AZ48" s="66"/>
      <c r="BA48" s="66"/>
      <c r="BB48" s="66"/>
      <c r="BC48" s="66"/>
      <c r="BD48" s="66"/>
      <c r="BE48" s="66"/>
      <c r="BF48" s="66"/>
      <c r="BG48" s="66"/>
      <c r="BH48" s="66"/>
      <c r="BI48" s="66"/>
      <c r="BJ48" s="66"/>
      <c r="BK48" s="66"/>
      <c r="BL48" s="66"/>
      <c r="BM48" s="13" t="s">
        <v>226</v>
      </c>
      <c r="BN48" s="13" t="s">
        <v>226</v>
      </c>
      <c r="BO48" s="13"/>
      <c r="BP48" s="13"/>
      <c r="BQ48" s="13"/>
      <c r="BR48" s="13"/>
      <c r="BS48" s="13"/>
      <c r="BT48" s="13"/>
      <c r="BU48" s="13"/>
      <c r="BV48" s="13"/>
      <c r="BW48" s="13"/>
      <c r="BX48" s="13"/>
      <c r="BY48" s="13"/>
      <c r="BZ48" s="13"/>
      <c r="CA48" s="13"/>
      <c r="CB48" s="13"/>
      <c r="CC48" s="13"/>
      <c r="CD48" s="13"/>
      <c r="CE48" s="13"/>
      <c r="CF48" s="13"/>
      <c r="CG48" s="13"/>
      <c r="CH48" s="13"/>
      <c r="CI48" s="13"/>
      <c r="CJ48" s="13"/>
      <c r="CK48" s="13"/>
      <c r="CL48" s="13"/>
      <c r="CM48" s="13"/>
      <c r="CN48" s="13"/>
      <c r="CO48" s="13"/>
      <c r="CP48" s="13"/>
      <c r="CQ48" s="13"/>
      <c r="CR48" s="13"/>
      <c r="CS48" s="13" t="s">
        <v>226</v>
      </c>
      <c r="CT48" s="13" t="s">
        <v>226</v>
      </c>
      <c r="CU48" s="2"/>
      <c r="CV48" s="2"/>
      <c r="CW48" s="2"/>
      <c r="CX48" s="2"/>
      <c r="CY48" s="2"/>
      <c r="CZ48" s="2"/>
      <c r="DA48" s="2"/>
      <c r="DB48" s="2"/>
      <c r="DC48" s="2"/>
      <c r="DD48" s="2"/>
      <c r="DE48" s="2"/>
      <c r="DF48" s="2"/>
      <c r="DG48" s="2"/>
      <c r="DH48" s="2"/>
      <c r="DI48" s="2"/>
      <c r="DJ48" s="2"/>
      <c r="DK48" s="2"/>
      <c r="DL48" s="2"/>
      <c r="DM48" s="2"/>
      <c r="DN48" s="2"/>
      <c r="DO48" s="2"/>
      <c r="DP48" s="2"/>
      <c r="DQ48" s="2"/>
      <c r="DR48" s="2"/>
      <c r="DS48" s="2"/>
      <c r="DT48" s="2"/>
      <c r="DU48" s="2"/>
      <c r="DV48" s="2"/>
      <c r="DW48" s="2"/>
      <c r="DX48" s="61">
        <v>47</v>
      </c>
      <c r="DY48" s="61">
        <v>7</v>
      </c>
      <c r="DZ48" s="66">
        <v>0.24</v>
      </c>
      <c r="EA48" s="66">
        <v>0.6</v>
      </c>
      <c r="EB48" s="66">
        <v>0.16</v>
      </c>
      <c r="EC48" s="66">
        <v>0</v>
      </c>
      <c r="ED48" s="66">
        <v>0.47</v>
      </c>
      <c r="EE48" s="66">
        <v>0.44</v>
      </c>
      <c r="EF48" s="66">
        <v>0.53</v>
      </c>
      <c r="EG48" s="66">
        <v>0.2</v>
      </c>
      <c r="EH48" s="66">
        <v>0.54</v>
      </c>
      <c r="EI48" s="66">
        <v>0.67</v>
      </c>
      <c r="EJ48" s="66">
        <v>0.71</v>
      </c>
      <c r="EK48" s="66">
        <v>0.33</v>
      </c>
      <c r="EL48" s="66">
        <v>0.42</v>
      </c>
      <c r="EM48" s="66">
        <v>0.57999999999999996</v>
      </c>
      <c r="EN48" s="66">
        <v>0.51</v>
      </c>
      <c r="EO48" s="66">
        <v>0.57999999999999996</v>
      </c>
      <c r="EP48" s="66">
        <v>0.56999999999999995</v>
      </c>
      <c r="EQ48" s="66">
        <v>0.4</v>
      </c>
      <c r="ER48" s="66">
        <v>0.79</v>
      </c>
      <c r="ES48" s="66">
        <v>0.45</v>
      </c>
      <c r="ET48" s="66">
        <v>0.4</v>
      </c>
      <c r="EU48" s="66">
        <v>0.67</v>
      </c>
      <c r="EV48" s="66">
        <v>0.67</v>
      </c>
      <c r="EW48" s="66">
        <v>0.48</v>
      </c>
      <c r="EX48" s="66">
        <v>0.69</v>
      </c>
      <c r="EY48" s="66">
        <v>0.69</v>
      </c>
      <c r="EZ48" s="66">
        <v>0.28999999999999998</v>
      </c>
      <c r="FA48" s="66">
        <v>0.63</v>
      </c>
      <c r="FB48" s="349">
        <v>51</v>
      </c>
      <c r="FC48" s="348" t="s">
        <v>910</v>
      </c>
      <c r="FD48" s="349">
        <v>8</v>
      </c>
      <c r="FE48" s="348" t="s">
        <v>910</v>
      </c>
      <c r="FF48" s="371">
        <v>0.08</v>
      </c>
      <c r="FG48" s="371">
        <v>0.65</v>
      </c>
      <c r="FH48" s="371">
        <v>0.27</v>
      </c>
      <c r="FI48" s="371">
        <v>0</v>
      </c>
      <c r="FJ48" s="371">
        <v>0.55000000000000004</v>
      </c>
      <c r="FK48" s="371">
        <v>0.47</v>
      </c>
      <c r="FL48" s="371">
        <v>0.51</v>
      </c>
      <c r="FM48" s="371">
        <v>0.41</v>
      </c>
      <c r="FN48" s="371">
        <v>0.24</v>
      </c>
      <c r="FO48" s="371">
        <v>0.21</v>
      </c>
      <c r="FP48" s="371">
        <v>0.4</v>
      </c>
      <c r="FQ48" s="371">
        <v>0.52</v>
      </c>
      <c r="FR48" s="371">
        <v>0.57999999999999996</v>
      </c>
      <c r="FS48" s="371">
        <v>0.51</v>
      </c>
      <c r="FT48" s="371">
        <v>0.44</v>
      </c>
      <c r="FU48" s="371">
        <v>0.22</v>
      </c>
      <c r="FV48" s="371">
        <v>0.49</v>
      </c>
      <c r="FW48" s="371">
        <v>0.51</v>
      </c>
      <c r="FX48" s="371">
        <v>0.44</v>
      </c>
      <c r="FY48" s="371">
        <v>0.28999999999999998</v>
      </c>
      <c r="FZ48" s="371">
        <v>0.49</v>
      </c>
      <c r="GA48" s="371">
        <v>0.43</v>
      </c>
      <c r="GB48" s="371">
        <v>0.53</v>
      </c>
      <c r="GC48" s="371">
        <v>0.45</v>
      </c>
      <c r="GD48" s="371">
        <v>0.63</v>
      </c>
      <c r="GE48" s="371">
        <v>0.53</v>
      </c>
      <c r="GF48" s="371">
        <v>0.56999999999999995</v>
      </c>
      <c r="GG48" s="371">
        <v>0.37</v>
      </c>
      <c r="GH48" s="371">
        <v>0.53</v>
      </c>
      <c r="GI48" s="371">
        <v>0.21</v>
      </c>
      <c r="GJ48" s="469">
        <v>43</v>
      </c>
      <c r="GK48" s="471" t="s">
        <v>912</v>
      </c>
      <c r="GL48" s="469">
        <v>10</v>
      </c>
      <c r="GM48" s="471" t="s">
        <v>910</v>
      </c>
      <c r="GN48" s="501">
        <v>0.56000000000000005</v>
      </c>
      <c r="GO48" s="501">
        <v>0.34</v>
      </c>
      <c r="GP48" s="501">
        <v>0.09</v>
      </c>
      <c r="GQ48" s="501">
        <v>0</v>
      </c>
      <c r="GR48" s="501">
        <v>0.6</v>
      </c>
      <c r="GS48" s="501">
        <v>0.64</v>
      </c>
      <c r="GT48" s="501">
        <v>0.7</v>
      </c>
      <c r="GU48" s="501">
        <v>0.43</v>
      </c>
      <c r="GV48" s="501">
        <v>0.62</v>
      </c>
      <c r="GW48" s="501">
        <v>0.83</v>
      </c>
      <c r="GX48" s="501">
        <v>0.55000000000000004</v>
      </c>
      <c r="GY48" s="471" t="s">
        <v>287</v>
      </c>
      <c r="GZ48" s="501">
        <v>0.46</v>
      </c>
      <c r="HA48" s="501">
        <v>0.78</v>
      </c>
      <c r="HB48" s="501">
        <v>0.55000000000000004</v>
      </c>
      <c r="HC48" s="501">
        <v>0.67</v>
      </c>
      <c r="HD48" s="501">
        <v>0.72</v>
      </c>
      <c r="HE48" s="501">
        <v>0.57999999999999996</v>
      </c>
      <c r="HF48" s="501">
        <v>0.67</v>
      </c>
      <c r="HG48" s="501">
        <v>0.72</v>
      </c>
      <c r="HH48" s="501">
        <v>0.54</v>
      </c>
      <c r="HI48" s="501">
        <v>0.66</v>
      </c>
      <c r="HJ48" s="501">
        <v>0.63</v>
      </c>
      <c r="HK48" s="501">
        <v>0.63</v>
      </c>
      <c r="HL48" s="501">
        <v>0.51</v>
      </c>
      <c r="HM48" s="501">
        <v>0.6</v>
      </c>
      <c r="HN48" s="501">
        <v>0.68</v>
      </c>
      <c r="HO48" s="501">
        <v>0.53</v>
      </c>
      <c r="HP48" s="471" t="s">
        <v>287</v>
      </c>
      <c r="HQ48" s="501">
        <v>0.59</v>
      </c>
      <c r="HR48" s="630">
        <v>50</v>
      </c>
      <c r="HS48" s="640" t="s">
        <v>910</v>
      </c>
      <c r="HT48" s="630">
        <v>10</v>
      </c>
      <c r="HU48" s="640" t="s">
        <v>910</v>
      </c>
      <c r="HV48" s="644">
        <v>0.25</v>
      </c>
      <c r="HW48" s="644">
        <v>0.43</v>
      </c>
      <c r="HX48" s="644">
        <v>0.32</v>
      </c>
      <c r="HY48" s="644">
        <v>0</v>
      </c>
      <c r="HZ48" s="644">
        <v>0.35</v>
      </c>
      <c r="IA48" s="644">
        <v>0.56999999999999995</v>
      </c>
      <c r="IB48" s="644">
        <v>0.23</v>
      </c>
      <c r="IC48" s="644">
        <v>0.52</v>
      </c>
      <c r="ID48" s="644">
        <v>0.59</v>
      </c>
      <c r="IE48" s="644">
        <v>0.37</v>
      </c>
      <c r="IF48" s="644">
        <v>0.42</v>
      </c>
      <c r="IG48" s="644">
        <v>0.4</v>
      </c>
      <c r="IH48" s="644">
        <v>0.51</v>
      </c>
      <c r="II48" s="644">
        <v>0.31</v>
      </c>
      <c r="IJ48" s="644">
        <v>0.45</v>
      </c>
      <c r="IK48" s="644">
        <v>0.57999999999999996</v>
      </c>
      <c r="IL48" s="644">
        <v>0.37</v>
      </c>
      <c r="IM48" s="644">
        <v>0.62</v>
      </c>
      <c r="IN48" s="644">
        <v>0.41</v>
      </c>
      <c r="IO48" s="644">
        <v>0.56999999999999995</v>
      </c>
      <c r="IP48" s="644">
        <v>0.53</v>
      </c>
      <c r="IQ48" s="644">
        <v>0.7</v>
      </c>
      <c r="IR48" s="644">
        <v>0.57999999999999996</v>
      </c>
      <c r="IS48" s="644">
        <v>0.47</v>
      </c>
      <c r="IT48" s="644">
        <v>0.47</v>
      </c>
      <c r="IU48" s="640" t="s">
        <v>287</v>
      </c>
      <c r="IV48" s="644">
        <v>0.57999999999999996</v>
      </c>
      <c r="IW48" s="644">
        <v>0.42</v>
      </c>
      <c r="IX48" s="644">
        <v>0.47</v>
      </c>
      <c r="IY48" s="644">
        <v>0.55000000000000004</v>
      </c>
    </row>
    <row r="49" spans="1:259" ht="24.9" customHeight="1" x14ac:dyDescent="0.25">
      <c r="A49" s="188" t="s">
        <v>225</v>
      </c>
      <c r="B49" s="1" t="s">
        <v>222</v>
      </c>
      <c r="C49" s="2">
        <v>3</v>
      </c>
      <c r="D49" s="13" t="s">
        <v>226</v>
      </c>
      <c r="E49" s="13" t="s">
        <v>226</v>
      </c>
      <c r="F49" s="13"/>
      <c r="G49" s="13"/>
      <c r="H49" s="13"/>
      <c r="I49" s="13"/>
      <c r="J49" s="13"/>
      <c r="K49" s="13"/>
      <c r="L49" s="13"/>
      <c r="M49" s="13"/>
      <c r="N49" s="13"/>
      <c r="O49" s="13"/>
      <c r="P49" s="13"/>
      <c r="Q49" s="13"/>
      <c r="R49" s="13"/>
      <c r="S49" s="13"/>
      <c r="T49" s="13"/>
      <c r="U49" s="13"/>
      <c r="V49" s="13"/>
      <c r="W49" s="13"/>
      <c r="X49" s="13"/>
      <c r="Y49" s="13"/>
      <c r="Z49" s="13"/>
      <c r="AA49" s="13"/>
      <c r="AB49" s="13"/>
      <c r="AC49" s="13"/>
      <c r="AD49" s="13"/>
      <c r="AE49" s="13"/>
      <c r="AF49" s="13"/>
      <c r="AG49" s="13"/>
      <c r="AH49" s="16">
        <v>52</v>
      </c>
      <c r="AI49" s="16">
        <v>8</v>
      </c>
      <c r="AJ49" s="66">
        <v>0.1</v>
      </c>
      <c r="AK49" s="66">
        <v>0.56999999999999995</v>
      </c>
      <c r="AL49" s="66">
        <v>0.32</v>
      </c>
      <c r="AM49" s="66">
        <v>0</v>
      </c>
      <c r="AN49" s="66">
        <v>0.3</v>
      </c>
      <c r="AO49" s="66">
        <v>0.48</v>
      </c>
      <c r="AP49" s="66">
        <v>0.62</v>
      </c>
      <c r="AQ49" s="66">
        <v>0.34</v>
      </c>
      <c r="AR49" s="66">
        <v>0.57999999999999996</v>
      </c>
      <c r="AS49" s="66">
        <v>0.48</v>
      </c>
      <c r="AT49" s="66">
        <v>0.56000000000000005</v>
      </c>
      <c r="AU49" s="66">
        <v>0.52</v>
      </c>
      <c r="AV49" s="66">
        <v>0.6</v>
      </c>
      <c r="AW49" s="66">
        <v>0.51</v>
      </c>
      <c r="AX49" s="66">
        <v>0.55000000000000004</v>
      </c>
      <c r="AY49" s="66">
        <v>0.33</v>
      </c>
      <c r="AZ49" s="66">
        <v>0.36</v>
      </c>
      <c r="BA49" s="66">
        <v>0.55000000000000004</v>
      </c>
      <c r="BB49" s="66">
        <v>0.62</v>
      </c>
      <c r="BC49" s="66">
        <v>0.69</v>
      </c>
      <c r="BD49" s="66">
        <v>0.37</v>
      </c>
      <c r="BE49" s="66">
        <v>0.68</v>
      </c>
      <c r="BF49" s="66">
        <v>0.51</v>
      </c>
      <c r="BG49" s="66">
        <v>0.56000000000000005</v>
      </c>
      <c r="BH49" s="66">
        <v>0.41</v>
      </c>
      <c r="BI49" s="66">
        <v>0.43</v>
      </c>
      <c r="BJ49" s="66">
        <v>0.35</v>
      </c>
      <c r="BK49" s="66">
        <v>0.41</v>
      </c>
      <c r="BL49" s="66">
        <v>0.48</v>
      </c>
      <c r="BM49" s="16">
        <v>48</v>
      </c>
      <c r="BN49" s="16">
        <v>8</v>
      </c>
      <c r="BO49" s="99">
        <v>0.19</v>
      </c>
      <c r="BP49" s="99">
        <v>0.57999999999999996</v>
      </c>
      <c r="BQ49" s="99">
        <v>0.23</v>
      </c>
      <c r="BR49" s="99">
        <v>0</v>
      </c>
      <c r="BS49" s="99">
        <v>0.42</v>
      </c>
      <c r="BT49" s="99">
        <v>0.74</v>
      </c>
      <c r="BU49" s="99">
        <v>0.7</v>
      </c>
      <c r="BV49" s="99">
        <v>0.49</v>
      </c>
      <c r="BW49" s="99">
        <v>0.54</v>
      </c>
      <c r="BX49" s="99">
        <v>0.41</v>
      </c>
      <c r="BY49" s="99">
        <v>0.47</v>
      </c>
      <c r="BZ49" s="99">
        <v>0.51</v>
      </c>
      <c r="CA49" s="99">
        <v>0.48</v>
      </c>
      <c r="CB49" s="99">
        <v>0.44</v>
      </c>
      <c r="CC49" s="99">
        <v>0.23</v>
      </c>
      <c r="CD49" s="99">
        <v>0.44</v>
      </c>
      <c r="CE49" s="99">
        <v>0.41</v>
      </c>
      <c r="CF49" s="99">
        <v>0.59</v>
      </c>
      <c r="CG49" s="99">
        <v>0.61</v>
      </c>
      <c r="CH49" s="99">
        <v>0.5</v>
      </c>
      <c r="CI49" s="99">
        <v>0.62</v>
      </c>
      <c r="CJ49" s="99">
        <v>0.39</v>
      </c>
      <c r="CK49" s="99">
        <v>0.73</v>
      </c>
      <c r="CL49" s="99">
        <v>0.34</v>
      </c>
      <c r="CM49" s="99">
        <v>0.47</v>
      </c>
      <c r="CN49" s="99">
        <v>0.51</v>
      </c>
      <c r="CO49" s="99">
        <v>0.53</v>
      </c>
      <c r="CP49" s="99">
        <v>0.44</v>
      </c>
      <c r="CQ49" s="99">
        <v>0.62</v>
      </c>
      <c r="CR49" s="99">
        <v>0.59</v>
      </c>
      <c r="CS49" s="16">
        <v>49</v>
      </c>
      <c r="CT49" s="16">
        <v>9</v>
      </c>
      <c r="CU49" s="96">
        <v>0.15</v>
      </c>
      <c r="CV49" s="96">
        <v>0.64</v>
      </c>
      <c r="CW49" s="96">
        <v>0.21</v>
      </c>
      <c r="CX49" s="96">
        <v>0.01</v>
      </c>
      <c r="CY49" s="96">
        <v>0.48</v>
      </c>
      <c r="CZ49" s="96">
        <v>0.28999999999999998</v>
      </c>
      <c r="DA49" s="96">
        <v>0.64</v>
      </c>
      <c r="DB49" s="96">
        <v>0.35</v>
      </c>
      <c r="DC49" s="96">
        <v>0.45</v>
      </c>
      <c r="DD49" s="96">
        <v>0.63</v>
      </c>
      <c r="DE49" s="96">
        <v>0.5</v>
      </c>
      <c r="DF49" s="96">
        <v>0.54</v>
      </c>
      <c r="DG49" s="96">
        <v>0.46</v>
      </c>
      <c r="DH49" s="96">
        <v>0.38</v>
      </c>
      <c r="DI49" s="96">
        <v>0.55000000000000004</v>
      </c>
      <c r="DJ49" s="96">
        <v>0.52</v>
      </c>
      <c r="DK49" s="96">
        <v>0.38</v>
      </c>
      <c r="DL49" s="96">
        <v>0.36</v>
      </c>
      <c r="DM49" s="96">
        <v>0.55000000000000004</v>
      </c>
      <c r="DN49" s="96">
        <v>0.54</v>
      </c>
      <c r="DO49" s="96">
        <v>0.52</v>
      </c>
      <c r="DP49" s="96">
        <v>0.49</v>
      </c>
      <c r="DQ49" s="96">
        <v>0.56999999999999995</v>
      </c>
      <c r="DR49" s="96">
        <v>0.2</v>
      </c>
      <c r="DS49" s="96">
        <v>0.37</v>
      </c>
      <c r="DT49" s="96">
        <v>0.59</v>
      </c>
      <c r="DU49" s="96">
        <v>0.56999999999999995</v>
      </c>
      <c r="DV49" s="96">
        <v>0.61</v>
      </c>
      <c r="DW49" s="96">
        <v>0.34</v>
      </c>
      <c r="DX49" s="61">
        <v>47</v>
      </c>
      <c r="DY49" s="61">
        <v>9</v>
      </c>
      <c r="DZ49" s="66">
        <v>0.26</v>
      </c>
      <c r="EA49" s="66">
        <v>0.55000000000000004</v>
      </c>
      <c r="EB49" s="66">
        <v>0.19</v>
      </c>
      <c r="EC49" s="66">
        <v>0</v>
      </c>
      <c r="ED49" s="66">
        <v>0.53</v>
      </c>
      <c r="EE49" s="66">
        <v>0.49</v>
      </c>
      <c r="EF49" s="66">
        <v>0.47</v>
      </c>
      <c r="EG49" s="66">
        <v>0.46</v>
      </c>
      <c r="EH49" s="66">
        <v>0.48</v>
      </c>
      <c r="EI49" s="66">
        <v>0.55000000000000004</v>
      </c>
      <c r="EJ49" s="66">
        <v>0.63</v>
      </c>
      <c r="EK49" s="66">
        <v>0.28000000000000003</v>
      </c>
      <c r="EL49" s="66">
        <v>0.53</v>
      </c>
      <c r="EM49" s="66">
        <v>0.67</v>
      </c>
      <c r="EN49" s="66">
        <v>0.47</v>
      </c>
      <c r="EO49" s="66">
        <v>0.62</v>
      </c>
      <c r="EP49" s="66">
        <v>0.47</v>
      </c>
      <c r="EQ49" s="66">
        <v>0.38</v>
      </c>
      <c r="ER49" s="66">
        <v>0.64</v>
      </c>
      <c r="ES49" s="66">
        <v>0.53</v>
      </c>
      <c r="ET49" s="66">
        <v>0.42</v>
      </c>
      <c r="EU49" s="66">
        <v>0.69</v>
      </c>
      <c r="EV49" s="66">
        <v>0.42</v>
      </c>
      <c r="EW49" s="66">
        <v>0.41</v>
      </c>
      <c r="EX49" s="66">
        <v>0.78</v>
      </c>
      <c r="EY49" s="66">
        <v>0.64</v>
      </c>
      <c r="EZ49" s="66">
        <v>0.37</v>
      </c>
      <c r="FA49" s="66">
        <v>0.67</v>
      </c>
      <c r="FB49" s="349">
        <v>47</v>
      </c>
      <c r="FC49" s="348" t="s">
        <v>910</v>
      </c>
      <c r="FD49" s="349">
        <v>8</v>
      </c>
      <c r="FE49" s="348" t="s">
        <v>910</v>
      </c>
      <c r="FF49" s="371">
        <v>0.22</v>
      </c>
      <c r="FG49" s="371">
        <v>0.64</v>
      </c>
      <c r="FH49" s="371">
        <v>0.13</v>
      </c>
      <c r="FI49" s="371">
        <v>0.01</v>
      </c>
      <c r="FJ49" s="371">
        <v>0.52</v>
      </c>
      <c r="FK49" s="371">
        <v>0.68</v>
      </c>
      <c r="FL49" s="371">
        <v>0.57999999999999996</v>
      </c>
      <c r="FM49" s="371">
        <v>0.47</v>
      </c>
      <c r="FN49" s="371">
        <v>0.3</v>
      </c>
      <c r="FO49" s="371">
        <v>0.4</v>
      </c>
      <c r="FP49" s="371">
        <v>0.49</v>
      </c>
      <c r="FQ49" s="371">
        <v>0.47</v>
      </c>
      <c r="FR49" s="371">
        <v>0.63</v>
      </c>
      <c r="FS49" s="371">
        <v>0.53</v>
      </c>
      <c r="FT49" s="371">
        <v>0.55000000000000004</v>
      </c>
      <c r="FU49" s="371">
        <v>0.49</v>
      </c>
      <c r="FV49" s="371">
        <v>0.6</v>
      </c>
      <c r="FW49" s="371">
        <v>0.59</v>
      </c>
      <c r="FX49" s="371">
        <v>0.5</v>
      </c>
      <c r="FY49" s="371">
        <v>0.42</v>
      </c>
      <c r="FZ49" s="371">
        <v>0.49</v>
      </c>
      <c r="GA49" s="371">
        <v>0.57999999999999996</v>
      </c>
      <c r="GB49" s="371">
        <v>0.59</v>
      </c>
      <c r="GC49" s="371">
        <v>0.54</v>
      </c>
      <c r="GD49" s="371">
        <v>0.63</v>
      </c>
      <c r="GE49" s="371">
        <v>0.61</v>
      </c>
      <c r="GF49" s="371">
        <v>0.52</v>
      </c>
      <c r="GG49" s="371">
        <v>0.53</v>
      </c>
      <c r="GH49" s="371">
        <v>0.63</v>
      </c>
      <c r="GI49" s="371">
        <v>0.33</v>
      </c>
      <c r="GJ49" s="469">
        <v>47</v>
      </c>
      <c r="GK49" s="471" t="s">
        <v>910</v>
      </c>
      <c r="GL49" s="469">
        <v>8</v>
      </c>
      <c r="GM49" s="471" t="s">
        <v>910</v>
      </c>
      <c r="GN49" s="501">
        <v>0.18</v>
      </c>
      <c r="GO49" s="501">
        <v>0.7</v>
      </c>
      <c r="GP49" s="501">
        <v>0.11</v>
      </c>
      <c r="GQ49" s="501">
        <v>0.01</v>
      </c>
      <c r="GR49" s="501">
        <v>0.5</v>
      </c>
      <c r="GS49" s="501">
        <v>0.57999999999999996</v>
      </c>
      <c r="GT49" s="501">
        <v>0.67</v>
      </c>
      <c r="GU49" s="501">
        <v>0.39</v>
      </c>
      <c r="GV49" s="501">
        <v>0.62</v>
      </c>
      <c r="GW49" s="501">
        <v>0.56000000000000005</v>
      </c>
      <c r="GX49" s="501">
        <v>0.54</v>
      </c>
      <c r="GY49" s="471" t="s">
        <v>287</v>
      </c>
      <c r="GZ49" s="501">
        <v>0.33</v>
      </c>
      <c r="HA49" s="501">
        <v>0.72</v>
      </c>
      <c r="HB49" s="501">
        <v>0.51</v>
      </c>
      <c r="HC49" s="501">
        <v>0.56999999999999995</v>
      </c>
      <c r="HD49" s="501">
        <v>0.63</v>
      </c>
      <c r="HE49" s="501">
        <v>0.56000000000000005</v>
      </c>
      <c r="HF49" s="501">
        <v>0.54</v>
      </c>
      <c r="HG49" s="501">
        <v>0.72</v>
      </c>
      <c r="HH49" s="501">
        <v>0.44</v>
      </c>
      <c r="HI49" s="501">
        <v>0.59</v>
      </c>
      <c r="HJ49" s="501">
        <v>0.62</v>
      </c>
      <c r="HK49" s="501">
        <v>0.56999999999999995</v>
      </c>
      <c r="HL49" s="501">
        <v>0.45</v>
      </c>
      <c r="HM49" s="501">
        <v>0.56000000000000005</v>
      </c>
      <c r="HN49" s="501">
        <v>0.51</v>
      </c>
      <c r="HO49" s="501">
        <v>0.51</v>
      </c>
      <c r="HP49" s="471" t="s">
        <v>287</v>
      </c>
      <c r="HQ49" s="501">
        <v>0.5</v>
      </c>
      <c r="HR49" s="630">
        <v>51</v>
      </c>
      <c r="HS49" s="640" t="s">
        <v>910</v>
      </c>
      <c r="HT49" s="630">
        <v>9</v>
      </c>
      <c r="HU49" s="640" t="s">
        <v>910</v>
      </c>
      <c r="HV49" s="644">
        <v>0.13</v>
      </c>
      <c r="HW49" s="644">
        <v>0.6</v>
      </c>
      <c r="HX49" s="644">
        <v>0.27</v>
      </c>
      <c r="HY49" s="644">
        <v>0.01</v>
      </c>
      <c r="HZ49" s="644">
        <v>0.35</v>
      </c>
      <c r="IA49" s="644">
        <v>0.51</v>
      </c>
      <c r="IB49" s="644">
        <v>0.4</v>
      </c>
      <c r="IC49" s="644">
        <v>0.47</v>
      </c>
      <c r="ID49" s="644">
        <v>0.63</v>
      </c>
      <c r="IE49" s="644">
        <v>0.36</v>
      </c>
      <c r="IF49" s="644">
        <v>0.42</v>
      </c>
      <c r="IG49" s="644">
        <v>0.55000000000000004</v>
      </c>
      <c r="IH49" s="644">
        <v>0.55000000000000004</v>
      </c>
      <c r="II49" s="644">
        <v>0.33</v>
      </c>
      <c r="IJ49" s="644">
        <v>0.26</v>
      </c>
      <c r="IK49" s="644">
        <v>0.6</v>
      </c>
      <c r="IL49" s="644">
        <v>0.38</v>
      </c>
      <c r="IM49" s="644">
        <v>0.57999999999999996</v>
      </c>
      <c r="IN49" s="644">
        <v>0.45</v>
      </c>
      <c r="IO49" s="644">
        <v>0.53</v>
      </c>
      <c r="IP49" s="644">
        <v>0.37</v>
      </c>
      <c r="IQ49" s="644">
        <v>0.69</v>
      </c>
      <c r="IR49" s="644">
        <v>0.62</v>
      </c>
      <c r="IS49" s="644">
        <v>0.59</v>
      </c>
      <c r="IT49" s="644">
        <v>0.45</v>
      </c>
      <c r="IU49" s="640" t="s">
        <v>287</v>
      </c>
      <c r="IV49" s="644">
        <v>0.62</v>
      </c>
      <c r="IW49" s="644">
        <v>0.45</v>
      </c>
      <c r="IX49" s="644">
        <v>0.45</v>
      </c>
      <c r="IY49" s="644">
        <v>0.57999999999999996</v>
      </c>
    </row>
    <row r="50" spans="1:259" s="53" customFormat="1" ht="24.9" customHeight="1" x14ac:dyDescent="0.25">
      <c r="A50" s="188" t="s">
        <v>126</v>
      </c>
      <c r="B50" s="1" t="s">
        <v>222</v>
      </c>
      <c r="C50" s="2">
        <v>2</v>
      </c>
      <c r="D50" s="16">
        <v>60</v>
      </c>
      <c r="E50" s="16">
        <v>7</v>
      </c>
      <c r="F50" s="99">
        <v>0</v>
      </c>
      <c r="G50" s="99">
        <v>0.28000000000000003</v>
      </c>
      <c r="H50" s="99">
        <v>0.66</v>
      </c>
      <c r="I50" s="99">
        <v>7.0000000000000007E-2</v>
      </c>
      <c r="J50" s="99">
        <v>0.22</v>
      </c>
      <c r="K50" s="99">
        <v>0.2</v>
      </c>
      <c r="L50" s="99">
        <v>0.52</v>
      </c>
      <c r="M50" s="99">
        <v>7.0000000000000007E-2</v>
      </c>
      <c r="N50" s="99">
        <v>0.18</v>
      </c>
      <c r="O50" s="99">
        <v>0.53</v>
      </c>
      <c r="P50" s="99">
        <v>0.2</v>
      </c>
      <c r="Q50" s="99">
        <v>0.31</v>
      </c>
      <c r="R50" s="99">
        <v>0.4</v>
      </c>
      <c r="S50" s="99">
        <v>0.51</v>
      </c>
      <c r="T50" s="99">
        <v>0.42</v>
      </c>
      <c r="U50" s="99">
        <v>0.38</v>
      </c>
      <c r="V50" s="99">
        <v>0</v>
      </c>
      <c r="W50" s="99">
        <v>0.04</v>
      </c>
      <c r="X50" s="99">
        <v>0.28000000000000003</v>
      </c>
      <c r="Y50" s="99">
        <v>0.34</v>
      </c>
      <c r="Z50" s="99">
        <v>0.75</v>
      </c>
      <c r="AA50" s="99">
        <v>0.02</v>
      </c>
      <c r="AB50" s="99">
        <v>0.31</v>
      </c>
      <c r="AC50" s="99">
        <v>0.09</v>
      </c>
      <c r="AD50" s="99">
        <v>0.31</v>
      </c>
      <c r="AE50" s="99">
        <v>0.23</v>
      </c>
      <c r="AF50" s="99">
        <v>0.51</v>
      </c>
      <c r="AG50" s="99">
        <v>0.38</v>
      </c>
      <c r="AH50" s="16">
        <v>59</v>
      </c>
      <c r="AI50" s="16">
        <v>8</v>
      </c>
      <c r="AJ50" s="66">
        <v>0.02</v>
      </c>
      <c r="AK50" s="66">
        <v>0.31</v>
      </c>
      <c r="AL50" s="66">
        <v>0.61</v>
      </c>
      <c r="AM50" s="66">
        <v>0.06</v>
      </c>
      <c r="AN50" s="66">
        <v>0.11</v>
      </c>
      <c r="AO50" s="66">
        <v>0.34</v>
      </c>
      <c r="AP50" s="66">
        <v>0.41</v>
      </c>
      <c r="AQ50" s="66">
        <v>0.25</v>
      </c>
      <c r="AR50" s="66">
        <v>0.49</v>
      </c>
      <c r="AS50" s="66">
        <v>0.41</v>
      </c>
      <c r="AT50" s="66">
        <v>0.33</v>
      </c>
      <c r="AU50" s="66">
        <v>0.35</v>
      </c>
      <c r="AV50" s="66">
        <v>0.47</v>
      </c>
      <c r="AW50" s="66">
        <v>0.24</v>
      </c>
      <c r="AX50" s="66">
        <v>0.39</v>
      </c>
      <c r="AY50" s="66">
        <v>0.18</v>
      </c>
      <c r="AZ50" s="66">
        <v>0.16</v>
      </c>
      <c r="BA50" s="66">
        <v>0.3</v>
      </c>
      <c r="BB50" s="66">
        <v>0.56000000000000005</v>
      </c>
      <c r="BC50" s="66">
        <v>0.52</v>
      </c>
      <c r="BD50" s="66">
        <v>0.34</v>
      </c>
      <c r="BE50" s="66">
        <v>0.35</v>
      </c>
      <c r="BF50" s="66">
        <v>0.39</v>
      </c>
      <c r="BG50" s="66">
        <v>0.36</v>
      </c>
      <c r="BH50" s="66">
        <v>0.32</v>
      </c>
      <c r="BI50" s="66">
        <v>0.32</v>
      </c>
      <c r="BJ50" s="66">
        <v>0.28999999999999998</v>
      </c>
      <c r="BK50" s="66">
        <v>0.32</v>
      </c>
      <c r="BL50" s="66">
        <v>0.33</v>
      </c>
      <c r="BM50" s="16">
        <v>58</v>
      </c>
      <c r="BN50" s="16">
        <v>7</v>
      </c>
      <c r="BO50" s="99">
        <v>0.01</v>
      </c>
      <c r="BP50" s="99">
        <v>0.3</v>
      </c>
      <c r="BQ50" s="99">
        <v>0.66</v>
      </c>
      <c r="BR50" s="99">
        <v>0.02</v>
      </c>
      <c r="BS50" s="99">
        <v>0.2</v>
      </c>
      <c r="BT50" s="99">
        <v>0.48</v>
      </c>
      <c r="BU50" s="99">
        <v>0.54</v>
      </c>
      <c r="BV50" s="99">
        <v>0.13</v>
      </c>
      <c r="BW50" s="99">
        <v>0.52</v>
      </c>
      <c r="BX50" s="99">
        <v>0.2</v>
      </c>
      <c r="BY50" s="99">
        <v>0.34</v>
      </c>
      <c r="BZ50" s="99">
        <v>0.43</v>
      </c>
      <c r="CA50" s="99">
        <v>0.4</v>
      </c>
      <c r="CB50" s="99">
        <v>0.19</v>
      </c>
      <c r="CC50" s="99">
        <v>7.0000000000000007E-2</v>
      </c>
      <c r="CD50" s="99">
        <v>0.27</v>
      </c>
      <c r="CE50" s="99">
        <v>0.18</v>
      </c>
      <c r="CF50" s="99">
        <v>0.45</v>
      </c>
      <c r="CG50" s="99">
        <v>0.48</v>
      </c>
      <c r="CH50" s="99">
        <v>0.33</v>
      </c>
      <c r="CI50" s="99">
        <v>0.45</v>
      </c>
      <c r="CJ50" s="99">
        <v>0.18</v>
      </c>
      <c r="CK50" s="99">
        <v>0.56999999999999995</v>
      </c>
      <c r="CL50" s="99">
        <v>0.18</v>
      </c>
      <c r="CM50" s="99">
        <v>0.28999999999999998</v>
      </c>
      <c r="CN50" s="99">
        <v>0.28000000000000003</v>
      </c>
      <c r="CO50" s="99">
        <v>0.27</v>
      </c>
      <c r="CP50" s="99">
        <v>0.23</v>
      </c>
      <c r="CQ50" s="99">
        <v>0.42</v>
      </c>
      <c r="CR50" s="99">
        <v>0.45</v>
      </c>
      <c r="CS50" s="16">
        <v>57</v>
      </c>
      <c r="CT50" s="16">
        <v>8</v>
      </c>
      <c r="CU50" s="96">
        <v>0.02</v>
      </c>
      <c r="CV50" s="96">
        <v>0.43</v>
      </c>
      <c r="CW50" s="96">
        <v>0.52</v>
      </c>
      <c r="CX50" s="96">
        <v>0.03</v>
      </c>
      <c r="CY50" s="96">
        <v>0.39</v>
      </c>
      <c r="CZ50" s="96">
        <v>0.23</v>
      </c>
      <c r="DA50" s="96">
        <v>0.48</v>
      </c>
      <c r="DB50" s="96">
        <v>0.2</v>
      </c>
      <c r="DC50" s="96">
        <v>0.39</v>
      </c>
      <c r="DD50" s="96">
        <v>0.6</v>
      </c>
      <c r="DE50" s="96">
        <v>0.31</v>
      </c>
      <c r="DF50" s="96">
        <v>0.43</v>
      </c>
      <c r="DG50" s="96">
        <v>0.32</v>
      </c>
      <c r="DH50" s="96">
        <v>0.28000000000000003</v>
      </c>
      <c r="DI50" s="96">
        <v>0.37</v>
      </c>
      <c r="DJ50" s="96">
        <v>0.31</v>
      </c>
      <c r="DK50" s="96">
        <v>0.23</v>
      </c>
      <c r="DL50" s="96">
        <v>0.15</v>
      </c>
      <c r="DM50" s="96">
        <v>0.41</v>
      </c>
      <c r="DN50" s="96">
        <v>0.46</v>
      </c>
      <c r="DO50" s="96">
        <v>0.28000000000000003</v>
      </c>
      <c r="DP50" s="96">
        <v>0.33</v>
      </c>
      <c r="DQ50" s="96">
        <v>0.48</v>
      </c>
      <c r="DR50" s="96">
        <v>0.06</v>
      </c>
      <c r="DS50" s="96">
        <v>0.3</v>
      </c>
      <c r="DT50" s="96">
        <v>0.38</v>
      </c>
      <c r="DU50" s="96">
        <v>0.35</v>
      </c>
      <c r="DV50" s="96">
        <v>0.48</v>
      </c>
      <c r="DW50" s="96">
        <v>0.18</v>
      </c>
      <c r="DX50" s="61">
        <v>57</v>
      </c>
      <c r="DY50" s="61">
        <v>8</v>
      </c>
      <c r="DZ50" s="66">
        <v>0.03</v>
      </c>
      <c r="EA50" s="66">
        <v>0.36</v>
      </c>
      <c r="EB50" s="66">
        <v>0.55000000000000004</v>
      </c>
      <c r="EC50" s="66">
        <v>0.06</v>
      </c>
      <c r="ED50" s="66">
        <v>0.41</v>
      </c>
      <c r="EE50" s="66">
        <v>0.39</v>
      </c>
      <c r="EF50" s="66">
        <v>0.35</v>
      </c>
      <c r="EG50" s="66">
        <v>0.18</v>
      </c>
      <c r="EH50" s="66">
        <v>0.24</v>
      </c>
      <c r="EI50" s="66">
        <v>0.33</v>
      </c>
      <c r="EJ50" s="66">
        <v>0.43</v>
      </c>
      <c r="EK50" s="66">
        <v>0.19</v>
      </c>
      <c r="EL50" s="66">
        <v>0.37</v>
      </c>
      <c r="EM50" s="66">
        <v>0.69</v>
      </c>
      <c r="EN50" s="66">
        <v>0.22</v>
      </c>
      <c r="EO50" s="66">
        <v>0.47</v>
      </c>
      <c r="EP50" s="66">
        <v>0.19</v>
      </c>
      <c r="EQ50" s="66">
        <v>0.17</v>
      </c>
      <c r="ER50" s="66">
        <v>0.56000000000000005</v>
      </c>
      <c r="ES50" s="66">
        <v>0.31</v>
      </c>
      <c r="ET50" s="66">
        <v>0.17</v>
      </c>
      <c r="EU50" s="66">
        <v>0.4</v>
      </c>
      <c r="EV50" s="66">
        <v>0.2</v>
      </c>
      <c r="EW50" s="66">
        <v>0.24</v>
      </c>
      <c r="EX50" s="66">
        <v>0.69</v>
      </c>
      <c r="EY50" s="66">
        <v>0.39</v>
      </c>
      <c r="EZ50" s="66">
        <v>0.06</v>
      </c>
      <c r="FA50" s="66">
        <v>0.54</v>
      </c>
      <c r="FB50" s="349">
        <v>55</v>
      </c>
      <c r="FC50" s="348" t="s">
        <v>910</v>
      </c>
      <c r="FD50" s="349">
        <v>9</v>
      </c>
      <c r="FE50" s="348" t="s">
        <v>910</v>
      </c>
      <c r="FF50" s="371">
        <v>0.04</v>
      </c>
      <c r="FG50" s="371">
        <v>0.46</v>
      </c>
      <c r="FH50" s="371">
        <v>0.46</v>
      </c>
      <c r="FI50" s="371">
        <v>0.04</v>
      </c>
      <c r="FJ50" s="371">
        <v>0.34</v>
      </c>
      <c r="FK50" s="371">
        <v>0.59</v>
      </c>
      <c r="FL50" s="371">
        <v>0.37</v>
      </c>
      <c r="FM50" s="371">
        <v>0.25</v>
      </c>
      <c r="FN50" s="371">
        <v>0.25</v>
      </c>
      <c r="FO50" s="371">
        <v>0.21</v>
      </c>
      <c r="FP50" s="371">
        <v>0.28999999999999998</v>
      </c>
      <c r="FQ50" s="371">
        <v>0.4</v>
      </c>
      <c r="FR50" s="371">
        <v>0.46</v>
      </c>
      <c r="FS50" s="371">
        <v>0.5</v>
      </c>
      <c r="FT50" s="371">
        <v>0.39</v>
      </c>
      <c r="FU50" s="371">
        <v>0.24</v>
      </c>
      <c r="FV50" s="371">
        <v>0.46</v>
      </c>
      <c r="FW50" s="371">
        <v>0.46</v>
      </c>
      <c r="FX50" s="371">
        <v>0.26</v>
      </c>
      <c r="FY50" s="371">
        <v>0.25</v>
      </c>
      <c r="FZ50" s="371">
        <v>0.3</v>
      </c>
      <c r="GA50" s="371">
        <v>0.47</v>
      </c>
      <c r="GB50" s="371">
        <v>0.42</v>
      </c>
      <c r="GC50" s="371">
        <v>0.34</v>
      </c>
      <c r="GD50" s="371">
        <v>0.51</v>
      </c>
      <c r="GE50" s="371">
        <v>0.4</v>
      </c>
      <c r="GF50" s="371">
        <v>0.34</v>
      </c>
      <c r="GG50" s="371">
        <v>0.36</v>
      </c>
      <c r="GH50" s="371">
        <v>0.47</v>
      </c>
      <c r="GI50" s="371">
        <v>0.22</v>
      </c>
      <c r="GJ50" s="469">
        <v>56</v>
      </c>
      <c r="GK50" s="471" t="s">
        <v>910</v>
      </c>
      <c r="GL50" s="469">
        <v>9</v>
      </c>
      <c r="GM50" s="471" t="s">
        <v>910</v>
      </c>
      <c r="GN50" s="501">
        <v>0.03</v>
      </c>
      <c r="GO50" s="501">
        <v>0.44</v>
      </c>
      <c r="GP50" s="501">
        <v>0.48</v>
      </c>
      <c r="GQ50" s="501">
        <v>0.06</v>
      </c>
      <c r="GR50" s="501">
        <v>0.39</v>
      </c>
      <c r="GS50" s="501">
        <v>0.37</v>
      </c>
      <c r="GT50" s="501">
        <v>0.47</v>
      </c>
      <c r="GU50" s="501">
        <v>0.15</v>
      </c>
      <c r="GV50" s="501">
        <v>0.43</v>
      </c>
      <c r="GW50" s="501">
        <v>0.39</v>
      </c>
      <c r="GX50" s="501">
        <v>0.31</v>
      </c>
      <c r="GY50" s="471" t="s">
        <v>287</v>
      </c>
      <c r="GZ50" s="501">
        <v>0.2</v>
      </c>
      <c r="HA50" s="501">
        <v>0.59</v>
      </c>
      <c r="HB50" s="501">
        <v>0.36</v>
      </c>
      <c r="HC50" s="501">
        <v>0.46</v>
      </c>
      <c r="HD50" s="501">
        <v>0.47</v>
      </c>
      <c r="HE50" s="501">
        <v>0.32</v>
      </c>
      <c r="HF50" s="501">
        <v>0.36</v>
      </c>
      <c r="HG50" s="501">
        <v>0.56000000000000005</v>
      </c>
      <c r="HH50" s="501">
        <v>0.28000000000000003</v>
      </c>
      <c r="HI50" s="501">
        <v>0.42</v>
      </c>
      <c r="HJ50" s="501">
        <v>0.48</v>
      </c>
      <c r="HK50" s="501">
        <v>0.52</v>
      </c>
      <c r="HL50" s="501">
        <v>0.34</v>
      </c>
      <c r="HM50" s="501">
        <v>0.43</v>
      </c>
      <c r="HN50" s="501">
        <v>0.4</v>
      </c>
      <c r="HO50" s="501">
        <v>0.3</v>
      </c>
      <c r="HP50" s="471" t="s">
        <v>287</v>
      </c>
      <c r="HQ50" s="501">
        <v>0.34</v>
      </c>
      <c r="HR50" s="630">
        <v>58</v>
      </c>
      <c r="HS50" s="640" t="s">
        <v>910</v>
      </c>
      <c r="HT50" s="630">
        <v>8</v>
      </c>
      <c r="HU50" s="640" t="s">
        <v>910</v>
      </c>
      <c r="HV50" s="644">
        <v>0.03</v>
      </c>
      <c r="HW50" s="644">
        <v>0.37</v>
      </c>
      <c r="HX50" s="644">
        <v>0.56000000000000005</v>
      </c>
      <c r="HY50" s="644">
        <v>0.04</v>
      </c>
      <c r="HZ50" s="644">
        <v>0.24</v>
      </c>
      <c r="IA50" s="644">
        <v>0.39</v>
      </c>
      <c r="IB50" s="644">
        <v>0.21</v>
      </c>
      <c r="IC50" s="644">
        <v>0.4</v>
      </c>
      <c r="ID50" s="644">
        <v>0.54</v>
      </c>
      <c r="IE50" s="644">
        <v>0.19</v>
      </c>
      <c r="IF50" s="644">
        <v>0.34</v>
      </c>
      <c r="IG50" s="644">
        <v>0.47</v>
      </c>
      <c r="IH50" s="644">
        <v>0.35</v>
      </c>
      <c r="II50" s="644">
        <v>0.22</v>
      </c>
      <c r="IJ50" s="644">
        <v>0.16</v>
      </c>
      <c r="IK50" s="644">
        <v>0.46</v>
      </c>
      <c r="IL50" s="644">
        <v>0.19</v>
      </c>
      <c r="IM50" s="644">
        <v>0.49</v>
      </c>
      <c r="IN50" s="644">
        <v>0.36</v>
      </c>
      <c r="IO50" s="644">
        <v>0.39</v>
      </c>
      <c r="IP50" s="644">
        <v>0.28000000000000003</v>
      </c>
      <c r="IQ50" s="644">
        <v>0.56000000000000005</v>
      </c>
      <c r="IR50" s="644">
        <v>0.46</v>
      </c>
      <c r="IS50" s="644">
        <v>0.41</v>
      </c>
      <c r="IT50" s="644">
        <v>0.34</v>
      </c>
      <c r="IU50" s="640" t="s">
        <v>287</v>
      </c>
      <c r="IV50" s="644">
        <v>0.53</v>
      </c>
      <c r="IW50" s="644">
        <v>0.28999999999999998</v>
      </c>
      <c r="IX50" s="644">
        <v>0.4</v>
      </c>
      <c r="IY50" s="644">
        <v>0.36</v>
      </c>
    </row>
    <row r="51" spans="1:259" ht="24.9" customHeight="1" x14ac:dyDescent="0.25">
      <c r="A51" s="189" t="s">
        <v>271</v>
      </c>
      <c r="B51" s="1" t="s">
        <v>222</v>
      </c>
      <c r="C51" s="2">
        <v>2</v>
      </c>
      <c r="D51" s="13" t="s">
        <v>226</v>
      </c>
      <c r="E51" s="13" t="s">
        <v>226</v>
      </c>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t="s">
        <v>226</v>
      </c>
      <c r="AI51" s="13" t="s">
        <v>226</v>
      </c>
      <c r="AJ51" s="66"/>
      <c r="AK51" s="66"/>
      <c r="AL51" s="66"/>
      <c r="AM51" s="66"/>
      <c r="AN51" s="66"/>
      <c r="AO51" s="66"/>
      <c r="AP51" s="66"/>
      <c r="AQ51" s="66"/>
      <c r="AR51" s="66"/>
      <c r="AS51" s="66"/>
      <c r="AT51" s="66"/>
      <c r="AU51" s="66"/>
      <c r="AV51" s="66"/>
      <c r="AW51" s="66"/>
      <c r="AX51" s="66"/>
      <c r="AY51" s="66"/>
      <c r="AZ51" s="66"/>
      <c r="BA51" s="66"/>
      <c r="BB51" s="66"/>
      <c r="BC51" s="66"/>
      <c r="BD51" s="66"/>
      <c r="BE51" s="66"/>
      <c r="BF51" s="66"/>
      <c r="BG51" s="66"/>
      <c r="BH51" s="66"/>
      <c r="BI51" s="66"/>
      <c r="BJ51" s="66"/>
      <c r="BK51" s="66"/>
      <c r="BL51" s="66"/>
      <c r="BM51" s="13" t="s">
        <v>226</v>
      </c>
      <c r="BN51" s="13" t="s">
        <v>226</v>
      </c>
      <c r="BO51" s="13"/>
      <c r="BP51" s="13"/>
      <c r="BQ51" s="13"/>
      <c r="BR51" s="13"/>
      <c r="BS51" s="13"/>
      <c r="BT51" s="13"/>
      <c r="BU51" s="13"/>
      <c r="BV51" s="13"/>
      <c r="BW51" s="13"/>
      <c r="BX51" s="13"/>
      <c r="BY51" s="13"/>
      <c r="BZ51" s="13"/>
      <c r="CA51" s="13"/>
      <c r="CB51" s="13"/>
      <c r="CC51" s="13"/>
      <c r="CD51" s="13"/>
      <c r="CE51" s="13"/>
      <c r="CF51" s="13"/>
      <c r="CG51" s="13"/>
      <c r="CH51" s="13"/>
      <c r="CI51" s="13"/>
      <c r="CJ51" s="13"/>
      <c r="CK51" s="13"/>
      <c r="CL51" s="13"/>
      <c r="CM51" s="13"/>
      <c r="CN51" s="13"/>
      <c r="CO51" s="13"/>
      <c r="CP51" s="13"/>
      <c r="CQ51" s="13"/>
      <c r="CR51" s="13"/>
      <c r="CS51" s="13" t="s">
        <v>226</v>
      </c>
      <c r="CT51" s="13" t="s">
        <v>226</v>
      </c>
      <c r="CU51" s="2"/>
      <c r="CV51" s="2"/>
      <c r="CW51" s="2"/>
      <c r="CX51" s="2"/>
      <c r="CY51" s="2"/>
      <c r="CZ51" s="2"/>
      <c r="DA51" s="2"/>
      <c r="DB51" s="2"/>
      <c r="DC51" s="2"/>
      <c r="DD51" s="2"/>
      <c r="DE51" s="2"/>
      <c r="DF51" s="2"/>
      <c r="DG51" s="2"/>
      <c r="DH51" s="2"/>
      <c r="DI51" s="2"/>
      <c r="DJ51" s="2"/>
      <c r="DK51" s="2"/>
      <c r="DL51" s="2"/>
      <c r="DM51" s="2"/>
      <c r="DN51" s="2"/>
      <c r="DO51" s="2"/>
      <c r="DP51" s="2"/>
      <c r="DQ51" s="2"/>
      <c r="DR51" s="2"/>
      <c r="DS51" s="2"/>
      <c r="DT51" s="2"/>
      <c r="DU51" s="2"/>
      <c r="DV51" s="2"/>
      <c r="DW51" s="2"/>
      <c r="DX51" s="61">
        <v>40</v>
      </c>
      <c r="DY51" s="61">
        <v>0</v>
      </c>
      <c r="DZ51" s="66">
        <v>1</v>
      </c>
      <c r="EA51" s="66">
        <v>0</v>
      </c>
      <c r="EB51" s="66">
        <v>0</v>
      </c>
      <c r="EC51" s="66">
        <v>0</v>
      </c>
      <c r="ED51" s="66">
        <v>0.5</v>
      </c>
      <c r="EE51" s="66">
        <v>1</v>
      </c>
      <c r="EF51" s="66">
        <v>0.67</v>
      </c>
      <c r="EG51" s="66">
        <v>0</v>
      </c>
      <c r="EH51" s="66">
        <v>1</v>
      </c>
      <c r="EI51" s="66">
        <v>0</v>
      </c>
      <c r="EJ51" s="66">
        <v>0</v>
      </c>
      <c r="EK51" s="66">
        <v>0.5</v>
      </c>
      <c r="EL51" s="66">
        <v>1</v>
      </c>
      <c r="EM51" s="61" t="s">
        <v>287</v>
      </c>
      <c r="EN51" s="66">
        <v>0</v>
      </c>
      <c r="EO51" s="66">
        <v>1</v>
      </c>
      <c r="EP51" s="66">
        <v>1</v>
      </c>
      <c r="EQ51" s="66">
        <v>1</v>
      </c>
      <c r="ER51" s="66">
        <v>1</v>
      </c>
      <c r="ES51" s="66">
        <v>0.5</v>
      </c>
      <c r="ET51" s="66">
        <v>0.33</v>
      </c>
      <c r="EU51" s="66">
        <v>1</v>
      </c>
      <c r="EV51" s="61" t="s">
        <v>287</v>
      </c>
      <c r="EW51" s="66">
        <v>0.5</v>
      </c>
      <c r="EX51" s="61" t="s">
        <v>287</v>
      </c>
      <c r="EY51" s="66">
        <v>1</v>
      </c>
      <c r="EZ51" s="66">
        <v>1</v>
      </c>
      <c r="FA51" s="66">
        <v>0.67</v>
      </c>
    </row>
    <row r="52" spans="1:259" ht="24.9" customHeight="1" x14ac:dyDescent="0.25">
      <c r="A52" s="188" t="s">
        <v>134</v>
      </c>
      <c r="B52" s="1" t="s">
        <v>222</v>
      </c>
      <c r="C52" s="2">
        <v>5</v>
      </c>
      <c r="D52" s="16">
        <v>55</v>
      </c>
      <c r="E52" s="16">
        <v>6</v>
      </c>
      <c r="F52" s="99">
        <v>0</v>
      </c>
      <c r="G52" s="99">
        <v>0.57999999999999996</v>
      </c>
      <c r="H52" s="99">
        <v>0.42</v>
      </c>
      <c r="I52" s="99">
        <v>0</v>
      </c>
      <c r="J52" s="99">
        <v>0.59</v>
      </c>
      <c r="K52" s="99">
        <v>0.39</v>
      </c>
      <c r="L52" s="99">
        <v>0.72</v>
      </c>
      <c r="M52" s="99">
        <v>0.2</v>
      </c>
      <c r="N52" s="99">
        <v>0.24</v>
      </c>
      <c r="O52" s="99">
        <v>0.8</v>
      </c>
      <c r="P52" s="99">
        <v>0.28999999999999998</v>
      </c>
      <c r="Q52" s="99">
        <v>0.46</v>
      </c>
      <c r="R52" s="99">
        <v>0.46</v>
      </c>
      <c r="S52" s="99">
        <v>0.63</v>
      </c>
      <c r="T52" s="99">
        <v>0.27</v>
      </c>
      <c r="U52" s="99">
        <v>0.49</v>
      </c>
      <c r="V52" s="99">
        <v>0.05</v>
      </c>
      <c r="W52" s="99">
        <v>0.1</v>
      </c>
      <c r="X52" s="99">
        <v>0.51</v>
      </c>
      <c r="Y52" s="99">
        <v>0.44</v>
      </c>
      <c r="Z52" s="99">
        <v>1</v>
      </c>
      <c r="AA52" s="99">
        <v>0.04</v>
      </c>
      <c r="AB52" s="99">
        <v>0.46</v>
      </c>
      <c r="AC52" s="99">
        <v>0.18</v>
      </c>
      <c r="AD52" s="99">
        <v>0.38</v>
      </c>
      <c r="AE52" s="99">
        <v>0.38</v>
      </c>
      <c r="AF52" s="99">
        <v>0.52</v>
      </c>
      <c r="AG52" s="99">
        <v>0.6</v>
      </c>
      <c r="AH52" s="16">
        <v>53</v>
      </c>
      <c r="AI52" s="16">
        <v>9</v>
      </c>
      <c r="AJ52" s="66">
        <v>0.06</v>
      </c>
      <c r="AK52" s="66">
        <v>0.5</v>
      </c>
      <c r="AL52" s="66">
        <v>0.44</v>
      </c>
      <c r="AM52" s="66">
        <v>0</v>
      </c>
      <c r="AN52" s="66">
        <v>0.28999999999999998</v>
      </c>
      <c r="AO52" s="66">
        <v>0.41</v>
      </c>
      <c r="AP52" s="66">
        <v>0.56000000000000005</v>
      </c>
      <c r="AQ52" s="66">
        <v>0.26</v>
      </c>
      <c r="AR52" s="66">
        <v>0.56999999999999995</v>
      </c>
      <c r="AS52" s="66">
        <v>0.55000000000000004</v>
      </c>
      <c r="AT52" s="66">
        <v>0.56000000000000005</v>
      </c>
      <c r="AU52" s="66">
        <v>0.46</v>
      </c>
      <c r="AV52" s="66">
        <v>0.7</v>
      </c>
      <c r="AW52" s="66">
        <v>0.5</v>
      </c>
      <c r="AX52" s="66">
        <v>0.39</v>
      </c>
      <c r="AY52" s="66">
        <v>0.3</v>
      </c>
      <c r="AZ52" s="66">
        <v>0.21</v>
      </c>
      <c r="BA52" s="66">
        <v>0.42</v>
      </c>
      <c r="BB52" s="66">
        <v>0.49</v>
      </c>
      <c r="BC52" s="66">
        <v>0.69</v>
      </c>
      <c r="BD52" s="66">
        <v>0.46</v>
      </c>
      <c r="BE52" s="66">
        <v>0.38</v>
      </c>
      <c r="BF52" s="66">
        <v>0.64</v>
      </c>
      <c r="BG52" s="66">
        <v>0.48</v>
      </c>
      <c r="BH52" s="66">
        <v>0.44</v>
      </c>
      <c r="BI52" s="66">
        <v>0.44</v>
      </c>
      <c r="BJ52" s="66">
        <v>0.15</v>
      </c>
      <c r="BK52" s="66">
        <v>0.44</v>
      </c>
      <c r="BL52" s="66">
        <v>0.56000000000000005</v>
      </c>
      <c r="BM52" s="16">
        <v>52</v>
      </c>
      <c r="BN52" s="16">
        <v>8</v>
      </c>
      <c r="BO52" s="99">
        <v>0</v>
      </c>
      <c r="BP52" s="99">
        <v>0.72</v>
      </c>
      <c r="BQ52" s="99">
        <v>0.28000000000000003</v>
      </c>
      <c r="BR52" s="99">
        <v>0</v>
      </c>
      <c r="BS52" s="99">
        <v>0.24</v>
      </c>
      <c r="BT52" s="99">
        <v>0.4</v>
      </c>
      <c r="BU52" s="99">
        <v>0.61</v>
      </c>
      <c r="BV52" s="99">
        <v>0.25</v>
      </c>
      <c r="BW52" s="99">
        <v>0.7</v>
      </c>
      <c r="BX52" s="99">
        <v>0.35</v>
      </c>
      <c r="BY52" s="99">
        <v>0.32</v>
      </c>
      <c r="BZ52" s="99">
        <v>0.48</v>
      </c>
      <c r="CA52" s="99">
        <v>0.36</v>
      </c>
      <c r="CB52" s="99">
        <v>0.28999999999999998</v>
      </c>
      <c r="CC52" s="99">
        <v>0.17</v>
      </c>
      <c r="CD52" s="99">
        <v>0.43</v>
      </c>
      <c r="CE52" s="99">
        <v>0.28999999999999998</v>
      </c>
      <c r="CF52" s="99">
        <v>0.57999999999999996</v>
      </c>
      <c r="CG52" s="99">
        <v>0.67</v>
      </c>
      <c r="CH52" s="99">
        <v>0.53</v>
      </c>
      <c r="CI52" s="99">
        <v>0.6</v>
      </c>
      <c r="CJ52" s="99">
        <v>0.13</v>
      </c>
      <c r="CK52" s="99">
        <v>0.75</v>
      </c>
      <c r="CL52" s="99">
        <v>0.22</v>
      </c>
      <c r="CM52" s="99">
        <v>0.48</v>
      </c>
      <c r="CN52" s="99">
        <v>0.37</v>
      </c>
      <c r="CO52" s="99">
        <v>0.37</v>
      </c>
      <c r="CP52" s="99">
        <v>0.28999999999999998</v>
      </c>
      <c r="CQ52" s="99">
        <v>0.55000000000000004</v>
      </c>
      <c r="CR52" s="99">
        <v>0.43</v>
      </c>
      <c r="CS52" s="16">
        <v>54</v>
      </c>
      <c r="CT52" s="16">
        <v>7</v>
      </c>
      <c r="CU52" s="96">
        <v>0</v>
      </c>
      <c r="CV52" s="96">
        <v>0.47</v>
      </c>
      <c r="CW52" s="96">
        <v>0.53</v>
      </c>
      <c r="CX52" s="96">
        <v>0</v>
      </c>
      <c r="CY52" s="96">
        <v>0.44</v>
      </c>
      <c r="CZ52" s="96">
        <v>0.21</v>
      </c>
      <c r="DA52" s="96">
        <v>0.63</v>
      </c>
      <c r="DB52" s="96">
        <v>0.32</v>
      </c>
      <c r="DC52" s="96">
        <v>0.47</v>
      </c>
      <c r="DD52" s="96">
        <v>0.56999999999999995</v>
      </c>
      <c r="DE52" s="96">
        <v>0.41</v>
      </c>
      <c r="DF52" s="96">
        <v>0.4</v>
      </c>
      <c r="DG52" s="96">
        <v>0.48</v>
      </c>
      <c r="DH52" s="96">
        <v>0.44</v>
      </c>
      <c r="DI52" s="96">
        <v>0.35</v>
      </c>
      <c r="DJ52" s="96">
        <v>0.45</v>
      </c>
      <c r="DK52" s="96">
        <v>0.24</v>
      </c>
      <c r="DL52" s="96">
        <v>0.3</v>
      </c>
      <c r="DM52" s="96">
        <v>0.4</v>
      </c>
      <c r="DN52" s="96">
        <v>0.35</v>
      </c>
      <c r="DO52" s="96">
        <v>0.28000000000000003</v>
      </c>
      <c r="DP52" s="96">
        <v>0.42</v>
      </c>
      <c r="DQ52" s="96">
        <v>0.44</v>
      </c>
      <c r="DR52" s="96">
        <v>0.14000000000000001</v>
      </c>
      <c r="DS52" s="96">
        <v>0.35</v>
      </c>
      <c r="DT52" s="96">
        <v>0.59</v>
      </c>
      <c r="DU52" s="96">
        <v>0.14000000000000001</v>
      </c>
      <c r="DV52" s="96">
        <v>0.44</v>
      </c>
      <c r="DW52" s="96">
        <v>0.09</v>
      </c>
      <c r="DX52" s="61">
        <v>56</v>
      </c>
      <c r="DY52" s="61">
        <v>7</v>
      </c>
      <c r="DZ52" s="66">
        <v>0.05</v>
      </c>
      <c r="EA52" s="66">
        <v>0.52</v>
      </c>
      <c r="EB52" s="66">
        <v>0.43</v>
      </c>
      <c r="EC52" s="66">
        <v>0</v>
      </c>
      <c r="ED52" s="66">
        <v>0.33</v>
      </c>
      <c r="EE52" s="66">
        <v>0.38</v>
      </c>
      <c r="EF52" s="66">
        <v>0.35</v>
      </c>
      <c r="EG52" s="66">
        <v>0.14000000000000001</v>
      </c>
      <c r="EH52" s="66">
        <v>0.21</v>
      </c>
      <c r="EI52" s="66">
        <v>0.42</v>
      </c>
      <c r="EJ52" s="66">
        <v>0.54</v>
      </c>
      <c r="EK52" s="66">
        <v>0.15</v>
      </c>
      <c r="EL52" s="66">
        <v>0.36</v>
      </c>
      <c r="EM52" s="66">
        <v>0.47</v>
      </c>
      <c r="EN52" s="66">
        <v>0.24</v>
      </c>
      <c r="EO52" s="66">
        <v>0.49</v>
      </c>
      <c r="EP52" s="66">
        <v>0.35</v>
      </c>
      <c r="EQ52" s="66">
        <v>0.26</v>
      </c>
      <c r="ER52" s="66">
        <v>0.52</v>
      </c>
      <c r="ES52" s="66">
        <v>0.4</v>
      </c>
      <c r="ET52" s="66">
        <v>0.2</v>
      </c>
      <c r="EU52" s="66">
        <v>0.48</v>
      </c>
      <c r="EV52" s="66">
        <v>0</v>
      </c>
      <c r="EW52" s="66">
        <v>0.33</v>
      </c>
      <c r="EX52" s="66">
        <v>0.57999999999999996</v>
      </c>
      <c r="EY52" s="66">
        <v>0.49</v>
      </c>
      <c r="EZ52" s="66">
        <v>0</v>
      </c>
      <c r="FA52" s="66">
        <v>0.47</v>
      </c>
      <c r="FB52" s="349">
        <v>57</v>
      </c>
      <c r="FC52" s="348" t="s">
        <v>910</v>
      </c>
      <c r="FD52" s="349">
        <v>8</v>
      </c>
      <c r="FE52" s="348" t="s">
        <v>910</v>
      </c>
      <c r="FF52" s="371">
        <v>0</v>
      </c>
      <c r="FG52" s="371">
        <v>0.43</v>
      </c>
      <c r="FH52" s="371">
        <v>0.52</v>
      </c>
      <c r="FI52" s="371">
        <v>0.05</v>
      </c>
      <c r="FJ52" s="371">
        <v>0.35</v>
      </c>
      <c r="FK52" s="371">
        <v>0.56000000000000005</v>
      </c>
      <c r="FL52" s="371">
        <v>0.33</v>
      </c>
      <c r="FM52" s="371">
        <v>0.33</v>
      </c>
      <c r="FN52" s="371">
        <v>0.19</v>
      </c>
      <c r="FO52" s="371">
        <v>0.15</v>
      </c>
      <c r="FP52" s="371">
        <v>0.2</v>
      </c>
      <c r="FQ52" s="371">
        <v>0.24</v>
      </c>
      <c r="FR52" s="371">
        <v>0.4</v>
      </c>
      <c r="FS52" s="371">
        <v>0.32</v>
      </c>
      <c r="FT52" s="371">
        <v>0.4</v>
      </c>
      <c r="FU52" s="371">
        <v>0.11</v>
      </c>
      <c r="FV52" s="371">
        <v>0.48</v>
      </c>
      <c r="FW52" s="371">
        <v>0.51</v>
      </c>
      <c r="FX52" s="371">
        <v>0.28000000000000003</v>
      </c>
      <c r="FY52" s="371">
        <v>0.21</v>
      </c>
      <c r="FZ52" s="371">
        <v>0.41</v>
      </c>
      <c r="GA52" s="371">
        <v>0.43</v>
      </c>
      <c r="GB52" s="371">
        <v>0.35</v>
      </c>
      <c r="GC52" s="371">
        <v>0.3</v>
      </c>
      <c r="GD52" s="371">
        <v>0.45</v>
      </c>
      <c r="GE52" s="371">
        <v>0.42</v>
      </c>
      <c r="GF52" s="371">
        <v>0.27</v>
      </c>
      <c r="GG52" s="371">
        <v>0.26</v>
      </c>
      <c r="GH52" s="371">
        <v>0.49</v>
      </c>
      <c r="GI52" s="371">
        <v>0.17</v>
      </c>
      <c r="GJ52" s="469">
        <v>56</v>
      </c>
      <c r="GK52" s="471" t="s">
        <v>910</v>
      </c>
      <c r="GL52" s="469">
        <v>6</v>
      </c>
      <c r="GM52" s="471" t="s">
        <v>910</v>
      </c>
      <c r="GN52" s="501">
        <v>0</v>
      </c>
      <c r="GO52" s="501">
        <v>0.28000000000000003</v>
      </c>
      <c r="GP52" s="501">
        <v>0.72</v>
      </c>
      <c r="GQ52" s="501">
        <v>0</v>
      </c>
      <c r="GR52" s="501">
        <v>0.37</v>
      </c>
      <c r="GS52" s="501">
        <v>0.36</v>
      </c>
      <c r="GT52" s="501">
        <v>0.67</v>
      </c>
      <c r="GU52" s="501">
        <v>0.14000000000000001</v>
      </c>
      <c r="GV52" s="501">
        <v>0.44</v>
      </c>
      <c r="GW52" s="501">
        <v>0.18</v>
      </c>
      <c r="GX52" s="501">
        <v>0.39</v>
      </c>
      <c r="GY52" s="471" t="s">
        <v>287</v>
      </c>
      <c r="GZ52" s="501">
        <v>0.2</v>
      </c>
      <c r="HA52" s="501">
        <v>0.67</v>
      </c>
      <c r="HB52" s="501">
        <v>0.28999999999999998</v>
      </c>
      <c r="HC52" s="501">
        <v>0.52</v>
      </c>
      <c r="HD52" s="501">
        <v>0.49</v>
      </c>
      <c r="HE52" s="501">
        <v>0.41</v>
      </c>
      <c r="HF52" s="501">
        <v>0.45</v>
      </c>
      <c r="HG52" s="501">
        <v>0.7</v>
      </c>
      <c r="HH52" s="501">
        <v>0.27</v>
      </c>
      <c r="HI52" s="501">
        <v>0.39</v>
      </c>
      <c r="HJ52" s="501">
        <v>0.52</v>
      </c>
      <c r="HK52" s="501">
        <v>0.43</v>
      </c>
      <c r="HL52" s="501">
        <v>0.27</v>
      </c>
      <c r="HM52" s="501">
        <v>0.39</v>
      </c>
      <c r="HN52" s="501">
        <v>0.33</v>
      </c>
      <c r="HO52" s="501">
        <v>0.28999999999999998</v>
      </c>
      <c r="HP52" s="471" t="s">
        <v>287</v>
      </c>
      <c r="HQ52" s="501">
        <v>0.25</v>
      </c>
      <c r="HR52" s="630">
        <v>56</v>
      </c>
      <c r="HS52" s="640" t="s">
        <v>910</v>
      </c>
      <c r="HT52" s="630">
        <v>7</v>
      </c>
      <c r="HU52" s="640" t="s">
        <v>910</v>
      </c>
      <c r="HV52" s="644">
        <v>0</v>
      </c>
      <c r="HW52" s="644">
        <v>0.56999999999999995</v>
      </c>
      <c r="HX52" s="644">
        <v>0.43</v>
      </c>
      <c r="HY52" s="644">
        <v>0</v>
      </c>
      <c r="HZ52" s="644">
        <v>0.19</v>
      </c>
      <c r="IA52" s="644">
        <v>0.39</v>
      </c>
      <c r="IB52" s="644">
        <v>0.26</v>
      </c>
      <c r="IC52" s="644">
        <v>0.43</v>
      </c>
      <c r="ID52" s="644">
        <v>0.65</v>
      </c>
      <c r="IE52" s="644">
        <v>0.12</v>
      </c>
      <c r="IF52" s="644">
        <v>0.33</v>
      </c>
      <c r="IG52" s="644">
        <v>0.56000000000000005</v>
      </c>
      <c r="IH52" s="644">
        <v>0.4</v>
      </c>
      <c r="II52" s="644">
        <v>0.11</v>
      </c>
      <c r="IJ52" s="644">
        <v>0.17</v>
      </c>
      <c r="IK52" s="644">
        <v>0.53</v>
      </c>
      <c r="IL52" s="644">
        <v>0.33</v>
      </c>
      <c r="IM52" s="644">
        <v>0.54</v>
      </c>
      <c r="IN52" s="644">
        <v>0.25</v>
      </c>
      <c r="IO52" s="644">
        <v>0.49</v>
      </c>
      <c r="IP52" s="644">
        <v>0.32</v>
      </c>
      <c r="IQ52" s="644">
        <v>0.65</v>
      </c>
      <c r="IR52" s="644">
        <v>0.5</v>
      </c>
      <c r="IS52" s="644">
        <v>0.31</v>
      </c>
      <c r="IT52" s="644">
        <v>0.35</v>
      </c>
      <c r="IU52" s="640" t="s">
        <v>287</v>
      </c>
      <c r="IV52" s="644">
        <v>0.63</v>
      </c>
      <c r="IW52" s="644">
        <v>0.23</v>
      </c>
      <c r="IX52" s="644">
        <v>0.5</v>
      </c>
      <c r="IY52" s="644">
        <v>0.31</v>
      </c>
    </row>
    <row r="53" spans="1:259" s="461" customFormat="1" ht="24.9" customHeight="1" x14ac:dyDescent="0.25">
      <c r="A53" s="470" t="s">
        <v>956</v>
      </c>
      <c r="B53" s="15" t="s">
        <v>222</v>
      </c>
      <c r="C53" s="471">
        <v>6</v>
      </c>
      <c r="D53" s="502"/>
      <c r="E53" s="502"/>
      <c r="F53" s="508"/>
      <c r="G53" s="508"/>
      <c r="H53" s="508"/>
      <c r="I53" s="508"/>
      <c r="J53" s="508"/>
      <c r="K53" s="508"/>
      <c r="L53" s="508"/>
      <c r="M53" s="508"/>
      <c r="N53" s="508"/>
      <c r="O53" s="508"/>
      <c r="P53" s="508"/>
      <c r="Q53" s="508"/>
      <c r="R53" s="508"/>
      <c r="S53" s="508"/>
      <c r="T53" s="508"/>
      <c r="U53" s="508"/>
      <c r="V53" s="508"/>
      <c r="W53" s="508"/>
      <c r="X53" s="508"/>
      <c r="Y53" s="508"/>
      <c r="Z53" s="508"/>
      <c r="AA53" s="508"/>
      <c r="AB53" s="508"/>
      <c r="AC53" s="508"/>
      <c r="AD53" s="508"/>
      <c r="AE53" s="508"/>
      <c r="AF53" s="508"/>
      <c r="AG53" s="508"/>
      <c r="AH53" s="502"/>
      <c r="AI53" s="502"/>
      <c r="AJ53" s="506"/>
      <c r="AK53" s="506"/>
      <c r="AL53" s="506"/>
      <c r="AM53" s="506"/>
      <c r="AN53" s="506"/>
      <c r="AO53" s="506"/>
      <c r="AP53" s="506"/>
      <c r="AQ53" s="506"/>
      <c r="AR53" s="506"/>
      <c r="AS53" s="506"/>
      <c r="AT53" s="506"/>
      <c r="AU53" s="506"/>
      <c r="AV53" s="506"/>
      <c r="AW53" s="506"/>
      <c r="AX53" s="506"/>
      <c r="AY53" s="506"/>
      <c r="AZ53" s="506"/>
      <c r="BA53" s="506"/>
      <c r="BB53" s="506"/>
      <c r="BC53" s="506"/>
      <c r="BD53" s="506"/>
      <c r="BE53" s="506"/>
      <c r="BF53" s="506"/>
      <c r="BG53" s="506"/>
      <c r="BH53" s="506"/>
      <c r="BI53" s="506"/>
      <c r="BJ53" s="506"/>
      <c r="BK53" s="506"/>
      <c r="BL53" s="506"/>
      <c r="BM53" s="502"/>
      <c r="BN53" s="502"/>
      <c r="BO53" s="508"/>
      <c r="BP53" s="508"/>
      <c r="BQ53" s="508"/>
      <c r="BR53" s="508"/>
      <c r="BS53" s="508"/>
      <c r="BT53" s="508"/>
      <c r="BU53" s="508"/>
      <c r="BV53" s="508"/>
      <c r="BW53" s="508"/>
      <c r="BX53" s="508"/>
      <c r="BY53" s="508"/>
      <c r="BZ53" s="508"/>
      <c r="CA53" s="508"/>
      <c r="CB53" s="508"/>
      <c r="CC53" s="508"/>
      <c r="CD53" s="508"/>
      <c r="CE53" s="508"/>
      <c r="CF53" s="508"/>
      <c r="CG53" s="508"/>
      <c r="CH53" s="508"/>
      <c r="CI53" s="508"/>
      <c r="CJ53" s="508"/>
      <c r="CK53" s="508"/>
      <c r="CL53" s="508"/>
      <c r="CM53" s="508"/>
      <c r="CN53" s="508"/>
      <c r="CO53" s="508"/>
      <c r="CP53" s="508"/>
      <c r="CQ53" s="508"/>
      <c r="CR53" s="508"/>
      <c r="CS53" s="502"/>
      <c r="CT53" s="502"/>
      <c r="CU53" s="501"/>
      <c r="CV53" s="501"/>
      <c r="CW53" s="501"/>
      <c r="CX53" s="501"/>
      <c r="CY53" s="501"/>
      <c r="CZ53" s="501"/>
      <c r="DA53" s="501"/>
      <c r="DB53" s="501"/>
      <c r="DC53" s="501"/>
      <c r="DD53" s="501"/>
      <c r="DE53" s="501"/>
      <c r="DF53" s="501"/>
      <c r="DG53" s="501"/>
      <c r="DH53" s="501"/>
      <c r="DI53" s="501"/>
      <c r="DJ53" s="501"/>
      <c r="DK53" s="501"/>
      <c r="DL53" s="501"/>
      <c r="DM53" s="501"/>
      <c r="DN53" s="501"/>
      <c r="DO53" s="501"/>
      <c r="DP53" s="501"/>
      <c r="DQ53" s="501"/>
      <c r="DR53" s="501"/>
      <c r="DS53" s="501"/>
      <c r="DT53" s="501"/>
      <c r="DU53" s="501"/>
      <c r="DV53" s="501"/>
      <c r="DW53" s="501"/>
      <c r="DX53" s="472"/>
      <c r="DY53" s="472"/>
      <c r="DZ53" s="506"/>
      <c r="EA53" s="506"/>
      <c r="EB53" s="506"/>
      <c r="EC53" s="506"/>
      <c r="ED53" s="506"/>
      <c r="EE53" s="506"/>
      <c r="EF53" s="506"/>
      <c r="EG53" s="506"/>
      <c r="EH53" s="506"/>
      <c r="EI53" s="506"/>
      <c r="EJ53" s="506"/>
      <c r="EK53" s="506"/>
      <c r="EL53" s="506"/>
      <c r="EM53" s="506"/>
      <c r="EN53" s="506"/>
      <c r="EO53" s="506"/>
      <c r="EP53" s="506"/>
      <c r="EQ53" s="506"/>
      <c r="ER53" s="506"/>
      <c r="ES53" s="506"/>
      <c r="ET53" s="506"/>
      <c r="EU53" s="506"/>
      <c r="EV53" s="506"/>
      <c r="EW53" s="506"/>
      <c r="EX53" s="506"/>
      <c r="EY53" s="506"/>
      <c r="EZ53" s="506"/>
      <c r="FA53" s="506"/>
      <c r="FB53" s="475"/>
      <c r="FC53" s="493"/>
      <c r="FD53" s="475"/>
      <c r="FE53" s="493"/>
      <c r="FF53" s="507"/>
      <c r="FG53" s="507"/>
      <c r="FH53" s="507"/>
      <c r="FI53" s="507"/>
      <c r="FJ53" s="507"/>
      <c r="FK53" s="507"/>
      <c r="FL53" s="507"/>
      <c r="FM53" s="507"/>
      <c r="FN53" s="507"/>
      <c r="FO53" s="507"/>
      <c r="FP53" s="507"/>
      <c r="FQ53" s="507"/>
      <c r="FR53" s="507"/>
      <c r="FS53" s="507"/>
      <c r="FT53" s="507"/>
      <c r="FU53" s="507"/>
      <c r="FV53" s="507"/>
      <c r="FW53" s="507"/>
      <c r="FX53" s="507"/>
      <c r="FY53" s="507"/>
      <c r="FZ53" s="507"/>
      <c r="GA53" s="507"/>
      <c r="GB53" s="507"/>
      <c r="GC53" s="507"/>
      <c r="GD53" s="507"/>
      <c r="GE53" s="507"/>
      <c r="GF53" s="507"/>
      <c r="GG53" s="507"/>
      <c r="GH53" s="507"/>
      <c r="GI53" s="507"/>
      <c r="GJ53" s="469">
        <v>60</v>
      </c>
      <c r="GK53" s="471" t="s">
        <v>911</v>
      </c>
      <c r="GL53" s="469">
        <v>9</v>
      </c>
      <c r="GM53" s="471" t="s">
        <v>910</v>
      </c>
      <c r="GN53" s="501">
        <v>0.06</v>
      </c>
      <c r="GO53" s="501">
        <v>0.31</v>
      </c>
      <c r="GP53" s="501">
        <v>0.5</v>
      </c>
      <c r="GQ53" s="501">
        <v>0.13</v>
      </c>
      <c r="GR53" s="501">
        <v>0.42</v>
      </c>
      <c r="GS53" s="501">
        <v>0.48</v>
      </c>
      <c r="GT53" s="501">
        <v>0.31</v>
      </c>
      <c r="GU53" s="501">
        <v>0.17</v>
      </c>
      <c r="GV53" s="501">
        <v>0.33</v>
      </c>
      <c r="GW53" s="501">
        <v>0.24</v>
      </c>
      <c r="GX53" s="501">
        <v>0.37</v>
      </c>
      <c r="GY53" s="471" t="s">
        <v>287</v>
      </c>
      <c r="GZ53" s="501">
        <v>0.22</v>
      </c>
      <c r="HA53" s="501">
        <v>0.36</v>
      </c>
      <c r="HB53" s="501">
        <v>0.34</v>
      </c>
      <c r="HC53" s="501">
        <v>0.32</v>
      </c>
      <c r="HD53" s="501">
        <v>0.43</v>
      </c>
      <c r="HE53" s="501">
        <v>0.11</v>
      </c>
      <c r="HF53" s="501">
        <v>0.27</v>
      </c>
      <c r="HG53" s="501">
        <v>0.56000000000000005</v>
      </c>
      <c r="HH53" s="501">
        <v>0.18</v>
      </c>
      <c r="HI53" s="501">
        <v>0.45</v>
      </c>
      <c r="HJ53" s="501">
        <v>0.46</v>
      </c>
      <c r="HK53" s="501">
        <v>0.28000000000000003</v>
      </c>
      <c r="HL53" s="501">
        <v>0.12</v>
      </c>
      <c r="HM53" s="501">
        <v>0.32</v>
      </c>
      <c r="HN53" s="501">
        <v>0.33</v>
      </c>
      <c r="HO53" s="501">
        <v>0.1</v>
      </c>
      <c r="HP53" s="471" t="s">
        <v>287</v>
      </c>
      <c r="HQ53" s="501">
        <v>0.28000000000000003</v>
      </c>
      <c r="HR53" s="630">
        <v>58</v>
      </c>
      <c r="HS53" s="640" t="s">
        <v>910</v>
      </c>
      <c r="HT53" s="630">
        <v>8</v>
      </c>
      <c r="HU53" s="640" t="s">
        <v>910</v>
      </c>
      <c r="HV53" s="644">
        <v>0</v>
      </c>
      <c r="HW53" s="644">
        <v>0.44</v>
      </c>
      <c r="HX53" s="644">
        <v>0.52</v>
      </c>
      <c r="HY53" s="644">
        <v>0.04</v>
      </c>
      <c r="HZ53" s="644">
        <v>0.25</v>
      </c>
      <c r="IA53" s="644">
        <v>0.44</v>
      </c>
      <c r="IB53" s="644">
        <v>0.28999999999999998</v>
      </c>
      <c r="IC53" s="644">
        <v>0.38</v>
      </c>
      <c r="ID53" s="644">
        <v>0.62</v>
      </c>
      <c r="IE53" s="644">
        <v>0.18</v>
      </c>
      <c r="IF53" s="644">
        <v>0.24</v>
      </c>
      <c r="IG53" s="644">
        <v>0.52</v>
      </c>
      <c r="IH53" s="644">
        <v>0.47</v>
      </c>
      <c r="II53" s="644">
        <v>0</v>
      </c>
      <c r="IJ53" s="644">
        <v>0.21</v>
      </c>
      <c r="IK53" s="644">
        <v>0.48</v>
      </c>
      <c r="IL53" s="644">
        <v>0.17</v>
      </c>
      <c r="IM53" s="644">
        <v>0.56000000000000005</v>
      </c>
      <c r="IN53" s="644">
        <v>0.42</v>
      </c>
      <c r="IO53" s="644">
        <v>0.42</v>
      </c>
      <c r="IP53" s="644">
        <v>0.26</v>
      </c>
      <c r="IQ53" s="644">
        <v>0.54</v>
      </c>
      <c r="IR53" s="644">
        <v>0.24</v>
      </c>
      <c r="IS53" s="644">
        <v>0.5</v>
      </c>
      <c r="IT53" s="644">
        <v>0.3</v>
      </c>
      <c r="IU53" s="640" t="s">
        <v>287</v>
      </c>
      <c r="IV53" s="644">
        <v>0.39</v>
      </c>
      <c r="IW53" s="644">
        <v>0.3</v>
      </c>
      <c r="IX53" s="644">
        <v>0.38</v>
      </c>
      <c r="IY53" s="644">
        <v>0.27</v>
      </c>
    </row>
    <row r="54" spans="1:259" ht="24.9" customHeight="1" x14ac:dyDescent="0.25">
      <c r="A54" s="188" t="s">
        <v>101</v>
      </c>
      <c r="B54" s="1" t="s">
        <v>222</v>
      </c>
      <c r="C54" s="2">
        <v>1</v>
      </c>
      <c r="D54" s="16">
        <v>55</v>
      </c>
      <c r="E54" s="16">
        <v>7</v>
      </c>
      <c r="F54" s="99">
        <v>0</v>
      </c>
      <c r="G54" s="99">
        <v>0.55000000000000004</v>
      </c>
      <c r="H54" s="99">
        <v>0.43</v>
      </c>
      <c r="I54" s="99">
        <v>0.02</v>
      </c>
      <c r="J54" s="99">
        <v>0.27</v>
      </c>
      <c r="K54" s="99">
        <v>0.37</v>
      </c>
      <c r="L54" s="99">
        <v>0.73</v>
      </c>
      <c r="M54" s="99">
        <v>0.18</v>
      </c>
      <c r="N54" s="99">
        <v>0.28000000000000003</v>
      </c>
      <c r="O54" s="99">
        <v>0.55000000000000004</v>
      </c>
      <c r="P54" s="99">
        <v>0.25</v>
      </c>
      <c r="Q54" s="99">
        <v>0.49</v>
      </c>
      <c r="R54" s="99">
        <v>0.52</v>
      </c>
      <c r="S54" s="99">
        <v>0.7</v>
      </c>
      <c r="T54" s="99">
        <v>0.56000000000000005</v>
      </c>
      <c r="U54" s="99">
        <v>0.64</v>
      </c>
      <c r="V54" s="99">
        <v>0.06</v>
      </c>
      <c r="W54" s="99">
        <v>0.15</v>
      </c>
      <c r="X54" s="99">
        <v>0.34</v>
      </c>
      <c r="Y54" s="99">
        <v>0.52</v>
      </c>
      <c r="Z54" s="99">
        <v>0</v>
      </c>
      <c r="AA54" s="99">
        <v>0.11</v>
      </c>
      <c r="AB54" s="99">
        <v>0.52</v>
      </c>
      <c r="AC54" s="99">
        <v>0.15</v>
      </c>
      <c r="AD54" s="99">
        <v>0.41</v>
      </c>
      <c r="AE54" s="99">
        <v>0.45</v>
      </c>
      <c r="AF54" s="99">
        <v>0.49</v>
      </c>
      <c r="AG54" s="99">
        <v>0.43</v>
      </c>
      <c r="AH54" s="16">
        <v>53</v>
      </c>
      <c r="AI54" s="16">
        <v>7</v>
      </c>
      <c r="AJ54" s="66">
        <v>0.02</v>
      </c>
      <c r="AK54" s="66">
        <v>0.56000000000000005</v>
      </c>
      <c r="AL54" s="66">
        <v>0.4</v>
      </c>
      <c r="AM54" s="66">
        <v>0.02</v>
      </c>
      <c r="AN54" s="66">
        <v>0.28000000000000003</v>
      </c>
      <c r="AO54" s="66">
        <v>0.45</v>
      </c>
      <c r="AP54" s="66">
        <v>0.69</v>
      </c>
      <c r="AQ54" s="66">
        <v>0.32</v>
      </c>
      <c r="AR54" s="66">
        <v>0.46</v>
      </c>
      <c r="AS54" s="66">
        <v>0.5</v>
      </c>
      <c r="AT54" s="66">
        <v>0.54</v>
      </c>
      <c r="AU54" s="66">
        <v>0.46</v>
      </c>
      <c r="AV54" s="66">
        <v>0.67</v>
      </c>
      <c r="AW54" s="66">
        <v>0.52</v>
      </c>
      <c r="AX54" s="66">
        <v>0.6</v>
      </c>
      <c r="AY54" s="66">
        <v>0.26</v>
      </c>
      <c r="AZ54" s="66">
        <v>0.23</v>
      </c>
      <c r="BA54" s="66">
        <v>0.43</v>
      </c>
      <c r="BB54" s="66">
        <v>0.73</v>
      </c>
      <c r="BC54" s="66">
        <v>0.69</v>
      </c>
      <c r="BD54" s="66">
        <v>0.34</v>
      </c>
      <c r="BE54" s="66">
        <v>0.56000000000000005</v>
      </c>
      <c r="BF54" s="66">
        <v>0.63</v>
      </c>
      <c r="BG54" s="66">
        <v>0.52</v>
      </c>
      <c r="BH54" s="66">
        <v>0.43</v>
      </c>
      <c r="BI54" s="66">
        <v>0.4</v>
      </c>
      <c r="BJ54" s="66">
        <v>0.36</v>
      </c>
      <c r="BK54" s="66">
        <v>0.37</v>
      </c>
      <c r="BL54" s="66">
        <v>0.52</v>
      </c>
      <c r="BM54" s="16">
        <v>54</v>
      </c>
      <c r="BN54" s="16">
        <v>8</v>
      </c>
      <c r="BO54" s="99">
        <v>0.02</v>
      </c>
      <c r="BP54" s="99">
        <v>0.63</v>
      </c>
      <c r="BQ54" s="99">
        <v>0.32</v>
      </c>
      <c r="BR54" s="99">
        <v>0.04</v>
      </c>
      <c r="BS54" s="99">
        <v>0.26</v>
      </c>
      <c r="BT54" s="99">
        <v>0.5</v>
      </c>
      <c r="BU54" s="99">
        <v>0.71</v>
      </c>
      <c r="BV54" s="99">
        <v>0.1</v>
      </c>
      <c r="BW54" s="99">
        <v>0.62</v>
      </c>
      <c r="BX54" s="99">
        <v>0.34</v>
      </c>
      <c r="BY54" s="99">
        <v>0.37</v>
      </c>
      <c r="BZ54" s="99">
        <v>0.43</v>
      </c>
      <c r="CA54" s="99">
        <v>0.44</v>
      </c>
      <c r="CB54" s="99">
        <v>0.27</v>
      </c>
      <c r="CC54" s="99">
        <v>0.1</v>
      </c>
      <c r="CD54" s="99">
        <v>0.31</v>
      </c>
      <c r="CE54" s="99">
        <v>0.3</v>
      </c>
      <c r="CF54" s="99">
        <v>0.55000000000000004</v>
      </c>
      <c r="CG54" s="99">
        <v>0.56999999999999995</v>
      </c>
      <c r="CH54" s="99">
        <v>0.38</v>
      </c>
      <c r="CI54" s="99">
        <v>0.54</v>
      </c>
      <c r="CJ54" s="99">
        <v>0.28000000000000003</v>
      </c>
      <c r="CK54" s="99">
        <v>0.62</v>
      </c>
      <c r="CL54" s="99">
        <v>0.23</v>
      </c>
      <c r="CM54" s="99">
        <v>0.42</v>
      </c>
      <c r="CN54" s="99">
        <v>0.46</v>
      </c>
      <c r="CO54" s="99">
        <v>0.4</v>
      </c>
      <c r="CP54" s="99">
        <v>0.28999999999999998</v>
      </c>
      <c r="CQ54" s="99">
        <v>0.5</v>
      </c>
      <c r="CR54" s="99">
        <v>0.52</v>
      </c>
      <c r="CS54" s="16">
        <v>53</v>
      </c>
      <c r="CT54" s="16">
        <v>8</v>
      </c>
      <c r="CU54" s="96">
        <v>0.04</v>
      </c>
      <c r="CV54" s="96">
        <v>0.6</v>
      </c>
      <c r="CW54" s="96">
        <v>0.35</v>
      </c>
      <c r="CX54" s="96">
        <v>0.02</v>
      </c>
      <c r="CY54" s="96">
        <v>0.42</v>
      </c>
      <c r="CZ54" s="96">
        <v>0.26</v>
      </c>
      <c r="DA54" s="96">
        <v>0.52</v>
      </c>
      <c r="DB54" s="96">
        <v>0.28999999999999998</v>
      </c>
      <c r="DC54" s="96">
        <v>0.42</v>
      </c>
      <c r="DD54" s="96">
        <v>0.56000000000000005</v>
      </c>
      <c r="DE54" s="96">
        <v>0.37</v>
      </c>
      <c r="DF54" s="96">
        <v>0.49</v>
      </c>
      <c r="DG54" s="96">
        <v>0.42</v>
      </c>
      <c r="DH54" s="96">
        <v>0.33</v>
      </c>
      <c r="DI54" s="96">
        <v>0.48</v>
      </c>
      <c r="DJ54" s="96">
        <v>0.48</v>
      </c>
      <c r="DK54" s="96">
        <v>0.31</v>
      </c>
      <c r="DL54" s="96">
        <v>0.21</v>
      </c>
      <c r="DM54" s="96">
        <v>0.42</v>
      </c>
      <c r="DN54" s="96">
        <v>0.4</v>
      </c>
      <c r="DO54" s="96">
        <v>0.48</v>
      </c>
      <c r="DP54" s="96">
        <v>0.44</v>
      </c>
      <c r="DQ54" s="96">
        <v>0.5</v>
      </c>
      <c r="DR54" s="96">
        <v>0.12</v>
      </c>
      <c r="DS54" s="96">
        <v>0.38</v>
      </c>
      <c r="DT54" s="96">
        <v>0.51</v>
      </c>
      <c r="DU54" s="96">
        <v>0.4</v>
      </c>
      <c r="DV54" s="96">
        <v>0.56000000000000005</v>
      </c>
      <c r="DW54" s="96">
        <v>0.26</v>
      </c>
      <c r="DX54" s="61">
        <v>52</v>
      </c>
      <c r="DY54" s="61">
        <v>9</v>
      </c>
      <c r="DZ54" s="66">
        <v>0.05</v>
      </c>
      <c r="EA54" s="66">
        <v>0.62</v>
      </c>
      <c r="EB54" s="66">
        <v>0.28999999999999998</v>
      </c>
      <c r="EC54" s="66">
        <v>0.04</v>
      </c>
      <c r="ED54" s="66">
        <v>0.44</v>
      </c>
      <c r="EE54" s="66">
        <v>0.39</v>
      </c>
      <c r="EF54" s="66">
        <v>0.34</v>
      </c>
      <c r="EG54" s="66">
        <v>0.48</v>
      </c>
      <c r="EH54" s="66">
        <v>0.36</v>
      </c>
      <c r="EI54" s="66">
        <v>0.48</v>
      </c>
      <c r="EJ54" s="66">
        <v>0.56000000000000005</v>
      </c>
      <c r="EK54" s="66">
        <v>0.16</v>
      </c>
      <c r="EL54" s="66">
        <v>0.4</v>
      </c>
      <c r="EM54" s="66">
        <v>0.54</v>
      </c>
      <c r="EN54" s="66">
        <v>0.4</v>
      </c>
      <c r="EO54" s="66">
        <v>0.56999999999999995</v>
      </c>
      <c r="EP54" s="66">
        <v>0.35</v>
      </c>
      <c r="EQ54" s="66">
        <v>0.33</v>
      </c>
      <c r="ER54" s="66">
        <v>0.57999999999999996</v>
      </c>
      <c r="ES54" s="66">
        <v>0.47</v>
      </c>
      <c r="ET54" s="66">
        <v>0.28000000000000003</v>
      </c>
      <c r="EU54" s="66">
        <v>0.67</v>
      </c>
      <c r="EV54" s="66">
        <v>0.32</v>
      </c>
      <c r="EW54" s="66">
        <v>0.28999999999999998</v>
      </c>
      <c r="EX54" s="66">
        <v>0.66</v>
      </c>
      <c r="EY54" s="66">
        <v>0.52</v>
      </c>
      <c r="EZ54" s="66">
        <v>0.25</v>
      </c>
      <c r="FA54" s="66">
        <v>0.56000000000000005</v>
      </c>
      <c r="FB54" s="349">
        <v>52</v>
      </c>
      <c r="FC54" s="348" t="s">
        <v>910</v>
      </c>
      <c r="FD54" s="349">
        <v>8</v>
      </c>
      <c r="FE54" s="348" t="s">
        <v>910</v>
      </c>
      <c r="FF54" s="371">
        <v>7.0000000000000007E-2</v>
      </c>
      <c r="FG54" s="371">
        <v>0.6</v>
      </c>
      <c r="FH54" s="371">
        <v>0.33</v>
      </c>
      <c r="FI54" s="371">
        <v>0</v>
      </c>
      <c r="FJ54" s="371">
        <v>0.4</v>
      </c>
      <c r="FK54" s="371">
        <v>0.65</v>
      </c>
      <c r="FL54" s="371">
        <v>0.48</v>
      </c>
      <c r="FM54" s="371">
        <v>0.35</v>
      </c>
      <c r="FN54" s="371">
        <v>0.24</v>
      </c>
      <c r="FO54" s="371">
        <v>0.27</v>
      </c>
      <c r="FP54" s="371">
        <v>0.32</v>
      </c>
      <c r="FQ54" s="371">
        <v>0.36</v>
      </c>
      <c r="FR54" s="371">
        <v>0.52</v>
      </c>
      <c r="FS54" s="371">
        <v>0.53</v>
      </c>
      <c r="FT54" s="371">
        <v>0.43</v>
      </c>
      <c r="FU54" s="371">
        <v>0.32</v>
      </c>
      <c r="FV54" s="371">
        <v>0.56999999999999995</v>
      </c>
      <c r="FW54" s="371">
        <v>0.5</v>
      </c>
      <c r="FX54" s="371">
        <v>0.39</v>
      </c>
      <c r="FY54" s="371">
        <v>0.3</v>
      </c>
      <c r="FZ54" s="371">
        <v>0.4</v>
      </c>
      <c r="GA54" s="371">
        <v>0.49</v>
      </c>
      <c r="GB54" s="371">
        <v>0.43</v>
      </c>
      <c r="GC54" s="371">
        <v>0.37</v>
      </c>
      <c r="GD54" s="371">
        <v>0.6</v>
      </c>
      <c r="GE54" s="371">
        <v>0.52</v>
      </c>
      <c r="GF54" s="371">
        <v>0.39</v>
      </c>
      <c r="GG54" s="371">
        <v>0.5</v>
      </c>
      <c r="GH54" s="371">
        <v>0.56999999999999995</v>
      </c>
      <c r="GI54" s="371">
        <v>0.28000000000000003</v>
      </c>
      <c r="GJ54" s="469">
        <v>52</v>
      </c>
      <c r="GK54" s="471" t="s">
        <v>910</v>
      </c>
      <c r="GL54" s="469">
        <v>7</v>
      </c>
      <c r="GM54" s="471" t="s">
        <v>910</v>
      </c>
      <c r="GN54" s="501">
        <v>0.02</v>
      </c>
      <c r="GO54" s="501">
        <v>0.68</v>
      </c>
      <c r="GP54" s="501">
        <v>0.3</v>
      </c>
      <c r="GQ54" s="501">
        <v>0</v>
      </c>
      <c r="GR54" s="501">
        <v>0.42</v>
      </c>
      <c r="GS54" s="501">
        <v>0.56999999999999995</v>
      </c>
      <c r="GT54" s="501">
        <v>0.67</v>
      </c>
      <c r="GU54" s="501">
        <v>0.13</v>
      </c>
      <c r="GV54" s="501">
        <v>0.54</v>
      </c>
      <c r="GW54" s="501">
        <v>0.62</v>
      </c>
      <c r="GX54" s="501">
        <v>0.43</v>
      </c>
      <c r="GY54" s="471" t="s">
        <v>287</v>
      </c>
      <c r="GZ54" s="501">
        <v>0.2</v>
      </c>
      <c r="HA54" s="501">
        <v>0.32</v>
      </c>
      <c r="HB54" s="501">
        <v>0.41</v>
      </c>
      <c r="HC54" s="501">
        <v>0.49</v>
      </c>
      <c r="HD54" s="501">
        <v>0.53</v>
      </c>
      <c r="HE54" s="501">
        <v>0.47</v>
      </c>
      <c r="HF54" s="501">
        <v>0.41</v>
      </c>
      <c r="HG54" s="501">
        <v>0.68</v>
      </c>
      <c r="HH54" s="501">
        <v>0.33</v>
      </c>
      <c r="HI54" s="501">
        <v>0.49</v>
      </c>
      <c r="HJ54" s="501">
        <v>0.56000000000000005</v>
      </c>
      <c r="HK54" s="501">
        <v>0.46</v>
      </c>
      <c r="HL54" s="501">
        <v>0.37</v>
      </c>
      <c r="HM54" s="501">
        <v>0.44</v>
      </c>
      <c r="HN54" s="501">
        <v>0.49</v>
      </c>
      <c r="HO54" s="501">
        <v>0.47</v>
      </c>
      <c r="HP54" s="471" t="s">
        <v>287</v>
      </c>
      <c r="HQ54" s="501">
        <v>0.48</v>
      </c>
      <c r="HR54" s="630">
        <v>53</v>
      </c>
      <c r="HS54" s="640" t="s">
        <v>910</v>
      </c>
      <c r="HT54" s="630">
        <v>9</v>
      </c>
      <c r="HU54" s="640" t="s">
        <v>910</v>
      </c>
      <c r="HV54" s="644">
        <v>0.09</v>
      </c>
      <c r="HW54" s="644">
        <v>0.51</v>
      </c>
      <c r="HX54" s="644">
        <v>0.35</v>
      </c>
      <c r="HY54" s="644">
        <v>0.05</v>
      </c>
      <c r="HZ54" s="644">
        <v>0.34</v>
      </c>
      <c r="IA54" s="644">
        <v>0.59</v>
      </c>
      <c r="IB54" s="644">
        <v>0.32</v>
      </c>
      <c r="IC54" s="644">
        <v>0.47</v>
      </c>
      <c r="ID54" s="644">
        <v>0.59</v>
      </c>
      <c r="IE54" s="644">
        <v>0.32</v>
      </c>
      <c r="IF54" s="644">
        <v>0.35</v>
      </c>
      <c r="IG54" s="644">
        <v>0.53</v>
      </c>
      <c r="IH54" s="644">
        <v>0.49</v>
      </c>
      <c r="II54" s="644">
        <v>0.28000000000000003</v>
      </c>
      <c r="IJ54" s="644">
        <v>0.18</v>
      </c>
      <c r="IK54" s="644">
        <v>0.48</v>
      </c>
      <c r="IL54" s="644">
        <v>0.28000000000000003</v>
      </c>
      <c r="IM54" s="644">
        <v>0.56000000000000005</v>
      </c>
      <c r="IN54" s="644">
        <v>0.41</v>
      </c>
      <c r="IO54" s="644">
        <v>0.49</v>
      </c>
      <c r="IP54" s="644">
        <v>0.44</v>
      </c>
      <c r="IQ54" s="644">
        <v>0.63</v>
      </c>
      <c r="IR54" s="644">
        <v>0.56999999999999995</v>
      </c>
      <c r="IS54" s="644">
        <v>0.48</v>
      </c>
      <c r="IT54" s="644">
        <v>0.36</v>
      </c>
      <c r="IU54" s="640" t="s">
        <v>287</v>
      </c>
      <c r="IV54" s="644">
        <v>0.63</v>
      </c>
      <c r="IW54" s="644">
        <v>0.32</v>
      </c>
      <c r="IX54" s="644">
        <v>0.47</v>
      </c>
      <c r="IY54" s="644">
        <v>0.47</v>
      </c>
    </row>
    <row r="55" spans="1:259" ht="24.9" customHeight="1" x14ac:dyDescent="0.25">
      <c r="A55" s="188" t="s">
        <v>231</v>
      </c>
      <c r="B55" s="1" t="s">
        <v>222</v>
      </c>
      <c r="C55" s="2">
        <v>1</v>
      </c>
      <c r="D55" s="13" t="s">
        <v>226</v>
      </c>
      <c r="E55" s="13" t="s">
        <v>226</v>
      </c>
      <c r="F55" s="13"/>
      <c r="G55" s="13"/>
      <c r="H55" s="13"/>
      <c r="I55" s="13"/>
      <c r="J55" s="13"/>
      <c r="K55" s="13"/>
      <c r="L55" s="13"/>
      <c r="M55" s="13"/>
      <c r="N55" s="13"/>
      <c r="O55" s="13"/>
      <c r="P55" s="13"/>
      <c r="Q55" s="13"/>
      <c r="R55" s="13"/>
      <c r="S55" s="13"/>
      <c r="T55" s="13"/>
      <c r="U55" s="13"/>
      <c r="V55" s="13"/>
      <c r="W55" s="13"/>
      <c r="X55" s="13"/>
      <c r="Y55" s="13"/>
      <c r="Z55" s="13"/>
      <c r="AA55" s="13"/>
      <c r="AB55" s="13"/>
      <c r="AC55" s="13"/>
      <c r="AD55" s="13"/>
      <c r="AE55" s="13"/>
      <c r="AF55" s="13"/>
      <c r="AG55" s="13"/>
      <c r="AH55" s="13" t="s">
        <v>226</v>
      </c>
      <c r="AI55" s="13" t="s">
        <v>226</v>
      </c>
      <c r="AJ55" s="66"/>
      <c r="AK55" s="66"/>
      <c r="AL55" s="66"/>
      <c r="AM55" s="66"/>
      <c r="AN55" s="66"/>
      <c r="AO55" s="66"/>
      <c r="AP55" s="66"/>
      <c r="AQ55" s="66"/>
      <c r="AR55" s="66"/>
      <c r="AS55" s="66"/>
      <c r="AT55" s="66"/>
      <c r="AU55" s="66"/>
      <c r="AV55" s="66"/>
      <c r="AW55" s="66"/>
      <c r="AX55" s="66"/>
      <c r="AY55" s="66"/>
      <c r="AZ55" s="66"/>
      <c r="BA55" s="66"/>
      <c r="BB55" s="66"/>
      <c r="BC55" s="66"/>
      <c r="BD55" s="66"/>
      <c r="BE55" s="66"/>
      <c r="BF55" s="66"/>
      <c r="BG55" s="66"/>
      <c r="BH55" s="66"/>
      <c r="BI55" s="66"/>
      <c r="BJ55" s="66"/>
      <c r="BK55" s="66"/>
      <c r="BL55" s="66"/>
      <c r="BM55" s="16">
        <v>50</v>
      </c>
      <c r="BN55" s="16">
        <v>6</v>
      </c>
      <c r="BO55" s="99">
        <v>0</v>
      </c>
      <c r="BP55" s="99">
        <v>0.83</v>
      </c>
      <c r="BQ55" s="99">
        <v>0.17</v>
      </c>
      <c r="BR55" s="99">
        <v>0</v>
      </c>
      <c r="BS55" s="99">
        <v>0.4</v>
      </c>
      <c r="BT55" s="99">
        <v>1</v>
      </c>
      <c r="BU55" s="99">
        <v>0.75</v>
      </c>
      <c r="BV55" s="99">
        <v>0.5</v>
      </c>
      <c r="BW55" s="99">
        <v>0.28999999999999998</v>
      </c>
      <c r="BX55" s="99">
        <v>0.5</v>
      </c>
      <c r="BY55" s="99">
        <v>0.5</v>
      </c>
      <c r="BZ55" s="99">
        <v>0.61</v>
      </c>
      <c r="CA55" s="99">
        <v>0.2</v>
      </c>
      <c r="CB55" s="99">
        <v>0.43</v>
      </c>
      <c r="CC55" s="99">
        <v>0.09</v>
      </c>
      <c r="CD55" s="99">
        <v>0.35</v>
      </c>
      <c r="CE55" s="99">
        <v>0.21</v>
      </c>
      <c r="CF55" s="99">
        <v>0.5</v>
      </c>
      <c r="CG55" s="99">
        <v>0.75</v>
      </c>
      <c r="CH55" s="99">
        <v>0.26</v>
      </c>
      <c r="CI55" s="99">
        <v>0.53</v>
      </c>
      <c r="CJ55" s="99">
        <v>0.17</v>
      </c>
      <c r="CK55" s="99">
        <v>0.76</v>
      </c>
      <c r="CL55" s="99">
        <v>0.31</v>
      </c>
      <c r="CM55" s="99">
        <v>0.4</v>
      </c>
      <c r="CN55" s="99">
        <v>0.67</v>
      </c>
      <c r="CO55" s="99">
        <v>0.5</v>
      </c>
      <c r="CP55" s="99">
        <v>0.35</v>
      </c>
      <c r="CQ55" s="99">
        <v>0.71</v>
      </c>
      <c r="CR55" s="99">
        <v>0.45</v>
      </c>
      <c r="CS55" s="16">
        <v>49</v>
      </c>
      <c r="CT55" s="16">
        <v>7</v>
      </c>
      <c r="CU55" s="96">
        <v>0.1</v>
      </c>
      <c r="CV55" s="96">
        <v>0.7</v>
      </c>
      <c r="CW55" s="96">
        <v>0.2</v>
      </c>
      <c r="CX55" s="96">
        <v>0</v>
      </c>
      <c r="CY55" s="96">
        <v>0.54</v>
      </c>
      <c r="CZ55" s="96">
        <v>0.27</v>
      </c>
      <c r="DA55" s="96">
        <v>0.52</v>
      </c>
      <c r="DB55" s="96">
        <v>0.4</v>
      </c>
      <c r="DC55" s="96">
        <v>0.38</v>
      </c>
      <c r="DD55" s="96">
        <v>0.89</v>
      </c>
      <c r="DE55" s="96">
        <v>0.64</v>
      </c>
      <c r="DF55" s="96">
        <v>0.47</v>
      </c>
      <c r="DG55" s="96">
        <v>0.43</v>
      </c>
      <c r="DH55" s="96">
        <v>0.44</v>
      </c>
      <c r="DI55" s="96">
        <v>0.5</v>
      </c>
      <c r="DJ55" s="96">
        <v>0.59</v>
      </c>
      <c r="DK55" s="96">
        <v>0.33</v>
      </c>
      <c r="DL55" s="96">
        <v>0.44</v>
      </c>
      <c r="DM55" s="96">
        <v>0.56999999999999995</v>
      </c>
      <c r="DN55" s="96">
        <v>0.64</v>
      </c>
      <c r="DO55" s="96">
        <v>0.3</v>
      </c>
      <c r="DP55" s="96">
        <v>0.46</v>
      </c>
      <c r="DQ55" s="96">
        <v>0.55000000000000004</v>
      </c>
      <c r="DR55" s="96">
        <v>0.18</v>
      </c>
      <c r="DS55" s="96">
        <v>0.32</v>
      </c>
      <c r="DT55" s="96">
        <v>0.73</v>
      </c>
      <c r="DU55" s="96">
        <v>0.25</v>
      </c>
      <c r="DV55" s="96">
        <v>0.59</v>
      </c>
      <c r="DW55" s="96">
        <v>0.3</v>
      </c>
      <c r="DX55" s="61">
        <v>49</v>
      </c>
      <c r="DY55" s="61">
        <v>5</v>
      </c>
      <c r="DZ55" s="66">
        <v>0</v>
      </c>
      <c r="EA55" s="66">
        <v>0.8</v>
      </c>
      <c r="EB55" s="66">
        <v>0.2</v>
      </c>
      <c r="EC55" s="66">
        <v>0</v>
      </c>
      <c r="ED55" s="66">
        <v>0.48</v>
      </c>
      <c r="EE55" s="66">
        <v>0.38</v>
      </c>
      <c r="EF55" s="66">
        <v>0.35</v>
      </c>
      <c r="EG55" s="66">
        <v>0.38</v>
      </c>
      <c r="EH55" s="66">
        <v>0.35</v>
      </c>
      <c r="EI55" s="66">
        <v>0.33</v>
      </c>
      <c r="EJ55" s="66">
        <v>0.87</v>
      </c>
      <c r="EK55" s="66">
        <v>0.44</v>
      </c>
      <c r="EL55" s="66">
        <v>0.59</v>
      </c>
      <c r="EM55" s="66">
        <v>0.67</v>
      </c>
      <c r="EN55" s="66">
        <v>0.22</v>
      </c>
      <c r="EO55" s="66">
        <v>0.6</v>
      </c>
      <c r="EP55" s="66">
        <v>0.39</v>
      </c>
      <c r="EQ55" s="66">
        <v>0.44</v>
      </c>
      <c r="ER55" s="66">
        <v>0.53</v>
      </c>
      <c r="ES55" s="66">
        <v>0.57999999999999996</v>
      </c>
      <c r="ET55" s="66">
        <v>0.3</v>
      </c>
      <c r="EU55" s="66">
        <v>0.63</v>
      </c>
      <c r="EV55" s="66">
        <v>0.67</v>
      </c>
      <c r="EW55" s="66">
        <v>0.33</v>
      </c>
      <c r="EX55" s="66">
        <v>0.5</v>
      </c>
      <c r="EY55" s="66">
        <v>0.68</v>
      </c>
      <c r="EZ55" s="66">
        <v>0.25</v>
      </c>
      <c r="FA55" s="66">
        <v>0.65</v>
      </c>
      <c r="FB55" s="349">
        <v>54</v>
      </c>
      <c r="FC55" s="348" t="s">
        <v>910</v>
      </c>
      <c r="FD55" s="349">
        <v>4</v>
      </c>
      <c r="FE55" s="348" t="s">
        <v>912</v>
      </c>
      <c r="FF55" s="371">
        <v>0</v>
      </c>
      <c r="FG55" s="371">
        <v>0.5</v>
      </c>
      <c r="FH55" s="371">
        <v>0.5</v>
      </c>
      <c r="FI55" s="371">
        <v>0</v>
      </c>
      <c r="FJ55" s="371">
        <v>0.17</v>
      </c>
      <c r="FK55" s="371">
        <v>0.43</v>
      </c>
      <c r="FL55" s="371">
        <v>0.2</v>
      </c>
      <c r="FM55" s="371">
        <v>0</v>
      </c>
      <c r="FN55" s="371">
        <v>0</v>
      </c>
      <c r="FO55" s="371">
        <v>0</v>
      </c>
      <c r="FP55" s="371">
        <v>0.6</v>
      </c>
      <c r="FQ55" s="371">
        <v>0.4</v>
      </c>
      <c r="FR55" s="371">
        <v>0.28999999999999998</v>
      </c>
      <c r="FS55" s="371">
        <v>0.2</v>
      </c>
      <c r="FT55" s="371">
        <v>0.75</v>
      </c>
      <c r="FU55" s="371">
        <v>0.5</v>
      </c>
      <c r="FV55" s="371">
        <v>0.5</v>
      </c>
      <c r="FW55" s="371">
        <v>0.5</v>
      </c>
      <c r="FX55" s="371">
        <v>1</v>
      </c>
      <c r="FY55" s="371">
        <v>0.6</v>
      </c>
      <c r="FZ55" s="371">
        <v>0</v>
      </c>
      <c r="GA55" s="371">
        <v>0</v>
      </c>
      <c r="GB55" s="371">
        <v>0.5</v>
      </c>
      <c r="GC55" s="371">
        <v>0.2</v>
      </c>
      <c r="GD55" s="371">
        <v>0.8</v>
      </c>
      <c r="GE55" s="371">
        <v>0.4</v>
      </c>
      <c r="GF55" s="371">
        <v>0</v>
      </c>
      <c r="GG55" s="371">
        <v>0.5</v>
      </c>
      <c r="GH55" s="371">
        <v>1</v>
      </c>
      <c r="GI55" s="371">
        <v>0</v>
      </c>
      <c r="GJ55" s="469">
        <v>50</v>
      </c>
      <c r="GK55" s="471" t="s">
        <v>910</v>
      </c>
      <c r="GL55" s="469">
        <v>10</v>
      </c>
      <c r="GM55" s="471" t="s">
        <v>910</v>
      </c>
      <c r="GN55" s="501">
        <v>0.2</v>
      </c>
      <c r="GO55" s="501">
        <v>0.6</v>
      </c>
      <c r="GP55" s="501">
        <v>0.2</v>
      </c>
      <c r="GQ55" s="501">
        <v>0</v>
      </c>
      <c r="GR55" s="501">
        <v>0.43</v>
      </c>
      <c r="GS55" s="501">
        <v>0.53</v>
      </c>
      <c r="GT55" s="501">
        <v>0.61</v>
      </c>
      <c r="GU55" s="501">
        <v>0.28999999999999998</v>
      </c>
      <c r="GV55" s="501">
        <v>0.42</v>
      </c>
      <c r="GW55" s="501">
        <v>0.3</v>
      </c>
      <c r="GX55" s="501">
        <v>0.54</v>
      </c>
      <c r="GY55" s="471" t="s">
        <v>287</v>
      </c>
      <c r="GZ55" s="501">
        <v>0.2</v>
      </c>
      <c r="HA55" s="501">
        <v>1</v>
      </c>
      <c r="HB55" s="501">
        <v>0.41</v>
      </c>
      <c r="HC55" s="501">
        <v>0.33</v>
      </c>
      <c r="HD55" s="501">
        <v>0.5</v>
      </c>
      <c r="HE55" s="501">
        <v>0.47</v>
      </c>
      <c r="HF55" s="501">
        <v>0.48</v>
      </c>
      <c r="HG55" s="501">
        <v>0.54</v>
      </c>
      <c r="HH55" s="501">
        <v>0.42</v>
      </c>
      <c r="HI55" s="501">
        <v>0.56999999999999995</v>
      </c>
      <c r="HJ55" s="501">
        <v>0.64</v>
      </c>
      <c r="HK55" s="501">
        <v>0.56000000000000005</v>
      </c>
      <c r="HL55" s="501">
        <v>0.39</v>
      </c>
      <c r="HM55" s="501">
        <v>0.43</v>
      </c>
      <c r="HN55" s="501">
        <v>0.71</v>
      </c>
      <c r="HO55" s="501">
        <v>0.38</v>
      </c>
      <c r="HP55" s="471" t="s">
        <v>287</v>
      </c>
      <c r="HQ55" s="501">
        <v>0.5</v>
      </c>
      <c r="HR55" s="630">
        <v>56</v>
      </c>
      <c r="HS55" s="640" t="s">
        <v>910</v>
      </c>
      <c r="HT55" s="630">
        <v>8</v>
      </c>
      <c r="HU55" s="640" t="s">
        <v>910</v>
      </c>
      <c r="HV55" s="644">
        <v>0.05</v>
      </c>
      <c r="HW55" s="644">
        <v>0.45</v>
      </c>
      <c r="HX55" s="644">
        <v>0.5</v>
      </c>
      <c r="HY55" s="644">
        <v>0</v>
      </c>
      <c r="HZ55" s="644">
        <v>0.33</v>
      </c>
      <c r="IA55" s="644">
        <v>0.37</v>
      </c>
      <c r="IB55" s="644">
        <v>0.25</v>
      </c>
      <c r="IC55" s="644">
        <v>0.49</v>
      </c>
      <c r="ID55" s="644">
        <v>0.64</v>
      </c>
      <c r="IE55" s="644">
        <v>0.28999999999999998</v>
      </c>
      <c r="IF55" s="644">
        <v>0.33</v>
      </c>
      <c r="IG55" s="644">
        <v>0.56000000000000005</v>
      </c>
      <c r="IH55" s="644">
        <v>0.38</v>
      </c>
      <c r="II55" s="644">
        <v>0</v>
      </c>
      <c r="IJ55" s="644">
        <v>0.2</v>
      </c>
      <c r="IK55" s="644">
        <v>0.4</v>
      </c>
      <c r="IL55" s="644">
        <v>0.22</v>
      </c>
      <c r="IM55" s="644">
        <v>0.56999999999999995</v>
      </c>
      <c r="IN55" s="644">
        <v>0.35</v>
      </c>
      <c r="IO55" s="644">
        <v>0.51</v>
      </c>
      <c r="IP55" s="644">
        <v>0.37</v>
      </c>
      <c r="IQ55" s="644">
        <v>0.6</v>
      </c>
      <c r="IR55" s="644">
        <v>0.46</v>
      </c>
      <c r="IS55" s="644">
        <v>0.39</v>
      </c>
      <c r="IT55" s="644">
        <v>0.39</v>
      </c>
      <c r="IU55" s="640" t="s">
        <v>287</v>
      </c>
      <c r="IV55" s="644">
        <v>0.44</v>
      </c>
      <c r="IW55" s="644">
        <v>0.33</v>
      </c>
      <c r="IX55" s="644">
        <v>0.49</v>
      </c>
      <c r="IY55" s="644">
        <v>0.44</v>
      </c>
    </row>
    <row r="56" spans="1:259" ht="24.9" customHeight="1" x14ac:dyDescent="0.25">
      <c r="A56" s="188" t="s">
        <v>116</v>
      </c>
      <c r="B56" s="1" t="s">
        <v>222</v>
      </c>
      <c r="C56" s="2">
        <v>2</v>
      </c>
      <c r="D56" s="16">
        <v>56</v>
      </c>
      <c r="E56" s="16">
        <v>7</v>
      </c>
      <c r="F56" s="99">
        <v>0.01</v>
      </c>
      <c r="G56" s="99">
        <v>0.42</v>
      </c>
      <c r="H56" s="99">
        <v>0.56999999999999995</v>
      </c>
      <c r="I56" s="99">
        <v>0</v>
      </c>
      <c r="J56" s="99">
        <v>0.43</v>
      </c>
      <c r="K56" s="99">
        <v>0.28000000000000003</v>
      </c>
      <c r="L56" s="99">
        <v>0.64</v>
      </c>
      <c r="M56" s="99">
        <v>0.13</v>
      </c>
      <c r="N56" s="99">
        <v>0.27</v>
      </c>
      <c r="O56" s="99">
        <v>0.62</v>
      </c>
      <c r="P56" s="99">
        <v>0.35</v>
      </c>
      <c r="Q56" s="99">
        <v>0.36</v>
      </c>
      <c r="R56" s="99">
        <v>0.51</v>
      </c>
      <c r="S56" s="99">
        <v>0.54</v>
      </c>
      <c r="T56" s="99">
        <v>0.44</v>
      </c>
      <c r="U56" s="99">
        <v>0.56000000000000005</v>
      </c>
      <c r="V56" s="99">
        <v>0.05</v>
      </c>
      <c r="W56" s="99">
        <v>7.0000000000000007E-2</v>
      </c>
      <c r="X56" s="99">
        <v>0.43</v>
      </c>
      <c r="Y56" s="99">
        <v>0.45</v>
      </c>
      <c r="Z56" s="13" t="s">
        <v>287</v>
      </c>
      <c r="AA56" s="99">
        <v>0.04</v>
      </c>
      <c r="AB56" s="99">
        <v>0.42</v>
      </c>
      <c r="AC56" s="99">
        <v>0.24</v>
      </c>
      <c r="AD56" s="99">
        <v>0.35</v>
      </c>
      <c r="AE56" s="99">
        <v>0.39</v>
      </c>
      <c r="AF56" s="99">
        <v>0.42</v>
      </c>
      <c r="AG56" s="99">
        <v>0.5</v>
      </c>
      <c r="AH56" s="16">
        <v>54</v>
      </c>
      <c r="AI56" s="16">
        <v>8</v>
      </c>
      <c r="AJ56" s="66">
        <v>0.06</v>
      </c>
      <c r="AK56" s="66">
        <v>0.52</v>
      </c>
      <c r="AL56" s="66">
        <v>0.43</v>
      </c>
      <c r="AM56" s="66">
        <v>0</v>
      </c>
      <c r="AN56" s="66">
        <v>0.17</v>
      </c>
      <c r="AO56" s="66">
        <v>0.43</v>
      </c>
      <c r="AP56" s="66">
        <v>0.51</v>
      </c>
      <c r="AQ56" s="66">
        <v>0.34</v>
      </c>
      <c r="AR56" s="66">
        <v>0.5</v>
      </c>
      <c r="AS56" s="66">
        <v>0.45</v>
      </c>
      <c r="AT56" s="66">
        <v>0.5</v>
      </c>
      <c r="AU56" s="66">
        <v>0.39</v>
      </c>
      <c r="AV56" s="66">
        <v>0.53</v>
      </c>
      <c r="AW56" s="66">
        <v>0.48</v>
      </c>
      <c r="AX56" s="66">
        <v>0.46</v>
      </c>
      <c r="AY56" s="66">
        <v>0.27</v>
      </c>
      <c r="AZ56" s="66">
        <v>0.28999999999999998</v>
      </c>
      <c r="BA56" s="66">
        <v>0.45</v>
      </c>
      <c r="BB56" s="66">
        <v>0.57999999999999996</v>
      </c>
      <c r="BC56" s="66">
        <v>0.62</v>
      </c>
      <c r="BD56" s="66">
        <v>0.41</v>
      </c>
      <c r="BE56" s="66">
        <v>0.59</v>
      </c>
      <c r="BF56" s="66">
        <v>0.5</v>
      </c>
      <c r="BG56" s="66">
        <v>0.39</v>
      </c>
      <c r="BH56" s="66">
        <v>0.41</v>
      </c>
      <c r="BI56" s="66">
        <v>0.39</v>
      </c>
      <c r="BJ56" s="66">
        <v>0.31</v>
      </c>
      <c r="BK56" s="66">
        <v>0.43</v>
      </c>
      <c r="BL56" s="66">
        <v>0.54</v>
      </c>
      <c r="BM56" s="16">
        <v>51</v>
      </c>
      <c r="BN56" s="16">
        <v>9</v>
      </c>
      <c r="BO56" s="99">
        <v>0.12</v>
      </c>
      <c r="BP56" s="99">
        <v>0.55000000000000004</v>
      </c>
      <c r="BQ56" s="99">
        <v>0.32</v>
      </c>
      <c r="BR56" s="99">
        <v>0.01</v>
      </c>
      <c r="BS56" s="99">
        <v>0.4</v>
      </c>
      <c r="BT56" s="99">
        <v>0.53</v>
      </c>
      <c r="BU56" s="99">
        <v>0.56999999999999995</v>
      </c>
      <c r="BV56" s="99">
        <v>0.22</v>
      </c>
      <c r="BW56" s="99">
        <v>0.61</v>
      </c>
      <c r="BX56" s="99">
        <v>0.37</v>
      </c>
      <c r="BY56" s="99">
        <v>0.47</v>
      </c>
      <c r="BZ56" s="99">
        <v>0.5</v>
      </c>
      <c r="CA56" s="99">
        <v>0.42</v>
      </c>
      <c r="CB56" s="99">
        <v>0.41</v>
      </c>
      <c r="CC56" s="99">
        <v>0.2</v>
      </c>
      <c r="CD56" s="99">
        <v>0.45</v>
      </c>
      <c r="CE56" s="99">
        <v>0.33</v>
      </c>
      <c r="CF56" s="99">
        <v>0.64</v>
      </c>
      <c r="CG56" s="99">
        <v>0.6</v>
      </c>
      <c r="CH56" s="99">
        <v>0.42</v>
      </c>
      <c r="CI56" s="99">
        <v>0.56999999999999995</v>
      </c>
      <c r="CJ56" s="99">
        <v>0.4</v>
      </c>
      <c r="CK56" s="99">
        <v>0.6</v>
      </c>
      <c r="CL56" s="99">
        <v>0.31</v>
      </c>
      <c r="CM56" s="99">
        <v>0.46</v>
      </c>
      <c r="CN56" s="99">
        <v>0.43</v>
      </c>
      <c r="CO56" s="99">
        <v>0.44</v>
      </c>
      <c r="CP56" s="99">
        <v>0.39</v>
      </c>
      <c r="CQ56" s="99">
        <v>0.49</v>
      </c>
      <c r="CR56" s="99">
        <v>0.52</v>
      </c>
      <c r="CS56" s="16">
        <v>52</v>
      </c>
      <c r="CT56" s="16">
        <v>9</v>
      </c>
      <c r="CU56" s="96">
        <v>0.14000000000000001</v>
      </c>
      <c r="CV56" s="96">
        <v>0.47</v>
      </c>
      <c r="CW56" s="96">
        <v>0.38</v>
      </c>
      <c r="CX56" s="96">
        <v>0.02</v>
      </c>
      <c r="CY56" s="96">
        <v>0.45</v>
      </c>
      <c r="CZ56" s="96">
        <v>0.27</v>
      </c>
      <c r="DA56" s="96">
        <v>0.53</v>
      </c>
      <c r="DB56" s="96">
        <v>0.36</v>
      </c>
      <c r="DC56" s="96">
        <v>0.44</v>
      </c>
      <c r="DD56" s="96">
        <v>0.69</v>
      </c>
      <c r="DE56" s="96">
        <v>0.39</v>
      </c>
      <c r="DF56" s="96">
        <v>0.52</v>
      </c>
      <c r="DG56" s="96">
        <v>0.34</v>
      </c>
      <c r="DH56" s="96">
        <v>0.31</v>
      </c>
      <c r="DI56" s="96">
        <v>0.48</v>
      </c>
      <c r="DJ56" s="96">
        <v>0.42</v>
      </c>
      <c r="DK56" s="96">
        <v>0.31</v>
      </c>
      <c r="DL56" s="96">
        <v>0.38</v>
      </c>
      <c r="DM56" s="96">
        <v>0.52</v>
      </c>
      <c r="DN56" s="96">
        <v>0.43</v>
      </c>
      <c r="DO56" s="96">
        <v>0.33</v>
      </c>
      <c r="DP56" s="96">
        <v>0.39</v>
      </c>
      <c r="DQ56" s="96">
        <v>0.5</v>
      </c>
      <c r="DR56" s="96">
        <v>0.18</v>
      </c>
      <c r="DS56" s="96">
        <v>0.45</v>
      </c>
      <c r="DT56" s="96">
        <v>0.59</v>
      </c>
      <c r="DU56" s="96">
        <v>0.54</v>
      </c>
      <c r="DV56" s="96">
        <v>0.51</v>
      </c>
      <c r="DW56" s="96">
        <v>0.27</v>
      </c>
      <c r="DX56" s="61">
        <v>48</v>
      </c>
      <c r="DY56" s="61">
        <v>9</v>
      </c>
      <c r="DZ56" s="66">
        <v>0.2</v>
      </c>
      <c r="EA56" s="66">
        <v>0.57999999999999996</v>
      </c>
      <c r="EB56" s="66">
        <v>0.21</v>
      </c>
      <c r="EC56" s="66">
        <v>0.01</v>
      </c>
      <c r="ED56" s="66">
        <v>0.52</v>
      </c>
      <c r="EE56" s="66">
        <v>0.44</v>
      </c>
      <c r="EF56" s="66">
        <v>0.57999999999999996</v>
      </c>
      <c r="EG56" s="66">
        <v>0.46</v>
      </c>
      <c r="EH56" s="66">
        <v>0.39</v>
      </c>
      <c r="EI56" s="66">
        <v>0.55000000000000004</v>
      </c>
      <c r="EJ56" s="66">
        <v>0.61</v>
      </c>
      <c r="EK56" s="66">
        <v>0.23</v>
      </c>
      <c r="EL56" s="66">
        <v>0.44</v>
      </c>
      <c r="EM56" s="66">
        <v>0.65</v>
      </c>
      <c r="EN56" s="66">
        <v>0.41</v>
      </c>
      <c r="EO56" s="66">
        <v>0.57999999999999996</v>
      </c>
      <c r="EP56" s="66">
        <v>0.46</v>
      </c>
      <c r="EQ56" s="66">
        <v>0.26</v>
      </c>
      <c r="ER56" s="66">
        <v>0.61</v>
      </c>
      <c r="ES56" s="66">
        <v>0.54</v>
      </c>
      <c r="ET56" s="66">
        <v>0.39</v>
      </c>
      <c r="EU56" s="66">
        <v>0.63</v>
      </c>
      <c r="EV56" s="66">
        <v>0.41</v>
      </c>
      <c r="EW56" s="66">
        <v>0.34</v>
      </c>
      <c r="EX56" s="66">
        <v>0.65</v>
      </c>
      <c r="EY56" s="66">
        <v>0.54</v>
      </c>
      <c r="EZ56" s="66">
        <v>0.35</v>
      </c>
      <c r="FA56" s="66">
        <v>0.65</v>
      </c>
      <c r="FB56" s="349">
        <v>53</v>
      </c>
      <c r="FC56" s="348" t="s">
        <v>910</v>
      </c>
      <c r="FD56" s="349">
        <v>8</v>
      </c>
      <c r="FE56" s="348" t="s">
        <v>910</v>
      </c>
      <c r="FF56" s="371">
        <v>7.0000000000000007E-2</v>
      </c>
      <c r="FG56" s="371">
        <v>0.53</v>
      </c>
      <c r="FH56" s="371">
        <v>0.4</v>
      </c>
      <c r="FI56" s="371">
        <v>0</v>
      </c>
      <c r="FJ56" s="371">
        <v>0.39</v>
      </c>
      <c r="FK56" s="371">
        <v>0.61</v>
      </c>
      <c r="FL56" s="371">
        <v>0.43</v>
      </c>
      <c r="FM56" s="371">
        <v>0.43</v>
      </c>
      <c r="FN56" s="371">
        <v>0.27</v>
      </c>
      <c r="FO56" s="371">
        <v>0.31</v>
      </c>
      <c r="FP56" s="371">
        <v>0.38</v>
      </c>
      <c r="FQ56" s="371">
        <v>0.36</v>
      </c>
      <c r="FR56" s="371">
        <v>0.54</v>
      </c>
      <c r="FS56" s="371">
        <v>0.51</v>
      </c>
      <c r="FT56" s="371">
        <v>0.45</v>
      </c>
      <c r="FU56" s="371">
        <v>0.3</v>
      </c>
      <c r="FV56" s="371">
        <v>0.51</v>
      </c>
      <c r="FW56" s="371">
        <v>0.49</v>
      </c>
      <c r="FX56" s="371">
        <v>0.41</v>
      </c>
      <c r="FY56" s="371">
        <v>0.31</v>
      </c>
      <c r="FZ56" s="371">
        <v>0.42</v>
      </c>
      <c r="GA56" s="371">
        <v>0.39</v>
      </c>
      <c r="GB56" s="371">
        <v>0.44</v>
      </c>
      <c r="GC56" s="371">
        <v>0.37</v>
      </c>
      <c r="GD56" s="371">
        <v>0.5</v>
      </c>
      <c r="GE56" s="371">
        <v>0.41</v>
      </c>
      <c r="GF56" s="371">
        <v>0.38</v>
      </c>
      <c r="GG56" s="371">
        <v>0.39</v>
      </c>
      <c r="GH56" s="371">
        <v>0.62</v>
      </c>
      <c r="GI56" s="371">
        <v>0.23</v>
      </c>
      <c r="GJ56" s="469">
        <v>54</v>
      </c>
      <c r="GK56" s="471" t="s">
        <v>910</v>
      </c>
      <c r="GL56" s="469">
        <v>10</v>
      </c>
      <c r="GM56" s="471" t="s">
        <v>910</v>
      </c>
      <c r="GN56" s="501">
        <v>0.13</v>
      </c>
      <c r="GO56" s="501">
        <v>0.41</v>
      </c>
      <c r="GP56" s="501">
        <v>0.47</v>
      </c>
      <c r="GQ56" s="501">
        <v>0</v>
      </c>
      <c r="GR56" s="501">
        <v>0.42</v>
      </c>
      <c r="GS56" s="501">
        <v>0.46</v>
      </c>
      <c r="GT56" s="501">
        <v>0.55000000000000004</v>
      </c>
      <c r="GU56" s="501">
        <v>0.28000000000000003</v>
      </c>
      <c r="GV56" s="501">
        <v>0.47</v>
      </c>
      <c r="GW56" s="501">
        <v>0.38</v>
      </c>
      <c r="GX56" s="501">
        <v>0.44</v>
      </c>
      <c r="GY56" s="471" t="s">
        <v>287</v>
      </c>
      <c r="GZ56" s="501">
        <v>0.27</v>
      </c>
      <c r="HA56" s="501">
        <v>0.52</v>
      </c>
      <c r="HB56" s="501">
        <v>0.41</v>
      </c>
      <c r="HC56" s="501">
        <v>0.42</v>
      </c>
      <c r="HD56" s="501">
        <v>0.41</v>
      </c>
      <c r="HE56" s="501">
        <v>0.37</v>
      </c>
      <c r="HF56" s="501">
        <v>0.4</v>
      </c>
      <c r="HG56" s="501">
        <v>0.57999999999999996</v>
      </c>
      <c r="HH56" s="501">
        <v>0.3</v>
      </c>
      <c r="HI56" s="501">
        <v>0.39</v>
      </c>
      <c r="HJ56" s="501">
        <v>0.55000000000000004</v>
      </c>
      <c r="HK56" s="501">
        <v>0.48</v>
      </c>
      <c r="HL56" s="501">
        <v>0.37</v>
      </c>
      <c r="HM56" s="501">
        <v>0.48</v>
      </c>
      <c r="HN56" s="501">
        <v>0.47</v>
      </c>
      <c r="HO56" s="501">
        <v>0.35</v>
      </c>
      <c r="HP56" s="471" t="s">
        <v>287</v>
      </c>
      <c r="HQ56" s="501">
        <v>0.37</v>
      </c>
      <c r="HR56" s="630">
        <v>54</v>
      </c>
      <c r="HS56" s="640" t="s">
        <v>910</v>
      </c>
      <c r="HT56" s="630">
        <v>10</v>
      </c>
      <c r="HU56" s="640" t="s">
        <v>910</v>
      </c>
      <c r="HV56" s="644">
        <v>0.09</v>
      </c>
      <c r="HW56" s="644">
        <v>0.4</v>
      </c>
      <c r="HX56" s="644">
        <v>0.49</v>
      </c>
      <c r="HY56" s="644">
        <v>0.03</v>
      </c>
      <c r="HZ56" s="644">
        <v>0.32</v>
      </c>
      <c r="IA56" s="644">
        <v>0.53</v>
      </c>
      <c r="IB56" s="644">
        <v>0.28999999999999998</v>
      </c>
      <c r="IC56" s="644">
        <v>0.45</v>
      </c>
      <c r="ID56" s="644">
        <v>0.56999999999999995</v>
      </c>
      <c r="IE56" s="644">
        <v>0.28000000000000003</v>
      </c>
      <c r="IF56" s="644">
        <v>0.36</v>
      </c>
      <c r="IG56" s="644">
        <v>0.56999999999999995</v>
      </c>
      <c r="IH56" s="644">
        <v>0.45</v>
      </c>
      <c r="II56" s="644">
        <v>0.24</v>
      </c>
      <c r="IJ56" s="644">
        <v>0.25</v>
      </c>
      <c r="IK56" s="644">
        <v>0.51</v>
      </c>
      <c r="IL56" s="644">
        <v>0.35</v>
      </c>
      <c r="IM56" s="644">
        <v>0.52</v>
      </c>
      <c r="IN56" s="644">
        <v>0.41</v>
      </c>
      <c r="IO56" s="644">
        <v>0.4</v>
      </c>
      <c r="IP56" s="644">
        <v>0.43</v>
      </c>
      <c r="IQ56" s="644">
        <v>0.56999999999999995</v>
      </c>
      <c r="IR56" s="644">
        <v>0.46</v>
      </c>
      <c r="IS56" s="644">
        <v>0.47</v>
      </c>
      <c r="IT56" s="644">
        <v>0.35</v>
      </c>
      <c r="IU56" s="640" t="s">
        <v>287</v>
      </c>
      <c r="IV56" s="644">
        <v>0.55000000000000004</v>
      </c>
      <c r="IW56" s="644">
        <v>0.38</v>
      </c>
      <c r="IX56" s="644">
        <v>0.42</v>
      </c>
      <c r="IY56" s="644">
        <v>0.43</v>
      </c>
    </row>
    <row r="57" spans="1:259" ht="24.9" customHeight="1" x14ac:dyDescent="0.25">
      <c r="A57" s="188" t="s">
        <v>151</v>
      </c>
      <c r="B57" s="1" t="s">
        <v>222</v>
      </c>
      <c r="C57" s="2">
        <v>3</v>
      </c>
      <c r="D57" s="16">
        <v>56</v>
      </c>
      <c r="E57" s="16">
        <v>8</v>
      </c>
      <c r="F57" s="99">
        <v>7.0000000000000007E-2</v>
      </c>
      <c r="G57" s="99">
        <v>0.37</v>
      </c>
      <c r="H57" s="99">
        <v>0.56000000000000005</v>
      </c>
      <c r="I57" s="99">
        <v>0</v>
      </c>
      <c r="J57" s="99">
        <v>0.26</v>
      </c>
      <c r="K57" s="99">
        <v>0.23</v>
      </c>
      <c r="L57" s="99">
        <v>0.56999999999999995</v>
      </c>
      <c r="M57" s="99">
        <v>0.15</v>
      </c>
      <c r="N57" s="99">
        <v>0.24</v>
      </c>
      <c r="O57" s="99">
        <v>0.66</v>
      </c>
      <c r="P57" s="99">
        <v>0.31</v>
      </c>
      <c r="Q57" s="99">
        <v>0.35</v>
      </c>
      <c r="R57" s="99">
        <v>0.46</v>
      </c>
      <c r="S57" s="99">
        <v>0.56000000000000005</v>
      </c>
      <c r="T57" s="99">
        <v>0.33</v>
      </c>
      <c r="U57" s="99">
        <v>0.6</v>
      </c>
      <c r="V57" s="99">
        <v>7.0000000000000007E-2</v>
      </c>
      <c r="W57" s="99">
        <v>0.14000000000000001</v>
      </c>
      <c r="X57" s="99">
        <v>0.49</v>
      </c>
      <c r="Y57" s="99">
        <v>0.37</v>
      </c>
      <c r="Z57" s="13" t="s">
        <v>287</v>
      </c>
      <c r="AA57" s="99">
        <v>0.11</v>
      </c>
      <c r="AB57" s="99">
        <v>0.5</v>
      </c>
      <c r="AC57" s="99">
        <v>0.17</v>
      </c>
      <c r="AD57" s="99">
        <v>0.46</v>
      </c>
      <c r="AE57" s="99">
        <v>0.42</v>
      </c>
      <c r="AF57" s="99">
        <v>0.53</v>
      </c>
      <c r="AG57" s="99">
        <v>0.48</v>
      </c>
      <c r="AH57" s="16">
        <v>50</v>
      </c>
      <c r="AI57" s="16">
        <v>7</v>
      </c>
      <c r="AJ57" s="66">
        <v>7.0000000000000007E-2</v>
      </c>
      <c r="AK57" s="66">
        <v>0.71</v>
      </c>
      <c r="AL57" s="66">
        <v>0.21</v>
      </c>
      <c r="AM57" s="66">
        <v>0</v>
      </c>
      <c r="AN57" s="66">
        <v>0.38</v>
      </c>
      <c r="AO57" s="66">
        <v>0.55000000000000004</v>
      </c>
      <c r="AP57" s="66">
        <v>0.57999999999999996</v>
      </c>
      <c r="AQ57" s="66">
        <v>0.32</v>
      </c>
      <c r="AR57" s="66">
        <v>0.76</v>
      </c>
      <c r="AS57" s="66">
        <v>0.62</v>
      </c>
      <c r="AT57" s="66">
        <v>0.62</v>
      </c>
      <c r="AU57" s="66">
        <v>0.48</v>
      </c>
      <c r="AV57" s="66">
        <v>0.59</v>
      </c>
      <c r="AW57" s="66">
        <v>0.5</v>
      </c>
      <c r="AX57" s="66">
        <v>0.63</v>
      </c>
      <c r="AY57" s="66">
        <v>0.33</v>
      </c>
      <c r="AZ57" s="66">
        <v>0.24</v>
      </c>
      <c r="BA57" s="66">
        <v>0.61</v>
      </c>
      <c r="BB57" s="66">
        <v>0.76</v>
      </c>
      <c r="BC57" s="66">
        <v>0.67</v>
      </c>
      <c r="BD57" s="66">
        <v>0.41</v>
      </c>
      <c r="BE57" s="66">
        <v>0.8</v>
      </c>
      <c r="BF57" s="66">
        <v>0.67</v>
      </c>
      <c r="BG57" s="66">
        <v>0.71</v>
      </c>
      <c r="BH57" s="66">
        <v>0.38</v>
      </c>
      <c r="BI57" s="66">
        <v>0.43</v>
      </c>
      <c r="BJ57" s="66">
        <v>0.5</v>
      </c>
      <c r="BK57" s="66">
        <v>0.54</v>
      </c>
      <c r="BL57" s="66">
        <v>0.75</v>
      </c>
      <c r="BM57" s="16">
        <v>52</v>
      </c>
      <c r="BN57" s="16">
        <v>7</v>
      </c>
      <c r="BO57" s="99">
        <v>0.04</v>
      </c>
      <c r="BP57" s="99">
        <v>0.52</v>
      </c>
      <c r="BQ57" s="99">
        <v>0.43</v>
      </c>
      <c r="BR57" s="99">
        <v>0</v>
      </c>
      <c r="BS57" s="99">
        <v>0.2</v>
      </c>
      <c r="BT57" s="99">
        <v>0.67</v>
      </c>
      <c r="BU57" s="99">
        <v>0.67</v>
      </c>
      <c r="BV57" s="99">
        <v>0.15</v>
      </c>
      <c r="BW57" s="99">
        <v>0.62</v>
      </c>
      <c r="BX57" s="99">
        <v>0.27</v>
      </c>
      <c r="BY57" s="99">
        <v>0.34</v>
      </c>
      <c r="BZ57" s="99">
        <v>0.39</v>
      </c>
      <c r="CA57" s="99">
        <v>0.46</v>
      </c>
      <c r="CB57" s="99">
        <v>0.43</v>
      </c>
      <c r="CC57" s="99">
        <v>0.16</v>
      </c>
      <c r="CD57" s="99">
        <v>0.53</v>
      </c>
      <c r="CE57" s="99">
        <v>0.32</v>
      </c>
      <c r="CF57" s="99">
        <v>0.52</v>
      </c>
      <c r="CG57" s="99">
        <v>0.68</v>
      </c>
      <c r="CH57" s="99">
        <v>0.45</v>
      </c>
      <c r="CI57" s="99">
        <v>0.47</v>
      </c>
      <c r="CJ57" s="99">
        <v>0.35</v>
      </c>
      <c r="CK57" s="99">
        <v>0.67</v>
      </c>
      <c r="CL57" s="99">
        <v>0.28000000000000003</v>
      </c>
      <c r="CM57" s="99">
        <v>0.38</v>
      </c>
      <c r="CN57" s="99">
        <v>0.38</v>
      </c>
      <c r="CO57" s="99">
        <v>0.33</v>
      </c>
      <c r="CP57" s="99">
        <v>0.37</v>
      </c>
      <c r="CQ57" s="99">
        <v>0.55000000000000004</v>
      </c>
      <c r="CR57" s="99">
        <v>0.54</v>
      </c>
      <c r="CS57" s="16">
        <v>47</v>
      </c>
      <c r="CT57" s="16">
        <v>9</v>
      </c>
      <c r="CU57" s="96">
        <v>0.27</v>
      </c>
      <c r="CV57" s="96">
        <v>0.41</v>
      </c>
      <c r="CW57" s="96">
        <v>0.32</v>
      </c>
      <c r="CX57" s="96">
        <v>0</v>
      </c>
      <c r="CY57" s="96">
        <v>0.53</v>
      </c>
      <c r="CZ57" s="96">
        <v>0.3</v>
      </c>
      <c r="DA57" s="96">
        <v>0.57999999999999996</v>
      </c>
      <c r="DB57" s="96">
        <v>0.46</v>
      </c>
      <c r="DC57" s="96">
        <v>0.57999999999999996</v>
      </c>
      <c r="DD57" s="96">
        <v>0.46</v>
      </c>
      <c r="DE57" s="96">
        <v>0.47</v>
      </c>
      <c r="DF57" s="96">
        <v>0.56000000000000005</v>
      </c>
      <c r="DG57" s="96">
        <v>0.52</v>
      </c>
      <c r="DH57" s="96">
        <v>0.48</v>
      </c>
      <c r="DI57" s="96">
        <v>0.47</v>
      </c>
      <c r="DJ57" s="96">
        <v>0.57999999999999996</v>
      </c>
      <c r="DK57" s="96">
        <v>0.59</v>
      </c>
      <c r="DL57" s="96">
        <v>0.27</v>
      </c>
      <c r="DM57" s="96">
        <v>0.51</v>
      </c>
      <c r="DN57" s="96">
        <v>0.53</v>
      </c>
      <c r="DO57" s="96">
        <v>0.53</v>
      </c>
      <c r="DP57" s="96">
        <v>0.5</v>
      </c>
      <c r="DQ57" s="96">
        <v>0.61</v>
      </c>
      <c r="DR57" s="96">
        <v>0.18</v>
      </c>
      <c r="DS57" s="96">
        <v>0.32</v>
      </c>
      <c r="DT57" s="96">
        <v>0.56000000000000005</v>
      </c>
      <c r="DU57" s="96">
        <v>0.5</v>
      </c>
      <c r="DV57" s="96">
        <v>0.6</v>
      </c>
      <c r="DW57" s="96">
        <v>0.41</v>
      </c>
      <c r="DX57" s="61">
        <v>51</v>
      </c>
      <c r="DY57" s="61">
        <v>8</v>
      </c>
      <c r="DZ57" s="66">
        <v>0.14000000000000001</v>
      </c>
      <c r="EA57" s="66">
        <v>0.62</v>
      </c>
      <c r="EB57" s="66">
        <v>0.24</v>
      </c>
      <c r="EC57" s="66">
        <v>0</v>
      </c>
      <c r="ED57" s="66">
        <v>0.51</v>
      </c>
      <c r="EE57" s="66">
        <v>0.46</v>
      </c>
      <c r="EF57" s="66">
        <v>0.46</v>
      </c>
      <c r="EG57" s="66">
        <v>0.38</v>
      </c>
      <c r="EH57" s="66">
        <v>0.47</v>
      </c>
      <c r="EI57" s="66">
        <v>0.43</v>
      </c>
      <c r="EJ57" s="66">
        <v>0.48</v>
      </c>
      <c r="EK57" s="66">
        <v>0.24</v>
      </c>
      <c r="EL57" s="66">
        <v>0.44</v>
      </c>
      <c r="EM57" s="66">
        <v>0.56999999999999995</v>
      </c>
      <c r="EN57" s="66">
        <v>0.26</v>
      </c>
      <c r="EO57" s="66">
        <v>0.55000000000000004</v>
      </c>
      <c r="EP57" s="66">
        <v>0.42</v>
      </c>
      <c r="EQ57" s="66">
        <v>0.28999999999999998</v>
      </c>
      <c r="ER57" s="66">
        <v>0.61</v>
      </c>
      <c r="ES57" s="66">
        <v>0.47</v>
      </c>
      <c r="ET57" s="66">
        <v>0.28999999999999998</v>
      </c>
      <c r="EU57" s="66">
        <v>0.56999999999999995</v>
      </c>
      <c r="EV57" s="66">
        <v>0.5</v>
      </c>
      <c r="EW57" s="66">
        <v>0.26</v>
      </c>
      <c r="EX57" s="66">
        <v>0.69</v>
      </c>
      <c r="EY57" s="66">
        <v>0.61</v>
      </c>
      <c r="EZ57" s="66">
        <v>0.19</v>
      </c>
      <c r="FA57" s="66">
        <v>0.66</v>
      </c>
      <c r="FB57" s="349">
        <v>50</v>
      </c>
      <c r="FC57" s="348" t="s">
        <v>910</v>
      </c>
      <c r="FD57" s="349">
        <v>8</v>
      </c>
      <c r="FE57" s="348" t="s">
        <v>910</v>
      </c>
      <c r="FF57" s="371">
        <v>0.13</v>
      </c>
      <c r="FG57" s="371">
        <v>0.61</v>
      </c>
      <c r="FH57" s="371">
        <v>0.26</v>
      </c>
      <c r="FI57" s="371">
        <v>0</v>
      </c>
      <c r="FJ57" s="371">
        <v>0.46</v>
      </c>
      <c r="FK57" s="371">
        <v>0.67</v>
      </c>
      <c r="FL57" s="371">
        <v>0.5</v>
      </c>
      <c r="FM57" s="371">
        <v>0.37</v>
      </c>
      <c r="FN57" s="371">
        <v>0.28000000000000003</v>
      </c>
      <c r="FO57" s="371">
        <v>0.42</v>
      </c>
      <c r="FP57" s="371">
        <v>0.35</v>
      </c>
      <c r="FQ57" s="371">
        <v>0.41</v>
      </c>
      <c r="FR57" s="371">
        <v>0.55000000000000004</v>
      </c>
      <c r="FS57" s="371">
        <v>0.49</v>
      </c>
      <c r="FT57" s="371">
        <v>0.48</v>
      </c>
      <c r="FU57" s="371">
        <v>0.39</v>
      </c>
      <c r="FV57" s="371">
        <v>0.67</v>
      </c>
      <c r="FW57" s="371">
        <v>0.55000000000000004</v>
      </c>
      <c r="FX57" s="371">
        <v>0.44</v>
      </c>
      <c r="FY57" s="371">
        <v>0.38</v>
      </c>
      <c r="FZ57" s="371">
        <v>0.37</v>
      </c>
      <c r="GA57" s="371">
        <v>0.46</v>
      </c>
      <c r="GB57" s="371">
        <v>0.61</v>
      </c>
      <c r="GC57" s="371">
        <v>0.46</v>
      </c>
      <c r="GD57" s="371">
        <v>0.6</v>
      </c>
      <c r="GE57" s="371">
        <v>0.52</v>
      </c>
      <c r="GF57" s="371">
        <v>0.47</v>
      </c>
      <c r="GG57" s="371">
        <v>0.43</v>
      </c>
      <c r="GH57" s="371">
        <v>0.6</v>
      </c>
      <c r="GI57" s="371">
        <v>0.26</v>
      </c>
      <c r="GJ57" s="469">
        <v>47</v>
      </c>
      <c r="GK57" s="471" t="s">
        <v>910</v>
      </c>
      <c r="GL57" s="469">
        <v>9</v>
      </c>
      <c r="GM57" s="471" t="s">
        <v>910</v>
      </c>
      <c r="GN57" s="501">
        <v>0.26</v>
      </c>
      <c r="GO57" s="501">
        <v>0.59</v>
      </c>
      <c r="GP57" s="501">
        <v>0.15</v>
      </c>
      <c r="GQ57" s="501">
        <v>0</v>
      </c>
      <c r="GR57" s="501">
        <v>0.56000000000000005</v>
      </c>
      <c r="GS57" s="501">
        <v>0.63</v>
      </c>
      <c r="GT57" s="501">
        <v>0.6</v>
      </c>
      <c r="GU57" s="501">
        <v>0.27</v>
      </c>
      <c r="GV57" s="501">
        <v>0.65</v>
      </c>
      <c r="GW57" s="501">
        <v>0.46</v>
      </c>
      <c r="GX57" s="501">
        <v>0.52</v>
      </c>
      <c r="GY57" s="471" t="s">
        <v>287</v>
      </c>
      <c r="GZ57" s="501">
        <v>0.33</v>
      </c>
      <c r="HA57" s="501">
        <v>0.62</v>
      </c>
      <c r="HB57" s="501">
        <v>0.52</v>
      </c>
      <c r="HC57" s="501">
        <v>0.59</v>
      </c>
      <c r="HD57" s="501">
        <v>0.68</v>
      </c>
      <c r="HE57" s="501">
        <v>0.57999999999999996</v>
      </c>
      <c r="HF57" s="501">
        <v>0.55000000000000004</v>
      </c>
      <c r="HG57" s="501">
        <v>0.72</v>
      </c>
      <c r="HH57" s="501">
        <v>0.41</v>
      </c>
      <c r="HI57" s="501">
        <v>0.62</v>
      </c>
      <c r="HJ57" s="501">
        <v>0.61</v>
      </c>
      <c r="HK57" s="501">
        <v>0.62</v>
      </c>
      <c r="HL57" s="501">
        <v>0.57999999999999996</v>
      </c>
      <c r="HM57" s="501">
        <v>0.56999999999999995</v>
      </c>
      <c r="HN57" s="501">
        <v>0.57999999999999996</v>
      </c>
      <c r="HO57" s="501">
        <v>0.52</v>
      </c>
      <c r="HP57" s="471" t="s">
        <v>287</v>
      </c>
      <c r="HQ57" s="501">
        <v>0.44</v>
      </c>
      <c r="HR57" s="630">
        <v>50</v>
      </c>
      <c r="HS57" s="640" t="s">
        <v>910</v>
      </c>
      <c r="HT57" s="630">
        <v>8</v>
      </c>
      <c r="HU57" s="640" t="s">
        <v>910</v>
      </c>
      <c r="HV57" s="644">
        <v>0.16</v>
      </c>
      <c r="HW57" s="644">
        <v>0.57999999999999996</v>
      </c>
      <c r="HX57" s="644">
        <v>0.26</v>
      </c>
      <c r="HY57" s="644">
        <v>0</v>
      </c>
      <c r="HZ57" s="644">
        <v>0.47</v>
      </c>
      <c r="IA57" s="644">
        <v>0.6</v>
      </c>
      <c r="IB57" s="644">
        <v>0.28999999999999998</v>
      </c>
      <c r="IC57" s="644">
        <v>0.43</v>
      </c>
      <c r="ID57" s="644">
        <v>0.66</v>
      </c>
      <c r="IE57" s="644">
        <v>0.39</v>
      </c>
      <c r="IF57" s="644">
        <v>0.42</v>
      </c>
      <c r="IG57" s="644">
        <v>0.55000000000000004</v>
      </c>
      <c r="IH57" s="644">
        <v>0.54</v>
      </c>
      <c r="II57" s="644">
        <v>0.32</v>
      </c>
      <c r="IJ57" s="644">
        <v>0.28000000000000003</v>
      </c>
      <c r="IK57" s="644">
        <v>0.59</v>
      </c>
      <c r="IL57" s="644">
        <v>0.44</v>
      </c>
      <c r="IM57" s="644">
        <v>0.56000000000000005</v>
      </c>
      <c r="IN57" s="644">
        <v>0.49</v>
      </c>
      <c r="IO57" s="644">
        <v>0.59</v>
      </c>
      <c r="IP57" s="644">
        <v>0.3</v>
      </c>
      <c r="IQ57" s="644">
        <v>0.75</v>
      </c>
      <c r="IR57" s="644">
        <v>0.67</v>
      </c>
      <c r="IS57" s="644">
        <v>0.56000000000000005</v>
      </c>
      <c r="IT57" s="644">
        <v>0.4</v>
      </c>
      <c r="IU57" s="640" t="s">
        <v>287</v>
      </c>
      <c r="IV57" s="644">
        <v>0.6</v>
      </c>
      <c r="IW57" s="644">
        <v>0.42</v>
      </c>
      <c r="IX57" s="644">
        <v>0.61</v>
      </c>
      <c r="IY57" s="644">
        <v>0.51</v>
      </c>
    </row>
    <row r="58" spans="1:259" s="219" customFormat="1" ht="24.9" customHeight="1" x14ac:dyDescent="0.25">
      <c r="A58" s="188" t="s">
        <v>877</v>
      </c>
      <c r="B58" s="1" t="s">
        <v>222</v>
      </c>
      <c r="C58" s="2">
        <v>4</v>
      </c>
      <c r="D58" s="16"/>
      <c r="E58" s="16"/>
      <c r="F58" s="99"/>
      <c r="G58" s="99"/>
      <c r="H58" s="99"/>
      <c r="I58" s="99"/>
      <c r="J58" s="99"/>
      <c r="K58" s="99"/>
      <c r="L58" s="99"/>
      <c r="M58" s="99"/>
      <c r="N58" s="99"/>
      <c r="O58" s="99"/>
      <c r="P58" s="99"/>
      <c r="Q58" s="99"/>
      <c r="R58" s="99"/>
      <c r="S58" s="99"/>
      <c r="T58" s="99"/>
      <c r="U58" s="99"/>
      <c r="V58" s="99"/>
      <c r="W58" s="99"/>
      <c r="X58" s="99"/>
      <c r="Y58" s="99"/>
      <c r="Z58" s="13"/>
      <c r="AA58" s="99"/>
      <c r="AB58" s="99"/>
      <c r="AC58" s="99"/>
      <c r="AD58" s="99"/>
      <c r="AE58" s="99"/>
      <c r="AF58" s="99"/>
      <c r="AG58" s="99"/>
      <c r="AH58" s="16"/>
      <c r="AI58" s="16"/>
      <c r="AJ58" s="66"/>
      <c r="AK58" s="66"/>
      <c r="AL58" s="66"/>
      <c r="AM58" s="66"/>
      <c r="AN58" s="66"/>
      <c r="AO58" s="66"/>
      <c r="AP58" s="66"/>
      <c r="AQ58" s="66"/>
      <c r="AR58" s="66"/>
      <c r="AS58" s="66"/>
      <c r="AT58" s="66"/>
      <c r="AU58" s="66"/>
      <c r="AV58" s="66"/>
      <c r="AW58" s="66"/>
      <c r="AX58" s="66"/>
      <c r="AY58" s="66"/>
      <c r="AZ58" s="66"/>
      <c r="BA58" s="66"/>
      <c r="BB58" s="66"/>
      <c r="BC58" s="66"/>
      <c r="BD58" s="66"/>
      <c r="BE58" s="66"/>
      <c r="BF58" s="66"/>
      <c r="BG58" s="66"/>
      <c r="BH58" s="66"/>
      <c r="BI58" s="66"/>
      <c r="BJ58" s="66"/>
      <c r="BK58" s="66"/>
      <c r="BL58" s="66"/>
      <c r="BM58" s="16"/>
      <c r="BN58" s="16"/>
      <c r="BO58" s="99"/>
      <c r="BP58" s="99"/>
      <c r="BQ58" s="99"/>
      <c r="BR58" s="99"/>
      <c r="BS58" s="99"/>
      <c r="BT58" s="99"/>
      <c r="BU58" s="99"/>
      <c r="BV58" s="99"/>
      <c r="BW58" s="99"/>
      <c r="BX58" s="99"/>
      <c r="BY58" s="99"/>
      <c r="BZ58" s="99"/>
      <c r="CA58" s="99"/>
      <c r="CB58" s="99"/>
      <c r="CC58" s="99"/>
      <c r="CD58" s="99"/>
      <c r="CE58" s="99"/>
      <c r="CF58" s="99"/>
      <c r="CG58" s="99"/>
      <c r="CH58" s="99"/>
      <c r="CI58" s="99"/>
      <c r="CJ58" s="99"/>
      <c r="CK58" s="99"/>
      <c r="CL58" s="99"/>
      <c r="CM58" s="99"/>
      <c r="CN58" s="99"/>
      <c r="CO58" s="99"/>
      <c r="CP58" s="99"/>
      <c r="CQ58" s="99"/>
      <c r="CR58" s="99"/>
      <c r="CS58" s="16"/>
      <c r="CT58" s="16"/>
      <c r="CU58" s="96"/>
      <c r="CV58" s="96"/>
      <c r="CW58" s="96"/>
      <c r="CX58" s="96"/>
      <c r="CY58" s="96"/>
      <c r="CZ58" s="96"/>
      <c r="DA58" s="96"/>
      <c r="DB58" s="96"/>
      <c r="DC58" s="96"/>
      <c r="DD58" s="96"/>
      <c r="DE58" s="96"/>
      <c r="DF58" s="96"/>
      <c r="DG58" s="96"/>
      <c r="DH58" s="96"/>
      <c r="DI58" s="96"/>
      <c r="DJ58" s="96"/>
      <c r="DK58" s="96"/>
      <c r="DL58" s="96"/>
      <c r="DM58" s="96"/>
      <c r="DN58" s="96"/>
      <c r="DO58" s="96"/>
      <c r="DP58" s="96"/>
      <c r="DQ58" s="96"/>
      <c r="DR58" s="96"/>
      <c r="DS58" s="96"/>
      <c r="DT58" s="96"/>
      <c r="DU58" s="96"/>
      <c r="DV58" s="96"/>
      <c r="DW58" s="96"/>
      <c r="DX58" s="61"/>
      <c r="DY58" s="61"/>
      <c r="DZ58" s="66"/>
      <c r="EA58" s="66"/>
      <c r="EB58" s="66"/>
      <c r="EC58" s="66"/>
      <c r="ED58" s="66"/>
      <c r="EE58" s="66"/>
      <c r="EF58" s="66"/>
      <c r="EG58" s="66"/>
      <c r="EH58" s="66"/>
      <c r="EI58" s="66"/>
      <c r="EJ58" s="66"/>
      <c r="EK58" s="66"/>
      <c r="EL58" s="66"/>
      <c r="EM58" s="66"/>
      <c r="EN58" s="66"/>
      <c r="EO58" s="66"/>
      <c r="EP58" s="66"/>
      <c r="EQ58" s="66"/>
      <c r="ER58" s="66"/>
      <c r="ES58" s="66"/>
      <c r="ET58" s="66"/>
      <c r="EU58" s="66"/>
      <c r="EV58" s="66"/>
      <c r="EW58" s="66"/>
      <c r="EX58" s="66"/>
      <c r="EY58" s="66"/>
      <c r="EZ58" s="66"/>
      <c r="FA58" s="66"/>
      <c r="FC58" s="336"/>
      <c r="FE58" s="336"/>
    </row>
    <row r="59" spans="1:259" ht="24.9" customHeight="1" x14ac:dyDescent="0.25">
      <c r="A59" s="188" t="s">
        <v>200</v>
      </c>
      <c r="B59" s="1" t="s">
        <v>222</v>
      </c>
      <c r="C59" s="2">
        <v>3</v>
      </c>
      <c r="D59" s="16">
        <v>56</v>
      </c>
      <c r="E59" s="16">
        <v>8</v>
      </c>
      <c r="F59" s="99">
        <v>0.04</v>
      </c>
      <c r="G59" s="99">
        <v>0.45</v>
      </c>
      <c r="H59" s="99">
        <v>0.5</v>
      </c>
      <c r="I59" s="99">
        <v>0.01</v>
      </c>
      <c r="J59" s="99">
        <v>0.33</v>
      </c>
      <c r="K59" s="99">
        <v>0.31</v>
      </c>
      <c r="L59" s="99">
        <v>0.72</v>
      </c>
      <c r="M59" s="99">
        <v>0.17</v>
      </c>
      <c r="N59" s="99">
        <v>0.24</v>
      </c>
      <c r="O59" s="99">
        <v>0.53</v>
      </c>
      <c r="P59" s="99">
        <v>0.23</v>
      </c>
      <c r="Q59" s="99">
        <v>0.44</v>
      </c>
      <c r="R59" s="99">
        <v>0.42</v>
      </c>
      <c r="S59" s="99">
        <v>0.64</v>
      </c>
      <c r="T59" s="99">
        <v>0.43</v>
      </c>
      <c r="U59" s="99">
        <v>0.54</v>
      </c>
      <c r="V59" s="99">
        <v>0.02</v>
      </c>
      <c r="W59" s="99">
        <v>0.19</v>
      </c>
      <c r="X59" s="99">
        <v>0.39</v>
      </c>
      <c r="Y59" s="99">
        <v>0.44</v>
      </c>
      <c r="Z59" s="99">
        <v>1</v>
      </c>
      <c r="AA59" s="99">
        <v>0.09</v>
      </c>
      <c r="AB59" s="99">
        <v>0.28999999999999998</v>
      </c>
      <c r="AC59" s="99">
        <v>0.11</v>
      </c>
      <c r="AD59" s="99">
        <v>0.4</v>
      </c>
      <c r="AE59" s="99">
        <v>0.24</v>
      </c>
      <c r="AF59" s="99">
        <v>0.52</v>
      </c>
      <c r="AG59" s="99">
        <v>0.47</v>
      </c>
      <c r="AH59" s="16">
        <v>57</v>
      </c>
      <c r="AI59" s="16">
        <v>7</v>
      </c>
      <c r="AJ59" s="66">
        <v>0.02</v>
      </c>
      <c r="AK59" s="66">
        <v>0.42</v>
      </c>
      <c r="AL59" s="66">
        <v>0.53</v>
      </c>
      <c r="AM59" s="66">
        <v>0.03</v>
      </c>
      <c r="AN59" s="66">
        <v>0.18</v>
      </c>
      <c r="AO59" s="66">
        <v>0.41</v>
      </c>
      <c r="AP59" s="66">
        <v>0.46</v>
      </c>
      <c r="AQ59" s="66">
        <v>0.28000000000000003</v>
      </c>
      <c r="AR59" s="66">
        <v>0.47</v>
      </c>
      <c r="AS59" s="66">
        <v>0.4</v>
      </c>
      <c r="AT59" s="66">
        <v>0.45</v>
      </c>
      <c r="AU59" s="66">
        <v>0.41</v>
      </c>
      <c r="AV59" s="66">
        <v>0.52</v>
      </c>
      <c r="AW59" s="66">
        <v>0.38</v>
      </c>
      <c r="AX59" s="66">
        <v>0.4</v>
      </c>
      <c r="AY59" s="66">
        <v>0.17</v>
      </c>
      <c r="AZ59" s="66">
        <v>0.18</v>
      </c>
      <c r="BA59" s="66">
        <v>0.38</v>
      </c>
      <c r="BB59" s="66">
        <v>0.63</v>
      </c>
      <c r="BC59" s="66">
        <v>0.59</v>
      </c>
      <c r="BD59" s="66">
        <v>0.26</v>
      </c>
      <c r="BE59" s="66">
        <v>0.48</v>
      </c>
      <c r="BF59" s="66">
        <v>0.55000000000000004</v>
      </c>
      <c r="BG59" s="66">
        <v>0.4</v>
      </c>
      <c r="BH59" s="66">
        <v>0.35</v>
      </c>
      <c r="BI59" s="66">
        <v>0.35</v>
      </c>
      <c r="BJ59" s="66">
        <v>0.25</v>
      </c>
      <c r="BK59" s="66">
        <v>0.32</v>
      </c>
      <c r="BL59" s="66">
        <v>0.44</v>
      </c>
      <c r="BM59" s="16">
        <v>55</v>
      </c>
      <c r="BN59" s="16">
        <v>8</v>
      </c>
      <c r="BO59" s="99">
        <v>0.05</v>
      </c>
      <c r="BP59" s="99">
        <v>0.4</v>
      </c>
      <c r="BQ59" s="99">
        <v>0.55000000000000004</v>
      </c>
      <c r="BR59" s="99">
        <v>0.01</v>
      </c>
      <c r="BS59" s="99">
        <v>0.26</v>
      </c>
      <c r="BT59" s="99">
        <v>0.48</v>
      </c>
      <c r="BU59" s="99">
        <v>0.62</v>
      </c>
      <c r="BV59" s="99">
        <v>0.19</v>
      </c>
      <c r="BW59" s="99">
        <v>0.59</v>
      </c>
      <c r="BX59" s="99">
        <v>0.25</v>
      </c>
      <c r="BY59" s="99">
        <v>0.39</v>
      </c>
      <c r="BZ59" s="99">
        <v>0.47</v>
      </c>
      <c r="CA59" s="99">
        <v>0.4</v>
      </c>
      <c r="CB59" s="99">
        <v>0.24</v>
      </c>
      <c r="CC59" s="99">
        <v>0.11</v>
      </c>
      <c r="CD59" s="99">
        <v>0.35</v>
      </c>
      <c r="CE59" s="99">
        <v>0.26</v>
      </c>
      <c r="CF59" s="99">
        <v>0.54</v>
      </c>
      <c r="CG59" s="99">
        <v>0.51</v>
      </c>
      <c r="CH59" s="99">
        <v>0.36</v>
      </c>
      <c r="CI59" s="99">
        <v>0.52</v>
      </c>
      <c r="CJ59" s="99">
        <v>0.21</v>
      </c>
      <c r="CK59" s="99">
        <v>0.59</v>
      </c>
      <c r="CL59" s="99">
        <v>0.18</v>
      </c>
      <c r="CM59" s="99">
        <v>0.34</v>
      </c>
      <c r="CN59" s="99">
        <v>0.32</v>
      </c>
      <c r="CO59" s="99">
        <v>0.4</v>
      </c>
      <c r="CP59" s="99">
        <v>0.26</v>
      </c>
      <c r="CQ59" s="99">
        <v>0.48</v>
      </c>
      <c r="CR59" s="99">
        <v>0.47</v>
      </c>
      <c r="CS59" s="16">
        <v>54</v>
      </c>
      <c r="CT59" s="16">
        <v>8</v>
      </c>
      <c r="CU59" s="96">
        <v>0.04</v>
      </c>
      <c r="CV59" s="96">
        <v>0.54</v>
      </c>
      <c r="CW59" s="96">
        <v>0.41</v>
      </c>
      <c r="CX59" s="96">
        <v>0.01</v>
      </c>
      <c r="CY59" s="96">
        <v>0.46</v>
      </c>
      <c r="CZ59" s="96">
        <v>0.24</v>
      </c>
      <c r="DA59" s="96">
        <v>0.46</v>
      </c>
      <c r="DB59" s="96">
        <v>0.28000000000000003</v>
      </c>
      <c r="DC59" s="96">
        <v>0.4</v>
      </c>
      <c r="DD59" s="96">
        <v>0.56000000000000005</v>
      </c>
      <c r="DE59" s="96">
        <v>0.36</v>
      </c>
      <c r="DF59" s="96">
        <v>0.43</v>
      </c>
      <c r="DG59" s="96">
        <v>0.36</v>
      </c>
      <c r="DH59" s="96">
        <v>0.33</v>
      </c>
      <c r="DI59" s="96">
        <v>0.37</v>
      </c>
      <c r="DJ59" s="96">
        <v>0.43</v>
      </c>
      <c r="DK59" s="96">
        <v>0.27</v>
      </c>
      <c r="DL59" s="96">
        <v>0.21</v>
      </c>
      <c r="DM59" s="96">
        <v>0.44</v>
      </c>
      <c r="DN59" s="96">
        <v>0.43</v>
      </c>
      <c r="DO59" s="96">
        <v>0.36</v>
      </c>
      <c r="DP59" s="96">
        <v>0.44</v>
      </c>
      <c r="DQ59" s="96">
        <v>0.46</v>
      </c>
      <c r="DR59" s="96">
        <v>0.19</v>
      </c>
      <c r="DS59" s="96">
        <v>0.32</v>
      </c>
      <c r="DT59" s="96">
        <v>0.48</v>
      </c>
      <c r="DU59" s="96">
        <v>0.4</v>
      </c>
      <c r="DV59" s="96">
        <v>0.5</v>
      </c>
      <c r="DW59" s="96">
        <v>0.25</v>
      </c>
      <c r="DX59" s="61">
        <v>54</v>
      </c>
      <c r="DY59" s="61">
        <v>9</v>
      </c>
      <c r="DZ59" s="66">
        <v>0.09</v>
      </c>
      <c r="EA59" s="66">
        <v>0.44</v>
      </c>
      <c r="EB59" s="66">
        <v>0.47</v>
      </c>
      <c r="EC59" s="66">
        <v>0.01</v>
      </c>
      <c r="ED59" s="66">
        <v>0.4</v>
      </c>
      <c r="EE59" s="66">
        <v>0.4</v>
      </c>
      <c r="EF59" s="66">
        <v>0.5</v>
      </c>
      <c r="EG59" s="66">
        <v>0.22</v>
      </c>
      <c r="EH59" s="66">
        <v>0.34</v>
      </c>
      <c r="EI59" s="66">
        <v>0.42</v>
      </c>
      <c r="EJ59" s="66">
        <v>0.49</v>
      </c>
      <c r="EK59" s="66">
        <v>0.19</v>
      </c>
      <c r="EL59" s="66">
        <v>0.36</v>
      </c>
      <c r="EM59" s="66">
        <v>0.64</v>
      </c>
      <c r="EN59" s="66">
        <v>0.35</v>
      </c>
      <c r="EO59" s="66">
        <v>0.55000000000000004</v>
      </c>
      <c r="EP59" s="66">
        <v>0.28999999999999998</v>
      </c>
      <c r="EQ59" s="66">
        <v>0.17</v>
      </c>
      <c r="ER59" s="66">
        <v>0.6</v>
      </c>
      <c r="ES59" s="66">
        <v>0.35</v>
      </c>
      <c r="ET59" s="66">
        <v>0.25</v>
      </c>
      <c r="EU59" s="66">
        <v>0.49</v>
      </c>
      <c r="EV59" s="66">
        <v>0.33</v>
      </c>
      <c r="EW59" s="66">
        <v>0.2</v>
      </c>
      <c r="EX59" s="66">
        <v>0.62</v>
      </c>
      <c r="EY59" s="66">
        <v>0.48</v>
      </c>
      <c r="EZ59" s="66">
        <v>0.13</v>
      </c>
      <c r="FA59" s="66">
        <v>0.52</v>
      </c>
      <c r="FB59" s="349">
        <v>54</v>
      </c>
      <c r="FC59" s="348" t="s">
        <v>910</v>
      </c>
      <c r="FD59" s="349">
        <v>9</v>
      </c>
      <c r="FE59" s="348" t="s">
        <v>910</v>
      </c>
      <c r="FF59" s="371">
        <v>0.09</v>
      </c>
      <c r="FG59" s="371">
        <v>0.44</v>
      </c>
      <c r="FH59" s="371">
        <v>0.45</v>
      </c>
      <c r="FI59" s="371">
        <v>0.01</v>
      </c>
      <c r="FJ59" s="371">
        <v>0.38</v>
      </c>
      <c r="FK59" s="371">
        <v>0.59</v>
      </c>
      <c r="FL59" s="371">
        <v>0.38</v>
      </c>
      <c r="FM59" s="371">
        <v>0.3</v>
      </c>
      <c r="FN59" s="371">
        <v>0.2</v>
      </c>
      <c r="FO59" s="371">
        <v>0.27</v>
      </c>
      <c r="FP59" s="371">
        <v>0.33</v>
      </c>
      <c r="FQ59" s="371">
        <v>0.34</v>
      </c>
      <c r="FR59" s="371">
        <v>0.52</v>
      </c>
      <c r="FS59" s="371">
        <v>0.51</v>
      </c>
      <c r="FT59" s="371">
        <v>0.38</v>
      </c>
      <c r="FU59" s="371">
        <v>0.28000000000000003</v>
      </c>
      <c r="FV59" s="371">
        <v>0.54</v>
      </c>
      <c r="FW59" s="371">
        <v>0.46</v>
      </c>
      <c r="FX59" s="371">
        <v>0.34</v>
      </c>
      <c r="FY59" s="371">
        <v>0.26</v>
      </c>
      <c r="FZ59" s="371">
        <v>0.36</v>
      </c>
      <c r="GA59" s="371">
        <v>0.43</v>
      </c>
      <c r="GB59" s="371">
        <v>0.43</v>
      </c>
      <c r="GC59" s="371">
        <v>0.3</v>
      </c>
      <c r="GD59" s="371">
        <v>0.52</v>
      </c>
      <c r="GE59" s="371">
        <v>0.48</v>
      </c>
      <c r="GF59" s="371">
        <v>0.32</v>
      </c>
      <c r="GG59" s="371">
        <v>0.35</v>
      </c>
      <c r="GH59" s="371">
        <v>0.44</v>
      </c>
      <c r="GI59" s="371">
        <v>0.21</v>
      </c>
      <c r="GJ59" s="469">
        <v>56</v>
      </c>
      <c r="GK59" s="471" t="s">
        <v>910</v>
      </c>
      <c r="GL59" s="469">
        <v>10</v>
      </c>
      <c r="GM59" s="471" t="s">
        <v>910</v>
      </c>
      <c r="GN59" s="501">
        <v>0.09</v>
      </c>
      <c r="GO59" s="501">
        <v>0.39</v>
      </c>
      <c r="GP59" s="501">
        <v>0.45</v>
      </c>
      <c r="GQ59" s="501">
        <v>7.0000000000000007E-2</v>
      </c>
      <c r="GR59" s="501">
        <v>0.4</v>
      </c>
      <c r="GS59" s="501">
        <v>0.42</v>
      </c>
      <c r="GT59" s="501">
        <v>0.53</v>
      </c>
      <c r="GU59" s="501">
        <v>0.2</v>
      </c>
      <c r="GV59" s="501">
        <v>0.48</v>
      </c>
      <c r="GW59" s="501">
        <v>0.37</v>
      </c>
      <c r="GX59" s="501">
        <v>0.34</v>
      </c>
      <c r="GY59" s="471" t="s">
        <v>287</v>
      </c>
      <c r="GZ59" s="501">
        <v>0.24</v>
      </c>
      <c r="HA59" s="501">
        <v>0.69</v>
      </c>
      <c r="HB59" s="501">
        <v>0.37</v>
      </c>
      <c r="HC59" s="501">
        <v>0.41</v>
      </c>
      <c r="HD59" s="501">
        <v>0.44</v>
      </c>
      <c r="HE59" s="501">
        <v>0.38</v>
      </c>
      <c r="HF59" s="501">
        <v>0.37</v>
      </c>
      <c r="HG59" s="501">
        <v>0.54</v>
      </c>
      <c r="HH59" s="501">
        <v>0.3</v>
      </c>
      <c r="HI59" s="501">
        <v>0.37</v>
      </c>
      <c r="HJ59" s="501">
        <v>0.49</v>
      </c>
      <c r="HK59" s="501">
        <v>0.42</v>
      </c>
      <c r="HL59" s="501">
        <v>0.31</v>
      </c>
      <c r="HM59" s="501">
        <v>0.43</v>
      </c>
      <c r="HN59" s="501">
        <v>0.45</v>
      </c>
      <c r="HO59" s="501">
        <v>0.31</v>
      </c>
      <c r="HP59" s="471" t="s">
        <v>287</v>
      </c>
      <c r="HQ59" s="501">
        <v>0.28999999999999998</v>
      </c>
      <c r="HR59" s="630">
        <v>55</v>
      </c>
      <c r="HS59" s="640" t="s">
        <v>910</v>
      </c>
      <c r="HT59" s="630">
        <v>9</v>
      </c>
      <c r="HU59" s="640" t="s">
        <v>910</v>
      </c>
      <c r="HV59" s="644">
        <v>0.05</v>
      </c>
      <c r="HW59" s="644">
        <v>0.43</v>
      </c>
      <c r="HX59" s="644">
        <v>0.5</v>
      </c>
      <c r="HY59" s="644">
        <v>0.02</v>
      </c>
      <c r="HZ59" s="644">
        <v>0.31</v>
      </c>
      <c r="IA59" s="644">
        <v>0.47</v>
      </c>
      <c r="IB59" s="644">
        <v>0.28999999999999998</v>
      </c>
      <c r="IC59" s="644">
        <v>0.45</v>
      </c>
      <c r="ID59" s="644">
        <v>0.6</v>
      </c>
      <c r="IE59" s="644">
        <v>0.24</v>
      </c>
      <c r="IF59" s="644">
        <v>0.36</v>
      </c>
      <c r="IG59" s="644">
        <v>0.47</v>
      </c>
      <c r="IH59" s="644">
        <v>0.42</v>
      </c>
      <c r="II59" s="644">
        <v>0.16</v>
      </c>
      <c r="IJ59" s="644">
        <v>0.21</v>
      </c>
      <c r="IK59" s="644">
        <v>0.51</v>
      </c>
      <c r="IL59" s="644">
        <v>0.33</v>
      </c>
      <c r="IM59" s="644">
        <v>0.48</v>
      </c>
      <c r="IN59" s="644">
        <v>0.34</v>
      </c>
      <c r="IO59" s="644">
        <v>0.46</v>
      </c>
      <c r="IP59" s="644">
        <v>0.34</v>
      </c>
      <c r="IQ59" s="644">
        <v>0.62</v>
      </c>
      <c r="IR59" s="644">
        <v>0.5</v>
      </c>
      <c r="IS59" s="644">
        <v>0.43</v>
      </c>
      <c r="IT59" s="644">
        <v>0.35</v>
      </c>
      <c r="IU59" s="640" t="s">
        <v>287</v>
      </c>
      <c r="IV59" s="644">
        <v>0.56000000000000005</v>
      </c>
      <c r="IW59" s="644">
        <v>0.31</v>
      </c>
      <c r="IX59" s="644">
        <v>0.47</v>
      </c>
      <c r="IY59" s="644">
        <v>0.39</v>
      </c>
    </row>
    <row r="60" spans="1:259" ht="24.9" customHeight="1" x14ac:dyDescent="0.25">
      <c r="A60" s="188" t="s">
        <v>175</v>
      </c>
      <c r="B60" s="1" t="s">
        <v>222</v>
      </c>
      <c r="C60" s="2">
        <v>2</v>
      </c>
      <c r="D60" s="16">
        <v>52</v>
      </c>
      <c r="E60" s="16">
        <v>8</v>
      </c>
      <c r="F60" s="99">
        <v>0.05</v>
      </c>
      <c r="G60" s="99">
        <v>0.64</v>
      </c>
      <c r="H60" s="99">
        <v>0.31</v>
      </c>
      <c r="I60" s="99">
        <v>0</v>
      </c>
      <c r="J60" s="99">
        <v>0.49</v>
      </c>
      <c r="K60" s="99">
        <v>0.35</v>
      </c>
      <c r="L60" s="99">
        <v>0.74</v>
      </c>
      <c r="M60" s="99">
        <v>0.46</v>
      </c>
      <c r="N60" s="99">
        <v>0.31</v>
      </c>
      <c r="O60" s="99">
        <v>0.71</v>
      </c>
      <c r="P60" s="99">
        <v>0.35</v>
      </c>
      <c r="Q60" s="99">
        <v>0.36</v>
      </c>
      <c r="R60" s="99">
        <v>0.52</v>
      </c>
      <c r="S60" s="99">
        <v>0.54</v>
      </c>
      <c r="T60" s="99">
        <v>0.51</v>
      </c>
      <c r="U60" s="99">
        <v>0.59</v>
      </c>
      <c r="V60" s="99">
        <v>0.08</v>
      </c>
      <c r="W60" s="99">
        <v>0.2</v>
      </c>
      <c r="X60" s="99">
        <v>0.54</v>
      </c>
      <c r="Y60" s="99">
        <v>0.64</v>
      </c>
      <c r="Z60" s="13" t="s">
        <v>287</v>
      </c>
      <c r="AA60" s="99">
        <v>0.1</v>
      </c>
      <c r="AB60" s="99">
        <v>0.46</v>
      </c>
      <c r="AC60" s="99">
        <v>0.28000000000000003</v>
      </c>
      <c r="AD60" s="99">
        <v>0.49</v>
      </c>
      <c r="AE60" s="99">
        <v>0.52</v>
      </c>
      <c r="AF60" s="99">
        <v>0.47</v>
      </c>
      <c r="AG60" s="99">
        <v>0.52</v>
      </c>
      <c r="AH60" s="16">
        <v>50</v>
      </c>
      <c r="AI60" s="16">
        <v>7</v>
      </c>
      <c r="AJ60" s="66">
        <v>0.13</v>
      </c>
      <c r="AK60" s="66">
        <v>0.63</v>
      </c>
      <c r="AL60" s="66">
        <v>0.23</v>
      </c>
      <c r="AM60" s="66">
        <v>0</v>
      </c>
      <c r="AN60" s="66">
        <v>0.43</v>
      </c>
      <c r="AO60" s="66">
        <v>0.52</v>
      </c>
      <c r="AP60" s="66">
        <v>0.55000000000000004</v>
      </c>
      <c r="AQ60" s="66">
        <v>0.46</v>
      </c>
      <c r="AR60" s="66">
        <v>0.56999999999999995</v>
      </c>
      <c r="AS60" s="66">
        <v>0.54</v>
      </c>
      <c r="AT60" s="66">
        <v>0.59</v>
      </c>
      <c r="AU60" s="66">
        <v>0.6</v>
      </c>
      <c r="AV60" s="66">
        <v>0.65</v>
      </c>
      <c r="AW60" s="66">
        <v>0.67</v>
      </c>
      <c r="AX60" s="66">
        <v>0.62</v>
      </c>
      <c r="AY60" s="66">
        <v>0.43</v>
      </c>
      <c r="AZ60" s="66">
        <v>0.26</v>
      </c>
      <c r="BA60" s="66">
        <v>0.62</v>
      </c>
      <c r="BB60" s="66">
        <v>0.68</v>
      </c>
      <c r="BC60" s="66">
        <v>0.73</v>
      </c>
      <c r="BD60" s="66">
        <v>0.43</v>
      </c>
      <c r="BE60" s="66">
        <v>0.59</v>
      </c>
      <c r="BF60" s="66">
        <v>0.72</v>
      </c>
      <c r="BG60" s="66">
        <v>0.56000000000000005</v>
      </c>
      <c r="BH60" s="66">
        <v>0.5</v>
      </c>
      <c r="BI60" s="66">
        <v>0.48</v>
      </c>
      <c r="BJ60" s="66">
        <v>0.35</v>
      </c>
      <c r="BK60" s="66">
        <v>0.53</v>
      </c>
      <c r="BL60" s="66">
        <v>0.77</v>
      </c>
      <c r="BM60" s="16">
        <v>50</v>
      </c>
      <c r="BN60" s="16">
        <v>8</v>
      </c>
      <c r="BO60" s="99">
        <v>0.11</v>
      </c>
      <c r="BP60" s="99">
        <v>0.69</v>
      </c>
      <c r="BQ60" s="99">
        <v>0.19</v>
      </c>
      <c r="BR60" s="99">
        <v>0</v>
      </c>
      <c r="BS60" s="99">
        <v>0.3</v>
      </c>
      <c r="BT60" s="99">
        <v>0.71</v>
      </c>
      <c r="BU60" s="99">
        <v>0.7</v>
      </c>
      <c r="BV60" s="99">
        <v>0.4</v>
      </c>
      <c r="BW60" s="99">
        <v>0.65</v>
      </c>
      <c r="BX60" s="99">
        <v>0.39</v>
      </c>
      <c r="BY60" s="99">
        <v>0.42</v>
      </c>
      <c r="BZ60" s="99">
        <v>0.5</v>
      </c>
      <c r="CA60" s="99">
        <v>0.35</v>
      </c>
      <c r="CB60" s="99">
        <v>0.49</v>
      </c>
      <c r="CC60" s="99">
        <v>0.21</v>
      </c>
      <c r="CD60" s="99">
        <v>0.37</v>
      </c>
      <c r="CE60" s="99">
        <v>0.35</v>
      </c>
      <c r="CF60" s="99">
        <v>0.56999999999999995</v>
      </c>
      <c r="CG60" s="99">
        <v>0.66</v>
      </c>
      <c r="CH60" s="99">
        <v>0.47</v>
      </c>
      <c r="CI60" s="99">
        <v>0.56999999999999995</v>
      </c>
      <c r="CJ60" s="99">
        <v>0.39</v>
      </c>
      <c r="CK60" s="99">
        <v>0.75</v>
      </c>
      <c r="CL60" s="99">
        <v>0.33</v>
      </c>
      <c r="CM60" s="99">
        <v>0.48</v>
      </c>
      <c r="CN60" s="99">
        <v>0.47</v>
      </c>
      <c r="CO60" s="99">
        <v>0.42</v>
      </c>
      <c r="CP60" s="99">
        <v>0.36</v>
      </c>
      <c r="CQ60" s="99">
        <v>0.6</v>
      </c>
      <c r="CR60" s="99">
        <v>0.51</v>
      </c>
      <c r="CS60" s="16">
        <v>53</v>
      </c>
      <c r="CT60" s="16">
        <v>8</v>
      </c>
      <c r="CU60" s="96">
        <v>0.15</v>
      </c>
      <c r="CV60" s="96">
        <v>0.5</v>
      </c>
      <c r="CW60" s="96">
        <v>0.35</v>
      </c>
      <c r="CX60" s="96">
        <v>0</v>
      </c>
      <c r="CY60" s="96">
        <v>0.48</v>
      </c>
      <c r="CZ60" s="96">
        <v>0.25</v>
      </c>
      <c r="DA60" s="96">
        <v>0.52</v>
      </c>
      <c r="DB60" s="96">
        <v>0.18</v>
      </c>
      <c r="DC60" s="96">
        <v>0.45</v>
      </c>
      <c r="DD60" s="96">
        <v>0.61</v>
      </c>
      <c r="DE60" s="96">
        <v>0.34</v>
      </c>
      <c r="DF60" s="96">
        <v>0.56999999999999995</v>
      </c>
      <c r="DG60" s="96">
        <v>0.38</v>
      </c>
      <c r="DH60" s="96">
        <v>0.16</v>
      </c>
      <c r="DI60" s="96">
        <v>0.48</v>
      </c>
      <c r="DJ60" s="96">
        <v>0.42</v>
      </c>
      <c r="DK60" s="96">
        <v>0.36</v>
      </c>
      <c r="DL60" s="96">
        <v>0.21</v>
      </c>
      <c r="DM60" s="96">
        <v>0.48</v>
      </c>
      <c r="DN60" s="96">
        <v>0.46</v>
      </c>
      <c r="DO60" s="96">
        <v>0.48</v>
      </c>
      <c r="DP60" s="96">
        <v>0.43</v>
      </c>
      <c r="DQ60" s="96">
        <v>0.52</v>
      </c>
      <c r="DR60" s="96">
        <v>0.12</v>
      </c>
      <c r="DS60" s="96">
        <v>0.4</v>
      </c>
      <c r="DT60" s="96">
        <v>0.57999999999999996</v>
      </c>
      <c r="DU60" s="96">
        <v>0.38</v>
      </c>
      <c r="DV60" s="96">
        <v>0.6</v>
      </c>
      <c r="DW60" s="96">
        <v>0.38</v>
      </c>
      <c r="DX60" s="61">
        <v>48</v>
      </c>
      <c r="DY60" s="61">
        <v>9</v>
      </c>
      <c r="DZ60" s="66">
        <v>0.22</v>
      </c>
      <c r="EA60" s="66">
        <v>0.61</v>
      </c>
      <c r="EB60" s="66">
        <v>0.17</v>
      </c>
      <c r="EC60" s="66">
        <v>0</v>
      </c>
      <c r="ED60" s="66">
        <v>0.55000000000000004</v>
      </c>
      <c r="EE60" s="66">
        <v>0.49</v>
      </c>
      <c r="EF60" s="66">
        <v>0.45</v>
      </c>
      <c r="EG60" s="66">
        <v>0.36</v>
      </c>
      <c r="EH60" s="66">
        <v>0.48</v>
      </c>
      <c r="EI60" s="66">
        <v>0.52</v>
      </c>
      <c r="EJ60" s="66">
        <v>0.56999999999999995</v>
      </c>
      <c r="EK60" s="66">
        <v>0.3</v>
      </c>
      <c r="EL60" s="66">
        <v>0.45</v>
      </c>
      <c r="EM60" s="66">
        <v>0.72</v>
      </c>
      <c r="EN60" s="66">
        <v>0.43</v>
      </c>
      <c r="EO60" s="66">
        <v>0.55000000000000004</v>
      </c>
      <c r="EP60" s="66">
        <v>0.34</v>
      </c>
      <c r="EQ60" s="66">
        <v>0.31</v>
      </c>
      <c r="ER60" s="66">
        <v>0.67</v>
      </c>
      <c r="ES60" s="66">
        <v>0.53</v>
      </c>
      <c r="ET60" s="66">
        <v>0.38</v>
      </c>
      <c r="EU60" s="66">
        <v>0.63</v>
      </c>
      <c r="EV60" s="66">
        <v>0.43</v>
      </c>
      <c r="EW60" s="66">
        <v>0.34</v>
      </c>
      <c r="EX60" s="66">
        <v>0.64</v>
      </c>
      <c r="EY60" s="66">
        <v>0.65</v>
      </c>
      <c r="EZ60" s="66">
        <v>0.33</v>
      </c>
      <c r="FA60" s="66">
        <v>0.49</v>
      </c>
      <c r="FB60" s="349">
        <v>51</v>
      </c>
      <c r="FC60" s="348" t="s">
        <v>910</v>
      </c>
      <c r="FD60" s="349">
        <v>10</v>
      </c>
      <c r="FE60" s="348" t="s">
        <v>910</v>
      </c>
      <c r="FF60" s="371">
        <v>0.22</v>
      </c>
      <c r="FG60" s="371">
        <v>0.41</v>
      </c>
      <c r="FH60" s="371">
        <v>0.38</v>
      </c>
      <c r="FI60" s="371">
        <v>0</v>
      </c>
      <c r="FJ60" s="371">
        <v>0.41</v>
      </c>
      <c r="FK60" s="371">
        <v>0.67</v>
      </c>
      <c r="FL60" s="371">
        <v>0.51</v>
      </c>
      <c r="FM60" s="371">
        <v>0.4</v>
      </c>
      <c r="FN60" s="371">
        <v>0.26</v>
      </c>
      <c r="FO60" s="371">
        <v>0.36</v>
      </c>
      <c r="FP60" s="371">
        <v>0.32</v>
      </c>
      <c r="FQ60" s="371">
        <v>0.49</v>
      </c>
      <c r="FR60" s="371">
        <v>0.65</v>
      </c>
      <c r="FS60" s="371">
        <v>0.47</v>
      </c>
      <c r="FT60" s="371">
        <v>0.54</v>
      </c>
      <c r="FU60" s="371">
        <v>0.41</v>
      </c>
      <c r="FV60" s="371">
        <v>0.56999999999999995</v>
      </c>
      <c r="FW60" s="371">
        <v>0.52</v>
      </c>
      <c r="FX60" s="371">
        <v>0.55000000000000004</v>
      </c>
      <c r="FY60" s="371">
        <v>0.34</v>
      </c>
      <c r="FZ60" s="371">
        <v>0.44</v>
      </c>
      <c r="GA60" s="371">
        <v>0.48</v>
      </c>
      <c r="GB60" s="371">
        <v>0.48</v>
      </c>
      <c r="GC60" s="371">
        <v>0.41</v>
      </c>
      <c r="GD60" s="371">
        <v>0.64</v>
      </c>
      <c r="GE60" s="371">
        <v>0.51</v>
      </c>
      <c r="GF60" s="371">
        <v>0.51</v>
      </c>
      <c r="GG60" s="371">
        <v>0.36</v>
      </c>
      <c r="GH60" s="371">
        <v>0.61</v>
      </c>
      <c r="GI60" s="371">
        <v>0.22</v>
      </c>
      <c r="GJ60" s="469">
        <v>54</v>
      </c>
      <c r="GK60" s="471" t="s">
        <v>910</v>
      </c>
      <c r="GL60" s="469">
        <v>9</v>
      </c>
      <c r="GM60" s="471" t="s">
        <v>910</v>
      </c>
      <c r="GN60" s="501">
        <v>0.11</v>
      </c>
      <c r="GO60" s="501">
        <v>0.45</v>
      </c>
      <c r="GP60" s="501">
        <v>0.42</v>
      </c>
      <c r="GQ60" s="501">
        <v>0.03</v>
      </c>
      <c r="GR60" s="501">
        <v>0.48</v>
      </c>
      <c r="GS60" s="501">
        <v>0.54</v>
      </c>
      <c r="GT60" s="501">
        <v>0.57999999999999996</v>
      </c>
      <c r="GU60" s="501">
        <v>0.12</v>
      </c>
      <c r="GV60" s="501">
        <v>0.53</v>
      </c>
      <c r="GW60" s="501">
        <v>0.31</v>
      </c>
      <c r="GX60" s="501">
        <v>0.4</v>
      </c>
      <c r="GY60" s="471" t="s">
        <v>287</v>
      </c>
      <c r="GZ60" s="501">
        <v>0.18</v>
      </c>
      <c r="HA60" s="501">
        <v>0.86</v>
      </c>
      <c r="HB60" s="501">
        <v>0.39</v>
      </c>
      <c r="HC60" s="501">
        <v>0.52</v>
      </c>
      <c r="HD60" s="501">
        <v>0.48</v>
      </c>
      <c r="HE60" s="501">
        <v>0.33</v>
      </c>
      <c r="HF60" s="501">
        <v>0.42</v>
      </c>
      <c r="HG60" s="501">
        <v>0.61</v>
      </c>
      <c r="HH60" s="501">
        <v>0.33</v>
      </c>
      <c r="HI60" s="501">
        <v>0.39</v>
      </c>
      <c r="HJ60" s="501">
        <v>0.56999999999999995</v>
      </c>
      <c r="HK60" s="501">
        <v>0.42</v>
      </c>
      <c r="HL60" s="501">
        <v>0.34</v>
      </c>
      <c r="HM60" s="501">
        <v>0.41</v>
      </c>
      <c r="HN60" s="501">
        <v>0.47</v>
      </c>
      <c r="HO60" s="501">
        <v>0.27</v>
      </c>
      <c r="HP60" s="471" t="s">
        <v>287</v>
      </c>
      <c r="HQ60" s="501">
        <v>0.31</v>
      </c>
      <c r="HR60" s="630">
        <v>53</v>
      </c>
      <c r="HS60" s="640" t="s">
        <v>910</v>
      </c>
      <c r="HT60" s="630">
        <v>10</v>
      </c>
      <c r="HU60" s="640" t="s">
        <v>910</v>
      </c>
      <c r="HV60" s="644">
        <v>0.12</v>
      </c>
      <c r="HW60" s="644">
        <v>0.45</v>
      </c>
      <c r="HX60" s="644">
        <v>0.42</v>
      </c>
      <c r="HY60" s="644">
        <v>0</v>
      </c>
      <c r="HZ60" s="644">
        <v>0.28000000000000003</v>
      </c>
      <c r="IA60" s="644">
        <v>0.47</v>
      </c>
      <c r="IB60" s="644">
        <v>0.26</v>
      </c>
      <c r="IC60" s="644">
        <v>0.5</v>
      </c>
      <c r="ID60" s="644">
        <v>0.68</v>
      </c>
      <c r="IE60" s="644">
        <v>0.3</v>
      </c>
      <c r="IF60" s="644">
        <v>0.42</v>
      </c>
      <c r="IG60" s="644">
        <v>0.48</v>
      </c>
      <c r="IH60" s="644">
        <v>0.52</v>
      </c>
      <c r="II60" s="644">
        <v>0.31</v>
      </c>
      <c r="IJ60" s="644">
        <v>0.27</v>
      </c>
      <c r="IK60" s="644">
        <v>0.56000000000000005</v>
      </c>
      <c r="IL60" s="644">
        <v>0.23</v>
      </c>
      <c r="IM60" s="644">
        <v>0.46</v>
      </c>
      <c r="IN60" s="644">
        <v>0.41</v>
      </c>
      <c r="IO60" s="644">
        <v>0.4</v>
      </c>
      <c r="IP60" s="644">
        <v>0.44</v>
      </c>
      <c r="IQ60" s="644">
        <v>0.73</v>
      </c>
      <c r="IR60" s="644">
        <v>0.55000000000000004</v>
      </c>
      <c r="IS60" s="644">
        <v>0.59</v>
      </c>
      <c r="IT60" s="644">
        <v>0.4</v>
      </c>
      <c r="IU60" s="640" t="s">
        <v>287</v>
      </c>
      <c r="IV60" s="644">
        <v>0.55000000000000004</v>
      </c>
      <c r="IW60" s="644">
        <v>0.4</v>
      </c>
      <c r="IX60" s="644">
        <v>0.52</v>
      </c>
      <c r="IY60" s="644">
        <v>0.51</v>
      </c>
    </row>
    <row r="61" spans="1:259" ht="24.9" customHeight="1" x14ac:dyDescent="0.25">
      <c r="A61" s="188" t="s">
        <v>84</v>
      </c>
      <c r="B61" s="1" t="s">
        <v>222</v>
      </c>
      <c r="C61" s="2">
        <v>2</v>
      </c>
      <c r="D61" s="16">
        <v>58</v>
      </c>
      <c r="E61" s="16">
        <v>4</v>
      </c>
      <c r="F61" s="99">
        <v>0</v>
      </c>
      <c r="G61" s="99">
        <v>0.43</v>
      </c>
      <c r="H61" s="99">
        <v>0.56999999999999995</v>
      </c>
      <c r="I61" s="99">
        <v>0</v>
      </c>
      <c r="J61" s="99">
        <v>0.22</v>
      </c>
      <c r="K61" s="99">
        <v>0.26</v>
      </c>
      <c r="L61" s="99">
        <v>0.75</v>
      </c>
      <c r="M61" s="99">
        <v>0.04</v>
      </c>
      <c r="N61" s="99">
        <v>0.25</v>
      </c>
      <c r="O61" s="99">
        <v>0.69</v>
      </c>
      <c r="P61" s="99">
        <v>0.23</v>
      </c>
      <c r="Q61" s="99">
        <v>0.28000000000000003</v>
      </c>
      <c r="R61" s="99">
        <v>0.49</v>
      </c>
      <c r="S61" s="99">
        <v>0.46</v>
      </c>
      <c r="T61" s="99">
        <v>0.36</v>
      </c>
      <c r="U61" s="99">
        <v>0.45</v>
      </c>
      <c r="V61" s="99">
        <v>0</v>
      </c>
      <c r="W61" s="99">
        <v>0.04</v>
      </c>
      <c r="X61" s="99">
        <v>0.39</v>
      </c>
      <c r="Y61" s="99">
        <v>0.48</v>
      </c>
      <c r="Z61" s="13" t="s">
        <v>287</v>
      </c>
      <c r="AA61" s="99">
        <v>0.09</v>
      </c>
      <c r="AB61" s="99">
        <v>0.33</v>
      </c>
      <c r="AC61" s="99">
        <v>7.0000000000000007E-2</v>
      </c>
      <c r="AD61" s="99">
        <v>0.43</v>
      </c>
      <c r="AE61" s="99">
        <v>0.23</v>
      </c>
      <c r="AF61" s="99">
        <v>0.35</v>
      </c>
      <c r="AG61" s="99">
        <v>0.51</v>
      </c>
      <c r="AH61" s="16">
        <v>59</v>
      </c>
      <c r="AI61" s="16">
        <v>3</v>
      </c>
      <c r="AJ61" s="66">
        <v>0</v>
      </c>
      <c r="AK61" s="66">
        <v>0.21</v>
      </c>
      <c r="AL61" s="66">
        <v>0.79</v>
      </c>
      <c r="AM61" s="66">
        <v>0</v>
      </c>
      <c r="AN61" s="66">
        <v>0.1</v>
      </c>
      <c r="AO61" s="66">
        <v>0.39</v>
      </c>
      <c r="AP61" s="66">
        <v>0.46</v>
      </c>
      <c r="AQ61" s="66">
        <v>0.1</v>
      </c>
      <c r="AR61" s="66">
        <v>0.37</v>
      </c>
      <c r="AS61" s="66">
        <v>0.4</v>
      </c>
      <c r="AT61" s="66">
        <v>0.44</v>
      </c>
      <c r="AU61" s="66">
        <v>0.47</v>
      </c>
      <c r="AV61" s="66">
        <v>0.4</v>
      </c>
      <c r="AW61" s="66">
        <v>0.43</v>
      </c>
      <c r="AX61" s="66">
        <v>0.28000000000000003</v>
      </c>
      <c r="AY61" s="66">
        <v>0.18</v>
      </c>
      <c r="AZ61" s="66">
        <v>7.0000000000000007E-2</v>
      </c>
      <c r="BA61" s="66">
        <v>0.4</v>
      </c>
      <c r="BB61" s="66">
        <v>0.57999999999999996</v>
      </c>
      <c r="BC61" s="66">
        <v>0.51</v>
      </c>
      <c r="BD61" s="66">
        <v>0.32</v>
      </c>
      <c r="BE61" s="66">
        <v>0.33</v>
      </c>
      <c r="BF61" s="66">
        <v>0.73</v>
      </c>
      <c r="BG61" s="66">
        <v>0.26</v>
      </c>
      <c r="BH61" s="66">
        <v>0.31</v>
      </c>
      <c r="BI61" s="66">
        <v>0.31</v>
      </c>
      <c r="BJ61" s="66">
        <v>0.2</v>
      </c>
      <c r="BK61" s="66">
        <v>0.46</v>
      </c>
      <c r="BL61" s="66">
        <v>0.56000000000000005</v>
      </c>
      <c r="BM61" s="16">
        <v>59</v>
      </c>
      <c r="BN61" s="16">
        <v>7</v>
      </c>
      <c r="BO61" s="99">
        <v>0</v>
      </c>
      <c r="BP61" s="99">
        <v>0.44</v>
      </c>
      <c r="BQ61" s="99">
        <v>0.5</v>
      </c>
      <c r="BR61" s="99">
        <v>0.06</v>
      </c>
      <c r="BS61" s="99">
        <v>0.26</v>
      </c>
      <c r="BT61" s="99">
        <v>0.28999999999999998</v>
      </c>
      <c r="BU61" s="99">
        <v>0.5</v>
      </c>
      <c r="BV61" s="99">
        <v>0.17</v>
      </c>
      <c r="BW61" s="99">
        <v>0.52</v>
      </c>
      <c r="BX61" s="99">
        <v>0.25</v>
      </c>
      <c r="BY61" s="99">
        <v>0.23</v>
      </c>
      <c r="BZ61" s="99">
        <v>0.44</v>
      </c>
      <c r="CA61" s="99">
        <v>0.22</v>
      </c>
      <c r="CB61" s="99">
        <v>0.09</v>
      </c>
      <c r="CC61" s="99">
        <v>0.03</v>
      </c>
      <c r="CD61" s="99">
        <v>0.19</v>
      </c>
      <c r="CE61" s="99">
        <v>0.12</v>
      </c>
      <c r="CF61" s="99">
        <v>0.5</v>
      </c>
      <c r="CG61" s="99">
        <v>0.56999999999999995</v>
      </c>
      <c r="CH61" s="99">
        <v>0.31</v>
      </c>
      <c r="CI61" s="99">
        <v>0.53</v>
      </c>
      <c r="CJ61" s="99">
        <v>0.16</v>
      </c>
      <c r="CK61" s="99">
        <v>0.52</v>
      </c>
      <c r="CL61" s="99">
        <v>0.21</v>
      </c>
      <c r="CM61" s="99">
        <v>0.2</v>
      </c>
      <c r="CN61" s="99">
        <v>0.31</v>
      </c>
      <c r="CO61" s="99">
        <v>0.22</v>
      </c>
      <c r="CP61" s="99">
        <v>0.23</v>
      </c>
      <c r="CQ61" s="99">
        <v>0.43</v>
      </c>
      <c r="CR61" s="99">
        <v>0.41</v>
      </c>
      <c r="CS61" s="16">
        <v>54</v>
      </c>
      <c r="CT61" s="16">
        <v>7</v>
      </c>
      <c r="CU61" s="96">
        <v>0</v>
      </c>
      <c r="CV61" s="96">
        <v>0.59</v>
      </c>
      <c r="CW61" s="96">
        <v>0.41</v>
      </c>
      <c r="CX61" s="96">
        <v>0</v>
      </c>
      <c r="CY61" s="96">
        <v>0.49</v>
      </c>
      <c r="CZ61" s="96">
        <v>0.2</v>
      </c>
      <c r="DA61" s="96">
        <v>0.45</v>
      </c>
      <c r="DB61" s="96">
        <v>0.16</v>
      </c>
      <c r="DC61" s="96">
        <v>0.5</v>
      </c>
      <c r="DD61" s="96">
        <v>0.59</v>
      </c>
      <c r="DE61" s="96">
        <v>0.49</v>
      </c>
      <c r="DF61" s="96">
        <v>0.57999999999999996</v>
      </c>
      <c r="DG61" s="96">
        <v>0.45</v>
      </c>
      <c r="DH61" s="96">
        <v>0.28000000000000003</v>
      </c>
      <c r="DI61" s="96">
        <v>0.5</v>
      </c>
      <c r="DJ61" s="96">
        <v>0.35</v>
      </c>
      <c r="DK61" s="96">
        <v>0.37</v>
      </c>
      <c r="DL61" s="96">
        <v>0.3</v>
      </c>
      <c r="DM61" s="96">
        <v>0.44</v>
      </c>
      <c r="DN61" s="96">
        <v>0.52</v>
      </c>
      <c r="DO61" s="96">
        <v>0.16</v>
      </c>
      <c r="DP61" s="96">
        <v>0.39</v>
      </c>
      <c r="DQ61" s="96">
        <v>0.56000000000000005</v>
      </c>
      <c r="DR61" s="96">
        <v>0.05</v>
      </c>
      <c r="DS61" s="96">
        <v>0.37</v>
      </c>
      <c r="DT61" s="96">
        <v>0.45</v>
      </c>
      <c r="DU61" s="96">
        <v>0.25</v>
      </c>
      <c r="DV61" s="96">
        <v>0.45</v>
      </c>
      <c r="DW61" s="96">
        <v>0.28999999999999998</v>
      </c>
      <c r="DX61" s="61">
        <v>57</v>
      </c>
      <c r="DY61" s="61">
        <v>7</v>
      </c>
      <c r="DZ61" s="66">
        <v>0</v>
      </c>
      <c r="EA61" s="66">
        <v>0.37</v>
      </c>
      <c r="EB61" s="66">
        <v>0.59</v>
      </c>
      <c r="EC61" s="66">
        <v>0.04</v>
      </c>
      <c r="ED61" s="66">
        <v>0.35</v>
      </c>
      <c r="EE61" s="66">
        <v>0.42</v>
      </c>
      <c r="EF61" s="66">
        <v>0.52</v>
      </c>
      <c r="EG61" s="66">
        <v>0</v>
      </c>
      <c r="EH61" s="66">
        <v>0.36</v>
      </c>
      <c r="EI61" s="66">
        <v>0.32</v>
      </c>
      <c r="EJ61" s="66">
        <v>0.48</v>
      </c>
      <c r="EK61" s="66">
        <v>0.13</v>
      </c>
      <c r="EL61" s="66">
        <v>0.38</v>
      </c>
      <c r="EM61" s="66">
        <v>0.56000000000000005</v>
      </c>
      <c r="EN61" s="66">
        <v>0.2</v>
      </c>
      <c r="EO61" s="66">
        <v>0.5</v>
      </c>
      <c r="EP61" s="66">
        <v>0.22</v>
      </c>
      <c r="EQ61" s="66">
        <v>0.11</v>
      </c>
      <c r="ER61" s="66">
        <v>0.6</v>
      </c>
      <c r="ES61" s="66">
        <v>0.08</v>
      </c>
      <c r="ET61" s="66">
        <v>0.2</v>
      </c>
      <c r="EU61" s="66">
        <v>0.52</v>
      </c>
      <c r="EV61" s="66">
        <v>0.17</v>
      </c>
      <c r="EW61" s="66">
        <v>0.11</v>
      </c>
      <c r="EX61" s="66">
        <v>0.67</v>
      </c>
      <c r="EY61" s="66">
        <v>0.45</v>
      </c>
      <c r="EZ61" s="66">
        <v>7.0000000000000007E-2</v>
      </c>
      <c r="FA61" s="66">
        <v>0.54</v>
      </c>
      <c r="FB61" s="349">
        <v>54</v>
      </c>
      <c r="FC61" s="348" t="s">
        <v>910</v>
      </c>
      <c r="FD61" s="349">
        <v>6</v>
      </c>
      <c r="FE61" s="348" t="s">
        <v>910</v>
      </c>
      <c r="FF61" s="371">
        <v>0</v>
      </c>
      <c r="FG61" s="371">
        <v>0.62</v>
      </c>
      <c r="FH61" s="371">
        <v>0.38</v>
      </c>
      <c r="FI61" s="371">
        <v>0</v>
      </c>
      <c r="FJ61" s="371">
        <v>0.38</v>
      </c>
      <c r="FK61" s="371">
        <v>0.65</v>
      </c>
      <c r="FL61" s="371">
        <v>0.44</v>
      </c>
      <c r="FM61" s="371">
        <v>0.35</v>
      </c>
      <c r="FN61" s="371">
        <v>0.12</v>
      </c>
      <c r="FO61" s="371">
        <v>0.28999999999999998</v>
      </c>
      <c r="FP61" s="371">
        <v>0.39</v>
      </c>
      <c r="FQ61" s="371">
        <v>0.35</v>
      </c>
      <c r="FR61" s="371">
        <v>0.56000000000000005</v>
      </c>
      <c r="FS61" s="371">
        <v>0.37</v>
      </c>
      <c r="FT61" s="371">
        <v>0.47</v>
      </c>
      <c r="FU61" s="371">
        <v>0.11</v>
      </c>
      <c r="FV61" s="371">
        <v>0.47</v>
      </c>
      <c r="FW61" s="371">
        <v>0.36</v>
      </c>
      <c r="FX61" s="371">
        <v>0.47</v>
      </c>
      <c r="FY61" s="371">
        <v>0.3</v>
      </c>
      <c r="FZ61" s="371">
        <v>0.38</v>
      </c>
      <c r="GA61" s="371">
        <v>0.48</v>
      </c>
      <c r="GB61" s="371">
        <v>0.4</v>
      </c>
      <c r="GC61" s="371">
        <v>0.38</v>
      </c>
      <c r="GD61" s="371">
        <v>0.6</v>
      </c>
      <c r="GE61" s="371">
        <v>0.43</v>
      </c>
      <c r="GF61" s="371">
        <v>0.19</v>
      </c>
      <c r="GG61" s="371">
        <v>0.25</v>
      </c>
      <c r="GH61" s="371">
        <v>0.59</v>
      </c>
      <c r="GI61" s="371">
        <v>0.24</v>
      </c>
      <c r="GJ61" s="469">
        <v>56</v>
      </c>
      <c r="GK61" s="471" t="s">
        <v>910</v>
      </c>
      <c r="GL61" s="469">
        <v>6</v>
      </c>
      <c r="GM61" s="471" t="s">
        <v>910</v>
      </c>
      <c r="GN61" s="501">
        <v>0</v>
      </c>
      <c r="GO61" s="501">
        <v>0.45</v>
      </c>
      <c r="GP61" s="501">
        <v>0.55000000000000004</v>
      </c>
      <c r="GQ61" s="501">
        <v>0</v>
      </c>
      <c r="GR61" s="501">
        <v>0.39</v>
      </c>
      <c r="GS61" s="501">
        <v>0.35</v>
      </c>
      <c r="GT61" s="501">
        <v>0.6</v>
      </c>
      <c r="GU61" s="501">
        <v>0.18</v>
      </c>
      <c r="GV61" s="501">
        <v>0.43</v>
      </c>
      <c r="GW61" s="501">
        <v>0.21</v>
      </c>
      <c r="GX61" s="501">
        <v>0.33</v>
      </c>
      <c r="GY61" s="471" t="s">
        <v>287</v>
      </c>
      <c r="GZ61" s="501">
        <v>0.26</v>
      </c>
      <c r="HA61" s="501">
        <v>0.86</v>
      </c>
      <c r="HB61" s="501">
        <v>0.33</v>
      </c>
      <c r="HC61" s="501">
        <v>0.52</v>
      </c>
      <c r="HD61" s="501">
        <v>0.48</v>
      </c>
      <c r="HE61" s="501">
        <v>0.44</v>
      </c>
      <c r="HF61" s="501">
        <v>0.36</v>
      </c>
      <c r="HG61" s="501">
        <v>0.7</v>
      </c>
      <c r="HH61" s="501">
        <v>0.18</v>
      </c>
      <c r="HI61" s="501">
        <v>0.53</v>
      </c>
      <c r="HJ61" s="501">
        <v>0.56000000000000005</v>
      </c>
      <c r="HK61" s="501">
        <v>0.38</v>
      </c>
      <c r="HL61" s="501">
        <v>0.34</v>
      </c>
      <c r="HM61" s="501">
        <v>0.3</v>
      </c>
      <c r="HN61" s="501">
        <v>0.31</v>
      </c>
      <c r="HO61" s="501">
        <v>0.44</v>
      </c>
      <c r="HP61" s="471" t="s">
        <v>287</v>
      </c>
      <c r="HQ61" s="501">
        <v>0.3</v>
      </c>
      <c r="HR61" s="630">
        <v>58</v>
      </c>
      <c r="HS61" s="640" t="s">
        <v>910</v>
      </c>
      <c r="HT61" s="630">
        <v>7</v>
      </c>
      <c r="HU61" s="640" t="s">
        <v>910</v>
      </c>
      <c r="HV61" s="644">
        <v>0</v>
      </c>
      <c r="HW61" s="644">
        <v>0.38</v>
      </c>
      <c r="HX61" s="644">
        <v>0.56000000000000005</v>
      </c>
      <c r="HY61" s="644">
        <v>0.06</v>
      </c>
      <c r="HZ61" s="644">
        <v>0.15</v>
      </c>
      <c r="IA61" s="644">
        <v>0.52</v>
      </c>
      <c r="IB61" s="644">
        <v>0.21</v>
      </c>
      <c r="IC61" s="644">
        <v>0.47</v>
      </c>
      <c r="ID61" s="644">
        <v>0.54</v>
      </c>
      <c r="IE61" s="644">
        <v>0.27</v>
      </c>
      <c r="IF61" s="644">
        <v>0.28999999999999998</v>
      </c>
      <c r="IG61" s="644">
        <v>0.52</v>
      </c>
      <c r="IH61" s="644">
        <v>0.45</v>
      </c>
      <c r="II61" s="644">
        <v>0.2</v>
      </c>
      <c r="IJ61" s="644">
        <v>0.16</v>
      </c>
      <c r="IK61" s="644">
        <v>0.38</v>
      </c>
      <c r="IL61" s="644">
        <v>0.25</v>
      </c>
      <c r="IM61" s="644">
        <v>0.59</v>
      </c>
      <c r="IN61" s="644">
        <v>0.38</v>
      </c>
      <c r="IO61" s="644">
        <v>0.42</v>
      </c>
      <c r="IP61" s="644">
        <v>0.28999999999999998</v>
      </c>
      <c r="IQ61" s="644">
        <v>0.52</v>
      </c>
      <c r="IR61" s="644">
        <v>0.55000000000000004</v>
      </c>
      <c r="IS61" s="644">
        <v>0.25</v>
      </c>
      <c r="IT61" s="644">
        <v>0.21</v>
      </c>
      <c r="IU61" s="640" t="s">
        <v>287</v>
      </c>
      <c r="IV61" s="644">
        <v>0.44</v>
      </c>
      <c r="IW61" s="644">
        <v>0.25</v>
      </c>
      <c r="IX61" s="644">
        <v>0.36</v>
      </c>
      <c r="IY61" s="644">
        <v>0.27</v>
      </c>
    </row>
    <row r="62" spans="1:259" ht="24.9" customHeight="1" x14ac:dyDescent="0.25">
      <c r="A62" s="188" t="s">
        <v>186</v>
      </c>
      <c r="B62" s="1" t="s">
        <v>222</v>
      </c>
      <c r="C62" s="2">
        <v>1</v>
      </c>
      <c r="D62" s="16">
        <v>50</v>
      </c>
      <c r="E62" s="16">
        <v>6</v>
      </c>
      <c r="F62" s="99">
        <v>0.08</v>
      </c>
      <c r="G62" s="99">
        <v>0.69</v>
      </c>
      <c r="H62" s="99">
        <v>0.23</v>
      </c>
      <c r="I62" s="99">
        <v>0</v>
      </c>
      <c r="J62" s="99">
        <v>0.63</v>
      </c>
      <c r="K62" s="99">
        <v>0.48</v>
      </c>
      <c r="L62" s="99">
        <v>0.79</v>
      </c>
      <c r="M62" s="99">
        <v>0.23</v>
      </c>
      <c r="N62" s="99">
        <v>0.35</v>
      </c>
      <c r="O62" s="99">
        <v>0.8</v>
      </c>
      <c r="P62" s="99">
        <v>0.32</v>
      </c>
      <c r="Q62" s="99">
        <v>0.53</v>
      </c>
      <c r="R62" s="99">
        <v>0.49</v>
      </c>
      <c r="S62" s="99">
        <v>0.74</v>
      </c>
      <c r="T62" s="99">
        <v>0.5</v>
      </c>
      <c r="U62" s="99">
        <v>0.85</v>
      </c>
      <c r="V62" s="99">
        <v>0.08</v>
      </c>
      <c r="W62" s="99">
        <v>0.25</v>
      </c>
      <c r="X62" s="99">
        <v>0.57999999999999996</v>
      </c>
      <c r="Y62" s="99">
        <v>0.56999999999999995</v>
      </c>
      <c r="Z62" s="13" t="s">
        <v>287</v>
      </c>
      <c r="AA62" s="99">
        <v>0.15</v>
      </c>
      <c r="AB62" s="99">
        <v>0.53</v>
      </c>
      <c r="AC62" s="99">
        <v>0.17</v>
      </c>
      <c r="AD62" s="99">
        <v>0.57999999999999996</v>
      </c>
      <c r="AE62" s="99">
        <v>0.55000000000000004</v>
      </c>
      <c r="AF62" s="99">
        <v>0.64</v>
      </c>
      <c r="AG62" s="99">
        <v>0.69</v>
      </c>
      <c r="AH62" s="16">
        <v>51</v>
      </c>
      <c r="AI62" s="16">
        <v>4</v>
      </c>
      <c r="AJ62" s="66">
        <v>0</v>
      </c>
      <c r="AK62" s="66">
        <v>0.9</v>
      </c>
      <c r="AL62" s="66">
        <v>0.1</v>
      </c>
      <c r="AM62" s="66">
        <v>0</v>
      </c>
      <c r="AN62" s="66">
        <v>0</v>
      </c>
      <c r="AO62" s="66">
        <v>0.5</v>
      </c>
      <c r="AP62" s="66">
        <v>0.61</v>
      </c>
      <c r="AQ62" s="66">
        <v>0.46</v>
      </c>
      <c r="AR62" s="66">
        <v>0.9</v>
      </c>
      <c r="AS62" s="66">
        <v>0.54</v>
      </c>
      <c r="AT62" s="66">
        <v>0.37</v>
      </c>
      <c r="AU62" s="66">
        <v>0.3</v>
      </c>
      <c r="AV62" s="66">
        <v>0.8</v>
      </c>
      <c r="AW62" s="66">
        <v>0</v>
      </c>
      <c r="AX62" s="66">
        <v>0.75</v>
      </c>
      <c r="AY62" s="66">
        <v>0.43</v>
      </c>
      <c r="AZ62" s="66">
        <v>0.28000000000000003</v>
      </c>
      <c r="BA62" s="66">
        <v>0.61</v>
      </c>
      <c r="BB62" s="66">
        <v>0.56999999999999995</v>
      </c>
      <c r="BC62" s="66">
        <v>0.67</v>
      </c>
      <c r="BD62" s="66">
        <v>0.43</v>
      </c>
      <c r="BE62" s="66">
        <v>0</v>
      </c>
      <c r="BF62" s="66">
        <v>0.43</v>
      </c>
      <c r="BG62" s="66">
        <v>0.72</v>
      </c>
      <c r="BH62" s="66">
        <v>0.32</v>
      </c>
      <c r="BI62" s="66">
        <v>0.42</v>
      </c>
      <c r="BJ62" s="66">
        <v>0.36</v>
      </c>
      <c r="BK62" s="66">
        <v>0.5</v>
      </c>
      <c r="BL62" s="66">
        <v>0.33</v>
      </c>
      <c r="BM62" s="16">
        <v>50</v>
      </c>
      <c r="BN62" s="16">
        <v>8</v>
      </c>
      <c r="BO62" s="99">
        <v>0.11</v>
      </c>
      <c r="BP62" s="99">
        <v>0.63</v>
      </c>
      <c r="BQ62" s="99">
        <v>0.26</v>
      </c>
      <c r="BR62" s="99">
        <v>0</v>
      </c>
      <c r="BS62" s="99">
        <v>0.33</v>
      </c>
      <c r="BT62" s="99">
        <v>0.2</v>
      </c>
      <c r="BU62" s="99">
        <v>0.57999999999999996</v>
      </c>
      <c r="BV62" s="99">
        <v>0.4</v>
      </c>
      <c r="BW62" s="99">
        <v>0.74</v>
      </c>
      <c r="BX62" s="99">
        <v>0.43</v>
      </c>
      <c r="BY62" s="99">
        <v>0.43</v>
      </c>
      <c r="BZ62" s="99">
        <v>0.62</v>
      </c>
      <c r="CA62" s="99">
        <v>0.52</v>
      </c>
      <c r="CB62" s="99">
        <v>0.33</v>
      </c>
      <c r="CC62" s="99">
        <v>0.16</v>
      </c>
      <c r="CD62" s="99">
        <v>0.43</v>
      </c>
      <c r="CE62" s="99">
        <v>0.32</v>
      </c>
      <c r="CF62" s="99">
        <v>0.33</v>
      </c>
      <c r="CG62" s="99">
        <v>0.62</v>
      </c>
      <c r="CH62" s="99">
        <v>0.52</v>
      </c>
      <c r="CI62" s="99">
        <v>0.53</v>
      </c>
      <c r="CJ62" s="99">
        <v>0.25</v>
      </c>
      <c r="CK62" s="99">
        <v>0.82</v>
      </c>
      <c r="CL62" s="99">
        <v>0.3</v>
      </c>
      <c r="CM62" s="99">
        <v>0.46</v>
      </c>
      <c r="CN62" s="99">
        <v>0.56999999999999995</v>
      </c>
      <c r="CO62" s="99">
        <v>0.35</v>
      </c>
      <c r="CP62" s="99">
        <v>0.36</v>
      </c>
      <c r="CQ62" s="99">
        <v>0.59</v>
      </c>
      <c r="CR62" s="99">
        <v>0.54</v>
      </c>
      <c r="CS62" s="16">
        <v>43</v>
      </c>
      <c r="CT62" s="16">
        <v>8</v>
      </c>
      <c r="CU62" s="96">
        <v>0.47</v>
      </c>
      <c r="CV62" s="96">
        <v>0.47</v>
      </c>
      <c r="CW62" s="96">
        <v>0.06</v>
      </c>
      <c r="CX62" s="96">
        <v>0</v>
      </c>
      <c r="CY62" s="96">
        <v>0.59</v>
      </c>
      <c r="CZ62" s="96">
        <v>0.37</v>
      </c>
      <c r="DA62" s="96">
        <v>0.7</v>
      </c>
      <c r="DB62" s="96">
        <v>0.63</v>
      </c>
      <c r="DC62" s="96">
        <v>0.53</v>
      </c>
      <c r="DD62" s="96">
        <v>0.62</v>
      </c>
      <c r="DE62" s="96">
        <v>0.75</v>
      </c>
      <c r="DF62" s="96">
        <v>0.7</v>
      </c>
      <c r="DG62" s="96">
        <v>0.59</v>
      </c>
      <c r="DH62" s="96">
        <v>0.44</v>
      </c>
      <c r="DI62" s="96">
        <v>0.77</v>
      </c>
      <c r="DJ62" s="96">
        <v>0.68</v>
      </c>
      <c r="DK62" s="96">
        <v>0.54</v>
      </c>
      <c r="DL62" s="96">
        <v>0.56000000000000005</v>
      </c>
      <c r="DM62" s="96">
        <v>0.57999999999999996</v>
      </c>
      <c r="DN62" s="96">
        <v>0.61</v>
      </c>
      <c r="DO62" s="96">
        <v>0.4</v>
      </c>
      <c r="DP62" s="96">
        <v>0.43</v>
      </c>
      <c r="DQ62" s="96">
        <v>0.7</v>
      </c>
      <c r="DR62" s="96">
        <v>0.33</v>
      </c>
      <c r="DS62" s="96">
        <v>0.52</v>
      </c>
      <c r="DT62" s="96">
        <v>0.59</v>
      </c>
      <c r="DU62" s="96">
        <v>0.83</v>
      </c>
      <c r="DV62" s="96">
        <v>0.67</v>
      </c>
      <c r="DW62" s="96">
        <v>0.37</v>
      </c>
      <c r="DX62" s="61">
        <v>42</v>
      </c>
      <c r="DY62" s="61">
        <v>7</v>
      </c>
      <c r="DZ62" s="66">
        <v>0.47</v>
      </c>
      <c r="EA62" s="66">
        <v>0.47</v>
      </c>
      <c r="EB62" s="66">
        <v>0.06</v>
      </c>
      <c r="EC62" s="66">
        <v>0</v>
      </c>
      <c r="ED62" s="66">
        <v>0.53</v>
      </c>
      <c r="EE62" s="66">
        <v>0.59</v>
      </c>
      <c r="EF62" s="66">
        <v>0.39</v>
      </c>
      <c r="EG62" s="66">
        <v>0.8</v>
      </c>
      <c r="EH62" s="66">
        <v>0.65</v>
      </c>
      <c r="EI62" s="66">
        <v>0.7</v>
      </c>
      <c r="EJ62" s="66">
        <v>0.65</v>
      </c>
      <c r="EK62" s="66">
        <v>0.28000000000000003</v>
      </c>
      <c r="EL62" s="66">
        <v>0.64</v>
      </c>
      <c r="EM62" s="66">
        <v>0.75</v>
      </c>
      <c r="EN62" s="66">
        <v>0.5</v>
      </c>
      <c r="EO62" s="66">
        <v>0.53</v>
      </c>
      <c r="EP62" s="66">
        <v>0.52</v>
      </c>
      <c r="EQ62" s="66">
        <v>0.5</v>
      </c>
      <c r="ER62" s="66">
        <v>0.71</v>
      </c>
      <c r="ES62" s="66">
        <v>0.7</v>
      </c>
      <c r="ET62" s="66">
        <v>0.5</v>
      </c>
      <c r="EU62" s="66">
        <v>0.86</v>
      </c>
      <c r="EV62" s="66">
        <v>0.7</v>
      </c>
      <c r="EW62" s="66">
        <v>0.36</v>
      </c>
      <c r="EX62" s="66">
        <v>0.33</v>
      </c>
      <c r="EY62" s="66">
        <v>0.83</v>
      </c>
      <c r="EZ62" s="66">
        <v>0.71</v>
      </c>
      <c r="FA62" s="66">
        <v>0.66</v>
      </c>
      <c r="FB62" s="349">
        <v>46</v>
      </c>
      <c r="FC62" s="348" t="s">
        <v>910</v>
      </c>
      <c r="FD62" s="349">
        <v>5</v>
      </c>
      <c r="FE62" s="348" t="s">
        <v>912</v>
      </c>
      <c r="FF62" s="371">
        <v>0.13</v>
      </c>
      <c r="FG62" s="371">
        <v>0.88</v>
      </c>
      <c r="FH62" s="371">
        <v>0</v>
      </c>
      <c r="FI62" s="371">
        <v>0</v>
      </c>
      <c r="FJ62" s="371">
        <v>0.56999999999999995</v>
      </c>
      <c r="FK62" s="371">
        <v>0.6</v>
      </c>
      <c r="FL62" s="371">
        <v>0.61</v>
      </c>
      <c r="FM62" s="371">
        <v>0.74</v>
      </c>
      <c r="FN62" s="371">
        <v>0.27</v>
      </c>
      <c r="FO62" s="371">
        <v>0.28999999999999998</v>
      </c>
      <c r="FP62" s="371">
        <v>0.4</v>
      </c>
      <c r="FQ62" s="371">
        <v>0.48</v>
      </c>
      <c r="FR62" s="371">
        <v>0.67</v>
      </c>
      <c r="FS62" s="371">
        <v>0.57999999999999996</v>
      </c>
      <c r="FT62" s="371">
        <v>0.65</v>
      </c>
      <c r="FU62" s="371">
        <v>0.43</v>
      </c>
      <c r="FV62" s="371">
        <v>0.68</v>
      </c>
      <c r="FW62" s="371">
        <v>0.67</v>
      </c>
      <c r="FX62" s="371">
        <v>0.71</v>
      </c>
      <c r="FY62" s="371">
        <v>0.42</v>
      </c>
      <c r="FZ62" s="371">
        <v>0.46</v>
      </c>
      <c r="GA62" s="371">
        <v>0.53</v>
      </c>
      <c r="GB62" s="371">
        <v>0.68</v>
      </c>
      <c r="GC62" s="371">
        <v>0.56999999999999995</v>
      </c>
      <c r="GD62" s="371">
        <v>0.8</v>
      </c>
      <c r="GE62" s="371">
        <v>0.57999999999999996</v>
      </c>
      <c r="GF62" s="371">
        <v>0.72</v>
      </c>
      <c r="GG62" s="371">
        <v>0.57999999999999996</v>
      </c>
      <c r="GH62" s="371">
        <v>0.59</v>
      </c>
      <c r="GI62" s="371">
        <v>0.36</v>
      </c>
      <c r="GJ62" s="469">
        <v>43</v>
      </c>
      <c r="GK62" s="471" t="s">
        <v>912</v>
      </c>
      <c r="GL62" s="469">
        <v>7</v>
      </c>
      <c r="GM62" s="471" t="s">
        <v>910</v>
      </c>
      <c r="GN62" s="501">
        <v>0.31</v>
      </c>
      <c r="GO62" s="501">
        <v>0.69</v>
      </c>
      <c r="GP62" s="501">
        <v>0</v>
      </c>
      <c r="GQ62" s="501">
        <v>0</v>
      </c>
      <c r="GR62" s="501">
        <v>0.54</v>
      </c>
      <c r="GS62" s="501">
        <v>0.78</v>
      </c>
      <c r="GT62" s="501">
        <v>0.76</v>
      </c>
      <c r="GU62" s="501">
        <v>0.2</v>
      </c>
      <c r="GV62" s="501">
        <v>0.67</v>
      </c>
      <c r="GW62" s="501">
        <v>0.83</v>
      </c>
      <c r="GX62" s="501">
        <v>0.73</v>
      </c>
      <c r="GY62" s="471" t="s">
        <v>287</v>
      </c>
      <c r="GZ62" s="501">
        <v>0.25</v>
      </c>
      <c r="HA62" s="501">
        <v>0.86</v>
      </c>
      <c r="HB62" s="501">
        <v>0.62</v>
      </c>
      <c r="HC62" s="501">
        <v>0.55000000000000004</v>
      </c>
      <c r="HD62" s="501">
        <v>0.66</v>
      </c>
      <c r="HE62" s="501">
        <v>0.79</v>
      </c>
      <c r="HF62" s="501">
        <v>0.56000000000000005</v>
      </c>
      <c r="HG62" s="501">
        <v>0.69</v>
      </c>
      <c r="HH62" s="501">
        <v>0.51</v>
      </c>
      <c r="HI62" s="501">
        <v>0.67</v>
      </c>
      <c r="HJ62" s="501">
        <v>0.75</v>
      </c>
      <c r="HK62" s="501">
        <v>0.64</v>
      </c>
      <c r="HL62" s="501">
        <v>0.56000000000000005</v>
      </c>
      <c r="HM62" s="501">
        <v>0.63</v>
      </c>
      <c r="HN62" s="501">
        <v>0.53</v>
      </c>
      <c r="HO62" s="501">
        <v>0.65</v>
      </c>
      <c r="HP62" s="471" t="s">
        <v>287</v>
      </c>
      <c r="HQ62" s="501">
        <v>0.56999999999999995</v>
      </c>
      <c r="HR62" s="630">
        <v>49</v>
      </c>
      <c r="HS62" s="640" t="s">
        <v>910</v>
      </c>
      <c r="HT62" s="630">
        <v>7</v>
      </c>
      <c r="HU62" s="640" t="s">
        <v>910</v>
      </c>
      <c r="HV62" s="644">
        <v>0.13</v>
      </c>
      <c r="HW62" s="644">
        <v>0.88</v>
      </c>
      <c r="HX62" s="644">
        <v>0</v>
      </c>
      <c r="HY62" s="644">
        <v>0</v>
      </c>
      <c r="HZ62" s="644">
        <v>0.44</v>
      </c>
      <c r="IA62" s="644">
        <v>0.65</v>
      </c>
      <c r="IB62" s="644">
        <v>0.63</v>
      </c>
      <c r="IC62" s="644">
        <v>0.52</v>
      </c>
      <c r="ID62" s="644">
        <v>0.65</v>
      </c>
      <c r="IE62" s="644">
        <v>0.25</v>
      </c>
      <c r="IF62" s="644">
        <v>0.31</v>
      </c>
      <c r="IG62" s="644">
        <v>0.67</v>
      </c>
      <c r="IH62" s="644">
        <v>0.59</v>
      </c>
      <c r="II62" s="644">
        <v>0</v>
      </c>
      <c r="IJ62" s="644">
        <v>0.19</v>
      </c>
      <c r="IK62" s="644">
        <v>0.76</v>
      </c>
      <c r="IL62" s="644">
        <v>0.45</v>
      </c>
      <c r="IM62" s="644">
        <v>0.6</v>
      </c>
      <c r="IN62" s="644">
        <v>0.67</v>
      </c>
      <c r="IO62" s="644">
        <v>0.55000000000000004</v>
      </c>
      <c r="IP62" s="644">
        <v>0.25</v>
      </c>
      <c r="IQ62" s="644">
        <v>0.69</v>
      </c>
      <c r="IR62" s="644">
        <v>1</v>
      </c>
      <c r="IS62" s="644">
        <v>0.73</v>
      </c>
      <c r="IT62" s="644">
        <v>0.4</v>
      </c>
      <c r="IU62" s="640" t="s">
        <v>287</v>
      </c>
      <c r="IV62" s="644">
        <v>0.65</v>
      </c>
      <c r="IW62" s="644">
        <v>0.38</v>
      </c>
      <c r="IX62" s="644">
        <v>0.64</v>
      </c>
      <c r="IY62" s="644">
        <v>0.5</v>
      </c>
    </row>
    <row r="63" spans="1:259" ht="24.9" customHeight="1" x14ac:dyDescent="0.25">
      <c r="A63" s="188" t="s">
        <v>162</v>
      </c>
      <c r="B63" s="1" t="s">
        <v>222</v>
      </c>
      <c r="C63" s="2">
        <v>4</v>
      </c>
      <c r="D63" s="16">
        <v>55</v>
      </c>
      <c r="E63" s="16">
        <v>8</v>
      </c>
      <c r="F63" s="99">
        <v>0.02</v>
      </c>
      <c r="G63" s="99">
        <v>0.51</v>
      </c>
      <c r="H63" s="99">
        <v>0.46</v>
      </c>
      <c r="I63" s="99">
        <v>0</v>
      </c>
      <c r="J63" s="99">
        <v>0.41</v>
      </c>
      <c r="K63" s="99">
        <v>0.37</v>
      </c>
      <c r="L63" s="99">
        <v>0.8</v>
      </c>
      <c r="M63" s="99">
        <v>0.28000000000000003</v>
      </c>
      <c r="N63" s="99">
        <v>0.23</v>
      </c>
      <c r="O63" s="99">
        <v>0.56000000000000005</v>
      </c>
      <c r="P63" s="99">
        <v>0.41</v>
      </c>
      <c r="Q63" s="99">
        <v>0.4</v>
      </c>
      <c r="R63" s="99">
        <v>0.45</v>
      </c>
      <c r="S63" s="99">
        <v>0.56000000000000005</v>
      </c>
      <c r="T63" s="99">
        <v>0.43</v>
      </c>
      <c r="U63" s="99">
        <v>0.46</v>
      </c>
      <c r="V63" s="99">
        <v>0.08</v>
      </c>
      <c r="W63" s="99">
        <v>0.08</v>
      </c>
      <c r="X63" s="99">
        <v>0.45</v>
      </c>
      <c r="Y63" s="99">
        <v>0.5</v>
      </c>
      <c r="Z63" s="99">
        <v>1</v>
      </c>
      <c r="AA63" s="99">
        <v>0.08</v>
      </c>
      <c r="AB63" s="99">
        <v>0.44</v>
      </c>
      <c r="AC63" s="99">
        <v>0.44</v>
      </c>
      <c r="AD63" s="99">
        <v>0.37</v>
      </c>
      <c r="AE63" s="99">
        <v>0.28000000000000003</v>
      </c>
      <c r="AF63" s="99">
        <v>0.51</v>
      </c>
      <c r="AG63" s="99">
        <v>0.39</v>
      </c>
      <c r="AH63" s="16">
        <v>53</v>
      </c>
      <c r="AI63" s="16">
        <v>5</v>
      </c>
      <c r="AJ63" s="66">
        <v>0</v>
      </c>
      <c r="AK63" s="66">
        <v>0.64</v>
      </c>
      <c r="AL63" s="66">
        <v>0.36</v>
      </c>
      <c r="AM63" s="66">
        <v>0</v>
      </c>
      <c r="AN63" s="66">
        <v>0.35</v>
      </c>
      <c r="AO63" s="66">
        <v>0.44</v>
      </c>
      <c r="AP63" s="66">
        <v>0.55000000000000004</v>
      </c>
      <c r="AQ63" s="66">
        <v>0.35</v>
      </c>
      <c r="AR63" s="66">
        <v>0.52</v>
      </c>
      <c r="AS63" s="66">
        <v>0.49</v>
      </c>
      <c r="AT63" s="66">
        <v>0.49</v>
      </c>
      <c r="AU63" s="66">
        <v>0.47</v>
      </c>
      <c r="AV63" s="66">
        <v>0.59</v>
      </c>
      <c r="AW63" s="66">
        <v>0.5</v>
      </c>
      <c r="AX63" s="66">
        <v>0.53</v>
      </c>
      <c r="AY63" s="66">
        <v>0.27</v>
      </c>
      <c r="AZ63" s="66">
        <v>0.25</v>
      </c>
      <c r="BA63" s="66">
        <v>0.38</v>
      </c>
      <c r="BB63" s="66">
        <v>0.63</v>
      </c>
      <c r="BC63" s="66">
        <v>0.72</v>
      </c>
      <c r="BD63" s="66">
        <v>0.43</v>
      </c>
      <c r="BE63" s="66">
        <v>0.6</v>
      </c>
      <c r="BF63" s="66">
        <v>0.56000000000000005</v>
      </c>
      <c r="BG63" s="66">
        <v>0.42</v>
      </c>
      <c r="BH63" s="66">
        <v>0.42</v>
      </c>
      <c r="BI63" s="66">
        <v>0.4</v>
      </c>
      <c r="BJ63" s="66">
        <v>0.36</v>
      </c>
      <c r="BK63" s="66">
        <v>0.4</v>
      </c>
      <c r="BL63" s="66">
        <v>0.6</v>
      </c>
      <c r="BM63" s="16">
        <v>50</v>
      </c>
      <c r="BN63" s="16">
        <v>9</v>
      </c>
      <c r="BO63" s="99">
        <v>0.12</v>
      </c>
      <c r="BP63" s="99">
        <v>0.63</v>
      </c>
      <c r="BQ63" s="99">
        <v>0.23</v>
      </c>
      <c r="BR63" s="99">
        <v>0.02</v>
      </c>
      <c r="BS63" s="99">
        <v>0.43</v>
      </c>
      <c r="BT63" s="99">
        <v>0.64</v>
      </c>
      <c r="BU63" s="99">
        <v>0.7</v>
      </c>
      <c r="BV63" s="99">
        <v>0.35</v>
      </c>
      <c r="BW63" s="99">
        <v>0.61</v>
      </c>
      <c r="BX63" s="99">
        <v>0.37</v>
      </c>
      <c r="BY63" s="99">
        <v>0.48</v>
      </c>
      <c r="BZ63" s="99">
        <v>0.56000000000000005</v>
      </c>
      <c r="CA63" s="99">
        <v>0.47</v>
      </c>
      <c r="CB63" s="99">
        <v>0.41</v>
      </c>
      <c r="CC63" s="99">
        <v>0.19</v>
      </c>
      <c r="CD63" s="99">
        <v>0.37</v>
      </c>
      <c r="CE63" s="99">
        <v>0.26</v>
      </c>
      <c r="CF63" s="99">
        <v>0.57999999999999996</v>
      </c>
      <c r="CG63" s="99">
        <v>0.54</v>
      </c>
      <c r="CH63" s="99">
        <v>0.47</v>
      </c>
      <c r="CI63" s="99">
        <v>0.61</v>
      </c>
      <c r="CJ63" s="99">
        <v>0.21</v>
      </c>
      <c r="CK63" s="99">
        <v>0.74</v>
      </c>
      <c r="CL63" s="99">
        <v>0.34</v>
      </c>
      <c r="CM63" s="99">
        <v>0.5</v>
      </c>
      <c r="CN63" s="99">
        <v>0.43</v>
      </c>
      <c r="CO63" s="99">
        <v>0.44</v>
      </c>
      <c r="CP63" s="99">
        <v>0.41</v>
      </c>
      <c r="CQ63" s="99">
        <v>0.51</v>
      </c>
      <c r="CR63" s="99">
        <v>0.62</v>
      </c>
      <c r="CS63" s="16">
        <v>50</v>
      </c>
      <c r="CT63" s="16">
        <v>9</v>
      </c>
      <c r="CU63" s="96">
        <v>0.22</v>
      </c>
      <c r="CV63" s="96">
        <v>0.51</v>
      </c>
      <c r="CW63" s="96">
        <v>0.27</v>
      </c>
      <c r="CX63" s="96">
        <v>0</v>
      </c>
      <c r="CY63" s="96">
        <v>0.56999999999999995</v>
      </c>
      <c r="CZ63" s="96">
        <v>0.28000000000000003</v>
      </c>
      <c r="DA63" s="96">
        <v>0.64</v>
      </c>
      <c r="DB63" s="96">
        <v>0.31</v>
      </c>
      <c r="DC63" s="96">
        <v>0.46</v>
      </c>
      <c r="DD63" s="96">
        <v>0.63</v>
      </c>
      <c r="DE63" s="96">
        <v>0.53</v>
      </c>
      <c r="DF63" s="96">
        <v>0.5</v>
      </c>
      <c r="DG63" s="96">
        <v>0.42</v>
      </c>
      <c r="DH63" s="96">
        <v>0.36</v>
      </c>
      <c r="DI63" s="96">
        <v>0.44</v>
      </c>
      <c r="DJ63" s="96">
        <v>0.47</v>
      </c>
      <c r="DK63" s="96">
        <v>0.4</v>
      </c>
      <c r="DL63" s="96">
        <v>0.16</v>
      </c>
      <c r="DM63" s="96">
        <v>0.45</v>
      </c>
      <c r="DN63" s="96">
        <v>0.47</v>
      </c>
      <c r="DO63" s="96">
        <v>0.45</v>
      </c>
      <c r="DP63" s="96">
        <v>0.4</v>
      </c>
      <c r="DQ63" s="96">
        <v>0.52</v>
      </c>
      <c r="DR63" s="96">
        <v>0.22</v>
      </c>
      <c r="DS63" s="96">
        <v>0.44</v>
      </c>
      <c r="DT63" s="96">
        <v>0.72</v>
      </c>
      <c r="DU63" s="96">
        <v>0.44</v>
      </c>
      <c r="DV63" s="96">
        <v>0.69</v>
      </c>
      <c r="DW63" s="96">
        <v>0.32</v>
      </c>
      <c r="DX63" s="61">
        <v>51</v>
      </c>
      <c r="DY63" s="61">
        <v>9</v>
      </c>
      <c r="DZ63" s="66">
        <v>0.12</v>
      </c>
      <c r="EA63" s="66">
        <v>0.49</v>
      </c>
      <c r="EB63" s="66">
        <v>0.37</v>
      </c>
      <c r="EC63" s="66">
        <v>0.02</v>
      </c>
      <c r="ED63" s="66">
        <v>0.45</v>
      </c>
      <c r="EE63" s="66">
        <v>0.48</v>
      </c>
      <c r="EF63" s="66">
        <v>0.41</v>
      </c>
      <c r="EG63" s="66">
        <v>0.43</v>
      </c>
      <c r="EH63" s="66">
        <v>0.47</v>
      </c>
      <c r="EI63" s="66">
        <v>0.38</v>
      </c>
      <c r="EJ63" s="66">
        <v>0.48</v>
      </c>
      <c r="EK63" s="66">
        <v>0.32</v>
      </c>
      <c r="EL63" s="66">
        <v>0.43</v>
      </c>
      <c r="EM63" s="66">
        <v>0.7</v>
      </c>
      <c r="EN63" s="66">
        <v>0.4</v>
      </c>
      <c r="EO63" s="66">
        <v>0.46</v>
      </c>
      <c r="EP63" s="66">
        <v>0.41</v>
      </c>
      <c r="EQ63" s="66">
        <v>0.24</v>
      </c>
      <c r="ER63" s="66">
        <v>0.55000000000000004</v>
      </c>
      <c r="ES63" s="66">
        <v>0.64</v>
      </c>
      <c r="ET63" s="66">
        <v>0.3</v>
      </c>
      <c r="EU63" s="66">
        <v>0.56999999999999995</v>
      </c>
      <c r="EV63" s="66">
        <v>0.24</v>
      </c>
      <c r="EW63" s="66">
        <v>0.2</v>
      </c>
      <c r="EX63" s="66">
        <v>0.54</v>
      </c>
      <c r="EY63" s="66">
        <v>0.56000000000000005</v>
      </c>
      <c r="EZ63" s="66">
        <v>0.21</v>
      </c>
      <c r="FA63" s="66">
        <v>0.47</v>
      </c>
      <c r="FB63" s="349">
        <v>51</v>
      </c>
      <c r="FC63" s="348" t="s">
        <v>910</v>
      </c>
      <c r="FD63" s="349">
        <v>7</v>
      </c>
      <c r="FE63" s="348" t="s">
        <v>910</v>
      </c>
      <c r="FF63" s="371">
        <v>0.03</v>
      </c>
      <c r="FG63" s="371">
        <v>0.78</v>
      </c>
      <c r="FH63" s="371">
        <v>0.2</v>
      </c>
      <c r="FI63" s="371">
        <v>0</v>
      </c>
      <c r="FJ63" s="371">
        <v>0.39</v>
      </c>
      <c r="FK63" s="371">
        <v>0.63</v>
      </c>
      <c r="FL63" s="371">
        <v>0.43</v>
      </c>
      <c r="FM63" s="371">
        <v>0.38</v>
      </c>
      <c r="FN63" s="371">
        <v>0.28999999999999998</v>
      </c>
      <c r="FO63" s="371">
        <v>0.38</v>
      </c>
      <c r="FP63" s="371">
        <v>0.37</v>
      </c>
      <c r="FQ63" s="371">
        <v>0.3</v>
      </c>
      <c r="FR63" s="371">
        <v>0.57999999999999996</v>
      </c>
      <c r="FS63" s="371">
        <v>0.47</v>
      </c>
      <c r="FT63" s="371">
        <v>0.36</v>
      </c>
      <c r="FU63" s="371">
        <v>0.36</v>
      </c>
      <c r="FV63" s="371">
        <v>0.53</v>
      </c>
      <c r="FW63" s="371">
        <v>0.57999999999999996</v>
      </c>
      <c r="FX63" s="371">
        <v>0.53</v>
      </c>
      <c r="FY63" s="371">
        <v>0.3</v>
      </c>
      <c r="FZ63" s="371">
        <v>0.47</v>
      </c>
      <c r="GA63" s="371">
        <v>0.47</v>
      </c>
      <c r="GB63" s="371">
        <v>0.64</v>
      </c>
      <c r="GC63" s="371">
        <v>0.41</v>
      </c>
      <c r="GD63" s="371">
        <v>0.61</v>
      </c>
      <c r="GE63" s="371">
        <v>0.43</v>
      </c>
      <c r="GF63" s="371">
        <v>0.44</v>
      </c>
      <c r="GG63" s="371">
        <v>0.43</v>
      </c>
      <c r="GH63" s="371">
        <v>0.51</v>
      </c>
      <c r="GI63" s="371">
        <v>0.3</v>
      </c>
      <c r="GJ63" s="469">
        <v>50</v>
      </c>
      <c r="GK63" s="471" t="s">
        <v>910</v>
      </c>
      <c r="GL63" s="469">
        <v>10</v>
      </c>
      <c r="GM63" s="471" t="s">
        <v>910</v>
      </c>
      <c r="GN63" s="501">
        <v>0.16</v>
      </c>
      <c r="GO63" s="501">
        <v>0.54</v>
      </c>
      <c r="GP63" s="501">
        <v>0.3</v>
      </c>
      <c r="GQ63" s="501">
        <v>0</v>
      </c>
      <c r="GR63" s="501">
        <v>0.51</v>
      </c>
      <c r="GS63" s="501">
        <v>0.59</v>
      </c>
      <c r="GT63" s="501">
        <v>0.57999999999999996</v>
      </c>
      <c r="GU63" s="501">
        <v>0.24</v>
      </c>
      <c r="GV63" s="501">
        <v>0.6</v>
      </c>
      <c r="GW63" s="501">
        <v>0.5</v>
      </c>
      <c r="GX63" s="501">
        <v>0.45</v>
      </c>
      <c r="GY63" s="471" t="s">
        <v>287</v>
      </c>
      <c r="GZ63" s="501">
        <v>0.38</v>
      </c>
      <c r="HA63" s="501">
        <v>0.74</v>
      </c>
      <c r="HB63" s="501">
        <v>0.44</v>
      </c>
      <c r="HC63" s="501">
        <v>0.54</v>
      </c>
      <c r="HD63" s="501">
        <v>0.53</v>
      </c>
      <c r="HE63" s="501">
        <v>0.42</v>
      </c>
      <c r="HF63" s="501">
        <v>0.49</v>
      </c>
      <c r="HG63" s="501">
        <v>0.65</v>
      </c>
      <c r="HH63" s="501">
        <v>0.44</v>
      </c>
      <c r="HI63" s="501">
        <v>0.52</v>
      </c>
      <c r="HJ63" s="501">
        <v>0.6</v>
      </c>
      <c r="HK63" s="501">
        <v>0.52</v>
      </c>
      <c r="HL63" s="501">
        <v>0.46</v>
      </c>
      <c r="HM63" s="501">
        <v>0.46</v>
      </c>
      <c r="HN63" s="501">
        <v>0.43</v>
      </c>
      <c r="HO63" s="501">
        <v>0.45</v>
      </c>
      <c r="HP63" s="471" t="s">
        <v>287</v>
      </c>
      <c r="HQ63" s="501">
        <v>0.42</v>
      </c>
      <c r="HR63" s="630">
        <v>53</v>
      </c>
      <c r="HS63" s="640" t="s">
        <v>910</v>
      </c>
      <c r="HT63" s="630">
        <v>7</v>
      </c>
      <c r="HU63" s="640" t="s">
        <v>910</v>
      </c>
      <c r="HV63" s="644">
        <v>0.05</v>
      </c>
      <c r="HW63" s="644">
        <v>0.56999999999999995</v>
      </c>
      <c r="HX63" s="644">
        <v>0.38</v>
      </c>
      <c r="HY63" s="644">
        <v>0</v>
      </c>
      <c r="HZ63" s="644">
        <v>0.31</v>
      </c>
      <c r="IA63" s="644">
        <v>0.53</v>
      </c>
      <c r="IB63" s="644">
        <v>0.43</v>
      </c>
      <c r="IC63" s="644">
        <v>0.43</v>
      </c>
      <c r="ID63" s="644">
        <v>0.66</v>
      </c>
      <c r="IE63" s="644">
        <v>0.35</v>
      </c>
      <c r="IF63" s="644">
        <v>0.32</v>
      </c>
      <c r="IG63" s="644">
        <v>0.51</v>
      </c>
      <c r="IH63" s="644">
        <v>0.52</v>
      </c>
      <c r="II63" s="644">
        <v>0.4</v>
      </c>
      <c r="IJ63" s="644">
        <v>0.22</v>
      </c>
      <c r="IK63" s="644">
        <v>0.59</v>
      </c>
      <c r="IL63" s="644">
        <v>0.31</v>
      </c>
      <c r="IM63" s="644">
        <v>0.55000000000000004</v>
      </c>
      <c r="IN63" s="644">
        <v>0.43</v>
      </c>
      <c r="IO63" s="644">
        <v>0.5</v>
      </c>
      <c r="IP63" s="644">
        <v>0.42</v>
      </c>
      <c r="IQ63" s="644">
        <v>0.59</v>
      </c>
      <c r="IR63" s="644">
        <v>0.59</v>
      </c>
      <c r="IS63" s="644">
        <v>0.61</v>
      </c>
      <c r="IT63" s="644">
        <v>0.35</v>
      </c>
      <c r="IU63" s="640" t="s">
        <v>287</v>
      </c>
      <c r="IV63" s="644">
        <v>0.66</v>
      </c>
      <c r="IW63" s="644">
        <v>0.26</v>
      </c>
      <c r="IX63" s="644">
        <v>0.44</v>
      </c>
      <c r="IY63" s="644">
        <v>0.47</v>
      </c>
    </row>
    <row r="64" spans="1:259" ht="24.9" customHeight="1" x14ac:dyDescent="0.25">
      <c r="A64" s="188" t="s">
        <v>114</v>
      </c>
      <c r="B64" s="1" t="s">
        <v>222</v>
      </c>
      <c r="C64" s="2">
        <v>3</v>
      </c>
      <c r="D64" s="16">
        <v>56</v>
      </c>
      <c r="E64" s="16">
        <v>6</v>
      </c>
      <c r="F64" s="99">
        <v>0.02</v>
      </c>
      <c r="G64" s="99">
        <v>0.53</v>
      </c>
      <c r="H64" s="99">
        <v>0.43</v>
      </c>
      <c r="I64" s="99">
        <v>0.02</v>
      </c>
      <c r="J64" s="99">
        <v>0.38</v>
      </c>
      <c r="K64" s="99">
        <v>0.24</v>
      </c>
      <c r="L64" s="99">
        <v>0.79</v>
      </c>
      <c r="M64" s="99">
        <v>0.08</v>
      </c>
      <c r="N64" s="99">
        <v>0.23</v>
      </c>
      <c r="O64" s="99">
        <v>0.64</v>
      </c>
      <c r="P64" s="99">
        <v>0.28999999999999998</v>
      </c>
      <c r="Q64" s="99">
        <v>0.31</v>
      </c>
      <c r="R64" s="99">
        <v>0.48</v>
      </c>
      <c r="S64" s="99">
        <v>0.57999999999999996</v>
      </c>
      <c r="T64" s="99">
        <v>0.38</v>
      </c>
      <c r="U64" s="99">
        <v>0.5</v>
      </c>
      <c r="V64" s="99">
        <v>0.02</v>
      </c>
      <c r="W64" s="99">
        <v>0.15</v>
      </c>
      <c r="X64" s="99">
        <v>0.48</v>
      </c>
      <c r="Y64" s="99">
        <v>0.48</v>
      </c>
      <c r="Z64" s="13" t="s">
        <v>287</v>
      </c>
      <c r="AA64" s="99">
        <v>0.06</v>
      </c>
      <c r="AB64" s="99">
        <v>0.46</v>
      </c>
      <c r="AC64" s="99">
        <v>0.23</v>
      </c>
      <c r="AD64" s="99">
        <v>0.34</v>
      </c>
      <c r="AE64" s="99">
        <v>0.34</v>
      </c>
      <c r="AF64" s="99">
        <v>0.45</v>
      </c>
      <c r="AG64" s="99">
        <v>0.49</v>
      </c>
      <c r="AH64" s="16">
        <v>58</v>
      </c>
      <c r="AI64" s="16">
        <v>10</v>
      </c>
      <c r="AJ64" s="66">
        <v>0</v>
      </c>
      <c r="AK64" s="66">
        <v>0.47</v>
      </c>
      <c r="AL64" s="66">
        <v>0.5</v>
      </c>
      <c r="AM64" s="66">
        <v>0.03</v>
      </c>
      <c r="AN64" s="66">
        <v>0.14000000000000001</v>
      </c>
      <c r="AO64" s="66">
        <v>0.32</v>
      </c>
      <c r="AP64" s="66">
        <v>0.48</v>
      </c>
      <c r="AQ64" s="66">
        <v>0.27</v>
      </c>
      <c r="AR64" s="66">
        <v>0.6</v>
      </c>
      <c r="AS64" s="66">
        <v>0.44</v>
      </c>
      <c r="AT64" s="66">
        <v>0.41</v>
      </c>
      <c r="AU64" s="66">
        <v>0.3</v>
      </c>
      <c r="AV64" s="66">
        <v>0.45</v>
      </c>
      <c r="AW64" s="66">
        <v>0.25</v>
      </c>
      <c r="AX64" s="66">
        <v>0.28999999999999998</v>
      </c>
      <c r="AY64" s="66">
        <v>0.2</v>
      </c>
      <c r="AZ64" s="66">
        <v>0.21</v>
      </c>
      <c r="BA64" s="66">
        <v>0.4</v>
      </c>
      <c r="BB64" s="66">
        <v>0.59</v>
      </c>
      <c r="BC64" s="66">
        <v>0.59</v>
      </c>
      <c r="BD64" s="66">
        <v>0.4</v>
      </c>
      <c r="BE64" s="66">
        <v>0.5</v>
      </c>
      <c r="BF64" s="66">
        <v>0.56000000000000005</v>
      </c>
      <c r="BG64" s="66">
        <v>0.44</v>
      </c>
      <c r="BH64" s="66">
        <v>0.41</v>
      </c>
      <c r="BI64" s="66">
        <v>0.35</v>
      </c>
      <c r="BJ64" s="66">
        <v>0.28999999999999998</v>
      </c>
      <c r="BK64" s="66">
        <v>0.3</v>
      </c>
      <c r="BL64" s="66">
        <v>0.37</v>
      </c>
      <c r="BM64" s="16">
        <v>53</v>
      </c>
      <c r="BN64" s="16">
        <v>9</v>
      </c>
      <c r="BO64" s="99">
        <v>0.04</v>
      </c>
      <c r="BP64" s="99">
        <v>0.52</v>
      </c>
      <c r="BQ64" s="99">
        <v>0.42</v>
      </c>
      <c r="BR64" s="99">
        <v>0.02</v>
      </c>
      <c r="BS64" s="99">
        <v>0.3</v>
      </c>
      <c r="BT64" s="99">
        <v>0.46</v>
      </c>
      <c r="BU64" s="99">
        <v>0.54</v>
      </c>
      <c r="BV64" s="99">
        <v>0.31</v>
      </c>
      <c r="BW64" s="99">
        <v>0.69</v>
      </c>
      <c r="BX64" s="99">
        <v>0.32</v>
      </c>
      <c r="BY64" s="99">
        <v>0.39</v>
      </c>
      <c r="BZ64" s="99">
        <v>0.45</v>
      </c>
      <c r="CA64" s="99">
        <v>0.41</v>
      </c>
      <c r="CB64" s="99">
        <v>0.26</v>
      </c>
      <c r="CC64" s="99">
        <v>0.19</v>
      </c>
      <c r="CD64" s="99">
        <v>0.35</v>
      </c>
      <c r="CE64" s="99">
        <v>0.25</v>
      </c>
      <c r="CF64" s="99">
        <v>0.56000000000000005</v>
      </c>
      <c r="CG64" s="99">
        <v>0.57999999999999996</v>
      </c>
      <c r="CH64" s="99">
        <v>0.42</v>
      </c>
      <c r="CI64" s="99">
        <v>0.52</v>
      </c>
      <c r="CJ64" s="99">
        <v>0.28999999999999998</v>
      </c>
      <c r="CK64" s="99">
        <v>0.68</v>
      </c>
      <c r="CL64" s="99">
        <v>0.3</v>
      </c>
      <c r="CM64" s="99">
        <v>0.43</v>
      </c>
      <c r="CN64" s="99">
        <v>0.38</v>
      </c>
      <c r="CO64" s="99">
        <v>0.31</v>
      </c>
      <c r="CP64" s="99">
        <v>0.3</v>
      </c>
      <c r="CQ64" s="99">
        <v>0.47</v>
      </c>
      <c r="CR64" s="99">
        <v>0.47</v>
      </c>
      <c r="CS64" s="16">
        <v>53</v>
      </c>
      <c r="CT64" s="16">
        <v>8</v>
      </c>
      <c r="CU64" s="96">
        <v>0.03</v>
      </c>
      <c r="CV64" s="96">
        <v>0.56999999999999995</v>
      </c>
      <c r="CW64" s="96">
        <v>0.4</v>
      </c>
      <c r="CX64" s="96">
        <v>0</v>
      </c>
      <c r="CY64" s="96">
        <v>0.48</v>
      </c>
      <c r="CZ64" s="96">
        <v>0.27</v>
      </c>
      <c r="DA64" s="96">
        <v>0.59</v>
      </c>
      <c r="DB64" s="96">
        <v>0.21</v>
      </c>
      <c r="DC64" s="96">
        <v>0.52</v>
      </c>
      <c r="DD64" s="96">
        <v>0.6</v>
      </c>
      <c r="DE64" s="96">
        <v>0.27</v>
      </c>
      <c r="DF64" s="96">
        <v>0.51</v>
      </c>
      <c r="DG64" s="96">
        <v>0.46</v>
      </c>
      <c r="DH64" s="96">
        <v>0.33</v>
      </c>
      <c r="DI64" s="96">
        <v>0.35</v>
      </c>
      <c r="DJ64" s="96">
        <v>0.42</v>
      </c>
      <c r="DK64" s="96">
        <v>0.37</v>
      </c>
      <c r="DL64" s="96">
        <v>0.31</v>
      </c>
      <c r="DM64" s="96">
        <v>0.5</v>
      </c>
      <c r="DN64" s="96">
        <v>0.35</v>
      </c>
      <c r="DO64" s="96">
        <v>0.32</v>
      </c>
      <c r="DP64" s="96">
        <v>0.49</v>
      </c>
      <c r="DQ64" s="96">
        <v>0.47</v>
      </c>
      <c r="DR64" s="96">
        <v>0.13</v>
      </c>
      <c r="DS64" s="96">
        <v>0.24</v>
      </c>
      <c r="DT64" s="96">
        <v>0.49</v>
      </c>
      <c r="DU64" s="96">
        <v>0.3</v>
      </c>
      <c r="DV64" s="96">
        <v>0.53</v>
      </c>
      <c r="DW64" s="96">
        <v>0.34</v>
      </c>
      <c r="DX64" s="61">
        <v>54</v>
      </c>
      <c r="DY64" s="61">
        <v>9</v>
      </c>
      <c r="DZ64" s="66">
        <v>0.08</v>
      </c>
      <c r="EA64" s="66">
        <v>0.42</v>
      </c>
      <c r="EB64" s="66">
        <v>0.5</v>
      </c>
      <c r="EC64" s="66">
        <v>0</v>
      </c>
      <c r="ED64" s="66">
        <v>0.4</v>
      </c>
      <c r="EE64" s="66">
        <v>0.45</v>
      </c>
      <c r="EF64" s="66">
        <v>0.54</v>
      </c>
      <c r="EG64" s="66">
        <v>0.35</v>
      </c>
      <c r="EH64" s="66">
        <v>0.31</v>
      </c>
      <c r="EI64" s="66">
        <v>0.32</v>
      </c>
      <c r="EJ64" s="66">
        <v>0.52</v>
      </c>
      <c r="EK64" s="66">
        <v>0.21</v>
      </c>
      <c r="EL64" s="66">
        <v>0.44</v>
      </c>
      <c r="EM64" s="66">
        <v>0.47</v>
      </c>
      <c r="EN64" s="66">
        <v>0.32</v>
      </c>
      <c r="EO64" s="66">
        <v>0.53</v>
      </c>
      <c r="EP64" s="66">
        <v>0.28999999999999998</v>
      </c>
      <c r="EQ64" s="66">
        <v>0.18</v>
      </c>
      <c r="ER64" s="66">
        <v>0.6</v>
      </c>
      <c r="ES64" s="66">
        <v>0.47</v>
      </c>
      <c r="ET64" s="66">
        <v>0.19</v>
      </c>
      <c r="EU64" s="66">
        <v>0.61</v>
      </c>
      <c r="EV64" s="66">
        <v>0.05</v>
      </c>
      <c r="EW64" s="66">
        <v>0.26</v>
      </c>
      <c r="EX64" s="66">
        <v>0.47</v>
      </c>
      <c r="EY64" s="66">
        <v>0.49</v>
      </c>
      <c r="EZ64" s="66">
        <v>0.13</v>
      </c>
      <c r="FA64" s="66">
        <v>0.47</v>
      </c>
      <c r="FB64" s="349">
        <v>54</v>
      </c>
      <c r="FC64" s="348" t="s">
        <v>910</v>
      </c>
      <c r="FD64" s="349">
        <v>9</v>
      </c>
      <c r="FE64" s="348" t="s">
        <v>910</v>
      </c>
      <c r="FF64" s="371">
        <v>0.1</v>
      </c>
      <c r="FG64" s="371">
        <v>0.48</v>
      </c>
      <c r="FH64" s="371">
        <v>0.4</v>
      </c>
      <c r="FI64" s="371">
        <v>0.02</v>
      </c>
      <c r="FJ64" s="371">
        <v>0.38</v>
      </c>
      <c r="FK64" s="371">
        <v>0.62</v>
      </c>
      <c r="FL64" s="371">
        <v>0.39</v>
      </c>
      <c r="FM64" s="371">
        <v>0.33</v>
      </c>
      <c r="FN64" s="371">
        <v>0.23</v>
      </c>
      <c r="FO64" s="371">
        <v>0.26</v>
      </c>
      <c r="FP64" s="371">
        <v>0.3</v>
      </c>
      <c r="FQ64" s="371">
        <v>0.37</v>
      </c>
      <c r="FR64" s="371">
        <v>0.53</v>
      </c>
      <c r="FS64" s="371">
        <v>0.5</v>
      </c>
      <c r="FT64" s="371">
        <v>0.42</v>
      </c>
      <c r="FU64" s="371">
        <v>0.24</v>
      </c>
      <c r="FV64" s="371">
        <v>0.51</v>
      </c>
      <c r="FW64" s="371">
        <v>0.5</v>
      </c>
      <c r="FX64" s="371">
        <v>0.33</v>
      </c>
      <c r="FY64" s="371">
        <v>0.3</v>
      </c>
      <c r="FZ64" s="371">
        <v>0.35</v>
      </c>
      <c r="GA64" s="371">
        <v>0.42</v>
      </c>
      <c r="GB64" s="371">
        <v>0.55000000000000004</v>
      </c>
      <c r="GC64" s="371">
        <v>0.36</v>
      </c>
      <c r="GD64" s="371">
        <v>0.52</v>
      </c>
      <c r="GE64" s="371">
        <v>0.49</v>
      </c>
      <c r="GF64" s="371">
        <v>0.4</v>
      </c>
      <c r="GG64" s="371">
        <v>0.36</v>
      </c>
      <c r="GH64" s="371">
        <v>0.44</v>
      </c>
      <c r="GI64" s="371">
        <v>0.19</v>
      </c>
      <c r="GJ64" s="469">
        <v>56</v>
      </c>
      <c r="GK64" s="471" t="s">
        <v>910</v>
      </c>
      <c r="GL64" s="469">
        <v>9</v>
      </c>
      <c r="GM64" s="471" t="s">
        <v>910</v>
      </c>
      <c r="GN64" s="501">
        <v>0</v>
      </c>
      <c r="GO64" s="501">
        <v>0.48</v>
      </c>
      <c r="GP64" s="501">
        <v>0.46</v>
      </c>
      <c r="GQ64" s="501">
        <v>0.06</v>
      </c>
      <c r="GR64" s="501">
        <v>0.43</v>
      </c>
      <c r="GS64" s="501">
        <v>0.41</v>
      </c>
      <c r="GT64" s="501">
        <v>0.48</v>
      </c>
      <c r="GU64" s="501">
        <v>0.24</v>
      </c>
      <c r="GV64" s="501">
        <v>0.43</v>
      </c>
      <c r="GW64" s="501">
        <v>0.41</v>
      </c>
      <c r="GX64" s="501">
        <v>0.31</v>
      </c>
      <c r="GY64" s="471" t="s">
        <v>287</v>
      </c>
      <c r="GZ64" s="501">
        <v>0.24</v>
      </c>
      <c r="HA64" s="501">
        <v>0.56000000000000005</v>
      </c>
      <c r="HB64" s="501">
        <v>0.34</v>
      </c>
      <c r="HC64" s="501">
        <v>0.45</v>
      </c>
      <c r="HD64" s="501">
        <v>0.45</v>
      </c>
      <c r="HE64" s="501">
        <v>0.27</v>
      </c>
      <c r="HF64" s="501">
        <v>0.41</v>
      </c>
      <c r="HG64" s="501">
        <v>0.53</v>
      </c>
      <c r="HH64" s="501">
        <v>0.24</v>
      </c>
      <c r="HI64" s="501">
        <v>0.44</v>
      </c>
      <c r="HJ64" s="501">
        <v>0.5</v>
      </c>
      <c r="HK64" s="501">
        <v>0.54</v>
      </c>
      <c r="HL64" s="501">
        <v>0.37</v>
      </c>
      <c r="HM64" s="501">
        <v>0.42</v>
      </c>
      <c r="HN64" s="501">
        <v>0.43</v>
      </c>
      <c r="HO64" s="501">
        <v>0.32</v>
      </c>
      <c r="HP64" s="471" t="s">
        <v>287</v>
      </c>
      <c r="HQ64" s="501">
        <v>0.28999999999999998</v>
      </c>
      <c r="HR64" s="630">
        <v>56</v>
      </c>
      <c r="HS64" s="640" t="s">
        <v>910</v>
      </c>
      <c r="HT64" s="630">
        <v>8</v>
      </c>
      <c r="HU64" s="640" t="s">
        <v>910</v>
      </c>
      <c r="HV64" s="644">
        <v>0.02</v>
      </c>
      <c r="HW64" s="644">
        <v>0.43</v>
      </c>
      <c r="HX64" s="644">
        <v>0.54</v>
      </c>
      <c r="HY64" s="644">
        <v>0.02</v>
      </c>
      <c r="HZ64" s="644">
        <v>0.27</v>
      </c>
      <c r="IA64" s="644">
        <v>0.4</v>
      </c>
      <c r="IB64" s="644">
        <v>0.23</v>
      </c>
      <c r="IC64" s="644">
        <v>0.4</v>
      </c>
      <c r="ID64" s="644">
        <v>0.61</v>
      </c>
      <c r="IE64" s="644">
        <v>0.23</v>
      </c>
      <c r="IF64" s="644">
        <v>0.28999999999999998</v>
      </c>
      <c r="IG64" s="644">
        <v>0.51</v>
      </c>
      <c r="IH64" s="644">
        <v>0.42</v>
      </c>
      <c r="II64" s="644">
        <v>0.26</v>
      </c>
      <c r="IJ64" s="644">
        <v>0.17</v>
      </c>
      <c r="IK64" s="644">
        <v>0.51</v>
      </c>
      <c r="IL64" s="644">
        <v>0.3</v>
      </c>
      <c r="IM64" s="644">
        <v>0.53</v>
      </c>
      <c r="IN64" s="644">
        <v>0.32</v>
      </c>
      <c r="IO64" s="644">
        <v>0.43</v>
      </c>
      <c r="IP64" s="644">
        <v>0.34</v>
      </c>
      <c r="IQ64" s="644">
        <v>0.46</v>
      </c>
      <c r="IR64" s="644">
        <v>0.43</v>
      </c>
      <c r="IS64" s="644">
        <v>0.52</v>
      </c>
      <c r="IT64" s="644">
        <v>0.28000000000000003</v>
      </c>
      <c r="IU64" s="640" t="s">
        <v>287</v>
      </c>
      <c r="IV64" s="644">
        <v>0.56000000000000005</v>
      </c>
      <c r="IW64" s="644">
        <v>0.26</v>
      </c>
      <c r="IX64" s="644">
        <v>0.43</v>
      </c>
      <c r="IY64" s="644">
        <v>0.41</v>
      </c>
    </row>
    <row r="65" spans="1:259" ht="24.9" customHeight="1" x14ac:dyDescent="0.25">
      <c r="A65" s="188" t="s">
        <v>128</v>
      </c>
      <c r="B65" s="1" t="s">
        <v>222</v>
      </c>
      <c r="C65" s="2">
        <v>5</v>
      </c>
      <c r="D65" s="16">
        <v>55</v>
      </c>
      <c r="E65" s="16">
        <v>7</v>
      </c>
      <c r="F65" s="99">
        <v>0.03</v>
      </c>
      <c r="G65" s="99">
        <v>0.47</v>
      </c>
      <c r="H65" s="99">
        <v>0.5</v>
      </c>
      <c r="I65" s="99">
        <v>0</v>
      </c>
      <c r="J65" s="99">
        <v>0.44</v>
      </c>
      <c r="K65" s="99">
        <v>0.28000000000000003</v>
      </c>
      <c r="L65" s="99">
        <v>0.69</v>
      </c>
      <c r="M65" s="99">
        <v>0.26</v>
      </c>
      <c r="N65" s="99">
        <v>0.24</v>
      </c>
      <c r="O65" s="99">
        <v>0.71</v>
      </c>
      <c r="P65" s="99">
        <v>0.28000000000000003</v>
      </c>
      <c r="Q65" s="99">
        <v>0.42</v>
      </c>
      <c r="R65" s="99">
        <v>0.51</v>
      </c>
      <c r="S65" s="99">
        <v>0.56999999999999995</v>
      </c>
      <c r="T65" s="99">
        <v>0.41</v>
      </c>
      <c r="U65" s="99">
        <v>0.45</v>
      </c>
      <c r="V65" s="99">
        <v>7.0000000000000007E-2</v>
      </c>
      <c r="W65" s="99">
        <v>0.19</v>
      </c>
      <c r="X65" s="99">
        <v>0.46</v>
      </c>
      <c r="Y65" s="99">
        <v>0.56000000000000005</v>
      </c>
      <c r="Z65" s="99">
        <v>1</v>
      </c>
      <c r="AA65" s="99">
        <v>0.28000000000000003</v>
      </c>
      <c r="AB65" s="99">
        <v>0.49</v>
      </c>
      <c r="AC65" s="99">
        <v>0.09</v>
      </c>
      <c r="AD65" s="99">
        <v>0.39</v>
      </c>
      <c r="AE65" s="99">
        <v>0.25</v>
      </c>
      <c r="AF65" s="99">
        <v>0.49</v>
      </c>
      <c r="AG65" s="99">
        <v>0.4</v>
      </c>
      <c r="AH65" s="16">
        <v>54</v>
      </c>
      <c r="AI65" s="16">
        <v>7</v>
      </c>
      <c r="AJ65" s="66">
        <v>0</v>
      </c>
      <c r="AK65" s="66">
        <v>0.72</v>
      </c>
      <c r="AL65" s="66">
        <v>0.28000000000000003</v>
      </c>
      <c r="AM65" s="66">
        <v>0</v>
      </c>
      <c r="AN65" s="66">
        <v>0.33</v>
      </c>
      <c r="AO65" s="66">
        <v>0.47</v>
      </c>
      <c r="AP65" s="66">
        <v>0.56999999999999995</v>
      </c>
      <c r="AQ65" s="66">
        <v>0.37</v>
      </c>
      <c r="AR65" s="66">
        <v>0.52</v>
      </c>
      <c r="AS65" s="66">
        <v>0.52</v>
      </c>
      <c r="AT65" s="66">
        <v>0.51</v>
      </c>
      <c r="AU65" s="66">
        <v>0.47</v>
      </c>
      <c r="AV65" s="66">
        <v>0.65</v>
      </c>
      <c r="AW65" s="66">
        <v>0.56999999999999995</v>
      </c>
      <c r="AX65" s="66">
        <v>0.5</v>
      </c>
      <c r="AY65" s="66">
        <v>0.21</v>
      </c>
      <c r="AZ65" s="66">
        <v>0.31</v>
      </c>
      <c r="BA65" s="66">
        <v>0.59</v>
      </c>
      <c r="BB65" s="66">
        <v>0.84</v>
      </c>
      <c r="BC65" s="66">
        <v>0.68</v>
      </c>
      <c r="BD65" s="66">
        <v>0.41</v>
      </c>
      <c r="BE65" s="66">
        <v>0.7</v>
      </c>
      <c r="BF65" s="66">
        <v>0.89</v>
      </c>
      <c r="BG65" s="66">
        <v>0.41</v>
      </c>
      <c r="BH65" s="66">
        <v>0.4</v>
      </c>
      <c r="BI65" s="66">
        <v>0.37</v>
      </c>
      <c r="BJ65" s="66">
        <v>0.28999999999999998</v>
      </c>
      <c r="BK65" s="66">
        <v>0.33</v>
      </c>
      <c r="BL65" s="66">
        <v>0.38</v>
      </c>
      <c r="BM65" s="16">
        <v>55</v>
      </c>
      <c r="BN65" s="16">
        <v>7</v>
      </c>
      <c r="BO65" s="99">
        <v>7.0000000000000007E-2</v>
      </c>
      <c r="BP65" s="99">
        <v>0.52</v>
      </c>
      <c r="BQ65" s="99">
        <v>0.41</v>
      </c>
      <c r="BR65" s="99">
        <v>0</v>
      </c>
      <c r="BS65" s="99">
        <v>0.23</v>
      </c>
      <c r="BT65" s="99">
        <v>0.64</v>
      </c>
      <c r="BU65" s="99">
        <v>0.46</v>
      </c>
      <c r="BV65" s="99">
        <v>0.05</v>
      </c>
      <c r="BW65" s="99">
        <v>0.66</v>
      </c>
      <c r="BX65" s="99">
        <v>0.3</v>
      </c>
      <c r="BY65" s="99">
        <v>0.52</v>
      </c>
      <c r="BZ65" s="99">
        <v>0.44</v>
      </c>
      <c r="CA65" s="99">
        <v>0.45</v>
      </c>
      <c r="CB65" s="99">
        <v>0.33</v>
      </c>
      <c r="CC65" s="99">
        <v>0.1</v>
      </c>
      <c r="CD65" s="99">
        <v>0.33</v>
      </c>
      <c r="CE65" s="99">
        <v>0.15</v>
      </c>
      <c r="CF65" s="99">
        <v>0.59</v>
      </c>
      <c r="CG65" s="99">
        <v>0.48</v>
      </c>
      <c r="CH65" s="99">
        <v>0.31</v>
      </c>
      <c r="CI65" s="99">
        <v>0.52</v>
      </c>
      <c r="CJ65" s="99">
        <v>0.41</v>
      </c>
      <c r="CK65" s="99">
        <v>0.53</v>
      </c>
      <c r="CL65" s="99">
        <v>0.28000000000000003</v>
      </c>
      <c r="CM65" s="99">
        <v>0.35</v>
      </c>
      <c r="CN65" s="99">
        <v>0.34</v>
      </c>
      <c r="CO65" s="99">
        <v>0.28000000000000003</v>
      </c>
      <c r="CP65" s="99">
        <v>0.28000000000000003</v>
      </c>
      <c r="CQ65" s="99">
        <v>0.5</v>
      </c>
      <c r="CR65" s="99">
        <v>0.43</v>
      </c>
      <c r="CS65" s="16">
        <v>55</v>
      </c>
      <c r="CT65" s="16">
        <v>9</v>
      </c>
      <c r="CU65" s="96">
        <v>0.06</v>
      </c>
      <c r="CV65" s="96">
        <v>0.39</v>
      </c>
      <c r="CW65" s="96">
        <v>0.56000000000000005</v>
      </c>
      <c r="CX65" s="96">
        <v>0</v>
      </c>
      <c r="CY65" s="96">
        <v>0.35</v>
      </c>
      <c r="CZ65" s="96">
        <v>0.21</v>
      </c>
      <c r="DA65" s="96">
        <v>0.56000000000000005</v>
      </c>
      <c r="DB65" s="96">
        <v>0.32</v>
      </c>
      <c r="DC65" s="96">
        <v>0.33</v>
      </c>
      <c r="DD65" s="96">
        <v>0.52</v>
      </c>
      <c r="DE65" s="96">
        <v>0.16</v>
      </c>
      <c r="DF65" s="96">
        <v>0.48</v>
      </c>
      <c r="DG65" s="96">
        <v>0.36</v>
      </c>
      <c r="DH65" s="96">
        <v>0.26</v>
      </c>
      <c r="DI65" s="96">
        <v>0.57999999999999996</v>
      </c>
      <c r="DJ65" s="96">
        <v>0.41</v>
      </c>
      <c r="DK65" s="96">
        <v>0.25</v>
      </c>
      <c r="DL65" s="96">
        <v>0.17</v>
      </c>
      <c r="DM65" s="96">
        <v>0.52</v>
      </c>
      <c r="DN65" s="96">
        <v>0.42</v>
      </c>
      <c r="DO65" s="96">
        <v>0.25</v>
      </c>
      <c r="DP65" s="96">
        <v>0.42</v>
      </c>
      <c r="DQ65" s="96">
        <v>0.49</v>
      </c>
      <c r="DR65" s="96">
        <v>0.06</v>
      </c>
      <c r="DS65" s="96">
        <v>0.28999999999999998</v>
      </c>
      <c r="DT65" s="96">
        <v>0.44</v>
      </c>
      <c r="DU65" s="96">
        <v>0.11</v>
      </c>
      <c r="DV65" s="96">
        <v>0.56000000000000005</v>
      </c>
      <c r="DW65" s="96">
        <v>0.38</v>
      </c>
      <c r="DX65" s="61">
        <v>54</v>
      </c>
      <c r="DY65" s="61">
        <v>8</v>
      </c>
      <c r="DZ65" s="66">
        <v>0.05</v>
      </c>
      <c r="EA65" s="66">
        <v>0.45</v>
      </c>
      <c r="EB65" s="66">
        <v>0.5</v>
      </c>
      <c r="EC65" s="66">
        <v>0</v>
      </c>
      <c r="ED65" s="66">
        <v>0.39</v>
      </c>
      <c r="EE65" s="66">
        <v>0.3</v>
      </c>
      <c r="EF65" s="66">
        <v>0.52</v>
      </c>
      <c r="EG65" s="66">
        <v>0</v>
      </c>
      <c r="EH65" s="66">
        <v>0.55000000000000004</v>
      </c>
      <c r="EI65" s="66">
        <v>0.46</v>
      </c>
      <c r="EJ65" s="66">
        <v>0.39</v>
      </c>
      <c r="EK65" s="66">
        <v>0.2</v>
      </c>
      <c r="EL65" s="66">
        <v>0.26</v>
      </c>
      <c r="EM65" s="66">
        <v>0.5</v>
      </c>
      <c r="EN65" s="66">
        <v>0.33</v>
      </c>
      <c r="EO65" s="66">
        <v>0.62</v>
      </c>
      <c r="EP65" s="66">
        <v>0.33</v>
      </c>
      <c r="EQ65" s="66">
        <v>0.05</v>
      </c>
      <c r="ER65" s="66">
        <v>0.56000000000000005</v>
      </c>
      <c r="ES65" s="66">
        <v>0.35</v>
      </c>
      <c r="ET65" s="66">
        <v>0.16</v>
      </c>
      <c r="EU65" s="66">
        <v>0.53</v>
      </c>
      <c r="EV65" s="66">
        <v>0.33</v>
      </c>
      <c r="EW65" s="66">
        <v>0.25</v>
      </c>
      <c r="EX65" s="66">
        <v>0.67</v>
      </c>
      <c r="EY65" s="66">
        <v>0.39</v>
      </c>
      <c r="EZ65" s="66">
        <v>0.2</v>
      </c>
      <c r="FA65" s="66">
        <v>0.53</v>
      </c>
      <c r="FB65" s="349">
        <v>53</v>
      </c>
      <c r="FC65" s="348" t="s">
        <v>910</v>
      </c>
      <c r="FD65" s="349">
        <v>8</v>
      </c>
      <c r="FE65" s="348" t="s">
        <v>910</v>
      </c>
      <c r="FF65" s="371">
        <v>0.05</v>
      </c>
      <c r="FG65" s="371">
        <v>0.6</v>
      </c>
      <c r="FH65" s="371">
        <v>0.35</v>
      </c>
      <c r="FI65" s="371">
        <v>0</v>
      </c>
      <c r="FJ65" s="371">
        <v>0.28999999999999998</v>
      </c>
      <c r="FK65" s="371">
        <v>0.68</v>
      </c>
      <c r="FL65" s="371">
        <v>0.43</v>
      </c>
      <c r="FM65" s="371">
        <v>0.44</v>
      </c>
      <c r="FN65" s="371">
        <v>0.24</v>
      </c>
      <c r="FO65" s="371">
        <v>0.27</v>
      </c>
      <c r="FP65" s="371">
        <v>0.28999999999999998</v>
      </c>
      <c r="FQ65" s="371">
        <v>0.39</v>
      </c>
      <c r="FR65" s="371">
        <v>0.63</v>
      </c>
      <c r="FS65" s="371">
        <v>0.5</v>
      </c>
      <c r="FT65" s="371">
        <v>0.31</v>
      </c>
      <c r="FU65" s="371">
        <v>0.31</v>
      </c>
      <c r="FV65" s="371">
        <v>0.41</v>
      </c>
      <c r="FW65" s="371">
        <v>0.41</v>
      </c>
      <c r="FX65" s="371">
        <v>0.42</v>
      </c>
      <c r="FY65" s="371">
        <v>0.27</v>
      </c>
      <c r="FZ65" s="371">
        <v>0.37</v>
      </c>
      <c r="GA65" s="371">
        <v>0.52</v>
      </c>
      <c r="GB65" s="371">
        <v>0.56999999999999995</v>
      </c>
      <c r="GC65" s="371">
        <v>0.35</v>
      </c>
      <c r="GD65" s="371">
        <v>0.52</v>
      </c>
      <c r="GE65" s="371">
        <v>0.54</v>
      </c>
      <c r="GF65" s="371">
        <v>0.32</v>
      </c>
      <c r="GG65" s="371">
        <v>0.46</v>
      </c>
      <c r="GH65" s="371">
        <v>0.51</v>
      </c>
      <c r="GI65" s="371">
        <v>0.26</v>
      </c>
      <c r="GJ65" s="469">
        <v>54</v>
      </c>
      <c r="GK65" s="471" t="s">
        <v>910</v>
      </c>
      <c r="GL65" s="469">
        <v>9</v>
      </c>
      <c r="GM65" s="471" t="s">
        <v>910</v>
      </c>
      <c r="GN65" s="501">
        <v>0.04</v>
      </c>
      <c r="GO65" s="501">
        <v>0.5</v>
      </c>
      <c r="GP65" s="501">
        <v>0.46</v>
      </c>
      <c r="GQ65" s="501">
        <v>0</v>
      </c>
      <c r="GR65" s="501">
        <v>0.48</v>
      </c>
      <c r="GS65" s="501">
        <v>0.49</v>
      </c>
      <c r="GT65" s="501">
        <v>0.61</v>
      </c>
      <c r="GU65" s="501">
        <v>0</v>
      </c>
      <c r="GV65" s="501">
        <v>0.5</v>
      </c>
      <c r="GW65" s="501">
        <v>0.39</v>
      </c>
      <c r="GX65" s="501">
        <v>0.38</v>
      </c>
      <c r="GY65" s="471" t="s">
        <v>287</v>
      </c>
      <c r="GZ65" s="501">
        <v>0.14000000000000001</v>
      </c>
      <c r="HA65" s="501">
        <v>0.73</v>
      </c>
      <c r="HB65" s="501">
        <v>0.28999999999999998</v>
      </c>
      <c r="HC65" s="501">
        <v>0.5</v>
      </c>
      <c r="HD65" s="501">
        <v>0.52</v>
      </c>
      <c r="HE65" s="501">
        <v>0.55000000000000004</v>
      </c>
      <c r="HF65" s="501">
        <v>0.38</v>
      </c>
      <c r="HG65" s="501">
        <v>0.62</v>
      </c>
      <c r="HH65" s="501">
        <v>0.22</v>
      </c>
      <c r="HI65" s="501">
        <v>0.45</v>
      </c>
      <c r="HJ65" s="501">
        <v>0.51</v>
      </c>
      <c r="HK65" s="501">
        <v>0.55000000000000004</v>
      </c>
      <c r="HL65" s="501">
        <v>0.45</v>
      </c>
      <c r="HM65" s="501">
        <v>0.43</v>
      </c>
      <c r="HN65" s="501">
        <v>0.36</v>
      </c>
      <c r="HO65" s="501">
        <v>0.33</v>
      </c>
      <c r="HP65" s="471" t="s">
        <v>287</v>
      </c>
      <c r="HQ65" s="501">
        <v>0.41</v>
      </c>
      <c r="HR65" s="630">
        <v>55</v>
      </c>
      <c r="HS65" s="640" t="s">
        <v>910</v>
      </c>
      <c r="HT65" s="630">
        <v>6</v>
      </c>
      <c r="HU65" s="640" t="s">
        <v>910</v>
      </c>
      <c r="HV65" s="644">
        <v>0</v>
      </c>
      <c r="HW65" s="644">
        <v>0.52</v>
      </c>
      <c r="HX65" s="644">
        <v>0.48</v>
      </c>
      <c r="HY65" s="644">
        <v>0</v>
      </c>
      <c r="HZ65" s="644">
        <v>0.28999999999999998</v>
      </c>
      <c r="IA65" s="644">
        <v>0.39</v>
      </c>
      <c r="IB65" s="644">
        <v>0.32</v>
      </c>
      <c r="IC65" s="644">
        <v>0.47</v>
      </c>
      <c r="ID65" s="644">
        <v>0.56999999999999995</v>
      </c>
      <c r="IE65" s="644">
        <v>0.3</v>
      </c>
      <c r="IF65" s="644">
        <v>0.33</v>
      </c>
      <c r="IG65" s="644">
        <v>0.38</v>
      </c>
      <c r="IH65" s="644">
        <v>0.46</v>
      </c>
      <c r="II65" s="644">
        <v>0.13</v>
      </c>
      <c r="IJ65" s="644">
        <v>0.14000000000000001</v>
      </c>
      <c r="IK65" s="644">
        <v>0.62</v>
      </c>
      <c r="IL65" s="644">
        <v>0.28000000000000003</v>
      </c>
      <c r="IM65" s="644">
        <v>0.56999999999999995</v>
      </c>
      <c r="IN65" s="644">
        <v>0.4</v>
      </c>
      <c r="IO65" s="644">
        <v>0.51</v>
      </c>
      <c r="IP65" s="644">
        <v>0.25</v>
      </c>
      <c r="IQ65" s="644">
        <v>0.55000000000000004</v>
      </c>
      <c r="IR65" s="644">
        <v>0.51</v>
      </c>
      <c r="IS65" s="644">
        <v>0.48</v>
      </c>
      <c r="IT65" s="644">
        <v>0.35</v>
      </c>
      <c r="IU65" s="640" t="s">
        <v>287</v>
      </c>
      <c r="IV65" s="644">
        <v>0.56999999999999995</v>
      </c>
      <c r="IW65" s="644">
        <v>0.27</v>
      </c>
      <c r="IX65" s="644">
        <v>0.47</v>
      </c>
      <c r="IY65" s="644">
        <v>0.39</v>
      </c>
    </row>
    <row r="66" spans="1:259" ht="24.9" customHeight="1" x14ac:dyDescent="0.25">
      <c r="A66" s="188" t="s">
        <v>160</v>
      </c>
      <c r="B66" s="1" t="s">
        <v>222</v>
      </c>
      <c r="C66" s="2">
        <v>3</v>
      </c>
      <c r="D66" s="16">
        <v>57</v>
      </c>
      <c r="E66" s="16">
        <v>7</v>
      </c>
      <c r="F66" s="99">
        <v>0.03</v>
      </c>
      <c r="G66" s="99">
        <v>0.39</v>
      </c>
      <c r="H66" s="99">
        <v>0.57999999999999996</v>
      </c>
      <c r="I66" s="99">
        <v>0</v>
      </c>
      <c r="J66" s="99">
        <v>0.4</v>
      </c>
      <c r="K66" s="99">
        <v>0.3</v>
      </c>
      <c r="L66" s="99">
        <v>0.7</v>
      </c>
      <c r="M66" s="99">
        <v>0.12</v>
      </c>
      <c r="N66" s="99">
        <v>0.21</v>
      </c>
      <c r="O66" s="99">
        <v>0.69</v>
      </c>
      <c r="P66" s="99">
        <v>0.28000000000000003</v>
      </c>
      <c r="Q66" s="99">
        <v>0.3</v>
      </c>
      <c r="R66" s="99">
        <v>0.48</v>
      </c>
      <c r="S66" s="99">
        <v>0.59</v>
      </c>
      <c r="T66" s="99">
        <v>0.46</v>
      </c>
      <c r="U66" s="99">
        <v>0.49</v>
      </c>
      <c r="V66" s="99">
        <v>0.03</v>
      </c>
      <c r="W66" s="99">
        <v>0.05</v>
      </c>
      <c r="X66" s="99">
        <v>0.41</v>
      </c>
      <c r="Y66" s="99">
        <v>0.42</v>
      </c>
      <c r="Z66" s="13" t="s">
        <v>287</v>
      </c>
      <c r="AA66" s="99">
        <v>0.1</v>
      </c>
      <c r="AB66" s="99">
        <v>0.34</v>
      </c>
      <c r="AC66" s="99">
        <v>0.15</v>
      </c>
      <c r="AD66" s="99">
        <v>0.35</v>
      </c>
      <c r="AE66" s="99">
        <v>0.33</v>
      </c>
      <c r="AF66" s="99">
        <v>0.45</v>
      </c>
      <c r="AG66" s="99">
        <v>0.48</v>
      </c>
      <c r="AH66" s="16">
        <v>56</v>
      </c>
      <c r="AI66" s="16">
        <v>7</v>
      </c>
      <c r="AJ66" s="66">
        <v>0</v>
      </c>
      <c r="AK66" s="66">
        <v>0.56999999999999995</v>
      </c>
      <c r="AL66" s="66">
        <v>0.39</v>
      </c>
      <c r="AM66" s="66">
        <v>0.04</v>
      </c>
      <c r="AN66" s="66">
        <v>0.36</v>
      </c>
      <c r="AO66" s="66">
        <v>0.39</v>
      </c>
      <c r="AP66" s="66">
        <v>0.35</v>
      </c>
      <c r="AQ66" s="66">
        <v>0.25</v>
      </c>
      <c r="AR66" s="66">
        <v>0.5</v>
      </c>
      <c r="AS66" s="66">
        <v>0.46</v>
      </c>
      <c r="AT66" s="66">
        <v>0.45</v>
      </c>
      <c r="AU66" s="66">
        <v>0.45</v>
      </c>
      <c r="AV66" s="66">
        <v>0.56000000000000005</v>
      </c>
      <c r="AW66" s="66">
        <v>0.22</v>
      </c>
      <c r="AX66" s="66">
        <v>0.41</v>
      </c>
      <c r="AY66" s="66">
        <v>0.28999999999999998</v>
      </c>
      <c r="AZ66" s="66">
        <v>0.2</v>
      </c>
      <c r="BA66" s="66">
        <v>0.34</v>
      </c>
      <c r="BB66" s="66">
        <v>0.71</v>
      </c>
      <c r="BC66" s="66">
        <v>0.65</v>
      </c>
      <c r="BD66" s="66">
        <v>0.37</v>
      </c>
      <c r="BE66" s="66">
        <v>0.43</v>
      </c>
      <c r="BF66" s="66">
        <v>0.64</v>
      </c>
      <c r="BG66" s="66">
        <v>0.5</v>
      </c>
      <c r="BH66" s="66">
        <v>0.36</v>
      </c>
      <c r="BI66" s="66">
        <v>0.39</v>
      </c>
      <c r="BJ66" s="66">
        <v>0.33</v>
      </c>
      <c r="BK66" s="66">
        <v>0.37</v>
      </c>
      <c r="BL66" s="66">
        <v>0.45</v>
      </c>
      <c r="BM66" s="16">
        <v>61</v>
      </c>
      <c r="BN66" s="16">
        <v>8</v>
      </c>
      <c r="BO66" s="99">
        <v>0.06</v>
      </c>
      <c r="BP66" s="99">
        <v>0.11</v>
      </c>
      <c r="BQ66" s="99">
        <v>0.78</v>
      </c>
      <c r="BR66" s="99">
        <v>0.06</v>
      </c>
      <c r="BS66" s="99">
        <v>0.31</v>
      </c>
      <c r="BT66" s="99">
        <v>0.36</v>
      </c>
      <c r="BU66" s="99">
        <v>0.41</v>
      </c>
      <c r="BV66" s="99">
        <v>0.17</v>
      </c>
      <c r="BW66" s="99">
        <v>0.52</v>
      </c>
      <c r="BX66" s="99">
        <v>0.13</v>
      </c>
      <c r="BY66" s="99">
        <v>0.24</v>
      </c>
      <c r="BZ66" s="99">
        <v>0.37</v>
      </c>
      <c r="CA66" s="99">
        <v>0.46</v>
      </c>
      <c r="CB66" s="99">
        <v>0.2</v>
      </c>
      <c r="CC66" s="99">
        <v>0.11</v>
      </c>
      <c r="CD66" s="99">
        <v>0.17</v>
      </c>
      <c r="CE66" s="99">
        <v>0.1</v>
      </c>
      <c r="CF66" s="99">
        <v>0.5</v>
      </c>
      <c r="CG66" s="99">
        <v>0.27</v>
      </c>
      <c r="CH66" s="99">
        <v>0.19</v>
      </c>
      <c r="CI66" s="99">
        <v>0.39</v>
      </c>
      <c r="CJ66" s="99">
        <v>0.22</v>
      </c>
      <c r="CK66" s="99">
        <v>0.42</v>
      </c>
      <c r="CL66" s="99">
        <v>0.1</v>
      </c>
      <c r="CM66" s="99">
        <v>0.22</v>
      </c>
      <c r="CN66" s="99">
        <v>0.31</v>
      </c>
      <c r="CO66" s="99">
        <v>0.23</v>
      </c>
      <c r="CP66" s="99">
        <v>0.17</v>
      </c>
      <c r="CQ66" s="99">
        <v>0.4</v>
      </c>
      <c r="CR66" s="99">
        <v>0.4</v>
      </c>
      <c r="CS66" s="16">
        <v>55</v>
      </c>
      <c r="CT66" s="16">
        <v>7</v>
      </c>
      <c r="CU66" s="96">
        <v>0</v>
      </c>
      <c r="CV66" s="96">
        <v>0.54</v>
      </c>
      <c r="CW66" s="96">
        <v>0.46</v>
      </c>
      <c r="CX66" s="96">
        <v>0</v>
      </c>
      <c r="CY66" s="96">
        <v>0.48</v>
      </c>
      <c r="CZ66" s="96">
        <v>0.23</v>
      </c>
      <c r="DA66" s="96">
        <v>0.36</v>
      </c>
      <c r="DB66" s="96">
        <v>0.44</v>
      </c>
      <c r="DC66" s="96">
        <v>0.43</v>
      </c>
      <c r="DD66" s="96">
        <v>0.62</v>
      </c>
      <c r="DE66" s="96">
        <v>0.34</v>
      </c>
      <c r="DF66" s="96">
        <v>0.46</v>
      </c>
      <c r="DG66" s="96">
        <v>0.38</v>
      </c>
      <c r="DH66" s="96">
        <v>0.33</v>
      </c>
      <c r="DI66" s="96">
        <v>0.48</v>
      </c>
      <c r="DJ66" s="96">
        <v>0.42</v>
      </c>
      <c r="DK66" s="96">
        <v>0.23</v>
      </c>
      <c r="DL66" s="96">
        <v>0.67</v>
      </c>
      <c r="DM66" s="96">
        <v>0.35</v>
      </c>
      <c r="DN66" s="96">
        <v>0.38</v>
      </c>
      <c r="DO66" s="96">
        <v>0.3</v>
      </c>
      <c r="DP66" s="96">
        <v>0.35</v>
      </c>
      <c r="DQ66" s="96">
        <v>0.49</v>
      </c>
      <c r="DR66" s="96">
        <v>0.09</v>
      </c>
      <c r="DS66" s="96">
        <v>0.23</v>
      </c>
      <c r="DT66" s="96">
        <v>0.46</v>
      </c>
      <c r="DU66" s="96">
        <v>0.44</v>
      </c>
      <c r="DV66" s="96">
        <v>0.55000000000000004</v>
      </c>
      <c r="DW66" s="96">
        <v>0.27</v>
      </c>
      <c r="DX66" s="61">
        <v>58</v>
      </c>
      <c r="DY66" s="61">
        <v>5</v>
      </c>
      <c r="DZ66" s="66">
        <v>0</v>
      </c>
      <c r="EA66" s="66">
        <v>0.42</v>
      </c>
      <c r="EB66" s="66">
        <v>0.53</v>
      </c>
      <c r="EC66" s="66">
        <v>0.05</v>
      </c>
      <c r="ED66" s="66">
        <v>0.46</v>
      </c>
      <c r="EE66" s="66">
        <v>0.34</v>
      </c>
      <c r="EF66" s="66">
        <v>0.31</v>
      </c>
      <c r="EG66" s="66">
        <v>0.22</v>
      </c>
      <c r="EH66" s="66">
        <v>0.39</v>
      </c>
      <c r="EI66" s="66">
        <v>0.41</v>
      </c>
      <c r="EJ66" s="66">
        <v>0.41</v>
      </c>
      <c r="EK66" s="66">
        <v>0.06</v>
      </c>
      <c r="EL66" s="66">
        <v>0.21</v>
      </c>
      <c r="EM66" s="66">
        <v>0.45</v>
      </c>
      <c r="EN66" s="66">
        <v>0.15</v>
      </c>
      <c r="EO66" s="66">
        <v>0.46</v>
      </c>
      <c r="EP66" s="66">
        <v>0.14000000000000001</v>
      </c>
      <c r="EQ66" s="66">
        <v>0.05</v>
      </c>
      <c r="ER66" s="66">
        <v>0.43</v>
      </c>
      <c r="ES66" s="66">
        <v>0.28000000000000003</v>
      </c>
      <c r="ET66" s="66">
        <v>0.28999999999999998</v>
      </c>
      <c r="EU66" s="66">
        <v>0.56000000000000005</v>
      </c>
      <c r="EV66" s="66">
        <v>0.27</v>
      </c>
      <c r="EW66" s="66">
        <v>0.21</v>
      </c>
      <c r="EX66" s="66">
        <v>0.55000000000000004</v>
      </c>
      <c r="EY66" s="66">
        <v>0.41</v>
      </c>
      <c r="EZ66" s="66">
        <v>0</v>
      </c>
      <c r="FA66" s="66">
        <v>0.48</v>
      </c>
      <c r="FB66" s="349">
        <v>56</v>
      </c>
      <c r="FC66" s="348" t="s">
        <v>910</v>
      </c>
      <c r="FD66" s="349">
        <v>9</v>
      </c>
      <c r="FE66" s="348" t="s">
        <v>910</v>
      </c>
      <c r="FF66" s="371">
        <v>0.03</v>
      </c>
      <c r="FG66" s="371">
        <v>0.47</v>
      </c>
      <c r="FH66" s="371">
        <v>0.41</v>
      </c>
      <c r="FI66" s="371">
        <v>0.09</v>
      </c>
      <c r="FJ66" s="371">
        <v>0.45</v>
      </c>
      <c r="FK66" s="371">
        <v>0.55000000000000004</v>
      </c>
      <c r="FL66" s="371">
        <v>0.44</v>
      </c>
      <c r="FM66" s="371">
        <v>0.35</v>
      </c>
      <c r="FN66" s="371">
        <v>0.2</v>
      </c>
      <c r="FO66" s="371">
        <v>0.23</v>
      </c>
      <c r="FP66" s="371">
        <v>0.28000000000000003</v>
      </c>
      <c r="FQ66" s="371">
        <v>0.32</v>
      </c>
      <c r="FR66" s="371">
        <v>0.4</v>
      </c>
      <c r="FS66" s="371">
        <v>0.45</v>
      </c>
      <c r="FT66" s="371">
        <v>0.4</v>
      </c>
      <c r="FU66" s="371">
        <v>0.2</v>
      </c>
      <c r="FV66" s="371">
        <v>0.5</v>
      </c>
      <c r="FW66" s="371">
        <v>0.43</v>
      </c>
      <c r="FX66" s="371">
        <v>0.41</v>
      </c>
      <c r="FY66" s="371">
        <v>0.23</v>
      </c>
      <c r="FZ66" s="371">
        <v>0.26</v>
      </c>
      <c r="GA66" s="371">
        <v>0.43</v>
      </c>
      <c r="GB66" s="371">
        <v>0.42</v>
      </c>
      <c r="GC66" s="371">
        <v>0.27</v>
      </c>
      <c r="GD66" s="371">
        <v>0.46</v>
      </c>
      <c r="GE66" s="371">
        <v>0.37</v>
      </c>
      <c r="GF66" s="371">
        <v>0.18</v>
      </c>
      <c r="GG66" s="371">
        <v>0.37</v>
      </c>
      <c r="GH66" s="371">
        <v>0.46</v>
      </c>
      <c r="GI66" s="371">
        <v>0.12</v>
      </c>
      <c r="GJ66" s="469">
        <v>57</v>
      </c>
      <c r="GK66" s="471" t="s">
        <v>910</v>
      </c>
      <c r="GL66" s="469">
        <v>8</v>
      </c>
      <c r="GM66" s="471" t="s">
        <v>910</v>
      </c>
      <c r="GN66" s="501">
        <v>0.03</v>
      </c>
      <c r="GO66" s="501">
        <v>0.42</v>
      </c>
      <c r="GP66" s="501">
        <v>0.5</v>
      </c>
      <c r="GQ66" s="501">
        <v>0.05</v>
      </c>
      <c r="GR66" s="501">
        <v>0.32</v>
      </c>
      <c r="GS66" s="501">
        <v>0.43</v>
      </c>
      <c r="GT66" s="501">
        <v>0.53</v>
      </c>
      <c r="GU66" s="501">
        <v>0.11</v>
      </c>
      <c r="GV66" s="501">
        <v>0.39</v>
      </c>
      <c r="GW66" s="501">
        <v>0.31</v>
      </c>
      <c r="GX66" s="501">
        <v>0.38</v>
      </c>
      <c r="GY66" s="471" t="s">
        <v>287</v>
      </c>
      <c r="GZ66" s="501">
        <v>0.15</v>
      </c>
      <c r="HA66" s="501">
        <v>0.81</v>
      </c>
      <c r="HB66" s="501">
        <v>0.35</v>
      </c>
      <c r="HC66" s="501">
        <v>0.38</v>
      </c>
      <c r="HD66" s="501">
        <v>0.38</v>
      </c>
      <c r="HE66" s="501">
        <v>0.38</v>
      </c>
      <c r="HF66" s="501">
        <v>0.35</v>
      </c>
      <c r="HG66" s="501">
        <v>0.6</v>
      </c>
      <c r="HH66" s="501">
        <v>0.18</v>
      </c>
      <c r="HI66" s="501">
        <v>0.32</v>
      </c>
      <c r="HJ66" s="501">
        <v>0.55000000000000004</v>
      </c>
      <c r="HK66" s="501">
        <v>0.45</v>
      </c>
      <c r="HL66" s="501">
        <v>0.32</v>
      </c>
      <c r="HM66" s="501">
        <v>0.43</v>
      </c>
      <c r="HN66" s="501">
        <v>0.35</v>
      </c>
      <c r="HO66" s="501">
        <v>0.34</v>
      </c>
      <c r="HP66" s="471" t="s">
        <v>287</v>
      </c>
      <c r="HQ66" s="501">
        <v>0.38</v>
      </c>
      <c r="HR66" s="630">
        <v>56</v>
      </c>
      <c r="HS66" s="640" t="s">
        <v>910</v>
      </c>
      <c r="HT66" s="630">
        <v>7</v>
      </c>
      <c r="HU66" s="640" t="s">
        <v>910</v>
      </c>
      <c r="HV66" s="644">
        <v>0.02</v>
      </c>
      <c r="HW66" s="644">
        <v>0.45</v>
      </c>
      <c r="HX66" s="644">
        <v>0.5</v>
      </c>
      <c r="HY66" s="644">
        <v>0.02</v>
      </c>
      <c r="HZ66" s="644">
        <v>0.2</v>
      </c>
      <c r="IA66" s="644">
        <v>0.46</v>
      </c>
      <c r="IB66" s="644">
        <v>0.27</v>
      </c>
      <c r="IC66" s="644">
        <v>0.4</v>
      </c>
      <c r="ID66" s="644">
        <v>0.6</v>
      </c>
      <c r="IE66" s="644">
        <v>0.19</v>
      </c>
      <c r="IF66" s="644">
        <v>0.36</v>
      </c>
      <c r="IG66" s="644">
        <v>0.44</v>
      </c>
      <c r="IH66" s="644">
        <v>0.37</v>
      </c>
      <c r="II66" s="644">
        <v>0.2</v>
      </c>
      <c r="IJ66" s="644">
        <v>0.21</v>
      </c>
      <c r="IK66" s="644">
        <v>0.45</v>
      </c>
      <c r="IL66" s="644">
        <v>0.24</v>
      </c>
      <c r="IM66" s="644">
        <v>0.51</v>
      </c>
      <c r="IN66" s="644">
        <v>0.32</v>
      </c>
      <c r="IO66" s="644">
        <v>0.43</v>
      </c>
      <c r="IP66" s="644">
        <v>0.35</v>
      </c>
      <c r="IQ66" s="644">
        <v>0.52</v>
      </c>
      <c r="IR66" s="644">
        <v>0.44</v>
      </c>
      <c r="IS66" s="644">
        <v>0.4</v>
      </c>
      <c r="IT66" s="644">
        <v>0.31</v>
      </c>
      <c r="IU66" s="640" t="s">
        <v>287</v>
      </c>
      <c r="IV66" s="644">
        <v>0.61</v>
      </c>
      <c r="IW66" s="644">
        <v>0.36</v>
      </c>
      <c r="IX66" s="644">
        <v>0.38</v>
      </c>
      <c r="IY66" s="644">
        <v>0.48</v>
      </c>
    </row>
    <row r="67" spans="1:259" ht="24.9" customHeight="1" x14ac:dyDescent="0.25">
      <c r="A67" s="188" t="s">
        <v>59</v>
      </c>
      <c r="B67" s="1" t="s">
        <v>222</v>
      </c>
      <c r="C67" s="2">
        <v>1</v>
      </c>
      <c r="D67" s="16">
        <v>53</v>
      </c>
      <c r="E67" s="16">
        <v>5</v>
      </c>
      <c r="F67" s="99">
        <v>0</v>
      </c>
      <c r="G67" s="99">
        <v>0.67</v>
      </c>
      <c r="H67" s="99">
        <v>0.33</v>
      </c>
      <c r="I67" s="99">
        <v>0</v>
      </c>
      <c r="J67" s="99">
        <v>0.56000000000000005</v>
      </c>
      <c r="K67" s="99">
        <v>0.35</v>
      </c>
      <c r="L67" s="99">
        <v>0.71</v>
      </c>
      <c r="M67" s="99">
        <v>0.28000000000000003</v>
      </c>
      <c r="N67" s="99">
        <v>0.25</v>
      </c>
      <c r="O67" s="99">
        <v>0.79</v>
      </c>
      <c r="P67" s="99">
        <v>0.41</v>
      </c>
      <c r="Q67" s="99">
        <v>0.41</v>
      </c>
      <c r="R67" s="99">
        <v>0.59</v>
      </c>
      <c r="S67" s="99">
        <v>0.79</v>
      </c>
      <c r="T67" s="99">
        <v>0.38</v>
      </c>
      <c r="U67" s="99">
        <v>0.68</v>
      </c>
      <c r="V67" s="99">
        <v>0.06</v>
      </c>
      <c r="W67" s="99">
        <v>0.16</v>
      </c>
      <c r="X67" s="99">
        <v>0.55000000000000004</v>
      </c>
      <c r="Y67" s="99">
        <v>0.34</v>
      </c>
      <c r="Z67" s="13" t="s">
        <v>287</v>
      </c>
      <c r="AA67" s="99">
        <v>0</v>
      </c>
      <c r="AB67" s="99">
        <v>0.49</v>
      </c>
      <c r="AC67" s="99">
        <v>0.31</v>
      </c>
      <c r="AD67" s="99">
        <v>0.48</v>
      </c>
      <c r="AE67" s="99">
        <v>0.45</v>
      </c>
      <c r="AF67" s="99">
        <v>0.55000000000000004</v>
      </c>
      <c r="AG67" s="99">
        <v>0.6</v>
      </c>
      <c r="AH67" s="16">
        <v>51</v>
      </c>
      <c r="AI67" s="16">
        <v>6</v>
      </c>
      <c r="AJ67" s="66">
        <v>0.03</v>
      </c>
      <c r="AK67" s="66">
        <v>0.7</v>
      </c>
      <c r="AL67" s="66">
        <v>0.27</v>
      </c>
      <c r="AM67" s="66">
        <v>0</v>
      </c>
      <c r="AN67" s="66">
        <v>0.27</v>
      </c>
      <c r="AO67" s="66">
        <v>0.46</v>
      </c>
      <c r="AP67" s="66">
        <v>0.59</v>
      </c>
      <c r="AQ67" s="66">
        <v>0.4</v>
      </c>
      <c r="AR67" s="66">
        <v>0.59</v>
      </c>
      <c r="AS67" s="66">
        <v>0.59</v>
      </c>
      <c r="AT67" s="66">
        <v>0.53</v>
      </c>
      <c r="AU67" s="66">
        <v>0.6</v>
      </c>
      <c r="AV67" s="66">
        <v>0.63</v>
      </c>
      <c r="AW67" s="66">
        <v>0.61</v>
      </c>
      <c r="AX67" s="66">
        <v>0.5</v>
      </c>
      <c r="AY67" s="66">
        <v>0.4</v>
      </c>
      <c r="AZ67" s="66">
        <v>0.28000000000000003</v>
      </c>
      <c r="BA67" s="66">
        <v>0.57999999999999996</v>
      </c>
      <c r="BB67" s="66">
        <v>0.72</v>
      </c>
      <c r="BC67" s="66">
        <v>0.66</v>
      </c>
      <c r="BD67" s="66">
        <v>0.33</v>
      </c>
      <c r="BE67" s="66">
        <v>0.64</v>
      </c>
      <c r="BF67" s="66">
        <v>0.85</v>
      </c>
      <c r="BG67" s="66">
        <v>0.48</v>
      </c>
      <c r="BH67" s="66">
        <v>0.46</v>
      </c>
      <c r="BI67" s="66">
        <v>0.39</v>
      </c>
      <c r="BJ67" s="66">
        <v>0.25</v>
      </c>
      <c r="BK67" s="66">
        <v>0.52</v>
      </c>
      <c r="BL67" s="66">
        <v>0.31</v>
      </c>
      <c r="BM67" s="16">
        <v>47</v>
      </c>
      <c r="BN67" s="16">
        <v>6</v>
      </c>
      <c r="BO67" s="99">
        <v>0.14000000000000001</v>
      </c>
      <c r="BP67" s="99">
        <v>0.77</v>
      </c>
      <c r="BQ67" s="99">
        <v>0.09</v>
      </c>
      <c r="BR67" s="99">
        <v>0</v>
      </c>
      <c r="BS67" s="99">
        <v>0.44</v>
      </c>
      <c r="BT67" s="99">
        <v>0.78</v>
      </c>
      <c r="BU67" s="99">
        <v>0.55000000000000004</v>
      </c>
      <c r="BV67" s="99">
        <v>0.4</v>
      </c>
      <c r="BW67" s="99">
        <v>0.69</v>
      </c>
      <c r="BX67" s="99">
        <v>0.45</v>
      </c>
      <c r="BY67" s="99">
        <v>0.56000000000000005</v>
      </c>
      <c r="BZ67" s="99">
        <v>0.6</v>
      </c>
      <c r="CA67" s="99">
        <v>0.49</v>
      </c>
      <c r="CB67" s="99">
        <v>0.41</v>
      </c>
      <c r="CC67" s="99">
        <v>0.28000000000000003</v>
      </c>
      <c r="CD67" s="99">
        <v>0.48</v>
      </c>
      <c r="CE67" s="99">
        <v>0.43</v>
      </c>
      <c r="CF67" s="99">
        <v>0.73</v>
      </c>
      <c r="CG67" s="99">
        <v>0.59</v>
      </c>
      <c r="CH67" s="99">
        <v>0.56999999999999995</v>
      </c>
      <c r="CI67" s="99">
        <v>0.65</v>
      </c>
      <c r="CJ67" s="99">
        <v>0.52</v>
      </c>
      <c r="CK67" s="99">
        <v>0.75</v>
      </c>
      <c r="CL67" s="99">
        <v>0.53</v>
      </c>
      <c r="CM67" s="99">
        <v>0.57999999999999996</v>
      </c>
      <c r="CN67" s="99">
        <v>0.63</v>
      </c>
      <c r="CO67" s="99">
        <v>0.53</v>
      </c>
      <c r="CP67" s="99">
        <v>0.44</v>
      </c>
      <c r="CQ67" s="99">
        <v>0.56000000000000005</v>
      </c>
      <c r="CR67" s="99">
        <v>0.53</v>
      </c>
      <c r="CS67" s="16">
        <v>47</v>
      </c>
      <c r="CT67" s="16">
        <v>9</v>
      </c>
      <c r="CU67" s="96">
        <v>0.15</v>
      </c>
      <c r="CV67" s="96">
        <v>0.69</v>
      </c>
      <c r="CW67" s="96">
        <v>0.12</v>
      </c>
      <c r="CX67" s="96">
        <v>0.04</v>
      </c>
      <c r="CY67" s="96">
        <v>0.51</v>
      </c>
      <c r="CZ67" s="96">
        <v>0.3</v>
      </c>
      <c r="DA67" s="96">
        <v>0.49</v>
      </c>
      <c r="DB67" s="96">
        <v>0.37</v>
      </c>
      <c r="DC67" s="96">
        <v>0.41</v>
      </c>
      <c r="DD67" s="96">
        <v>0.56000000000000005</v>
      </c>
      <c r="DE67" s="96">
        <v>0.62</v>
      </c>
      <c r="DF67" s="96">
        <v>0.61</v>
      </c>
      <c r="DG67" s="96">
        <v>0.57999999999999996</v>
      </c>
      <c r="DH67" s="96">
        <v>0.32</v>
      </c>
      <c r="DI67" s="96">
        <v>0.57999999999999996</v>
      </c>
      <c r="DJ67" s="96">
        <v>0.7</v>
      </c>
      <c r="DK67" s="96">
        <v>0.46</v>
      </c>
      <c r="DL67" s="96">
        <v>0.62</v>
      </c>
      <c r="DM67" s="96">
        <v>0.6</v>
      </c>
      <c r="DN67" s="96">
        <v>0.56000000000000005</v>
      </c>
      <c r="DO67" s="96">
        <v>0.56999999999999995</v>
      </c>
      <c r="DP67" s="96">
        <v>0.49</v>
      </c>
      <c r="DQ67" s="96">
        <v>0.65</v>
      </c>
      <c r="DR67" s="96">
        <v>0.2</v>
      </c>
      <c r="DS67" s="96">
        <v>0.46</v>
      </c>
      <c r="DT67" s="96">
        <v>0.63</v>
      </c>
      <c r="DU67" s="96">
        <v>0.54</v>
      </c>
      <c r="DV67" s="96">
        <v>0.69</v>
      </c>
      <c r="DW67" s="96">
        <v>0.43</v>
      </c>
      <c r="DX67" s="61">
        <v>44</v>
      </c>
      <c r="DY67" s="61">
        <v>9</v>
      </c>
      <c r="DZ67" s="66">
        <v>0.32</v>
      </c>
      <c r="EA67" s="66">
        <v>0.56000000000000005</v>
      </c>
      <c r="EB67" s="66">
        <v>0.12</v>
      </c>
      <c r="EC67" s="66">
        <v>0</v>
      </c>
      <c r="ED67" s="66">
        <v>0.53</v>
      </c>
      <c r="EE67" s="66">
        <v>0.6</v>
      </c>
      <c r="EF67" s="66">
        <v>0.56999999999999995</v>
      </c>
      <c r="EG67" s="66">
        <v>0</v>
      </c>
      <c r="EH67" s="66">
        <v>0.59</v>
      </c>
      <c r="EI67" s="66">
        <v>0.71</v>
      </c>
      <c r="EJ67" s="66">
        <v>0.78</v>
      </c>
      <c r="EK67" s="66">
        <v>0.32</v>
      </c>
      <c r="EL67" s="66">
        <v>0.59</v>
      </c>
      <c r="EM67" s="66">
        <v>0.74</v>
      </c>
      <c r="EN67" s="66">
        <v>0.56999999999999995</v>
      </c>
      <c r="EO67" s="66">
        <v>0.53</v>
      </c>
      <c r="EP67" s="66">
        <v>0.51</v>
      </c>
      <c r="EQ67" s="66">
        <v>0.55000000000000004</v>
      </c>
      <c r="ER67" s="66">
        <v>0.59</v>
      </c>
      <c r="ES67" s="66">
        <v>0.42</v>
      </c>
      <c r="ET67" s="66">
        <v>0.56000000000000005</v>
      </c>
      <c r="EU67" s="66">
        <v>0.64</v>
      </c>
      <c r="EV67" s="66">
        <v>0.5</v>
      </c>
      <c r="EW67" s="66">
        <v>0.33</v>
      </c>
      <c r="EX67" s="66">
        <v>0.6</v>
      </c>
      <c r="EY67" s="66">
        <v>0.68</v>
      </c>
      <c r="EZ67" s="66">
        <v>0.33</v>
      </c>
      <c r="FA67" s="66">
        <v>0.73</v>
      </c>
      <c r="FB67" s="349">
        <v>48</v>
      </c>
      <c r="FC67" s="348" t="s">
        <v>910</v>
      </c>
      <c r="FD67" s="349">
        <v>9</v>
      </c>
      <c r="FE67" s="348" t="s">
        <v>910</v>
      </c>
      <c r="FF67" s="371">
        <v>0.22</v>
      </c>
      <c r="FG67" s="371">
        <v>0.59</v>
      </c>
      <c r="FH67" s="371">
        <v>0.19</v>
      </c>
      <c r="FI67" s="371">
        <v>0</v>
      </c>
      <c r="FJ67" s="371">
        <v>0.44</v>
      </c>
      <c r="FK67" s="371">
        <v>0.6</v>
      </c>
      <c r="FL67" s="371">
        <v>0.6</v>
      </c>
      <c r="FM67" s="371">
        <v>0.43</v>
      </c>
      <c r="FN67" s="371">
        <v>0.24</v>
      </c>
      <c r="FO67" s="371">
        <v>0.42</v>
      </c>
      <c r="FP67" s="371">
        <v>0.49</v>
      </c>
      <c r="FQ67" s="371">
        <v>0.5</v>
      </c>
      <c r="FR67" s="371">
        <v>0.57999999999999996</v>
      </c>
      <c r="FS67" s="371">
        <v>0.51</v>
      </c>
      <c r="FT67" s="371">
        <v>0.56000000000000005</v>
      </c>
      <c r="FU67" s="371">
        <v>0.46</v>
      </c>
      <c r="FV67" s="371">
        <v>0.6</v>
      </c>
      <c r="FW67" s="371">
        <v>0.69</v>
      </c>
      <c r="FX67" s="371">
        <v>0.5</v>
      </c>
      <c r="FY67" s="371">
        <v>0.44</v>
      </c>
      <c r="FZ67" s="371">
        <v>0.4</v>
      </c>
      <c r="GA67" s="371">
        <v>0.42</v>
      </c>
      <c r="GB67" s="371">
        <v>0.48</v>
      </c>
      <c r="GC67" s="371">
        <v>0.42</v>
      </c>
      <c r="GD67" s="371">
        <v>0.62</v>
      </c>
      <c r="GE67" s="371">
        <v>0.56999999999999995</v>
      </c>
      <c r="GF67" s="371">
        <v>0.64</v>
      </c>
      <c r="GG67" s="371">
        <v>0.55000000000000004</v>
      </c>
      <c r="GH67" s="371">
        <v>0.56999999999999995</v>
      </c>
      <c r="GI67" s="371">
        <v>0.25</v>
      </c>
      <c r="GJ67" s="469">
        <v>49</v>
      </c>
      <c r="GK67" s="471" t="s">
        <v>910</v>
      </c>
      <c r="GL67" s="469">
        <v>9</v>
      </c>
      <c r="GM67" s="471" t="s">
        <v>910</v>
      </c>
      <c r="GN67" s="501">
        <v>0.18</v>
      </c>
      <c r="GO67" s="501">
        <v>0.56999999999999995</v>
      </c>
      <c r="GP67" s="501">
        <v>0.21</v>
      </c>
      <c r="GQ67" s="501">
        <v>0.04</v>
      </c>
      <c r="GR67" s="501">
        <v>0.46</v>
      </c>
      <c r="GS67" s="501">
        <v>0.45</v>
      </c>
      <c r="GT67" s="501">
        <v>0.72</v>
      </c>
      <c r="GU67" s="501">
        <v>0.19</v>
      </c>
      <c r="GV67" s="501">
        <v>0.61</v>
      </c>
      <c r="GW67" s="501">
        <v>0.61</v>
      </c>
      <c r="GX67" s="501">
        <v>0.42</v>
      </c>
      <c r="GY67" s="471" t="s">
        <v>287</v>
      </c>
      <c r="GZ67" s="501">
        <v>0.6</v>
      </c>
      <c r="HA67" s="501">
        <v>0.5</v>
      </c>
      <c r="HB67" s="501">
        <v>0.51</v>
      </c>
      <c r="HC67" s="501">
        <v>0.49</v>
      </c>
      <c r="HD67" s="501">
        <v>0.56000000000000005</v>
      </c>
      <c r="HE67" s="501">
        <v>0.57999999999999996</v>
      </c>
      <c r="HF67" s="501">
        <v>0.52</v>
      </c>
      <c r="HG67" s="501">
        <v>0.69</v>
      </c>
      <c r="HH67" s="501">
        <v>0.49</v>
      </c>
      <c r="HI67" s="501">
        <v>0.57999999999999996</v>
      </c>
      <c r="HJ67" s="501">
        <v>0.56000000000000005</v>
      </c>
      <c r="HK67" s="501">
        <v>0.47</v>
      </c>
      <c r="HL67" s="501">
        <v>0.31</v>
      </c>
      <c r="HM67" s="501">
        <v>0.55000000000000004</v>
      </c>
      <c r="HN67" s="501">
        <v>0.67</v>
      </c>
      <c r="HO67" s="501">
        <v>0.41</v>
      </c>
      <c r="HP67" s="471" t="s">
        <v>287</v>
      </c>
      <c r="HQ67" s="501">
        <v>0.47</v>
      </c>
      <c r="HR67" s="630">
        <v>47</v>
      </c>
      <c r="HS67" s="640" t="s">
        <v>910</v>
      </c>
      <c r="HT67" s="630">
        <v>8</v>
      </c>
      <c r="HU67" s="640" t="s">
        <v>910</v>
      </c>
      <c r="HV67" s="644">
        <v>0.23</v>
      </c>
      <c r="HW67" s="644">
        <v>0.55000000000000004</v>
      </c>
      <c r="HX67" s="644">
        <v>0.23</v>
      </c>
      <c r="HY67" s="644">
        <v>0</v>
      </c>
      <c r="HZ67" s="644">
        <v>0.47</v>
      </c>
      <c r="IA67" s="644">
        <v>0.68</v>
      </c>
      <c r="IB67" s="644">
        <v>0.23</v>
      </c>
      <c r="IC67" s="644">
        <v>0.75</v>
      </c>
      <c r="ID67" s="644">
        <v>0.67</v>
      </c>
      <c r="IE67" s="644">
        <v>0.56000000000000005</v>
      </c>
      <c r="IF67" s="644">
        <v>0.43</v>
      </c>
      <c r="IG67" s="644">
        <v>0.73</v>
      </c>
      <c r="IH67" s="644">
        <v>0.56000000000000005</v>
      </c>
      <c r="II67" s="644">
        <v>0.56000000000000005</v>
      </c>
      <c r="IJ67" s="644">
        <v>0.35</v>
      </c>
      <c r="IK67" s="644">
        <v>0.62</v>
      </c>
      <c r="IL67" s="644">
        <v>0.45</v>
      </c>
      <c r="IM67" s="644">
        <v>0.72</v>
      </c>
      <c r="IN67" s="644">
        <v>0.54</v>
      </c>
      <c r="IO67" s="644">
        <v>0.47</v>
      </c>
      <c r="IP67" s="644">
        <v>0.53</v>
      </c>
      <c r="IQ67" s="644">
        <v>0.66</v>
      </c>
      <c r="IR67" s="644">
        <v>0.59</v>
      </c>
      <c r="IS67" s="644">
        <v>0.38</v>
      </c>
      <c r="IT67" s="644">
        <v>0.43</v>
      </c>
      <c r="IU67" s="640" t="s">
        <v>287</v>
      </c>
      <c r="IV67" s="644">
        <v>0.67</v>
      </c>
      <c r="IW67" s="644">
        <v>0.46</v>
      </c>
      <c r="IX67" s="644">
        <v>0.55000000000000004</v>
      </c>
      <c r="IY67" s="644">
        <v>0.6</v>
      </c>
    </row>
    <row r="68" spans="1:259" ht="24.9" customHeight="1" x14ac:dyDescent="0.25">
      <c r="A68" s="188" t="s">
        <v>132</v>
      </c>
      <c r="B68" s="1" t="s">
        <v>222</v>
      </c>
      <c r="C68" s="2">
        <v>3</v>
      </c>
      <c r="D68" s="16">
        <v>59</v>
      </c>
      <c r="E68" s="16">
        <v>7</v>
      </c>
      <c r="F68" s="99">
        <v>0</v>
      </c>
      <c r="G68" s="99">
        <v>0.35</v>
      </c>
      <c r="H68" s="99">
        <v>0.62</v>
      </c>
      <c r="I68" s="99">
        <v>0.03</v>
      </c>
      <c r="J68" s="99">
        <v>0.22</v>
      </c>
      <c r="K68" s="99">
        <v>0.33</v>
      </c>
      <c r="L68" s="99">
        <v>0.48</v>
      </c>
      <c r="M68" s="99">
        <v>0.2</v>
      </c>
      <c r="N68" s="99">
        <v>0.27</v>
      </c>
      <c r="O68" s="99">
        <v>0.69</v>
      </c>
      <c r="P68" s="99">
        <v>0.18</v>
      </c>
      <c r="Q68" s="99">
        <v>0.42</v>
      </c>
      <c r="R68" s="99">
        <v>0.44</v>
      </c>
      <c r="S68" s="99">
        <v>0.7</v>
      </c>
      <c r="T68" s="99">
        <v>0.36</v>
      </c>
      <c r="U68" s="99">
        <v>0.64</v>
      </c>
      <c r="V68" s="99">
        <v>0.03</v>
      </c>
      <c r="W68" s="99">
        <v>0</v>
      </c>
      <c r="X68" s="99">
        <v>0.4</v>
      </c>
      <c r="Y68" s="99">
        <v>0.45</v>
      </c>
      <c r="Z68" s="99">
        <v>1</v>
      </c>
      <c r="AA68" s="99">
        <v>0.05</v>
      </c>
      <c r="AB68" s="99">
        <v>0.42</v>
      </c>
      <c r="AC68" s="99">
        <v>0.12</v>
      </c>
      <c r="AD68" s="99">
        <v>0.31</v>
      </c>
      <c r="AE68" s="99">
        <v>0.22</v>
      </c>
      <c r="AF68" s="99">
        <v>0.49</v>
      </c>
      <c r="AG68" s="99">
        <v>0.32</v>
      </c>
      <c r="AH68" s="16">
        <v>57</v>
      </c>
      <c r="AI68" s="16">
        <v>8</v>
      </c>
      <c r="AJ68" s="66">
        <v>0</v>
      </c>
      <c r="AK68" s="66">
        <v>0.46</v>
      </c>
      <c r="AL68" s="66">
        <v>0.49</v>
      </c>
      <c r="AM68" s="66">
        <v>0.05</v>
      </c>
      <c r="AN68" s="66">
        <v>0.23</v>
      </c>
      <c r="AO68" s="66">
        <v>0.42</v>
      </c>
      <c r="AP68" s="66">
        <v>0.5</v>
      </c>
      <c r="AQ68" s="66">
        <v>0.32</v>
      </c>
      <c r="AR68" s="66">
        <v>0.49</v>
      </c>
      <c r="AS68" s="66">
        <v>0.37</v>
      </c>
      <c r="AT68" s="66">
        <v>0.45</v>
      </c>
      <c r="AU68" s="66">
        <v>0.45</v>
      </c>
      <c r="AV68" s="66">
        <v>0.47</v>
      </c>
      <c r="AW68" s="66">
        <v>0.52</v>
      </c>
      <c r="AX68" s="66">
        <v>0.45</v>
      </c>
      <c r="AY68" s="66">
        <v>0.21</v>
      </c>
      <c r="AZ68" s="66">
        <v>0.16</v>
      </c>
      <c r="BA68" s="66">
        <v>0.28000000000000003</v>
      </c>
      <c r="BB68" s="66">
        <v>0.51</v>
      </c>
      <c r="BC68" s="66">
        <v>0.63</v>
      </c>
      <c r="BD68" s="66">
        <v>0.33</v>
      </c>
      <c r="BE68" s="66">
        <v>0.46</v>
      </c>
      <c r="BF68" s="66">
        <v>0.52</v>
      </c>
      <c r="BG68" s="66">
        <v>0.45</v>
      </c>
      <c r="BH68" s="66">
        <v>0.34</v>
      </c>
      <c r="BI68" s="66">
        <v>0.34</v>
      </c>
      <c r="BJ68" s="66">
        <v>0.27</v>
      </c>
      <c r="BK68" s="66">
        <v>0.39</v>
      </c>
      <c r="BL68" s="66">
        <v>0.34</v>
      </c>
      <c r="BM68" s="16">
        <v>55</v>
      </c>
      <c r="BN68" s="16">
        <v>9</v>
      </c>
      <c r="BO68" s="99">
        <v>0.05</v>
      </c>
      <c r="BP68" s="99">
        <v>0.48</v>
      </c>
      <c r="BQ68" s="99">
        <v>0.45</v>
      </c>
      <c r="BR68" s="99">
        <v>0.02</v>
      </c>
      <c r="BS68" s="99">
        <v>0.37</v>
      </c>
      <c r="BT68" s="99">
        <v>0.43</v>
      </c>
      <c r="BU68" s="99">
        <v>0.56000000000000005</v>
      </c>
      <c r="BV68" s="99">
        <v>0.27</v>
      </c>
      <c r="BW68" s="99">
        <v>0.57999999999999996</v>
      </c>
      <c r="BX68" s="99">
        <v>0.24</v>
      </c>
      <c r="BY68" s="99">
        <v>0.35</v>
      </c>
      <c r="BZ68" s="99">
        <v>0.46</v>
      </c>
      <c r="CA68" s="99">
        <v>0.3</v>
      </c>
      <c r="CB68" s="99">
        <v>0.26</v>
      </c>
      <c r="CC68" s="99">
        <v>0.1</v>
      </c>
      <c r="CD68" s="99">
        <v>0.31</v>
      </c>
      <c r="CE68" s="99">
        <v>0.31</v>
      </c>
      <c r="CF68" s="99">
        <v>0.56999999999999995</v>
      </c>
      <c r="CG68" s="99">
        <v>0.44</v>
      </c>
      <c r="CH68" s="99">
        <v>0.33</v>
      </c>
      <c r="CI68" s="99">
        <v>0.55000000000000004</v>
      </c>
      <c r="CJ68" s="99">
        <v>0.32</v>
      </c>
      <c r="CK68" s="99">
        <v>0.67</v>
      </c>
      <c r="CL68" s="99">
        <v>0.21</v>
      </c>
      <c r="CM68" s="99">
        <v>0.39</v>
      </c>
      <c r="CN68" s="99">
        <v>0.33</v>
      </c>
      <c r="CO68" s="99">
        <v>0.43</v>
      </c>
      <c r="CP68" s="99">
        <v>0.32</v>
      </c>
      <c r="CQ68" s="99">
        <v>0.45</v>
      </c>
      <c r="CR68" s="99">
        <v>0.46</v>
      </c>
      <c r="CS68" s="16">
        <v>54</v>
      </c>
      <c r="CT68" s="16">
        <v>7</v>
      </c>
      <c r="CU68" s="96">
        <v>0.04</v>
      </c>
      <c r="CV68" s="96">
        <v>0.53</v>
      </c>
      <c r="CW68" s="96">
        <v>0.43</v>
      </c>
      <c r="CX68" s="96">
        <v>0</v>
      </c>
      <c r="CY68" s="96">
        <v>0.49</v>
      </c>
      <c r="CZ68" s="96">
        <v>0.28999999999999998</v>
      </c>
      <c r="DA68" s="96">
        <v>0.52</v>
      </c>
      <c r="DB68" s="96">
        <v>0.33</v>
      </c>
      <c r="DC68" s="96">
        <v>0.42</v>
      </c>
      <c r="DD68" s="96">
        <v>0.63</v>
      </c>
      <c r="DE68" s="96">
        <v>0.44</v>
      </c>
      <c r="DF68" s="96">
        <v>0.43</v>
      </c>
      <c r="DG68" s="96">
        <v>0.35</v>
      </c>
      <c r="DH68" s="96">
        <v>0.28999999999999998</v>
      </c>
      <c r="DI68" s="96">
        <v>0.43</v>
      </c>
      <c r="DJ68" s="96">
        <v>0.33</v>
      </c>
      <c r="DK68" s="96">
        <v>0.32</v>
      </c>
      <c r="DL68" s="96">
        <v>0.32</v>
      </c>
      <c r="DM68" s="96">
        <v>0.39</v>
      </c>
      <c r="DN68" s="96">
        <v>0.47</v>
      </c>
      <c r="DO68" s="96">
        <v>0.4</v>
      </c>
      <c r="DP68" s="96">
        <v>0.39</v>
      </c>
      <c r="DQ68" s="96">
        <v>0.48</v>
      </c>
      <c r="DR68" s="96">
        <v>0.12</v>
      </c>
      <c r="DS68" s="96">
        <v>0.3</v>
      </c>
      <c r="DT68" s="96">
        <v>0.46</v>
      </c>
      <c r="DU68" s="96">
        <v>0.47</v>
      </c>
      <c r="DV68" s="96">
        <v>0.52</v>
      </c>
      <c r="DW68" s="96">
        <v>0.36</v>
      </c>
      <c r="DX68" s="61">
        <v>54</v>
      </c>
      <c r="DY68" s="61">
        <v>9</v>
      </c>
      <c r="DZ68" s="66">
        <v>0.04</v>
      </c>
      <c r="EA68" s="66">
        <v>0.53</v>
      </c>
      <c r="EB68" s="66">
        <v>0.41</v>
      </c>
      <c r="EC68" s="66">
        <v>0.02</v>
      </c>
      <c r="ED68" s="66">
        <v>0.39</v>
      </c>
      <c r="EE68" s="66">
        <v>0.39</v>
      </c>
      <c r="EF68" s="66">
        <v>0.27</v>
      </c>
      <c r="EG68" s="66">
        <v>0.21</v>
      </c>
      <c r="EH68" s="66">
        <v>0.34</v>
      </c>
      <c r="EI68" s="66">
        <v>0.48</v>
      </c>
      <c r="EJ68" s="66">
        <v>0.55000000000000004</v>
      </c>
      <c r="EK68" s="66">
        <v>0.21</v>
      </c>
      <c r="EL68" s="66">
        <v>0.35</v>
      </c>
      <c r="EM68" s="66">
        <v>0.62</v>
      </c>
      <c r="EN68" s="66">
        <v>0.38</v>
      </c>
      <c r="EO68" s="66">
        <v>0.52</v>
      </c>
      <c r="EP68" s="66">
        <v>0.28999999999999998</v>
      </c>
      <c r="EQ68" s="66">
        <v>0.26</v>
      </c>
      <c r="ER68" s="66">
        <v>0.54</v>
      </c>
      <c r="ES68" s="66">
        <v>0.34</v>
      </c>
      <c r="ET68" s="66">
        <v>0.19</v>
      </c>
      <c r="EU68" s="66">
        <v>0.63</v>
      </c>
      <c r="EV68" s="66">
        <v>0.46</v>
      </c>
      <c r="EW68" s="66">
        <v>0.28000000000000003</v>
      </c>
      <c r="EX68" s="66">
        <v>0.74</v>
      </c>
      <c r="EY68" s="66">
        <v>0.46</v>
      </c>
      <c r="EZ68" s="66">
        <v>0.1</v>
      </c>
      <c r="FA68" s="66">
        <v>0.5</v>
      </c>
      <c r="FB68" s="349">
        <v>55</v>
      </c>
      <c r="FC68" s="348" t="s">
        <v>910</v>
      </c>
      <c r="FD68" s="349">
        <v>8</v>
      </c>
      <c r="FE68" s="348" t="s">
        <v>910</v>
      </c>
      <c r="FF68" s="371">
        <v>0</v>
      </c>
      <c r="FG68" s="371">
        <v>0.56999999999999995</v>
      </c>
      <c r="FH68" s="371">
        <v>0.4</v>
      </c>
      <c r="FI68" s="371">
        <v>0.03</v>
      </c>
      <c r="FJ68" s="371">
        <v>0.34</v>
      </c>
      <c r="FK68" s="371">
        <v>0.6</v>
      </c>
      <c r="FL68" s="371">
        <v>0.41</v>
      </c>
      <c r="FM68" s="371">
        <v>0.26</v>
      </c>
      <c r="FN68" s="371">
        <v>0.17</v>
      </c>
      <c r="FO68" s="371">
        <v>0.11</v>
      </c>
      <c r="FP68" s="371">
        <v>0.31</v>
      </c>
      <c r="FQ68" s="371">
        <v>0.36</v>
      </c>
      <c r="FR68" s="371">
        <v>0.56999999999999995</v>
      </c>
      <c r="FS68" s="371">
        <v>0.53</v>
      </c>
      <c r="FT68" s="371">
        <v>0.28999999999999998</v>
      </c>
      <c r="FU68" s="371">
        <v>0.23</v>
      </c>
      <c r="FV68" s="371">
        <v>0.38</v>
      </c>
      <c r="FW68" s="371">
        <v>0.51</v>
      </c>
      <c r="FX68" s="371">
        <v>0.33</v>
      </c>
      <c r="FY68" s="371">
        <v>0.27</v>
      </c>
      <c r="FZ68" s="371">
        <v>0.35</v>
      </c>
      <c r="GA68" s="371">
        <v>0.53</v>
      </c>
      <c r="GB68" s="371">
        <v>0.37</v>
      </c>
      <c r="GC68" s="371">
        <v>0.36</v>
      </c>
      <c r="GD68" s="371">
        <v>0.56999999999999995</v>
      </c>
      <c r="GE68" s="371">
        <v>0.48</v>
      </c>
      <c r="GF68" s="371">
        <v>0.3</v>
      </c>
      <c r="GG68" s="371">
        <v>0.37</v>
      </c>
      <c r="GH68" s="371">
        <v>0.45</v>
      </c>
      <c r="GI68" s="371">
        <v>0.26</v>
      </c>
      <c r="GJ68" s="469">
        <v>57</v>
      </c>
      <c r="GK68" s="471" t="s">
        <v>910</v>
      </c>
      <c r="GL68" s="469">
        <v>7</v>
      </c>
      <c r="GM68" s="471" t="s">
        <v>910</v>
      </c>
      <c r="GN68" s="501">
        <v>0.03</v>
      </c>
      <c r="GO68" s="501">
        <v>0.34</v>
      </c>
      <c r="GP68" s="501">
        <v>0.6</v>
      </c>
      <c r="GQ68" s="501">
        <v>0.03</v>
      </c>
      <c r="GR68" s="501">
        <v>0.44</v>
      </c>
      <c r="GS68" s="501">
        <v>0.39</v>
      </c>
      <c r="GT68" s="501">
        <v>0.5</v>
      </c>
      <c r="GU68" s="501">
        <v>0.05</v>
      </c>
      <c r="GV68" s="501">
        <v>0.45</v>
      </c>
      <c r="GW68" s="501">
        <v>0.31</v>
      </c>
      <c r="GX68" s="501">
        <v>0.38</v>
      </c>
      <c r="GY68" s="471" t="s">
        <v>287</v>
      </c>
      <c r="GZ68" s="501">
        <v>0.08</v>
      </c>
      <c r="HA68" s="501">
        <v>0.42</v>
      </c>
      <c r="HB68" s="501">
        <v>0.45</v>
      </c>
      <c r="HC68" s="501">
        <v>0.28000000000000003</v>
      </c>
      <c r="HD68" s="501">
        <v>0.4</v>
      </c>
      <c r="HE68" s="501">
        <v>0.34</v>
      </c>
      <c r="HF68" s="501">
        <v>0.36</v>
      </c>
      <c r="HG68" s="501">
        <v>0.52</v>
      </c>
      <c r="HH68" s="501">
        <v>0.26</v>
      </c>
      <c r="HI68" s="501">
        <v>0.46</v>
      </c>
      <c r="HJ68" s="501">
        <v>0.5</v>
      </c>
      <c r="HK68" s="501">
        <v>0.47</v>
      </c>
      <c r="HL68" s="501">
        <v>0.37</v>
      </c>
      <c r="HM68" s="501">
        <v>0.34</v>
      </c>
      <c r="HN68" s="501">
        <v>0.37</v>
      </c>
      <c r="HO68" s="501">
        <v>0.4</v>
      </c>
      <c r="HP68" s="471" t="s">
        <v>287</v>
      </c>
      <c r="HQ68" s="501">
        <v>0.31</v>
      </c>
      <c r="HR68" s="630">
        <v>58</v>
      </c>
      <c r="HS68" s="640" t="s">
        <v>910</v>
      </c>
      <c r="HT68" s="630">
        <v>8</v>
      </c>
      <c r="HU68" s="640" t="s">
        <v>910</v>
      </c>
      <c r="HV68" s="644">
        <v>0.02</v>
      </c>
      <c r="HW68" s="644">
        <v>0.28000000000000003</v>
      </c>
      <c r="HX68" s="644">
        <v>0.69</v>
      </c>
      <c r="HY68" s="644">
        <v>0.02</v>
      </c>
      <c r="HZ68" s="644">
        <v>0.25</v>
      </c>
      <c r="IA68" s="644">
        <v>0.39</v>
      </c>
      <c r="IB68" s="644">
        <v>0.27</v>
      </c>
      <c r="IC68" s="644">
        <v>0.38</v>
      </c>
      <c r="ID68" s="644">
        <v>0.53</v>
      </c>
      <c r="IE68" s="644">
        <v>0.2</v>
      </c>
      <c r="IF68" s="644">
        <v>0.34</v>
      </c>
      <c r="IG68" s="644">
        <v>0.41</v>
      </c>
      <c r="IH68" s="644">
        <v>0.45</v>
      </c>
      <c r="II68" s="644">
        <v>0.16</v>
      </c>
      <c r="IJ68" s="644">
        <v>0.19</v>
      </c>
      <c r="IK68" s="644">
        <v>0.44</v>
      </c>
      <c r="IL68" s="644">
        <v>0.2</v>
      </c>
      <c r="IM68" s="644">
        <v>0.44</v>
      </c>
      <c r="IN68" s="644">
        <v>0.31</v>
      </c>
      <c r="IO68" s="644">
        <v>0.43</v>
      </c>
      <c r="IP68" s="644">
        <v>0.28999999999999998</v>
      </c>
      <c r="IQ68" s="644">
        <v>0.54</v>
      </c>
      <c r="IR68" s="644">
        <v>0.39</v>
      </c>
      <c r="IS68" s="644">
        <v>0.36</v>
      </c>
      <c r="IT68" s="644">
        <v>0.31</v>
      </c>
      <c r="IU68" s="640" t="s">
        <v>287</v>
      </c>
      <c r="IV68" s="644">
        <v>0.49</v>
      </c>
      <c r="IW68" s="644">
        <v>0.28999999999999998</v>
      </c>
      <c r="IX68" s="644">
        <v>0.26</v>
      </c>
      <c r="IY68" s="644">
        <v>0.39</v>
      </c>
    </row>
    <row r="69" spans="1:259" ht="24.9" customHeight="1" x14ac:dyDescent="0.25">
      <c r="A69" s="188" t="s">
        <v>179</v>
      </c>
      <c r="B69" s="1" t="s">
        <v>222</v>
      </c>
      <c r="C69" s="2">
        <v>5</v>
      </c>
      <c r="D69" s="16">
        <v>57</v>
      </c>
      <c r="E69" s="16">
        <v>7</v>
      </c>
      <c r="F69" s="99">
        <v>0.02</v>
      </c>
      <c r="G69" s="99">
        <v>0.41</v>
      </c>
      <c r="H69" s="99">
        <v>0.55000000000000004</v>
      </c>
      <c r="I69" s="99">
        <v>0.02</v>
      </c>
      <c r="J69" s="99">
        <v>0.24</v>
      </c>
      <c r="K69" s="99">
        <v>0.26</v>
      </c>
      <c r="L69" s="99">
        <v>0.7</v>
      </c>
      <c r="M69" s="99">
        <v>0.18</v>
      </c>
      <c r="N69" s="99">
        <v>0.24</v>
      </c>
      <c r="O69" s="99">
        <v>0.63</v>
      </c>
      <c r="P69" s="99">
        <v>0.31</v>
      </c>
      <c r="Q69" s="99">
        <v>0.34</v>
      </c>
      <c r="R69" s="99">
        <v>0.41</v>
      </c>
      <c r="S69" s="99">
        <v>0.47</v>
      </c>
      <c r="T69" s="99">
        <v>0.53</v>
      </c>
      <c r="U69" s="99">
        <v>0.52</v>
      </c>
      <c r="V69" s="99">
        <v>7.0000000000000007E-2</v>
      </c>
      <c r="W69" s="99">
        <v>0.14000000000000001</v>
      </c>
      <c r="X69" s="99">
        <v>0.4</v>
      </c>
      <c r="Y69" s="99">
        <v>0.55000000000000004</v>
      </c>
      <c r="Z69" s="13" t="s">
        <v>287</v>
      </c>
      <c r="AA69" s="99">
        <v>0.06</v>
      </c>
      <c r="AB69" s="99">
        <v>0.38</v>
      </c>
      <c r="AC69" s="99">
        <v>0.18</v>
      </c>
      <c r="AD69" s="99">
        <v>0.4</v>
      </c>
      <c r="AE69" s="99">
        <v>0.36</v>
      </c>
      <c r="AF69" s="99">
        <v>0.47</v>
      </c>
      <c r="AG69" s="99">
        <v>0.51</v>
      </c>
      <c r="AH69" s="16">
        <v>55</v>
      </c>
      <c r="AI69" s="16">
        <v>8</v>
      </c>
      <c r="AJ69" s="66">
        <v>0.03</v>
      </c>
      <c r="AK69" s="66">
        <v>0.51</v>
      </c>
      <c r="AL69" s="66">
        <v>0.43</v>
      </c>
      <c r="AM69" s="66">
        <v>0.03</v>
      </c>
      <c r="AN69" s="66">
        <v>0.28000000000000003</v>
      </c>
      <c r="AO69" s="66">
        <v>0.43</v>
      </c>
      <c r="AP69" s="66">
        <v>0.53</v>
      </c>
      <c r="AQ69" s="66">
        <v>0.33</v>
      </c>
      <c r="AR69" s="66">
        <v>0.5</v>
      </c>
      <c r="AS69" s="66">
        <v>0.48</v>
      </c>
      <c r="AT69" s="66">
        <v>0.43</v>
      </c>
      <c r="AU69" s="66">
        <v>0.45</v>
      </c>
      <c r="AV69" s="66">
        <v>0.55000000000000004</v>
      </c>
      <c r="AW69" s="66">
        <v>0.31</v>
      </c>
      <c r="AX69" s="66">
        <v>0.47</v>
      </c>
      <c r="AY69" s="66">
        <v>0.28999999999999998</v>
      </c>
      <c r="AZ69" s="66">
        <v>0.22</v>
      </c>
      <c r="BA69" s="66">
        <v>0.4</v>
      </c>
      <c r="BB69" s="66">
        <v>0.49</v>
      </c>
      <c r="BC69" s="66">
        <v>0.56000000000000005</v>
      </c>
      <c r="BD69" s="66">
        <v>0.37</v>
      </c>
      <c r="BE69" s="66">
        <v>0.52</v>
      </c>
      <c r="BF69" s="66">
        <v>0.47</v>
      </c>
      <c r="BG69" s="66">
        <v>0.43</v>
      </c>
      <c r="BH69" s="66">
        <v>0.42</v>
      </c>
      <c r="BI69" s="66">
        <v>0.34</v>
      </c>
      <c r="BJ69" s="66">
        <v>0.33</v>
      </c>
      <c r="BK69" s="66">
        <v>0.37</v>
      </c>
      <c r="BL69" s="66">
        <v>0.38</v>
      </c>
      <c r="BM69" s="16">
        <v>53</v>
      </c>
      <c r="BN69" s="16">
        <v>8</v>
      </c>
      <c r="BO69" s="99">
        <v>0.05</v>
      </c>
      <c r="BP69" s="99">
        <v>0.56000000000000005</v>
      </c>
      <c r="BQ69" s="99">
        <v>0.38</v>
      </c>
      <c r="BR69" s="99">
        <v>0.01</v>
      </c>
      <c r="BS69" s="99">
        <v>0.3</v>
      </c>
      <c r="BT69" s="99">
        <v>0.65</v>
      </c>
      <c r="BU69" s="99">
        <v>0.64</v>
      </c>
      <c r="BV69" s="99">
        <v>0.34</v>
      </c>
      <c r="BW69" s="99">
        <v>0.56999999999999995</v>
      </c>
      <c r="BX69" s="99">
        <v>0.28999999999999998</v>
      </c>
      <c r="BY69" s="99">
        <v>0.42</v>
      </c>
      <c r="BZ69" s="99">
        <v>0.47</v>
      </c>
      <c r="CA69" s="99">
        <v>0.37</v>
      </c>
      <c r="CB69" s="99">
        <v>0.3</v>
      </c>
      <c r="CC69" s="99">
        <v>0.14000000000000001</v>
      </c>
      <c r="CD69" s="99">
        <v>0.38</v>
      </c>
      <c r="CE69" s="99">
        <v>0.32</v>
      </c>
      <c r="CF69" s="99">
        <v>0.68</v>
      </c>
      <c r="CG69" s="99">
        <v>0.53</v>
      </c>
      <c r="CH69" s="99">
        <v>0.42</v>
      </c>
      <c r="CI69" s="99">
        <v>0.57999999999999996</v>
      </c>
      <c r="CJ69" s="99">
        <v>0.3</v>
      </c>
      <c r="CK69" s="99">
        <v>0.66</v>
      </c>
      <c r="CL69" s="99">
        <v>0.28999999999999998</v>
      </c>
      <c r="CM69" s="99">
        <v>0.37</v>
      </c>
      <c r="CN69" s="99">
        <v>0.39</v>
      </c>
      <c r="CO69" s="99">
        <v>0.43</v>
      </c>
      <c r="CP69" s="99">
        <v>0.28999999999999998</v>
      </c>
      <c r="CQ69" s="99">
        <v>0.47</v>
      </c>
      <c r="CR69" s="99">
        <v>0.5</v>
      </c>
      <c r="CS69" s="16">
        <v>53</v>
      </c>
      <c r="CT69" s="16">
        <v>9</v>
      </c>
      <c r="CU69" s="96">
        <v>0.08</v>
      </c>
      <c r="CV69" s="96">
        <v>0.56999999999999995</v>
      </c>
      <c r="CW69" s="96">
        <v>0.31</v>
      </c>
      <c r="CX69" s="96">
        <v>0.04</v>
      </c>
      <c r="CY69" s="96">
        <v>0.46</v>
      </c>
      <c r="CZ69" s="96">
        <v>0.27</v>
      </c>
      <c r="DA69" s="96">
        <v>0.52</v>
      </c>
      <c r="DB69" s="96">
        <v>0.25</v>
      </c>
      <c r="DC69" s="96">
        <v>0.48</v>
      </c>
      <c r="DD69" s="96">
        <v>0.57999999999999996</v>
      </c>
      <c r="DE69" s="96">
        <v>0.47</v>
      </c>
      <c r="DF69" s="96">
        <v>0.51</v>
      </c>
      <c r="DG69" s="96">
        <v>0.38</v>
      </c>
      <c r="DH69" s="96">
        <v>0.32</v>
      </c>
      <c r="DI69" s="96">
        <v>0.51</v>
      </c>
      <c r="DJ69" s="96">
        <v>0.36</v>
      </c>
      <c r="DK69" s="96">
        <v>0.3</v>
      </c>
      <c r="DL69" s="96">
        <v>0.3</v>
      </c>
      <c r="DM69" s="96">
        <v>0.47</v>
      </c>
      <c r="DN69" s="96">
        <v>0.48</v>
      </c>
      <c r="DO69" s="96">
        <v>0.39</v>
      </c>
      <c r="DP69" s="96">
        <v>0.4</v>
      </c>
      <c r="DQ69" s="96">
        <v>0.54</v>
      </c>
      <c r="DR69" s="96">
        <v>0.21</v>
      </c>
      <c r="DS69" s="96">
        <v>0.33</v>
      </c>
      <c r="DT69" s="96">
        <v>0.52</v>
      </c>
      <c r="DU69" s="96">
        <v>0.35</v>
      </c>
      <c r="DV69" s="96">
        <v>0.54</v>
      </c>
      <c r="DW69" s="96">
        <v>0.26</v>
      </c>
      <c r="DX69" s="61">
        <v>50</v>
      </c>
      <c r="DY69" s="61">
        <v>9</v>
      </c>
      <c r="DZ69" s="66">
        <v>0.11</v>
      </c>
      <c r="EA69" s="66">
        <v>0.6</v>
      </c>
      <c r="EB69" s="66">
        <v>0.27</v>
      </c>
      <c r="EC69" s="66">
        <v>0.02</v>
      </c>
      <c r="ED69" s="66">
        <v>0.5</v>
      </c>
      <c r="EE69" s="66">
        <v>0.49</v>
      </c>
      <c r="EF69" s="66">
        <v>0.46</v>
      </c>
      <c r="EG69" s="66">
        <v>0.3</v>
      </c>
      <c r="EH69" s="66">
        <v>0.38</v>
      </c>
      <c r="EI69" s="66">
        <v>0.47</v>
      </c>
      <c r="EJ69" s="66">
        <v>0.59</v>
      </c>
      <c r="EK69" s="66">
        <v>0.27</v>
      </c>
      <c r="EL69" s="66">
        <v>0.41</v>
      </c>
      <c r="EM69" s="66">
        <v>0.68</v>
      </c>
      <c r="EN69" s="66">
        <v>0.38</v>
      </c>
      <c r="EO69" s="66">
        <v>0.49</v>
      </c>
      <c r="EP69" s="66">
        <v>0.4</v>
      </c>
      <c r="EQ69" s="66">
        <v>0.28000000000000003</v>
      </c>
      <c r="ER69" s="66">
        <v>0.57999999999999996</v>
      </c>
      <c r="ES69" s="66">
        <v>0.56000000000000005</v>
      </c>
      <c r="ET69" s="66">
        <v>0.33</v>
      </c>
      <c r="EU69" s="66">
        <v>0.59</v>
      </c>
      <c r="EV69" s="66">
        <v>0.35</v>
      </c>
      <c r="EW69" s="66">
        <v>0.3</v>
      </c>
      <c r="EX69" s="66">
        <v>0.59</v>
      </c>
      <c r="EY69" s="66">
        <v>0.59</v>
      </c>
      <c r="EZ69" s="66">
        <v>0.15</v>
      </c>
      <c r="FA69" s="66">
        <v>0.64</v>
      </c>
      <c r="FB69" s="349">
        <v>51</v>
      </c>
      <c r="FC69" s="348" t="s">
        <v>910</v>
      </c>
      <c r="FD69" s="349">
        <v>9</v>
      </c>
      <c r="FE69" s="348" t="s">
        <v>910</v>
      </c>
      <c r="FF69" s="371">
        <v>0.12</v>
      </c>
      <c r="FG69" s="371">
        <v>0.54</v>
      </c>
      <c r="FH69" s="371">
        <v>0.34</v>
      </c>
      <c r="FI69" s="371">
        <v>0</v>
      </c>
      <c r="FJ69" s="371">
        <v>0.43</v>
      </c>
      <c r="FK69" s="371">
        <v>0.61</v>
      </c>
      <c r="FL69" s="371">
        <v>0.46</v>
      </c>
      <c r="FM69" s="371">
        <v>0.43</v>
      </c>
      <c r="FN69" s="371">
        <v>0.25</v>
      </c>
      <c r="FO69" s="371">
        <v>0.33</v>
      </c>
      <c r="FP69" s="371">
        <v>0.37</v>
      </c>
      <c r="FQ69" s="371">
        <v>0.41</v>
      </c>
      <c r="FR69" s="371">
        <v>0.6</v>
      </c>
      <c r="FS69" s="371">
        <v>0.55000000000000004</v>
      </c>
      <c r="FT69" s="371">
        <v>0.46</v>
      </c>
      <c r="FU69" s="371">
        <v>0.41</v>
      </c>
      <c r="FV69" s="371">
        <v>0.51</v>
      </c>
      <c r="FW69" s="371">
        <v>0.53</v>
      </c>
      <c r="FX69" s="371">
        <v>0.44</v>
      </c>
      <c r="FY69" s="371">
        <v>0.34</v>
      </c>
      <c r="FZ69" s="371">
        <v>0.41</v>
      </c>
      <c r="GA69" s="371">
        <v>0.46</v>
      </c>
      <c r="GB69" s="371">
        <v>0.48</v>
      </c>
      <c r="GC69" s="371">
        <v>0.39</v>
      </c>
      <c r="GD69" s="371">
        <v>0.54</v>
      </c>
      <c r="GE69" s="371">
        <v>0.49</v>
      </c>
      <c r="GF69" s="371">
        <v>0.47</v>
      </c>
      <c r="GG69" s="371">
        <v>0.4</v>
      </c>
      <c r="GH69" s="371">
        <v>0.5</v>
      </c>
      <c r="GI69" s="371">
        <v>0.25</v>
      </c>
      <c r="GJ69" s="469">
        <v>52</v>
      </c>
      <c r="GK69" s="471" t="s">
        <v>910</v>
      </c>
      <c r="GL69" s="469">
        <v>9</v>
      </c>
      <c r="GM69" s="471" t="s">
        <v>910</v>
      </c>
      <c r="GN69" s="501">
        <v>0.09</v>
      </c>
      <c r="GO69" s="501">
        <v>0.6</v>
      </c>
      <c r="GP69" s="501">
        <v>0.31</v>
      </c>
      <c r="GQ69" s="501">
        <v>0.01</v>
      </c>
      <c r="GR69" s="501">
        <v>0.48</v>
      </c>
      <c r="GS69" s="501">
        <v>0.48</v>
      </c>
      <c r="GT69" s="501">
        <v>0.59</v>
      </c>
      <c r="GU69" s="501">
        <v>0.16</v>
      </c>
      <c r="GV69" s="501">
        <v>0.53</v>
      </c>
      <c r="GW69" s="501">
        <v>0.53</v>
      </c>
      <c r="GX69" s="501">
        <v>0.46</v>
      </c>
      <c r="GY69" s="471" t="s">
        <v>287</v>
      </c>
      <c r="GZ69" s="501">
        <v>0.27</v>
      </c>
      <c r="HA69" s="501">
        <v>0.6</v>
      </c>
      <c r="HB69" s="501">
        <v>0.43</v>
      </c>
      <c r="HC69" s="501">
        <v>0.46</v>
      </c>
      <c r="HD69" s="501">
        <v>0.56000000000000005</v>
      </c>
      <c r="HE69" s="501">
        <v>0.48</v>
      </c>
      <c r="HF69" s="501">
        <v>0.46</v>
      </c>
      <c r="HG69" s="501">
        <v>0.67</v>
      </c>
      <c r="HH69" s="501">
        <v>0.37</v>
      </c>
      <c r="HI69" s="501">
        <v>0.47</v>
      </c>
      <c r="HJ69" s="501">
        <v>0.56999999999999995</v>
      </c>
      <c r="HK69" s="501">
        <v>0.51</v>
      </c>
      <c r="HL69" s="501">
        <v>0.39</v>
      </c>
      <c r="HM69" s="501">
        <v>0.44</v>
      </c>
      <c r="HN69" s="501">
        <v>0.39</v>
      </c>
      <c r="HO69" s="501">
        <v>0.35</v>
      </c>
      <c r="HP69" s="471" t="s">
        <v>287</v>
      </c>
      <c r="HQ69" s="501">
        <v>0.41</v>
      </c>
      <c r="HR69" s="630">
        <v>53</v>
      </c>
      <c r="HS69" s="640" t="s">
        <v>910</v>
      </c>
      <c r="HT69" s="630">
        <v>10</v>
      </c>
      <c r="HU69" s="640" t="s">
        <v>910</v>
      </c>
      <c r="HV69" s="644">
        <v>0.13</v>
      </c>
      <c r="HW69" s="644">
        <v>0.43</v>
      </c>
      <c r="HX69" s="644">
        <v>0.41</v>
      </c>
      <c r="HY69" s="644">
        <v>0.03</v>
      </c>
      <c r="HZ69" s="644">
        <v>0.32</v>
      </c>
      <c r="IA69" s="644">
        <v>0.49</v>
      </c>
      <c r="IB69" s="644">
        <v>0.25</v>
      </c>
      <c r="IC69" s="644">
        <v>0.46</v>
      </c>
      <c r="ID69" s="644">
        <v>0.64</v>
      </c>
      <c r="IE69" s="644">
        <v>0.31</v>
      </c>
      <c r="IF69" s="644">
        <v>0.3</v>
      </c>
      <c r="IG69" s="644">
        <v>0.48</v>
      </c>
      <c r="IH69" s="644">
        <v>0.4</v>
      </c>
      <c r="II69" s="644">
        <v>0.38</v>
      </c>
      <c r="IJ69" s="644">
        <v>0.26</v>
      </c>
      <c r="IK69" s="644">
        <v>0.55000000000000004</v>
      </c>
      <c r="IL69" s="644">
        <v>0.25</v>
      </c>
      <c r="IM69" s="644">
        <v>0.57999999999999996</v>
      </c>
      <c r="IN69" s="644">
        <v>0.43</v>
      </c>
      <c r="IO69" s="644">
        <v>0.38</v>
      </c>
      <c r="IP69" s="644">
        <v>0.42</v>
      </c>
      <c r="IQ69" s="644">
        <v>0.62</v>
      </c>
      <c r="IR69" s="644">
        <v>0.4</v>
      </c>
      <c r="IS69" s="644">
        <v>0.56999999999999995</v>
      </c>
      <c r="IT69" s="644">
        <v>0.44</v>
      </c>
      <c r="IU69" s="640" t="s">
        <v>287</v>
      </c>
      <c r="IV69" s="644">
        <v>0.64</v>
      </c>
      <c r="IW69" s="644">
        <v>0.36</v>
      </c>
      <c r="IX69" s="644">
        <v>0.46</v>
      </c>
      <c r="IY69" s="644">
        <v>0.43</v>
      </c>
    </row>
    <row r="70" spans="1:259" ht="24.9" customHeight="1" x14ac:dyDescent="0.25">
      <c r="A70" s="188" t="s">
        <v>75</v>
      </c>
      <c r="B70" s="1" t="s">
        <v>222</v>
      </c>
      <c r="C70" s="2">
        <v>1</v>
      </c>
      <c r="D70" s="16">
        <v>51</v>
      </c>
      <c r="E70" s="16">
        <v>7</v>
      </c>
      <c r="F70" s="99">
        <v>0.11</v>
      </c>
      <c r="G70" s="99">
        <v>0.66</v>
      </c>
      <c r="H70" s="99">
        <v>0.23</v>
      </c>
      <c r="I70" s="99">
        <v>0</v>
      </c>
      <c r="J70" s="99">
        <v>0.42</v>
      </c>
      <c r="K70" s="99">
        <v>0.45</v>
      </c>
      <c r="L70" s="99">
        <v>0.78</v>
      </c>
      <c r="M70" s="99">
        <v>0.35</v>
      </c>
      <c r="N70" s="99">
        <v>0.38</v>
      </c>
      <c r="O70" s="99">
        <v>0.7</v>
      </c>
      <c r="P70" s="99">
        <v>0.45</v>
      </c>
      <c r="Q70" s="99">
        <v>0.4</v>
      </c>
      <c r="R70" s="99">
        <v>0.56000000000000005</v>
      </c>
      <c r="S70" s="99">
        <v>0.65</v>
      </c>
      <c r="T70" s="99">
        <v>0.62</v>
      </c>
      <c r="U70" s="99">
        <v>0.68</v>
      </c>
      <c r="V70" s="99">
        <v>0.09</v>
      </c>
      <c r="W70" s="99">
        <v>0.23</v>
      </c>
      <c r="X70" s="99">
        <v>0.61</v>
      </c>
      <c r="Y70" s="99">
        <v>0.63</v>
      </c>
      <c r="Z70" s="13" t="s">
        <v>287</v>
      </c>
      <c r="AA70" s="99">
        <v>0.12</v>
      </c>
      <c r="AB70" s="99">
        <v>0.41</v>
      </c>
      <c r="AC70" s="99">
        <v>0.28000000000000003</v>
      </c>
      <c r="AD70" s="99">
        <v>0.53</v>
      </c>
      <c r="AE70" s="99">
        <v>0.43</v>
      </c>
      <c r="AF70" s="99">
        <v>0.46</v>
      </c>
      <c r="AG70" s="99">
        <v>0.65</v>
      </c>
      <c r="AH70" s="16">
        <v>52</v>
      </c>
      <c r="AI70" s="16">
        <v>7</v>
      </c>
      <c r="AJ70" s="66">
        <v>0.06</v>
      </c>
      <c r="AK70" s="66">
        <v>0.56000000000000005</v>
      </c>
      <c r="AL70" s="66">
        <v>0.39</v>
      </c>
      <c r="AM70" s="66">
        <v>0</v>
      </c>
      <c r="AN70" s="66">
        <v>0.3</v>
      </c>
      <c r="AO70" s="66">
        <v>0.44</v>
      </c>
      <c r="AP70" s="66">
        <v>0.67</v>
      </c>
      <c r="AQ70" s="66">
        <v>0.42</v>
      </c>
      <c r="AR70" s="66">
        <v>0.64</v>
      </c>
      <c r="AS70" s="66">
        <v>0.56000000000000005</v>
      </c>
      <c r="AT70" s="66">
        <v>0.43</v>
      </c>
      <c r="AU70" s="66">
        <v>0.61</v>
      </c>
      <c r="AV70" s="66">
        <v>0.62</v>
      </c>
      <c r="AW70" s="66">
        <v>0.5</v>
      </c>
      <c r="AX70" s="66">
        <v>0.66</v>
      </c>
      <c r="AY70" s="66">
        <v>0.27</v>
      </c>
      <c r="AZ70" s="66">
        <v>0.23</v>
      </c>
      <c r="BA70" s="66">
        <v>0.54</v>
      </c>
      <c r="BB70" s="66">
        <v>0.68</v>
      </c>
      <c r="BC70" s="66">
        <v>0.59</v>
      </c>
      <c r="BD70" s="66">
        <v>0.35</v>
      </c>
      <c r="BE70" s="66">
        <v>0.44</v>
      </c>
      <c r="BF70" s="66">
        <v>0.5</v>
      </c>
      <c r="BG70" s="66">
        <v>0.47</v>
      </c>
      <c r="BH70" s="66">
        <v>0.39</v>
      </c>
      <c r="BI70" s="66">
        <v>0.42</v>
      </c>
      <c r="BJ70" s="66">
        <v>0.35</v>
      </c>
      <c r="BK70" s="66">
        <v>0.46</v>
      </c>
      <c r="BL70" s="66">
        <v>0.37</v>
      </c>
      <c r="BM70" s="16">
        <v>51</v>
      </c>
      <c r="BN70" s="16">
        <v>8</v>
      </c>
      <c r="BO70" s="99">
        <v>0.04</v>
      </c>
      <c r="BP70" s="99">
        <v>0.64</v>
      </c>
      <c r="BQ70" s="99">
        <v>0.32</v>
      </c>
      <c r="BR70" s="99">
        <v>0</v>
      </c>
      <c r="BS70" s="99">
        <v>0.36</v>
      </c>
      <c r="BT70" s="99">
        <v>0.42</v>
      </c>
      <c r="BU70" s="99">
        <v>0.56999999999999995</v>
      </c>
      <c r="BV70" s="99">
        <v>0.11</v>
      </c>
      <c r="BW70" s="99">
        <v>0.63</v>
      </c>
      <c r="BX70" s="99">
        <v>0.3</v>
      </c>
      <c r="BY70" s="99">
        <v>0.49</v>
      </c>
      <c r="BZ70" s="99">
        <v>0.59</v>
      </c>
      <c r="CA70" s="99">
        <v>0.48</v>
      </c>
      <c r="CB70" s="99">
        <v>0.38</v>
      </c>
      <c r="CC70" s="99">
        <v>0.14000000000000001</v>
      </c>
      <c r="CD70" s="99">
        <v>0.48</v>
      </c>
      <c r="CE70" s="99">
        <v>0.39</v>
      </c>
      <c r="CF70" s="99">
        <v>0.79</v>
      </c>
      <c r="CG70" s="99">
        <v>0.54</v>
      </c>
      <c r="CH70" s="99">
        <v>0.49</v>
      </c>
      <c r="CI70" s="99">
        <v>0.55000000000000004</v>
      </c>
      <c r="CJ70" s="99">
        <v>0.46</v>
      </c>
      <c r="CK70" s="99">
        <v>0.7</v>
      </c>
      <c r="CL70" s="99">
        <v>0.26</v>
      </c>
      <c r="CM70" s="99">
        <v>0.43</v>
      </c>
      <c r="CN70" s="99">
        <v>0.44</v>
      </c>
      <c r="CO70" s="99">
        <v>0.42</v>
      </c>
      <c r="CP70" s="99">
        <v>0.37</v>
      </c>
      <c r="CQ70" s="99">
        <v>0.48</v>
      </c>
      <c r="CR70" s="99">
        <v>0.55000000000000004</v>
      </c>
      <c r="CS70" s="16">
        <v>49</v>
      </c>
      <c r="CT70" s="16">
        <v>7</v>
      </c>
      <c r="CU70" s="96">
        <v>0.17</v>
      </c>
      <c r="CV70" s="96">
        <v>0.64</v>
      </c>
      <c r="CW70" s="96">
        <v>0.19</v>
      </c>
      <c r="CX70" s="96">
        <v>0</v>
      </c>
      <c r="CY70" s="96">
        <v>0.5</v>
      </c>
      <c r="CZ70" s="96">
        <v>0.33</v>
      </c>
      <c r="DA70" s="96">
        <v>0.65</v>
      </c>
      <c r="DB70" s="96">
        <v>0.35</v>
      </c>
      <c r="DC70" s="96">
        <v>0.42</v>
      </c>
      <c r="DD70" s="96">
        <v>0.69</v>
      </c>
      <c r="DE70" s="96">
        <v>0.57999999999999996</v>
      </c>
      <c r="DF70" s="96">
        <v>0.61</v>
      </c>
      <c r="DG70" s="96">
        <v>0.45</v>
      </c>
      <c r="DH70" s="96">
        <v>0.35</v>
      </c>
      <c r="DI70" s="96">
        <v>0.53</v>
      </c>
      <c r="DJ70" s="96">
        <v>0.5</v>
      </c>
      <c r="DK70" s="96">
        <v>0.44</v>
      </c>
      <c r="DL70" s="96">
        <v>0.38</v>
      </c>
      <c r="DM70" s="96">
        <v>0.54</v>
      </c>
      <c r="DN70" s="96">
        <v>0.49</v>
      </c>
      <c r="DO70" s="96">
        <v>0.54</v>
      </c>
      <c r="DP70" s="96">
        <v>0.43</v>
      </c>
      <c r="DQ70" s="96">
        <v>0.61</v>
      </c>
      <c r="DR70" s="96">
        <v>0.28000000000000003</v>
      </c>
      <c r="DS70" s="96">
        <v>0.34</v>
      </c>
      <c r="DT70" s="96">
        <v>0.68</v>
      </c>
      <c r="DU70" s="96">
        <v>0.5</v>
      </c>
      <c r="DV70" s="96">
        <v>0.51</v>
      </c>
      <c r="DW70" s="96">
        <v>0.37</v>
      </c>
      <c r="DX70" s="61">
        <v>52</v>
      </c>
      <c r="DY70" s="61">
        <v>8</v>
      </c>
      <c r="DZ70" s="66">
        <v>0.11</v>
      </c>
      <c r="EA70" s="66">
        <v>0.57999999999999996</v>
      </c>
      <c r="EB70" s="66">
        <v>0.31</v>
      </c>
      <c r="EC70" s="66">
        <v>0</v>
      </c>
      <c r="ED70" s="66">
        <v>0.5</v>
      </c>
      <c r="EE70" s="66">
        <v>0.37</v>
      </c>
      <c r="EF70" s="66">
        <v>0.43</v>
      </c>
      <c r="EG70" s="66">
        <v>0.26</v>
      </c>
      <c r="EH70" s="66">
        <v>0.39</v>
      </c>
      <c r="EI70" s="66">
        <v>0.45</v>
      </c>
      <c r="EJ70" s="66">
        <v>0.61</v>
      </c>
      <c r="EK70" s="66">
        <v>0.19</v>
      </c>
      <c r="EL70" s="66">
        <v>0.44</v>
      </c>
      <c r="EM70" s="66">
        <v>0.63</v>
      </c>
      <c r="EN70" s="66">
        <v>0.45</v>
      </c>
      <c r="EO70" s="66">
        <v>0.48</v>
      </c>
      <c r="EP70" s="66">
        <v>0.39</v>
      </c>
      <c r="EQ70" s="66">
        <v>0.21</v>
      </c>
      <c r="ER70" s="66">
        <v>0.55000000000000004</v>
      </c>
      <c r="ES70" s="66">
        <v>0.45</v>
      </c>
      <c r="ET70" s="66">
        <v>0.23</v>
      </c>
      <c r="EU70" s="66">
        <v>0.52</v>
      </c>
      <c r="EV70" s="66">
        <v>0.2</v>
      </c>
      <c r="EW70" s="66">
        <v>0.28999999999999998</v>
      </c>
      <c r="EX70" s="66">
        <v>0.55000000000000004</v>
      </c>
      <c r="EY70" s="66">
        <v>0.61</v>
      </c>
      <c r="EZ70" s="66">
        <v>0.25</v>
      </c>
      <c r="FA70" s="66">
        <v>0.56999999999999995</v>
      </c>
      <c r="FB70" s="349">
        <v>51</v>
      </c>
      <c r="FC70" s="348" t="s">
        <v>910</v>
      </c>
      <c r="FD70" s="349">
        <v>8</v>
      </c>
      <c r="FE70" s="348" t="s">
        <v>910</v>
      </c>
      <c r="FF70" s="371">
        <v>0.03</v>
      </c>
      <c r="FG70" s="371">
        <v>0.72</v>
      </c>
      <c r="FH70" s="371">
        <v>0.22</v>
      </c>
      <c r="FI70" s="371">
        <v>0.03</v>
      </c>
      <c r="FJ70" s="371">
        <v>0.44</v>
      </c>
      <c r="FK70" s="371">
        <v>0.56999999999999995</v>
      </c>
      <c r="FL70" s="371">
        <v>0.49</v>
      </c>
      <c r="FM70" s="371">
        <v>0.52</v>
      </c>
      <c r="FN70" s="371">
        <v>0.3</v>
      </c>
      <c r="FO70" s="371">
        <v>0.26</v>
      </c>
      <c r="FP70" s="371">
        <v>0.3</v>
      </c>
      <c r="FQ70" s="371">
        <v>0.36</v>
      </c>
      <c r="FR70" s="371">
        <v>0.63</v>
      </c>
      <c r="FS70" s="371">
        <v>0.52</v>
      </c>
      <c r="FT70" s="371">
        <v>0.48</v>
      </c>
      <c r="FU70" s="371">
        <v>0.33</v>
      </c>
      <c r="FV70" s="371">
        <v>0.5</v>
      </c>
      <c r="FW70" s="371">
        <v>0.63</v>
      </c>
      <c r="FX70" s="371">
        <v>0.31</v>
      </c>
      <c r="FY70" s="371">
        <v>0.25</v>
      </c>
      <c r="FZ70" s="371">
        <v>0.47</v>
      </c>
      <c r="GA70" s="371">
        <v>0.55000000000000004</v>
      </c>
      <c r="GB70" s="371">
        <v>0.5</v>
      </c>
      <c r="GC70" s="371">
        <v>0.42</v>
      </c>
      <c r="GD70" s="371">
        <v>0.61</v>
      </c>
      <c r="GE70" s="371">
        <v>0.44</v>
      </c>
      <c r="GF70" s="371">
        <v>0.4</v>
      </c>
      <c r="GG70" s="371">
        <v>0.4</v>
      </c>
      <c r="GH70" s="371">
        <v>0.61</v>
      </c>
      <c r="GI70" s="371">
        <v>0.18</v>
      </c>
      <c r="GJ70" s="469">
        <v>50</v>
      </c>
      <c r="GK70" s="471" t="s">
        <v>910</v>
      </c>
      <c r="GL70" s="469">
        <v>9</v>
      </c>
      <c r="GM70" s="471" t="s">
        <v>910</v>
      </c>
      <c r="GN70" s="501">
        <v>0.18</v>
      </c>
      <c r="GO70" s="501">
        <v>0.48</v>
      </c>
      <c r="GP70" s="501">
        <v>0.33</v>
      </c>
      <c r="GQ70" s="501">
        <v>0</v>
      </c>
      <c r="GR70" s="501">
        <v>0.61</v>
      </c>
      <c r="GS70" s="501">
        <v>0.55000000000000004</v>
      </c>
      <c r="GT70" s="501">
        <v>0.56000000000000005</v>
      </c>
      <c r="GU70" s="501">
        <v>0.25</v>
      </c>
      <c r="GV70" s="501">
        <v>0.54</v>
      </c>
      <c r="GW70" s="501">
        <v>0.62</v>
      </c>
      <c r="GX70" s="501">
        <v>0.56000000000000005</v>
      </c>
      <c r="GY70" s="471" t="s">
        <v>287</v>
      </c>
      <c r="GZ70" s="501">
        <v>0.31</v>
      </c>
      <c r="HA70" s="501">
        <v>0.67</v>
      </c>
      <c r="HB70" s="501">
        <v>0.53</v>
      </c>
      <c r="HC70" s="501">
        <v>0.52</v>
      </c>
      <c r="HD70" s="501">
        <v>0.62</v>
      </c>
      <c r="HE70" s="501">
        <v>0.48</v>
      </c>
      <c r="HF70" s="501">
        <v>0.45</v>
      </c>
      <c r="HG70" s="501">
        <v>0.69</v>
      </c>
      <c r="HH70" s="501">
        <v>0.37</v>
      </c>
      <c r="HI70" s="501">
        <v>0.55000000000000004</v>
      </c>
      <c r="HJ70" s="501">
        <v>0.57999999999999996</v>
      </c>
      <c r="HK70" s="501">
        <v>0.39</v>
      </c>
      <c r="HL70" s="501">
        <v>0.23</v>
      </c>
      <c r="HM70" s="501">
        <v>0.48</v>
      </c>
      <c r="HN70" s="501">
        <v>0.56000000000000005</v>
      </c>
      <c r="HO70" s="501">
        <v>0.38</v>
      </c>
      <c r="HP70" s="471" t="s">
        <v>287</v>
      </c>
      <c r="HQ70" s="501">
        <v>0.39</v>
      </c>
      <c r="HR70" s="630">
        <v>50</v>
      </c>
      <c r="HS70" s="640" t="s">
        <v>910</v>
      </c>
      <c r="HT70" s="630">
        <v>9</v>
      </c>
      <c r="HU70" s="640" t="s">
        <v>910</v>
      </c>
      <c r="HV70" s="644">
        <v>0.17</v>
      </c>
      <c r="HW70" s="644">
        <v>0.62</v>
      </c>
      <c r="HX70" s="644">
        <v>0.17</v>
      </c>
      <c r="HY70" s="644">
        <v>0.03</v>
      </c>
      <c r="HZ70" s="644">
        <v>0.4</v>
      </c>
      <c r="IA70" s="644">
        <v>0.63</v>
      </c>
      <c r="IB70" s="644">
        <v>0.35</v>
      </c>
      <c r="IC70" s="644">
        <v>0.54</v>
      </c>
      <c r="ID70" s="644">
        <v>0.64</v>
      </c>
      <c r="IE70" s="644">
        <v>0.32</v>
      </c>
      <c r="IF70" s="644">
        <v>0.35</v>
      </c>
      <c r="IG70" s="644">
        <v>0.61</v>
      </c>
      <c r="IH70" s="644">
        <v>0.48</v>
      </c>
      <c r="II70" s="644">
        <v>0.28999999999999998</v>
      </c>
      <c r="IJ70" s="644">
        <v>0.26</v>
      </c>
      <c r="IK70" s="644">
        <v>0.65</v>
      </c>
      <c r="IL70" s="644">
        <v>0.3</v>
      </c>
      <c r="IM70" s="644">
        <v>0.65</v>
      </c>
      <c r="IN70" s="644">
        <v>0.42</v>
      </c>
      <c r="IO70" s="644">
        <v>0.61</v>
      </c>
      <c r="IP70" s="644">
        <v>0.52</v>
      </c>
      <c r="IQ70" s="644">
        <v>0.61</v>
      </c>
      <c r="IR70" s="644">
        <v>0.63</v>
      </c>
      <c r="IS70" s="644">
        <v>0.57999999999999996</v>
      </c>
      <c r="IT70" s="644">
        <v>0.45</v>
      </c>
      <c r="IU70" s="640" t="s">
        <v>287</v>
      </c>
      <c r="IV70" s="644">
        <v>0.62</v>
      </c>
      <c r="IW70" s="644">
        <v>0.52</v>
      </c>
      <c r="IX70" s="644">
        <v>0.56999999999999995</v>
      </c>
      <c r="IY70" s="644">
        <v>0.61</v>
      </c>
    </row>
    <row r="71" spans="1:259" ht="24.9" customHeight="1" x14ac:dyDescent="0.25">
      <c r="A71" s="188" t="s">
        <v>25</v>
      </c>
      <c r="B71" s="1" t="s">
        <v>222</v>
      </c>
      <c r="C71" s="2">
        <v>3</v>
      </c>
      <c r="D71" s="16">
        <v>56</v>
      </c>
      <c r="E71" s="16">
        <v>7</v>
      </c>
      <c r="F71" s="99">
        <v>0</v>
      </c>
      <c r="G71" s="99">
        <v>0.48</v>
      </c>
      <c r="H71" s="99">
        <v>0.48</v>
      </c>
      <c r="I71" s="99">
        <v>0.04</v>
      </c>
      <c r="J71" s="99">
        <v>0.3</v>
      </c>
      <c r="K71" s="99">
        <v>0.22</v>
      </c>
      <c r="L71" s="99">
        <v>0.54</v>
      </c>
      <c r="M71" s="99">
        <v>0.19</v>
      </c>
      <c r="N71" s="99">
        <v>0.21</v>
      </c>
      <c r="O71" s="99">
        <v>0.51</v>
      </c>
      <c r="P71" s="99">
        <v>0.28999999999999998</v>
      </c>
      <c r="Q71" s="99">
        <v>0.42</v>
      </c>
      <c r="R71" s="99">
        <v>0.37</v>
      </c>
      <c r="S71" s="99">
        <v>0.47</v>
      </c>
      <c r="T71" s="99">
        <v>0.38</v>
      </c>
      <c r="U71" s="99">
        <v>0.53</v>
      </c>
      <c r="V71" s="99">
        <v>0.04</v>
      </c>
      <c r="W71" s="99">
        <v>0.05</v>
      </c>
      <c r="X71" s="99">
        <v>0.46</v>
      </c>
      <c r="Y71" s="99">
        <v>0.48</v>
      </c>
      <c r="Z71" s="99">
        <v>1</v>
      </c>
      <c r="AA71" s="99">
        <v>0.02</v>
      </c>
      <c r="AB71" s="99">
        <v>0.31</v>
      </c>
      <c r="AC71" s="99">
        <v>0.2</v>
      </c>
      <c r="AD71" s="99">
        <v>0.41</v>
      </c>
      <c r="AE71" s="99">
        <v>0.47</v>
      </c>
      <c r="AF71" s="99">
        <v>0.46</v>
      </c>
      <c r="AG71" s="99">
        <v>0.39</v>
      </c>
      <c r="AH71" s="16">
        <v>56</v>
      </c>
      <c r="AI71" s="16">
        <v>7</v>
      </c>
      <c r="AJ71" s="66">
        <v>0</v>
      </c>
      <c r="AK71" s="66">
        <v>0.42</v>
      </c>
      <c r="AL71" s="66">
        <v>0.57999999999999996</v>
      </c>
      <c r="AM71" s="66">
        <v>0</v>
      </c>
      <c r="AN71" s="66">
        <v>0.15</v>
      </c>
      <c r="AO71" s="66">
        <v>0.51</v>
      </c>
      <c r="AP71" s="66">
        <v>0.59</v>
      </c>
      <c r="AQ71" s="66">
        <v>0.25</v>
      </c>
      <c r="AR71" s="66">
        <v>0.5</v>
      </c>
      <c r="AS71" s="66">
        <v>0.4</v>
      </c>
      <c r="AT71" s="66">
        <v>0.45</v>
      </c>
      <c r="AU71" s="66">
        <v>0.5</v>
      </c>
      <c r="AV71" s="66">
        <v>0.63</v>
      </c>
      <c r="AW71" s="66">
        <v>0.38</v>
      </c>
      <c r="AX71" s="66">
        <v>0.41</v>
      </c>
      <c r="AY71" s="66">
        <v>0.2</v>
      </c>
      <c r="AZ71" s="66">
        <v>0.18</v>
      </c>
      <c r="BA71" s="66">
        <v>0.47</v>
      </c>
      <c r="BB71" s="66">
        <v>0.67</v>
      </c>
      <c r="BC71" s="66">
        <v>0.64</v>
      </c>
      <c r="BD71" s="66">
        <v>0.34</v>
      </c>
      <c r="BE71" s="66">
        <v>0.33</v>
      </c>
      <c r="BF71" s="66">
        <v>0.57999999999999996</v>
      </c>
      <c r="BG71" s="66">
        <v>0.44</v>
      </c>
      <c r="BH71" s="66">
        <v>0.34</v>
      </c>
      <c r="BI71" s="66">
        <v>0.41</v>
      </c>
      <c r="BJ71" s="66">
        <v>0.27</v>
      </c>
      <c r="BK71" s="66">
        <v>0.33</v>
      </c>
      <c r="BL71" s="66">
        <v>0.64</v>
      </c>
      <c r="BM71" s="16">
        <v>50</v>
      </c>
      <c r="BN71" s="16">
        <v>9</v>
      </c>
      <c r="BO71" s="99">
        <v>0.13</v>
      </c>
      <c r="BP71" s="99">
        <v>0.53</v>
      </c>
      <c r="BQ71" s="99">
        <v>0.3</v>
      </c>
      <c r="BR71" s="99">
        <v>0.03</v>
      </c>
      <c r="BS71" s="99">
        <v>0.36</v>
      </c>
      <c r="BT71" s="99">
        <v>0.63</v>
      </c>
      <c r="BU71" s="99">
        <v>0.66</v>
      </c>
      <c r="BV71" s="99">
        <v>0.33</v>
      </c>
      <c r="BW71" s="99">
        <v>0.8</v>
      </c>
      <c r="BX71" s="99">
        <v>0.36</v>
      </c>
      <c r="BY71" s="99">
        <v>0.38</v>
      </c>
      <c r="BZ71" s="99">
        <v>0.48</v>
      </c>
      <c r="CA71" s="99">
        <v>0.49</v>
      </c>
      <c r="CB71" s="99">
        <v>0.46</v>
      </c>
      <c r="CC71" s="99">
        <v>0.21</v>
      </c>
      <c r="CD71" s="99">
        <v>0.38</v>
      </c>
      <c r="CE71" s="99">
        <v>0.37</v>
      </c>
      <c r="CF71" s="99">
        <v>0.52</v>
      </c>
      <c r="CG71" s="99">
        <v>0.64</v>
      </c>
      <c r="CH71" s="99">
        <v>0.47</v>
      </c>
      <c r="CI71" s="99">
        <v>0.47</v>
      </c>
      <c r="CJ71" s="99">
        <v>0.36</v>
      </c>
      <c r="CK71" s="99">
        <v>0.67</v>
      </c>
      <c r="CL71" s="99">
        <v>0.35</v>
      </c>
      <c r="CM71" s="99">
        <v>0.44</v>
      </c>
      <c r="CN71" s="99">
        <v>0.52</v>
      </c>
      <c r="CO71" s="99">
        <v>0.44</v>
      </c>
      <c r="CP71" s="99">
        <v>0.39</v>
      </c>
      <c r="CQ71" s="99">
        <v>0.56000000000000005</v>
      </c>
      <c r="CR71" s="99">
        <v>0.48</v>
      </c>
      <c r="CS71" s="16">
        <v>52</v>
      </c>
      <c r="CT71" s="16">
        <v>8</v>
      </c>
      <c r="CU71" s="96">
        <v>0.09</v>
      </c>
      <c r="CV71" s="96">
        <v>0.59</v>
      </c>
      <c r="CW71" s="96">
        <v>0.32</v>
      </c>
      <c r="CX71" s="96">
        <v>0</v>
      </c>
      <c r="CY71" s="96">
        <v>0.44</v>
      </c>
      <c r="CZ71" s="96">
        <v>0.27</v>
      </c>
      <c r="DA71" s="96">
        <v>0.52</v>
      </c>
      <c r="DB71" s="96">
        <v>0.28999999999999998</v>
      </c>
      <c r="DC71" s="96">
        <v>0.37</v>
      </c>
      <c r="DD71" s="96">
        <v>0.61</v>
      </c>
      <c r="DE71" s="96">
        <v>0.23</v>
      </c>
      <c r="DF71" s="96">
        <v>0.56999999999999995</v>
      </c>
      <c r="DG71" s="96">
        <v>0.39</v>
      </c>
      <c r="DH71" s="96">
        <v>0.3</v>
      </c>
      <c r="DI71" s="96">
        <v>0.35</v>
      </c>
      <c r="DJ71" s="96">
        <v>0.48</v>
      </c>
      <c r="DK71" s="96">
        <v>0.2</v>
      </c>
      <c r="DL71" s="96">
        <v>0.13</v>
      </c>
      <c r="DM71" s="96">
        <v>0.49</v>
      </c>
      <c r="DN71" s="96">
        <v>0.49</v>
      </c>
      <c r="DO71" s="96">
        <v>0.38</v>
      </c>
      <c r="DP71" s="96">
        <v>0.42</v>
      </c>
      <c r="DQ71" s="96">
        <v>0.5</v>
      </c>
      <c r="DR71" s="96">
        <v>0.19</v>
      </c>
      <c r="DS71" s="96">
        <v>0.41</v>
      </c>
      <c r="DT71" s="96">
        <v>0.54</v>
      </c>
      <c r="DU71" s="96">
        <v>0.61</v>
      </c>
      <c r="DV71" s="96">
        <v>0.57999999999999996</v>
      </c>
      <c r="DW71" s="96">
        <v>0.28999999999999998</v>
      </c>
      <c r="DX71" s="61">
        <v>51</v>
      </c>
      <c r="DY71" s="61">
        <v>10</v>
      </c>
      <c r="DZ71" s="66">
        <v>0.19</v>
      </c>
      <c r="EA71" s="66">
        <v>0.49</v>
      </c>
      <c r="EB71" s="66">
        <v>0.32</v>
      </c>
      <c r="EC71" s="66">
        <v>0</v>
      </c>
      <c r="ED71" s="66">
        <v>0.5</v>
      </c>
      <c r="EE71" s="66">
        <v>0.45</v>
      </c>
      <c r="EF71" s="66">
        <v>0.52</v>
      </c>
      <c r="EG71" s="66">
        <v>0.26</v>
      </c>
      <c r="EH71" s="66">
        <v>0.43</v>
      </c>
      <c r="EI71" s="66">
        <v>0.43</v>
      </c>
      <c r="EJ71" s="66">
        <v>0.55000000000000004</v>
      </c>
      <c r="EK71" s="66">
        <v>0.23</v>
      </c>
      <c r="EL71" s="66">
        <v>0.48</v>
      </c>
      <c r="EM71" s="66">
        <v>0.57999999999999996</v>
      </c>
      <c r="EN71" s="66">
        <v>0.51</v>
      </c>
      <c r="EO71" s="66">
        <v>0.6</v>
      </c>
      <c r="EP71" s="66">
        <v>0.3</v>
      </c>
      <c r="EQ71" s="66">
        <v>0.34</v>
      </c>
      <c r="ER71" s="66">
        <v>0.55000000000000004</v>
      </c>
      <c r="ES71" s="66">
        <v>0.59</v>
      </c>
      <c r="ET71" s="66">
        <v>0.31</v>
      </c>
      <c r="EU71" s="66">
        <v>0.56999999999999995</v>
      </c>
      <c r="EV71" s="66">
        <v>0.24</v>
      </c>
      <c r="EW71" s="66">
        <v>0.19</v>
      </c>
      <c r="EX71" s="66">
        <v>0.64</v>
      </c>
      <c r="EY71" s="66">
        <v>0.59</v>
      </c>
      <c r="EZ71" s="66">
        <v>0.15</v>
      </c>
      <c r="FA71" s="66">
        <v>0.56000000000000005</v>
      </c>
      <c r="FB71" s="349">
        <v>52</v>
      </c>
      <c r="FC71" s="348" t="s">
        <v>910</v>
      </c>
      <c r="FD71" s="349">
        <v>7</v>
      </c>
      <c r="FE71" s="348" t="s">
        <v>910</v>
      </c>
      <c r="FF71" s="371">
        <v>0.06</v>
      </c>
      <c r="FG71" s="371">
        <v>0.69</v>
      </c>
      <c r="FH71" s="371">
        <v>0.25</v>
      </c>
      <c r="FI71" s="371">
        <v>0</v>
      </c>
      <c r="FJ71" s="371">
        <v>0.4</v>
      </c>
      <c r="FK71" s="371">
        <v>0.63</v>
      </c>
      <c r="FL71" s="371">
        <v>0.4</v>
      </c>
      <c r="FM71" s="371">
        <v>0.51</v>
      </c>
      <c r="FN71" s="371">
        <v>0.28999999999999998</v>
      </c>
      <c r="FO71" s="371">
        <v>0.37</v>
      </c>
      <c r="FP71" s="371">
        <v>0.27</v>
      </c>
      <c r="FQ71" s="371">
        <v>0.33</v>
      </c>
      <c r="FR71" s="371">
        <v>0.51</v>
      </c>
      <c r="FS71" s="371">
        <v>0.5</v>
      </c>
      <c r="FT71" s="371">
        <v>0.47</v>
      </c>
      <c r="FU71" s="371">
        <v>0.4</v>
      </c>
      <c r="FV71" s="371">
        <v>0.65</v>
      </c>
      <c r="FW71" s="371">
        <v>0.59</v>
      </c>
      <c r="FX71" s="371">
        <v>0.44</v>
      </c>
      <c r="FY71" s="371">
        <v>0.39</v>
      </c>
      <c r="FZ71" s="371">
        <v>0.4</v>
      </c>
      <c r="GA71" s="371">
        <v>0.48</v>
      </c>
      <c r="GB71" s="371">
        <v>0.53</v>
      </c>
      <c r="GC71" s="371">
        <v>0.37</v>
      </c>
      <c r="GD71" s="371">
        <v>0.56999999999999995</v>
      </c>
      <c r="GE71" s="371">
        <v>0.56000000000000005</v>
      </c>
      <c r="GF71" s="371">
        <v>0.45</v>
      </c>
      <c r="GG71" s="371">
        <v>0.38</v>
      </c>
      <c r="GH71" s="371">
        <v>0.49</v>
      </c>
      <c r="GI71" s="371">
        <v>0.16</v>
      </c>
      <c r="GJ71" s="469">
        <v>53</v>
      </c>
      <c r="GK71" s="471" t="s">
        <v>910</v>
      </c>
      <c r="GL71" s="469">
        <v>7</v>
      </c>
      <c r="GM71" s="471" t="s">
        <v>910</v>
      </c>
      <c r="GN71" s="501">
        <v>0.04</v>
      </c>
      <c r="GO71" s="501">
        <v>0.54</v>
      </c>
      <c r="GP71" s="501">
        <v>0.43</v>
      </c>
      <c r="GQ71" s="501">
        <v>0</v>
      </c>
      <c r="GR71" s="501">
        <v>0.36</v>
      </c>
      <c r="GS71" s="501">
        <v>0.4</v>
      </c>
      <c r="GT71" s="501">
        <v>0.6</v>
      </c>
      <c r="GU71" s="501">
        <v>0.03</v>
      </c>
      <c r="GV71" s="501">
        <v>0.56000000000000005</v>
      </c>
      <c r="GW71" s="501">
        <v>0.43</v>
      </c>
      <c r="GX71" s="501">
        <v>0.38</v>
      </c>
      <c r="GY71" s="471" t="s">
        <v>287</v>
      </c>
      <c r="GZ71" s="501">
        <v>0.26</v>
      </c>
      <c r="HA71" s="501">
        <v>0.65</v>
      </c>
      <c r="HB71" s="501">
        <v>0.44</v>
      </c>
      <c r="HC71" s="501">
        <v>0.43</v>
      </c>
      <c r="HD71" s="501">
        <v>0.54</v>
      </c>
      <c r="HE71" s="501">
        <v>0.53</v>
      </c>
      <c r="HF71" s="501">
        <v>0.5</v>
      </c>
      <c r="HG71" s="501">
        <v>0.66</v>
      </c>
      <c r="HH71" s="501">
        <v>0.38</v>
      </c>
      <c r="HI71" s="501">
        <v>0.48</v>
      </c>
      <c r="HJ71" s="501">
        <v>0.56999999999999995</v>
      </c>
      <c r="HK71" s="501">
        <v>0.43</v>
      </c>
      <c r="HL71" s="501">
        <v>0.34</v>
      </c>
      <c r="HM71" s="501">
        <v>0.42</v>
      </c>
      <c r="HN71" s="501">
        <v>0.43</v>
      </c>
      <c r="HO71" s="501">
        <v>0.45</v>
      </c>
      <c r="HP71" s="471" t="s">
        <v>287</v>
      </c>
      <c r="HQ71" s="501">
        <v>0.32</v>
      </c>
      <c r="HR71" s="630">
        <v>52</v>
      </c>
      <c r="HS71" s="640" t="s">
        <v>910</v>
      </c>
      <c r="HT71" s="630">
        <v>8</v>
      </c>
      <c r="HU71" s="640" t="s">
        <v>910</v>
      </c>
      <c r="HV71" s="644">
        <v>0.04</v>
      </c>
      <c r="HW71" s="644">
        <v>0.65</v>
      </c>
      <c r="HX71" s="644">
        <v>0.27</v>
      </c>
      <c r="HY71" s="644">
        <v>0.04</v>
      </c>
      <c r="HZ71" s="644">
        <v>0.25</v>
      </c>
      <c r="IA71" s="644">
        <v>0.49</v>
      </c>
      <c r="IB71" s="644">
        <v>0.25</v>
      </c>
      <c r="IC71" s="644">
        <v>0.47</v>
      </c>
      <c r="ID71" s="644">
        <v>0.66</v>
      </c>
      <c r="IE71" s="644">
        <v>0.26</v>
      </c>
      <c r="IF71" s="644">
        <v>0.46</v>
      </c>
      <c r="IG71" s="644">
        <v>0.56999999999999995</v>
      </c>
      <c r="IH71" s="644">
        <v>0.5</v>
      </c>
      <c r="II71" s="644">
        <v>0.32</v>
      </c>
      <c r="IJ71" s="644">
        <v>0.24</v>
      </c>
      <c r="IK71" s="644">
        <v>0.63</v>
      </c>
      <c r="IL71" s="644">
        <v>0.33</v>
      </c>
      <c r="IM71" s="644">
        <v>0.51</v>
      </c>
      <c r="IN71" s="644">
        <v>0.41</v>
      </c>
      <c r="IO71" s="644">
        <v>0.56999999999999995</v>
      </c>
      <c r="IP71" s="644">
        <v>0.38</v>
      </c>
      <c r="IQ71" s="644">
        <v>0.59</v>
      </c>
      <c r="IR71" s="644">
        <v>0.68</v>
      </c>
      <c r="IS71" s="644">
        <v>0.49</v>
      </c>
      <c r="IT71" s="644">
        <v>0.43</v>
      </c>
      <c r="IU71" s="640" t="s">
        <v>287</v>
      </c>
      <c r="IV71" s="644">
        <v>0.66</v>
      </c>
      <c r="IW71" s="644">
        <v>0.37</v>
      </c>
      <c r="IX71" s="644">
        <v>0.53</v>
      </c>
      <c r="IY71" s="644">
        <v>0.51</v>
      </c>
    </row>
    <row r="72" spans="1:259" s="336" customFormat="1" ht="24.9" customHeight="1" x14ac:dyDescent="0.25">
      <c r="A72" s="361" t="s">
        <v>914</v>
      </c>
      <c r="B72" s="1" t="s">
        <v>222</v>
      </c>
      <c r="C72" s="354">
        <v>6</v>
      </c>
      <c r="D72" s="362"/>
      <c r="E72" s="362"/>
      <c r="F72" s="366"/>
      <c r="G72" s="366"/>
      <c r="H72" s="366"/>
      <c r="I72" s="366"/>
      <c r="J72" s="366"/>
      <c r="K72" s="366"/>
      <c r="L72" s="366"/>
      <c r="M72" s="366"/>
      <c r="N72" s="366"/>
      <c r="O72" s="366"/>
      <c r="P72" s="366"/>
      <c r="Q72" s="366"/>
      <c r="R72" s="366"/>
      <c r="S72" s="366"/>
      <c r="T72" s="366"/>
      <c r="U72" s="366"/>
      <c r="V72" s="366"/>
      <c r="W72" s="366"/>
      <c r="X72" s="366"/>
      <c r="Y72" s="366"/>
      <c r="Z72" s="366"/>
      <c r="AA72" s="366"/>
      <c r="AB72" s="366"/>
      <c r="AC72" s="366"/>
      <c r="AD72" s="366"/>
      <c r="AE72" s="366"/>
      <c r="AF72" s="366"/>
      <c r="AG72" s="366"/>
      <c r="AH72" s="362"/>
      <c r="AI72" s="362"/>
      <c r="AJ72" s="367"/>
      <c r="AK72" s="367"/>
      <c r="AL72" s="367"/>
      <c r="AM72" s="367"/>
      <c r="AN72" s="367"/>
      <c r="AO72" s="367"/>
      <c r="AP72" s="367"/>
      <c r="AQ72" s="367"/>
      <c r="AR72" s="367"/>
      <c r="AS72" s="367"/>
      <c r="AT72" s="367"/>
      <c r="AU72" s="367"/>
      <c r="AV72" s="367"/>
      <c r="AW72" s="367"/>
      <c r="AX72" s="367"/>
      <c r="AY72" s="367"/>
      <c r="AZ72" s="367"/>
      <c r="BA72" s="367"/>
      <c r="BB72" s="367"/>
      <c r="BC72" s="367"/>
      <c r="BD72" s="367"/>
      <c r="BE72" s="367"/>
      <c r="BF72" s="367"/>
      <c r="BG72" s="367"/>
      <c r="BH72" s="367"/>
      <c r="BI72" s="367"/>
      <c r="BJ72" s="367"/>
      <c r="BK72" s="367"/>
      <c r="BL72" s="367"/>
      <c r="BM72" s="362"/>
      <c r="BN72" s="362"/>
      <c r="BO72" s="366"/>
      <c r="BP72" s="366"/>
      <c r="BQ72" s="366"/>
      <c r="BR72" s="366"/>
      <c r="BS72" s="366"/>
      <c r="BT72" s="366"/>
      <c r="BU72" s="366"/>
      <c r="BV72" s="366"/>
      <c r="BW72" s="366"/>
      <c r="BX72" s="366"/>
      <c r="BY72" s="366"/>
      <c r="BZ72" s="366"/>
      <c r="CA72" s="366"/>
      <c r="CB72" s="366"/>
      <c r="CC72" s="366"/>
      <c r="CD72" s="366"/>
      <c r="CE72" s="366"/>
      <c r="CF72" s="366"/>
      <c r="CG72" s="366"/>
      <c r="CH72" s="366"/>
      <c r="CI72" s="366"/>
      <c r="CJ72" s="366"/>
      <c r="CK72" s="366"/>
      <c r="CL72" s="366"/>
      <c r="CM72" s="366"/>
      <c r="CN72" s="366"/>
      <c r="CO72" s="366"/>
      <c r="CP72" s="366"/>
      <c r="CQ72" s="366"/>
      <c r="CR72" s="366"/>
      <c r="CS72" s="362"/>
      <c r="CT72" s="362"/>
      <c r="CU72" s="363"/>
      <c r="CV72" s="363"/>
      <c r="CW72" s="363"/>
      <c r="CX72" s="363"/>
      <c r="CY72" s="363"/>
      <c r="CZ72" s="363"/>
      <c r="DA72" s="363"/>
      <c r="DB72" s="363"/>
      <c r="DC72" s="363"/>
      <c r="DD72" s="363"/>
      <c r="DE72" s="363"/>
      <c r="DF72" s="363"/>
      <c r="DG72" s="363"/>
      <c r="DH72" s="363"/>
      <c r="DI72" s="363"/>
      <c r="DJ72" s="363"/>
      <c r="DK72" s="363"/>
      <c r="DL72" s="363"/>
      <c r="DM72" s="363"/>
      <c r="DN72" s="363"/>
      <c r="DO72" s="363"/>
      <c r="DP72" s="363"/>
      <c r="DQ72" s="363"/>
      <c r="DR72" s="363"/>
      <c r="DS72" s="363"/>
      <c r="DT72" s="363"/>
      <c r="DU72" s="363"/>
      <c r="DV72" s="363"/>
      <c r="DW72" s="363"/>
      <c r="DX72" s="356"/>
      <c r="DY72" s="356"/>
      <c r="DZ72" s="367"/>
      <c r="EA72" s="367"/>
      <c r="EB72" s="367"/>
      <c r="EC72" s="367"/>
      <c r="ED72" s="367"/>
      <c r="EE72" s="367"/>
      <c r="EF72" s="367"/>
      <c r="EG72" s="367"/>
      <c r="EH72" s="367"/>
      <c r="EI72" s="367"/>
      <c r="EJ72" s="367"/>
      <c r="EK72" s="367"/>
      <c r="EL72" s="367"/>
      <c r="EM72" s="367"/>
      <c r="EN72" s="367"/>
      <c r="EO72" s="367"/>
      <c r="EP72" s="367"/>
      <c r="EQ72" s="367"/>
      <c r="ER72" s="367"/>
      <c r="ES72" s="367"/>
      <c r="ET72" s="367"/>
      <c r="EU72" s="367"/>
      <c r="EV72" s="367"/>
      <c r="EW72" s="367"/>
      <c r="EX72" s="367"/>
      <c r="EY72" s="367"/>
      <c r="EZ72" s="367"/>
      <c r="FA72" s="367"/>
      <c r="FB72" s="349">
        <v>48</v>
      </c>
      <c r="FC72" s="348" t="s">
        <v>910</v>
      </c>
      <c r="FD72" s="349">
        <v>8</v>
      </c>
      <c r="FE72" s="348" t="s">
        <v>910</v>
      </c>
      <c r="FF72" s="371">
        <v>0.22</v>
      </c>
      <c r="FG72" s="371">
        <v>0.61</v>
      </c>
      <c r="FH72" s="371">
        <v>0.17</v>
      </c>
      <c r="FI72" s="371">
        <v>0</v>
      </c>
      <c r="FJ72" s="371">
        <v>0.38</v>
      </c>
      <c r="FK72" s="371">
        <v>0.66</v>
      </c>
      <c r="FL72" s="371">
        <v>0.56999999999999995</v>
      </c>
      <c r="FM72" s="371">
        <v>0.28999999999999998</v>
      </c>
      <c r="FN72" s="371">
        <v>0.52</v>
      </c>
      <c r="FO72" s="371">
        <v>0.43</v>
      </c>
      <c r="FP72" s="371">
        <v>0.4</v>
      </c>
      <c r="FQ72" s="371">
        <v>0.44</v>
      </c>
      <c r="FR72" s="371">
        <v>0.57999999999999996</v>
      </c>
      <c r="FS72" s="371">
        <v>0.54</v>
      </c>
      <c r="FT72" s="371">
        <v>0.45</v>
      </c>
      <c r="FU72" s="371">
        <v>0.45</v>
      </c>
      <c r="FV72" s="371">
        <v>0.64</v>
      </c>
      <c r="FW72" s="371">
        <v>0.46</v>
      </c>
      <c r="FX72" s="371">
        <v>0.61</v>
      </c>
      <c r="FY72" s="371">
        <v>0.21</v>
      </c>
      <c r="FZ72" s="371">
        <v>0.41</v>
      </c>
      <c r="GA72" s="371">
        <v>0.56999999999999995</v>
      </c>
      <c r="GB72" s="371">
        <v>0.7</v>
      </c>
      <c r="GC72" s="371">
        <v>0.59</v>
      </c>
      <c r="GD72" s="371">
        <v>0.66</v>
      </c>
      <c r="GE72" s="371">
        <v>0.53</v>
      </c>
      <c r="GF72" s="371">
        <v>0.52</v>
      </c>
      <c r="GG72" s="371">
        <v>0.43</v>
      </c>
      <c r="GH72" s="371">
        <v>0.69</v>
      </c>
      <c r="GI72" s="371">
        <v>0.34</v>
      </c>
      <c r="GJ72" s="469">
        <v>48</v>
      </c>
      <c r="GK72" s="471" t="s">
        <v>910</v>
      </c>
      <c r="GL72" s="469">
        <v>8</v>
      </c>
      <c r="GM72" s="471" t="s">
        <v>910</v>
      </c>
      <c r="GN72" s="501">
        <v>0.19</v>
      </c>
      <c r="GO72" s="501">
        <v>0.65</v>
      </c>
      <c r="GP72" s="501">
        <v>0.16</v>
      </c>
      <c r="GQ72" s="501">
        <v>0</v>
      </c>
      <c r="GR72" s="501">
        <v>0.49</v>
      </c>
      <c r="GS72" s="501">
        <v>0.54</v>
      </c>
      <c r="GT72" s="501">
        <v>0.75</v>
      </c>
      <c r="GU72" s="501">
        <v>0.2</v>
      </c>
      <c r="GV72" s="501">
        <v>0.54</v>
      </c>
      <c r="GW72" s="501">
        <v>0.45</v>
      </c>
      <c r="GX72" s="501">
        <v>0.5</v>
      </c>
      <c r="GY72" s="471" t="s">
        <v>287</v>
      </c>
      <c r="GZ72" s="501">
        <v>0.31</v>
      </c>
      <c r="HA72" s="501">
        <v>0.71</v>
      </c>
      <c r="HB72" s="501">
        <v>0.53</v>
      </c>
      <c r="HC72" s="501">
        <v>0.57999999999999996</v>
      </c>
      <c r="HD72" s="501">
        <v>0.67</v>
      </c>
      <c r="HE72" s="501">
        <v>0.53</v>
      </c>
      <c r="HF72" s="501">
        <v>0.57999999999999996</v>
      </c>
      <c r="HG72" s="501">
        <v>0.73</v>
      </c>
      <c r="HH72" s="501">
        <v>0.53</v>
      </c>
      <c r="HI72" s="501">
        <v>0.61</v>
      </c>
      <c r="HJ72" s="501">
        <v>0.64</v>
      </c>
      <c r="HK72" s="501">
        <v>0.53</v>
      </c>
      <c r="HL72" s="501">
        <v>0.49</v>
      </c>
      <c r="HM72" s="501">
        <v>0.52</v>
      </c>
      <c r="HN72" s="501">
        <v>0.53</v>
      </c>
      <c r="HO72" s="501">
        <v>0.56000000000000005</v>
      </c>
      <c r="HP72" s="471" t="s">
        <v>287</v>
      </c>
      <c r="HQ72" s="501">
        <v>0.48</v>
      </c>
      <c r="HR72" s="630">
        <v>49</v>
      </c>
      <c r="HS72" s="640" t="s">
        <v>910</v>
      </c>
      <c r="HT72" s="630">
        <v>8</v>
      </c>
      <c r="HU72" s="640" t="s">
        <v>910</v>
      </c>
      <c r="HV72" s="644">
        <v>0.17</v>
      </c>
      <c r="HW72" s="644">
        <v>0.59</v>
      </c>
      <c r="HX72" s="644">
        <v>0.24</v>
      </c>
      <c r="HY72" s="644">
        <v>0</v>
      </c>
      <c r="HZ72" s="644">
        <v>0.4</v>
      </c>
      <c r="IA72" s="644">
        <v>0.54</v>
      </c>
      <c r="IB72" s="644">
        <v>0.26</v>
      </c>
      <c r="IC72" s="644">
        <v>0.44</v>
      </c>
      <c r="ID72" s="644">
        <v>0.67</v>
      </c>
      <c r="IE72" s="644">
        <v>0.34</v>
      </c>
      <c r="IF72" s="644">
        <v>0.47</v>
      </c>
      <c r="IG72" s="644">
        <v>0.55000000000000004</v>
      </c>
      <c r="IH72" s="644">
        <v>0.44</v>
      </c>
      <c r="II72" s="644">
        <v>0.5</v>
      </c>
      <c r="IJ72" s="644">
        <v>0.36</v>
      </c>
      <c r="IK72" s="644">
        <v>0.64</v>
      </c>
      <c r="IL72" s="644">
        <v>0.41</v>
      </c>
      <c r="IM72" s="644">
        <v>0.59</v>
      </c>
      <c r="IN72" s="644">
        <v>0.55000000000000004</v>
      </c>
      <c r="IO72" s="644">
        <v>0.49</v>
      </c>
      <c r="IP72" s="644">
        <v>0.56000000000000005</v>
      </c>
      <c r="IQ72" s="644">
        <v>0.7</v>
      </c>
      <c r="IR72" s="644">
        <v>0.6</v>
      </c>
      <c r="IS72" s="644">
        <v>0.71</v>
      </c>
      <c r="IT72" s="644">
        <v>0.38</v>
      </c>
      <c r="IU72" s="640" t="s">
        <v>287</v>
      </c>
      <c r="IV72" s="644">
        <v>0.65</v>
      </c>
      <c r="IW72" s="644">
        <v>0.43</v>
      </c>
      <c r="IX72" s="644">
        <v>0.49</v>
      </c>
      <c r="IY72" s="644">
        <v>0.54</v>
      </c>
    </row>
    <row r="73" spans="1:259" ht="24.9" customHeight="1" x14ac:dyDescent="0.25">
      <c r="A73" s="188" t="s">
        <v>94</v>
      </c>
      <c r="B73" s="1" t="s">
        <v>222</v>
      </c>
      <c r="C73" s="2">
        <v>6</v>
      </c>
      <c r="D73" s="16">
        <v>56</v>
      </c>
      <c r="E73" s="16">
        <v>3</v>
      </c>
      <c r="F73" s="99">
        <v>0</v>
      </c>
      <c r="G73" s="99">
        <v>0.25</v>
      </c>
      <c r="H73" s="99">
        <v>0.75</v>
      </c>
      <c r="I73" s="99">
        <v>0</v>
      </c>
      <c r="J73" s="99">
        <v>0.25</v>
      </c>
      <c r="K73" s="99">
        <v>0.5</v>
      </c>
      <c r="L73" s="99">
        <v>0.63</v>
      </c>
      <c r="M73" s="99">
        <v>0</v>
      </c>
      <c r="N73" s="99">
        <v>0.2</v>
      </c>
      <c r="O73" s="99">
        <v>0.71</v>
      </c>
      <c r="P73" s="99">
        <v>0.38</v>
      </c>
      <c r="Q73" s="99">
        <v>0.31</v>
      </c>
      <c r="R73" s="99">
        <v>0.55000000000000004</v>
      </c>
      <c r="S73" s="99">
        <v>0.75</v>
      </c>
      <c r="T73" s="99">
        <v>0.75</v>
      </c>
      <c r="U73" s="99">
        <v>0.75</v>
      </c>
      <c r="V73" s="99">
        <v>0</v>
      </c>
      <c r="W73" s="99">
        <v>0</v>
      </c>
      <c r="X73" s="99">
        <v>0.44</v>
      </c>
      <c r="Y73" s="99">
        <v>0.25</v>
      </c>
      <c r="Z73" s="13" t="s">
        <v>287</v>
      </c>
      <c r="AA73" s="99">
        <v>0.25</v>
      </c>
      <c r="AB73" s="99">
        <v>0.25</v>
      </c>
      <c r="AC73" s="99">
        <v>0</v>
      </c>
      <c r="AD73" s="99">
        <v>0.5</v>
      </c>
      <c r="AE73" s="99">
        <v>0.63</v>
      </c>
      <c r="AF73" s="99">
        <v>0.5</v>
      </c>
      <c r="AG73" s="99">
        <v>0.67</v>
      </c>
      <c r="AH73" s="16">
        <v>52</v>
      </c>
      <c r="AI73" s="16">
        <v>5</v>
      </c>
      <c r="AJ73" s="66">
        <v>0</v>
      </c>
      <c r="AK73" s="66">
        <v>0.75</v>
      </c>
      <c r="AL73" s="66">
        <v>0.25</v>
      </c>
      <c r="AM73" s="66">
        <v>0</v>
      </c>
      <c r="AN73" s="66">
        <v>0.25</v>
      </c>
      <c r="AO73" s="66">
        <v>0.62</v>
      </c>
      <c r="AP73" s="66">
        <v>0.67</v>
      </c>
      <c r="AQ73" s="66">
        <v>0.14000000000000001</v>
      </c>
      <c r="AR73" s="66">
        <v>0.4</v>
      </c>
      <c r="AS73" s="66">
        <v>0.6</v>
      </c>
      <c r="AT73" s="66">
        <v>0.25</v>
      </c>
      <c r="AU73" s="66">
        <v>0.67</v>
      </c>
      <c r="AV73" s="66">
        <v>0.56999999999999995</v>
      </c>
      <c r="AW73" s="66">
        <v>1</v>
      </c>
      <c r="AX73" s="66">
        <v>0.5</v>
      </c>
      <c r="AY73" s="66">
        <v>0.52</v>
      </c>
      <c r="AZ73" s="66">
        <v>0.4</v>
      </c>
      <c r="BA73" s="66">
        <v>0.63</v>
      </c>
      <c r="BB73" s="66">
        <v>0.67</v>
      </c>
      <c r="BC73" s="66">
        <v>0.38</v>
      </c>
      <c r="BD73" s="66">
        <v>0.5</v>
      </c>
      <c r="BE73" s="66">
        <v>0.33</v>
      </c>
      <c r="BF73" s="66">
        <v>1</v>
      </c>
      <c r="BG73" s="66">
        <v>0.44</v>
      </c>
      <c r="BH73" s="66">
        <v>0.36</v>
      </c>
      <c r="BI73" s="66">
        <v>0.6</v>
      </c>
      <c r="BJ73" s="66">
        <v>0.33</v>
      </c>
      <c r="BK73" s="66">
        <v>0.33</v>
      </c>
      <c r="BL73" s="66">
        <v>0</v>
      </c>
      <c r="BM73" s="13" t="s">
        <v>226</v>
      </c>
      <c r="BN73" s="13" t="s">
        <v>228</v>
      </c>
      <c r="BO73" s="13"/>
      <c r="BP73" s="13"/>
      <c r="BQ73" s="13"/>
      <c r="BR73" s="13"/>
      <c r="BS73" s="13"/>
      <c r="BT73" s="13"/>
      <c r="BU73" s="13"/>
      <c r="BV73" s="13"/>
      <c r="BW73" s="13"/>
      <c r="BX73" s="13"/>
      <c r="BY73" s="13"/>
      <c r="BZ73" s="13"/>
      <c r="CA73" s="13"/>
      <c r="CB73" s="13"/>
      <c r="CC73" s="13"/>
      <c r="CD73" s="13"/>
      <c r="CE73" s="13"/>
      <c r="CF73" s="13"/>
      <c r="CG73" s="13"/>
      <c r="CH73" s="13"/>
      <c r="CI73" s="13"/>
      <c r="CJ73" s="13"/>
      <c r="CK73" s="13"/>
      <c r="CL73" s="13"/>
      <c r="CM73" s="13"/>
      <c r="CN73" s="13"/>
      <c r="CO73" s="13"/>
      <c r="CP73" s="13"/>
      <c r="CQ73" s="13"/>
      <c r="CR73" s="13"/>
      <c r="CS73" s="16">
        <v>46</v>
      </c>
      <c r="CT73" s="16">
        <v>13</v>
      </c>
      <c r="CU73" s="96">
        <v>0.5</v>
      </c>
      <c r="CV73" s="96">
        <v>0.5</v>
      </c>
      <c r="CW73" s="96">
        <v>0</v>
      </c>
      <c r="CX73" s="96">
        <v>0</v>
      </c>
      <c r="CY73" s="96">
        <v>0.63</v>
      </c>
      <c r="CZ73" s="96">
        <v>0.4</v>
      </c>
      <c r="DA73" s="96">
        <v>0.25</v>
      </c>
      <c r="DB73" s="96">
        <v>1</v>
      </c>
      <c r="DC73" s="96">
        <v>0.4</v>
      </c>
      <c r="DD73" s="96">
        <v>0.5</v>
      </c>
      <c r="DE73" s="96">
        <v>0.5</v>
      </c>
      <c r="DF73" s="96">
        <v>0.43</v>
      </c>
      <c r="DG73" s="96">
        <v>0.2</v>
      </c>
      <c r="DH73" s="96">
        <v>0.6</v>
      </c>
      <c r="DI73" s="96">
        <v>0.5</v>
      </c>
      <c r="DJ73" s="96">
        <v>1</v>
      </c>
      <c r="DK73" s="96">
        <v>1</v>
      </c>
      <c r="DL73" s="2" t="s">
        <v>287</v>
      </c>
      <c r="DM73" s="96">
        <v>0.75</v>
      </c>
      <c r="DN73" s="96">
        <v>0.2</v>
      </c>
      <c r="DO73" s="96">
        <v>0.67</v>
      </c>
      <c r="DP73" s="96">
        <v>0.75</v>
      </c>
      <c r="DQ73" s="96">
        <v>0.5</v>
      </c>
      <c r="DR73" s="96">
        <v>0.33</v>
      </c>
      <c r="DS73" s="96">
        <v>0.33</v>
      </c>
      <c r="DT73" s="96">
        <v>0.75</v>
      </c>
      <c r="DU73" s="96">
        <v>1</v>
      </c>
      <c r="DV73" s="96">
        <v>0.25</v>
      </c>
      <c r="DW73" s="96">
        <v>1</v>
      </c>
      <c r="DX73" s="61">
        <v>46</v>
      </c>
      <c r="DY73" s="61">
        <v>10</v>
      </c>
      <c r="DZ73" s="66">
        <v>0.25</v>
      </c>
      <c r="EA73" s="66">
        <v>0.63</v>
      </c>
      <c r="EB73" s="66">
        <v>0.13</v>
      </c>
      <c r="EC73" s="66">
        <v>0</v>
      </c>
      <c r="ED73" s="66">
        <v>0.47</v>
      </c>
      <c r="EE73" s="66">
        <v>0.45</v>
      </c>
      <c r="EF73" s="66">
        <v>0.8</v>
      </c>
      <c r="EG73" s="66">
        <v>1</v>
      </c>
      <c r="EH73" s="66">
        <v>0.54</v>
      </c>
      <c r="EI73" s="66">
        <v>0.55000000000000004</v>
      </c>
      <c r="EJ73" s="66">
        <v>0.44</v>
      </c>
      <c r="EK73" s="66">
        <v>0.25</v>
      </c>
      <c r="EL73" s="66">
        <v>0.53</v>
      </c>
      <c r="EM73" s="66">
        <v>0.82</v>
      </c>
      <c r="EN73" s="66">
        <v>0.56000000000000005</v>
      </c>
      <c r="EO73" s="66">
        <v>0.55000000000000004</v>
      </c>
      <c r="EP73" s="66">
        <v>0.44</v>
      </c>
      <c r="EQ73" s="66">
        <v>0.56999999999999995</v>
      </c>
      <c r="ER73" s="66">
        <v>0.59</v>
      </c>
      <c r="ES73" s="66">
        <v>0.89</v>
      </c>
      <c r="ET73" s="66">
        <v>0.24</v>
      </c>
      <c r="EU73" s="66">
        <v>0.28999999999999998</v>
      </c>
      <c r="EV73" s="66">
        <v>0.6</v>
      </c>
      <c r="EW73" s="66">
        <v>0.54</v>
      </c>
      <c r="EX73" s="66">
        <v>0.67</v>
      </c>
      <c r="EY73" s="66">
        <v>0.56000000000000005</v>
      </c>
      <c r="EZ73" s="66">
        <v>0.75</v>
      </c>
      <c r="FA73" s="66">
        <v>0.52</v>
      </c>
      <c r="HR73" s="630">
        <v>52</v>
      </c>
      <c r="HS73" s="640" t="s">
        <v>910</v>
      </c>
      <c r="HT73" s="630">
        <v>13</v>
      </c>
      <c r="HU73" s="640" t="s">
        <v>911</v>
      </c>
      <c r="HV73" s="644">
        <v>0.2</v>
      </c>
      <c r="HW73" s="644">
        <v>0.2</v>
      </c>
      <c r="HX73" s="644">
        <v>0.6</v>
      </c>
      <c r="HY73" s="644">
        <v>0</v>
      </c>
      <c r="HZ73" s="644">
        <v>0.28999999999999998</v>
      </c>
      <c r="IA73" s="644">
        <v>0.44</v>
      </c>
      <c r="IB73" s="644">
        <v>0.33</v>
      </c>
      <c r="IC73" s="644">
        <v>0.44</v>
      </c>
      <c r="ID73" s="644">
        <v>0.47</v>
      </c>
      <c r="IE73" s="644">
        <v>0.46</v>
      </c>
      <c r="IF73" s="644">
        <v>0.2</v>
      </c>
      <c r="IG73" s="644">
        <v>0.6</v>
      </c>
      <c r="IH73" s="644">
        <v>0.38</v>
      </c>
      <c r="II73" s="644">
        <v>0.25</v>
      </c>
      <c r="IJ73" s="644">
        <v>0.09</v>
      </c>
      <c r="IK73" s="644">
        <v>0.46</v>
      </c>
      <c r="IL73" s="644">
        <v>0.5</v>
      </c>
      <c r="IM73" s="644">
        <v>0.92</v>
      </c>
      <c r="IN73" s="644">
        <v>0.44</v>
      </c>
      <c r="IO73" s="644">
        <v>0.44</v>
      </c>
      <c r="IP73" s="644">
        <v>0.6</v>
      </c>
      <c r="IQ73" s="644">
        <v>0.75</v>
      </c>
      <c r="IR73" s="644">
        <v>0.7</v>
      </c>
      <c r="IS73" s="644">
        <v>0.64</v>
      </c>
      <c r="IT73" s="644">
        <v>0.36</v>
      </c>
      <c r="IU73" s="640" t="s">
        <v>287</v>
      </c>
      <c r="IV73" s="644">
        <v>0.36</v>
      </c>
      <c r="IW73" s="644">
        <v>0.42</v>
      </c>
      <c r="IX73" s="644">
        <v>0.33</v>
      </c>
      <c r="IY73" s="644">
        <v>0.5</v>
      </c>
    </row>
    <row r="74" spans="1:259" ht="24.9" customHeight="1" x14ac:dyDescent="0.25">
      <c r="A74" s="188" t="s">
        <v>167</v>
      </c>
      <c r="B74" s="1" t="s">
        <v>222</v>
      </c>
      <c r="C74" s="2">
        <v>3</v>
      </c>
      <c r="D74" s="16">
        <v>50</v>
      </c>
      <c r="E74" s="16">
        <v>5</v>
      </c>
      <c r="F74" s="99">
        <v>0</v>
      </c>
      <c r="G74" s="99">
        <v>0.89</v>
      </c>
      <c r="H74" s="99">
        <v>0.11</v>
      </c>
      <c r="I74" s="99">
        <v>0</v>
      </c>
      <c r="J74" s="99">
        <v>0.33</v>
      </c>
      <c r="K74" s="99">
        <v>0.46</v>
      </c>
      <c r="L74" s="99">
        <v>1</v>
      </c>
      <c r="M74" s="99">
        <v>0.21</v>
      </c>
      <c r="N74" s="99">
        <v>0.37</v>
      </c>
      <c r="O74" s="99">
        <v>0.83</v>
      </c>
      <c r="P74" s="99">
        <v>0.35</v>
      </c>
      <c r="Q74" s="99">
        <v>0.4</v>
      </c>
      <c r="R74" s="99">
        <v>0.55000000000000004</v>
      </c>
      <c r="S74" s="99">
        <v>0.56000000000000005</v>
      </c>
      <c r="T74" s="99">
        <v>0.71</v>
      </c>
      <c r="U74" s="99">
        <v>0.75</v>
      </c>
      <c r="V74" s="99">
        <v>0.13</v>
      </c>
      <c r="W74" s="99">
        <v>0.21</v>
      </c>
      <c r="X74" s="99">
        <v>0.73</v>
      </c>
      <c r="Y74" s="99">
        <v>0.6</v>
      </c>
      <c r="Z74" s="13" t="s">
        <v>287</v>
      </c>
      <c r="AA74" s="99">
        <v>0.21</v>
      </c>
      <c r="AB74" s="99">
        <v>0.62</v>
      </c>
      <c r="AC74" s="99">
        <v>0.15</v>
      </c>
      <c r="AD74" s="99">
        <v>0.63</v>
      </c>
      <c r="AE74" s="99">
        <v>0.33</v>
      </c>
      <c r="AF74" s="99">
        <v>0.63</v>
      </c>
      <c r="AG74" s="99">
        <v>0.39</v>
      </c>
      <c r="AH74" s="16">
        <v>50</v>
      </c>
      <c r="AI74" s="16">
        <v>9</v>
      </c>
      <c r="AJ74" s="66">
        <v>0.16</v>
      </c>
      <c r="AK74" s="66">
        <v>0.6</v>
      </c>
      <c r="AL74" s="66">
        <v>0.24</v>
      </c>
      <c r="AM74" s="66">
        <v>0</v>
      </c>
      <c r="AN74" s="66">
        <v>0.45</v>
      </c>
      <c r="AO74" s="66">
        <v>0.51</v>
      </c>
      <c r="AP74" s="66">
        <v>0.67</v>
      </c>
      <c r="AQ74" s="66">
        <v>0.45</v>
      </c>
      <c r="AR74" s="66">
        <v>0.56999999999999995</v>
      </c>
      <c r="AS74" s="66">
        <v>0.47</v>
      </c>
      <c r="AT74" s="66">
        <v>0.48</v>
      </c>
      <c r="AU74" s="66">
        <v>0.62</v>
      </c>
      <c r="AV74" s="66">
        <v>0.71</v>
      </c>
      <c r="AW74" s="66">
        <v>0.57999999999999996</v>
      </c>
      <c r="AX74" s="66">
        <v>0.5</v>
      </c>
      <c r="AY74" s="66">
        <v>0.3</v>
      </c>
      <c r="AZ74" s="66">
        <v>0.46</v>
      </c>
      <c r="BA74" s="66">
        <v>0.45</v>
      </c>
      <c r="BB74" s="66">
        <v>0.71</v>
      </c>
      <c r="BC74" s="66">
        <v>0.6</v>
      </c>
      <c r="BD74" s="66">
        <v>0.39</v>
      </c>
      <c r="BE74" s="66">
        <v>0.55000000000000004</v>
      </c>
      <c r="BF74" s="66">
        <v>0.5</v>
      </c>
      <c r="BG74" s="66">
        <v>0.54</v>
      </c>
      <c r="BH74" s="66">
        <v>0.48</v>
      </c>
      <c r="BI74" s="66">
        <v>0.45</v>
      </c>
      <c r="BJ74" s="66">
        <v>0.36</v>
      </c>
      <c r="BK74" s="66">
        <v>0.56000000000000005</v>
      </c>
      <c r="BL74" s="66">
        <v>0.73</v>
      </c>
      <c r="BM74" s="16">
        <v>55</v>
      </c>
      <c r="BN74" s="16">
        <v>10</v>
      </c>
      <c r="BO74" s="99">
        <v>0.09</v>
      </c>
      <c r="BP74" s="99">
        <v>0.39</v>
      </c>
      <c r="BQ74" s="99">
        <v>0.48</v>
      </c>
      <c r="BR74" s="99">
        <v>0.04</v>
      </c>
      <c r="BS74" s="99">
        <v>0.28000000000000003</v>
      </c>
      <c r="BT74" s="99">
        <v>0.46</v>
      </c>
      <c r="BU74" s="99">
        <v>0.56000000000000005</v>
      </c>
      <c r="BV74" s="99">
        <v>0.23</v>
      </c>
      <c r="BW74" s="99">
        <v>0.64</v>
      </c>
      <c r="BX74" s="99">
        <v>0.28000000000000003</v>
      </c>
      <c r="BY74" s="99">
        <v>0.45</v>
      </c>
      <c r="BZ74" s="99">
        <v>0.44</v>
      </c>
      <c r="CA74" s="99">
        <v>0.34</v>
      </c>
      <c r="CB74" s="99">
        <v>0.42</v>
      </c>
      <c r="CC74" s="99">
        <v>0.17</v>
      </c>
      <c r="CD74" s="99">
        <v>0.23</v>
      </c>
      <c r="CE74" s="99">
        <v>0.24</v>
      </c>
      <c r="CF74" s="99">
        <v>0.55000000000000004</v>
      </c>
      <c r="CG74" s="99">
        <v>0.53</v>
      </c>
      <c r="CH74" s="99">
        <v>0.3</v>
      </c>
      <c r="CI74" s="99">
        <v>0.45</v>
      </c>
      <c r="CJ74" s="99">
        <v>0.11</v>
      </c>
      <c r="CK74" s="99">
        <v>0.56000000000000005</v>
      </c>
      <c r="CL74" s="99">
        <v>0.25</v>
      </c>
      <c r="CM74" s="99">
        <v>0.25</v>
      </c>
      <c r="CN74" s="99">
        <v>0.33</v>
      </c>
      <c r="CO74" s="99">
        <v>0.43</v>
      </c>
      <c r="CP74" s="99">
        <v>0.28000000000000003</v>
      </c>
      <c r="CQ74" s="99">
        <v>0.48</v>
      </c>
      <c r="CR74" s="99">
        <v>0.34</v>
      </c>
      <c r="CS74" s="16">
        <v>49</v>
      </c>
      <c r="CT74" s="16">
        <v>7</v>
      </c>
      <c r="CU74" s="96">
        <v>0.11</v>
      </c>
      <c r="CV74" s="96">
        <v>0.78</v>
      </c>
      <c r="CW74" s="96">
        <v>0.11</v>
      </c>
      <c r="CX74" s="96">
        <v>0</v>
      </c>
      <c r="CY74" s="96">
        <v>0.52</v>
      </c>
      <c r="CZ74" s="96">
        <v>0.36</v>
      </c>
      <c r="DA74" s="96">
        <v>0.74</v>
      </c>
      <c r="DB74" s="96">
        <v>0.51</v>
      </c>
      <c r="DC74" s="96">
        <v>0.39</v>
      </c>
      <c r="DD74" s="96">
        <v>0.52</v>
      </c>
      <c r="DE74" s="96">
        <v>0.45</v>
      </c>
      <c r="DF74" s="96">
        <v>0.62</v>
      </c>
      <c r="DG74" s="96">
        <v>0.41</v>
      </c>
      <c r="DH74" s="96">
        <v>0.28999999999999998</v>
      </c>
      <c r="DI74" s="96">
        <v>0.45</v>
      </c>
      <c r="DJ74" s="96">
        <v>0.5</v>
      </c>
      <c r="DK74" s="96">
        <v>0.44</v>
      </c>
      <c r="DL74" s="96">
        <v>0.17</v>
      </c>
      <c r="DM74" s="96">
        <v>0.53</v>
      </c>
      <c r="DN74" s="96">
        <v>0.44</v>
      </c>
      <c r="DO74" s="96">
        <v>0.37</v>
      </c>
      <c r="DP74" s="96">
        <v>0.5</v>
      </c>
      <c r="DQ74" s="96">
        <v>0.57999999999999996</v>
      </c>
      <c r="DR74" s="96">
        <v>0.28999999999999998</v>
      </c>
      <c r="DS74" s="96">
        <v>0.38</v>
      </c>
      <c r="DT74" s="96">
        <v>0.45</v>
      </c>
      <c r="DU74" s="96">
        <v>0.57999999999999996</v>
      </c>
      <c r="DV74" s="96">
        <v>0.68</v>
      </c>
      <c r="DW74" s="96">
        <v>0.33</v>
      </c>
      <c r="DX74" s="61">
        <v>48</v>
      </c>
      <c r="DY74" s="61">
        <v>8</v>
      </c>
      <c r="DZ74" s="66">
        <v>0.19</v>
      </c>
      <c r="EA74" s="66">
        <v>0.65</v>
      </c>
      <c r="EB74" s="66">
        <v>0.15</v>
      </c>
      <c r="EC74" s="66">
        <v>0</v>
      </c>
      <c r="ED74" s="66">
        <v>0.56999999999999995</v>
      </c>
      <c r="EE74" s="66">
        <v>0.5</v>
      </c>
      <c r="EF74" s="66">
        <v>0.46</v>
      </c>
      <c r="EG74" s="66">
        <v>0.38</v>
      </c>
      <c r="EH74" s="66">
        <v>0.51</v>
      </c>
      <c r="EI74" s="66">
        <v>0.55000000000000004</v>
      </c>
      <c r="EJ74" s="66">
        <v>0.62</v>
      </c>
      <c r="EK74" s="66">
        <v>0.17</v>
      </c>
      <c r="EL74" s="66">
        <v>0.59</v>
      </c>
      <c r="EM74" s="66">
        <v>0.78</v>
      </c>
      <c r="EN74" s="66">
        <v>0.48</v>
      </c>
      <c r="EO74" s="66">
        <v>0.59</v>
      </c>
      <c r="EP74" s="66">
        <v>0.28000000000000003</v>
      </c>
      <c r="EQ74" s="66">
        <v>0.22</v>
      </c>
      <c r="ER74" s="66">
        <v>0.67</v>
      </c>
      <c r="ES74" s="66">
        <v>0.55000000000000004</v>
      </c>
      <c r="ET74" s="66">
        <v>0.27</v>
      </c>
      <c r="EU74" s="66">
        <v>0.63</v>
      </c>
      <c r="EV74" s="66">
        <v>0.53</v>
      </c>
      <c r="EW74" s="66">
        <v>0.43</v>
      </c>
      <c r="EX74" s="66">
        <v>0.6</v>
      </c>
      <c r="EY74" s="66">
        <v>0.59</v>
      </c>
      <c r="EZ74" s="66">
        <v>0.17</v>
      </c>
      <c r="FA74" s="66">
        <v>0.64</v>
      </c>
      <c r="FB74" s="349">
        <v>46</v>
      </c>
      <c r="FC74" s="348" t="s">
        <v>910</v>
      </c>
      <c r="FD74" s="349">
        <v>6</v>
      </c>
      <c r="FE74" s="348" t="s">
        <v>910</v>
      </c>
      <c r="FF74" s="371">
        <v>0.06</v>
      </c>
      <c r="FG74" s="371">
        <v>0.88</v>
      </c>
      <c r="FH74" s="371">
        <v>0.06</v>
      </c>
      <c r="FI74" s="371">
        <v>0</v>
      </c>
      <c r="FJ74" s="371">
        <v>0.65</v>
      </c>
      <c r="FK74" s="371">
        <v>0.86</v>
      </c>
      <c r="FL74" s="371">
        <v>0.52</v>
      </c>
      <c r="FM74" s="371">
        <v>0.42</v>
      </c>
      <c r="FN74" s="371">
        <v>0.32</v>
      </c>
      <c r="FO74" s="371">
        <v>0.32</v>
      </c>
      <c r="FP74" s="371">
        <v>0.36</v>
      </c>
      <c r="FQ74" s="371">
        <v>0.38</v>
      </c>
      <c r="FR74" s="371">
        <v>0.57999999999999996</v>
      </c>
      <c r="FS74" s="371">
        <v>0.73</v>
      </c>
      <c r="FT74" s="371">
        <v>0.71</v>
      </c>
      <c r="FU74" s="371">
        <v>0.5</v>
      </c>
      <c r="FV74" s="371">
        <v>0.69</v>
      </c>
      <c r="FW74" s="371">
        <v>0.52</v>
      </c>
      <c r="FX74" s="371">
        <v>0.59</v>
      </c>
      <c r="FY74" s="371">
        <v>0.43</v>
      </c>
      <c r="FZ74" s="371">
        <v>0.56999999999999995</v>
      </c>
      <c r="GA74" s="371">
        <v>0.43</v>
      </c>
      <c r="GB74" s="371">
        <v>0.56999999999999995</v>
      </c>
      <c r="GC74" s="371">
        <v>0.45</v>
      </c>
      <c r="GD74" s="371">
        <v>0.69</v>
      </c>
      <c r="GE74" s="371">
        <v>0.52</v>
      </c>
      <c r="GF74" s="371">
        <v>0.68</v>
      </c>
      <c r="GG74" s="371">
        <v>0.5</v>
      </c>
      <c r="GH74" s="371">
        <v>0.76</v>
      </c>
      <c r="GI74" s="371">
        <v>0.32</v>
      </c>
      <c r="GJ74" s="469">
        <v>51</v>
      </c>
      <c r="GK74" s="471" t="s">
        <v>910</v>
      </c>
      <c r="GL74" s="469">
        <v>10</v>
      </c>
      <c r="GM74" s="471" t="s">
        <v>910</v>
      </c>
      <c r="GN74" s="501">
        <v>0.08</v>
      </c>
      <c r="GO74" s="501">
        <v>0.71</v>
      </c>
      <c r="GP74" s="501">
        <v>0.13</v>
      </c>
      <c r="GQ74" s="501">
        <v>0.08</v>
      </c>
      <c r="GR74" s="501">
        <v>0.56000000000000005</v>
      </c>
      <c r="GS74" s="501">
        <v>0.54</v>
      </c>
      <c r="GT74" s="501">
        <v>0.59</v>
      </c>
      <c r="GU74" s="501">
        <v>0.33</v>
      </c>
      <c r="GV74" s="501">
        <v>0.64</v>
      </c>
      <c r="GW74" s="501">
        <v>0.39</v>
      </c>
      <c r="GX74" s="501">
        <v>0.47</v>
      </c>
      <c r="GY74" s="471" t="s">
        <v>287</v>
      </c>
      <c r="GZ74" s="501">
        <v>0.24</v>
      </c>
      <c r="HA74" s="501">
        <v>0.73</v>
      </c>
      <c r="HB74" s="501">
        <v>0.42</v>
      </c>
      <c r="HC74" s="501">
        <v>0.42</v>
      </c>
      <c r="HD74" s="501">
        <v>0.56999999999999995</v>
      </c>
      <c r="HE74" s="501">
        <v>0.48</v>
      </c>
      <c r="HF74" s="501">
        <v>0.47</v>
      </c>
      <c r="HG74" s="501">
        <v>0.64</v>
      </c>
      <c r="HH74" s="501">
        <v>0.39</v>
      </c>
      <c r="HI74" s="501">
        <v>0.63</v>
      </c>
      <c r="HJ74" s="501">
        <v>0.5</v>
      </c>
      <c r="HK74" s="501">
        <v>0.61</v>
      </c>
      <c r="HL74" s="501">
        <v>0.51</v>
      </c>
      <c r="HM74" s="501">
        <v>0.45</v>
      </c>
      <c r="HN74" s="501">
        <v>0.61</v>
      </c>
      <c r="HO74" s="501">
        <v>0.42</v>
      </c>
      <c r="HP74" s="471" t="s">
        <v>287</v>
      </c>
      <c r="HQ74" s="501">
        <v>0.43</v>
      </c>
      <c r="HR74" s="630">
        <v>54</v>
      </c>
      <c r="HS74" s="640" t="s">
        <v>910</v>
      </c>
      <c r="HT74" s="630">
        <v>11</v>
      </c>
      <c r="HU74" s="640" t="s">
        <v>910</v>
      </c>
      <c r="HV74" s="644">
        <v>0.13</v>
      </c>
      <c r="HW74" s="644">
        <v>0.28999999999999998</v>
      </c>
      <c r="HX74" s="644">
        <v>0.57999999999999996</v>
      </c>
      <c r="HY74" s="644">
        <v>0</v>
      </c>
      <c r="HZ74" s="644">
        <v>0.26</v>
      </c>
      <c r="IA74" s="644">
        <v>0.49</v>
      </c>
      <c r="IB74" s="644">
        <v>0.3</v>
      </c>
      <c r="IC74" s="644">
        <v>0.35</v>
      </c>
      <c r="ID74" s="644">
        <v>0.62</v>
      </c>
      <c r="IE74" s="644">
        <v>0.28999999999999998</v>
      </c>
      <c r="IF74" s="644">
        <v>0.32</v>
      </c>
      <c r="IG74" s="644">
        <v>0.49</v>
      </c>
      <c r="IH74" s="644">
        <v>0.48</v>
      </c>
      <c r="II74" s="644">
        <v>0.33</v>
      </c>
      <c r="IJ74" s="644">
        <v>0.2</v>
      </c>
      <c r="IK74" s="644">
        <v>0.5</v>
      </c>
      <c r="IL74" s="644">
        <v>0.31</v>
      </c>
      <c r="IM74" s="644">
        <v>0.57999999999999996</v>
      </c>
      <c r="IN74" s="644">
        <v>0.36</v>
      </c>
      <c r="IO74" s="644">
        <v>0.45</v>
      </c>
      <c r="IP74" s="644">
        <v>0.33</v>
      </c>
      <c r="IQ74" s="644">
        <v>0.63</v>
      </c>
      <c r="IR74" s="644">
        <v>0.53</v>
      </c>
      <c r="IS74" s="644">
        <v>0.46</v>
      </c>
      <c r="IT74" s="644">
        <v>0.42</v>
      </c>
      <c r="IU74" s="640" t="s">
        <v>287</v>
      </c>
      <c r="IV74" s="644">
        <v>0.49</v>
      </c>
      <c r="IW74" s="644">
        <v>0.35</v>
      </c>
      <c r="IX74" s="644">
        <v>0.5</v>
      </c>
      <c r="IY74" s="644">
        <v>0.39</v>
      </c>
    </row>
    <row r="75" spans="1:259" ht="24.9" customHeight="1" x14ac:dyDescent="0.25">
      <c r="A75" s="188" t="s">
        <v>204</v>
      </c>
      <c r="B75" s="1" t="s">
        <v>222</v>
      </c>
      <c r="C75" s="2">
        <v>1</v>
      </c>
      <c r="D75" s="16">
        <v>56</v>
      </c>
      <c r="E75" s="16">
        <v>4</v>
      </c>
      <c r="F75" s="99">
        <v>0</v>
      </c>
      <c r="G75" s="99">
        <v>0.59</v>
      </c>
      <c r="H75" s="99">
        <v>0.41</v>
      </c>
      <c r="I75" s="99">
        <v>0</v>
      </c>
      <c r="J75" s="99">
        <v>0.35</v>
      </c>
      <c r="K75" s="99">
        <v>0.28000000000000003</v>
      </c>
      <c r="L75" s="99">
        <v>0.66</v>
      </c>
      <c r="M75" s="99">
        <v>0.13</v>
      </c>
      <c r="N75" s="99">
        <v>0.21</v>
      </c>
      <c r="O75" s="99">
        <v>0.78</v>
      </c>
      <c r="P75" s="99">
        <v>0.34</v>
      </c>
      <c r="Q75" s="99">
        <v>0.28999999999999998</v>
      </c>
      <c r="R75" s="99">
        <v>0.56999999999999995</v>
      </c>
      <c r="S75" s="99">
        <v>0.77</v>
      </c>
      <c r="T75" s="99">
        <v>0.3</v>
      </c>
      <c r="U75" s="99">
        <v>0.59</v>
      </c>
      <c r="V75" s="99">
        <v>0</v>
      </c>
      <c r="W75" s="99">
        <v>0.06</v>
      </c>
      <c r="X75" s="99">
        <v>0.41</v>
      </c>
      <c r="Y75" s="99">
        <v>0.53</v>
      </c>
      <c r="Z75" s="13" t="s">
        <v>287</v>
      </c>
      <c r="AA75" s="99">
        <v>0.06</v>
      </c>
      <c r="AB75" s="99">
        <v>0.51</v>
      </c>
      <c r="AC75" s="99">
        <v>0.08</v>
      </c>
      <c r="AD75" s="99">
        <v>0.4</v>
      </c>
      <c r="AE75" s="99">
        <v>0.31</v>
      </c>
      <c r="AF75" s="99">
        <v>0.27</v>
      </c>
      <c r="AG75" s="99">
        <v>0.59</v>
      </c>
      <c r="AH75" s="16">
        <v>50</v>
      </c>
      <c r="AI75" s="16">
        <v>10</v>
      </c>
      <c r="AJ75" s="66">
        <v>0.22</v>
      </c>
      <c r="AK75" s="66">
        <v>0.33</v>
      </c>
      <c r="AL75" s="66">
        <v>0.44</v>
      </c>
      <c r="AM75" s="66">
        <v>0</v>
      </c>
      <c r="AN75" s="66">
        <v>0.28999999999999998</v>
      </c>
      <c r="AO75" s="66">
        <v>0.3</v>
      </c>
      <c r="AP75" s="66">
        <v>0.57999999999999996</v>
      </c>
      <c r="AQ75" s="66">
        <v>0.5</v>
      </c>
      <c r="AR75" s="66">
        <v>0.73</v>
      </c>
      <c r="AS75" s="66">
        <v>0.63</v>
      </c>
      <c r="AT75" s="66">
        <v>0.33</v>
      </c>
      <c r="AU75" s="66">
        <v>0.48</v>
      </c>
      <c r="AV75" s="66">
        <v>0.33</v>
      </c>
      <c r="AW75" s="66">
        <v>0.5</v>
      </c>
      <c r="AX75" s="66">
        <v>0.63</v>
      </c>
      <c r="AY75" s="66">
        <v>0.39</v>
      </c>
      <c r="AZ75" s="66">
        <v>0.47</v>
      </c>
      <c r="BA75" s="66">
        <v>0.45</v>
      </c>
      <c r="BB75" s="66">
        <v>0.69</v>
      </c>
      <c r="BC75" s="66">
        <v>0.79</v>
      </c>
      <c r="BD75" s="66">
        <v>0.45</v>
      </c>
      <c r="BE75" s="66">
        <v>0.33</v>
      </c>
      <c r="BF75" s="66">
        <v>0.5</v>
      </c>
      <c r="BG75" s="66">
        <v>0.62</v>
      </c>
      <c r="BH75" s="66">
        <v>0.49</v>
      </c>
      <c r="BI75" s="66">
        <v>0.42</v>
      </c>
      <c r="BJ75" s="66">
        <v>0.5</v>
      </c>
      <c r="BK75" s="66">
        <v>0.41</v>
      </c>
      <c r="BL75" s="66">
        <v>0.75</v>
      </c>
      <c r="BM75" s="16">
        <v>50</v>
      </c>
      <c r="BN75" s="16">
        <v>8</v>
      </c>
      <c r="BO75" s="99">
        <v>0.13</v>
      </c>
      <c r="BP75" s="99">
        <v>0.63</v>
      </c>
      <c r="BQ75" s="99">
        <v>0.25</v>
      </c>
      <c r="BR75" s="99">
        <v>0</v>
      </c>
      <c r="BS75" s="99">
        <v>0.53</v>
      </c>
      <c r="BT75" s="99">
        <v>0.33</v>
      </c>
      <c r="BU75" s="99">
        <v>0.38</v>
      </c>
      <c r="BV75" s="99">
        <v>0.5</v>
      </c>
      <c r="BW75" s="99">
        <v>0.5</v>
      </c>
      <c r="BX75" s="99">
        <v>0.35</v>
      </c>
      <c r="BY75" s="99">
        <v>0.38</v>
      </c>
      <c r="BZ75" s="99">
        <v>0.65</v>
      </c>
      <c r="CA75" s="99">
        <v>0.43</v>
      </c>
      <c r="CB75" s="99">
        <v>0.42</v>
      </c>
      <c r="CC75" s="99">
        <v>0.13</v>
      </c>
      <c r="CD75" s="99">
        <v>0.41</v>
      </c>
      <c r="CE75" s="99">
        <v>0.33</v>
      </c>
      <c r="CF75" s="99">
        <v>0.17</v>
      </c>
      <c r="CG75" s="99">
        <v>0.6</v>
      </c>
      <c r="CH75" s="99">
        <v>0.41</v>
      </c>
      <c r="CI75" s="99">
        <v>0.72</v>
      </c>
      <c r="CJ75" s="99">
        <v>0.4</v>
      </c>
      <c r="CK75" s="99">
        <v>0.6</v>
      </c>
      <c r="CL75" s="99">
        <v>0.35</v>
      </c>
      <c r="CM75" s="99">
        <v>0.4</v>
      </c>
      <c r="CN75" s="99">
        <v>0.52</v>
      </c>
      <c r="CO75" s="99">
        <v>0.69</v>
      </c>
      <c r="CP75" s="99">
        <v>0.33</v>
      </c>
      <c r="CQ75" s="99">
        <v>0.59</v>
      </c>
      <c r="CR75" s="99">
        <v>0.63</v>
      </c>
      <c r="CS75" s="16">
        <v>48</v>
      </c>
      <c r="CT75" s="16">
        <v>8</v>
      </c>
      <c r="CU75" s="96">
        <v>0.22</v>
      </c>
      <c r="CV75" s="96">
        <v>0.67</v>
      </c>
      <c r="CW75" s="96">
        <v>0.11</v>
      </c>
      <c r="CX75" s="96">
        <v>0</v>
      </c>
      <c r="CY75" s="96">
        <v>0.67</v>
      </c>
      <c r="CZ75" s="96">
        <v>0.43</v>
      </c>
      <c r="DA75" s="96">
        <v>0.59</v>
      </c>
      <c r="DB75" s="96">
        <v>0.57999999999999996</v>
      </c>
      <c r="DC75" s="96">
        <v>0.47</v>
      </c>
      <c r="DD75" s="96">
        <v>0.57999999999999996</v>
      </c>
      <c r="DE75" s="96">
        <v>0.42</v>
      </c>
      <c r="DF75" s="96">
        <v>0.64</v>
      </c>
      <c r="DG75" s="96">
        <v>0.76</v>
      </c>
      <c r="DH75" s="96">
        <v>0.48</v>
      </c>
      <c r="DI75" s="96">
        <v>0.23</v>
      </c>
      <c r="DJ75" s="96">
        <v>0.64</v>
      </c>
      <c r="DK75" s="96">
        <v>0.57999999999999996</v>
      </c>
      <c r="DL75" s="96">
        <v>0.67</v>
      </c>
      <c r="DM75" s="96">
        <v>0.46</v>
      </c>
      <c r="DN75" s="96">
        <v>0.43</v>
      </c>
      <c r="DO75" s="96">
        <v>0.5</v>
      </c>
      <c r="DP75" s="96">
        <v>0.37</v>
      </c>
      <c r="DQ75" s="96">
        <v>0.57999999999999996</v>
      </c>
      <c r="DR75" s="96">
        <v>0</v>
      </c>
      <c r="DS75" s="96">
        <v>0.47</v>
      </c>
      <c r="DT75" s="96">
        <v>0.65</v>
      </c>
      <c r="DU75" s="96">
        <v>0.67</v>
      </c>
      <c r="DV75" s="96">
        <v>0.59</v>
      </c>
      <c r="DW75" s="96">
        <v>0.2</v>
      </c>
      <c r="DX75" s="61">
        <v>53</v>
      </c>
      <c r="DY75" s="61">
        <v>9</v>
      </c>
      <c r="DZ75" s="66">
        <v>0</v>
      </c>
      <c r="EA75" s="66">
        <v>0.63</v>
      </c>
      <c r="EB75" s="66">
        <v>0.38</v>
      </c>
      <c r="EC75" s="66">
        <v>0</v>
      </c>
      <c r="ED75" s="66">
        <v>0.4</v>
      </c>
      <c r="EE75" s="66">
        <v>0.35</v>
      </c>
      <c r="EF75" s="66">
        <v>0.33</v>
      </c>
      <c r="EG75" s="66">
        <v>0</v>
      </c>
      <c r="EH75" s="66">
        <v>0.56000000000000005</v>
      </c>
      <c r="EI75" s="66">
        <v>0.56000000000000005</v>
      </c>
      <c r="EJ75" s="66">
        <v>0.61</v>
      </c>
      <c r="EK75" s="66">
        <v>0.3</v>
      </c>
      <c r="EL75" s="66">
        <v>0.48</v>
      </c>
      <c r="EM75" s="66">
        <v>0.43</v>
      </c>
      <c r="EN75" s="66">
        <v>0.39</v>
      </c>
      <c r="EO75" s="66">
        <v>0.5</v>
      </c>
      <c r="EP75" s="66">
        <v>0.38</v>
      </c>
      <c r="EQ75" s="66">
        <v>0.18</v>
      </c>
      <c r="ER75" s="66">
        <v>0.47</v>
      </c>
      <c r="ES75" s="66">
        <v>0.33</v>
      </c>
      <c r="ET75" s="66">
        <v>0.33</v>
      </c>
      <c r="EU75" s="66">
        <v>0.56000000000000005</v>
      </c>
      <c r="EV75" s="66">
        <v>0.4</v>
      </c>
      <c r="EW75" s="66">
        <v>0.2</v>
      </c>
      <c r="EX75" s="66">
        <v>0.5</v>
      </c>
      <c r="EY75" s="66">
        <v>0.55000000000000004</v>
      </c>
      <c r="EZ75" s="66">
        <v>0.25</v>
      </c>
      <c r="FA75" s="66">
        <v>0.63</v>
      </c>
      <c r="FB75" s="349">
        <v>52</v>
      </c>
      <c r="FC75" s="348" t="s">
        <v>910</v>
      </c>
      <c r="FD75" s="349">
        <v>6</v>
      </c>
      <c r="FE75" s="348" t="s">
        <v>910</v>
      </c>
      <c r="FF75" s="371">
        <v>0.09</v>
      </c>
      <c r="FG75" s="371">
        <v>0.64</v>
      </c>
      <c r="FH75" s="371">
        <v>0.27</v>
      </c>
      <c r="FI75" s="371">
        <v>0</v>
      </c>
      <c r="FJ75" s="371">
        <v>0.39</v>
      </c>
      <c r="FK75" s="371">
        <v>0.62</v>
      </c>
      <c r="FL75" s="371">
        <v>0.42</v>
      </c>
      <c r="FM75" s="371">
        <v>0.33</v>
      </c>
      <c r="FN75" s="371">
        <v>0.22</v>
      </c>
      <c r="FO75" s="371">
        <v>0.35</v>
      </c>
      <c r="FP75" s="371">
        <v>0.24</v>
      </c>
      <c r="FQ75" s="371">
        <v>0.42</v>
      </c>
      <c r="FR75" s="371">
        <v>0.56999999999999995</v>
      </c>
      <c r="FS75" s="371">
        <v>0.5</v>
      </c>
      <c r="FT75" s="371">
        <v>0.52</v>
      </c>
      <c r="FU75" s="371">
        <v>0.25</v>
      </c>
      <c r="FV75" s="371">
        <v>0.31</v>
      </c>
      <c r="FW75" s="371">
        <v>0.52</v>
      </c>
      <c r="FX75" s="371">
        <v>0.4</v>
      </c>
      <c r="FY75" s="371">
        <v>0.25</v>
      </c>
      <c r="FZ75" s="371">
        <v>0.45</v>
      </c>
      <c r="GA75" s="371">
        <v>0.57999999999999996</v>
      </c>
      <c r="GB75" s="371">
        <v>0.53</v>
      </c>
      <c r="GC75" s="371">
        <v>0.61</v>
      </c>
      <c r="GD75" s="371">
        <v>0.73</v>
      </c>
      <c r="GE75" s="371">
        <v>0.36</v>
      </c>
      <c r="GF75" s="371">
        <v>0.38</v>
      </c>
      <c r="GG75" s="371">
        <v>0.35</v>
      </c>
      <c r="GH75" s="371">
        <v>0.52</v>
      </c>
      <c r="GI75" s="371">
        <v>0.18</v>
      </c>
      <c r="GJ75" s="469">
        <v>52</v>
      </c>
      <c r="GK75" s="471" t="s">
        <v>910</v>
      </c>
      <c r="GL75" s="469">
        <v>9</v>
      </c>
      <c r="GM75" s="471" t="s">
        <v>910</v>
      </c>
      <c r="GN75" s="501">
        <v>0.17</v>
      </c>
      <c r="GO75" s="501">
        <v>0.35</v>
      </c>
      <c r="GP75" s="501">
        <v>0.48</v>
      </c>
      <c r="GQ75" s="501">
        <v>0</v>
      </c>
      <c r="GR75" s="501">
        <v>0.5</v>
      </c>
      <c r="GS75" s="501">
        <v>0.38</v>
      </c>
      <c r="GT75" s="501">
        <v>0.51</v>
      </c>
      <c r="GU75" s="501">
        <v>0.33</v>
      </c>
      <c r="GV75" s="501">
        <v>0.52</v>
      </c>
      <c r="GW75" s="501">
        <v>0.5</v>
      </c>
      <c r="GX75" s="501">
        <v>0.46</v>
      </c>
      <c r="GY75" s="471" t="s">
        <v>287</v>
      </c>
      <c r="GZ75" s="501">
        <v>0.32</v>
      </c>
      <c r="HA75" s="501">
        <v>0.77</v>
      </c>
      <c r="HB75" s="501">
        <v>0.56000000000000005</v>
      </c>
      <c r="HC75" s="501">
        <v>0.53</v>
      </c>
      <c r="HD75" s="501">
        <v>0.57999999999999996</v>
      </c>
      <c r="HE75" s="501">
        <v>0.39</v>
      </c>
      <c r="HF75" s="501">
        <v>0.52</v>
      </c>
      <c r="HG75" s="501">
        <v>0.62</v>
      </c>
      <c r="HH75" s="501">
        <v>0.26</v>
      </c>
      <c r="HI75" s="501">
        <v>0.44</v>
      </c>
      <c r="HJ75" s="501">
        <v>0.56999999999999995</v>
      </c>
      <c r="HK75" s="501">
        <v>0.45</v>
      </c>
      <c r="HL75" s="501">
        <v>0.26</v>
      </c>
      <c r="HM75" s="501">
        <v>0.44</v>
      </c>
      <c r="HN75" s="501">
        <v>0.46</v>
      </c>
      <c r="HO75" s="501">
        <v>0.42</v>
      </c>
      <c r="HP75" s="471" t="s">
        <v>287</v>
      </c>
      <c r="HQ75" s="501">
        <v>0.42</v>
      </c>
      <c r="HR75" s="630">
        <v>51</v>
      </c>
      <c r="HS75" s="640" t="s">
        <v>910</v>
      </c>
      <c r="HT75" s="630">
        <v>8</v>
      </c>
      <c r="HU75" s="640" t="s">
        <v>910</v>
      </c>
      <c r="HV75" s="644">
        <v>0.05</v>
      </c>
      <c r="HW75" s="644">
        <v>0.68</v>
      </c>
      <c r="HX75" s="644">
        <v>0.27</v>
      </c>
      <c r="HY75" s="644">
        <v>0</v>
      </c>
      <c r="HZ75" s="644">
        <v>0.39</v>
      </c>
      <c r="IA75" s="644">
        <v>0.46</v>
      </c>
      <c r="IB75" s="644">
        <v>0.48</v>
      </c>
      <c r="IC75" s="644">
        <v>0.49</v>
      </c>
      <c r="ID75" s="644">
        <v>0.57999999999999996</v>
      </c>
      <c r="IE75" s="644">
        <v>0.32</v>
      </c>
      <c r="IF75" s="644">
        <v>0.43</v>
      </c>
      <c r="IG75" s="644">
        <v>0.69</v>
      </c>
      <c r="IH75" s="644">
        <v>0.4</v>
      </c>
      <c r="II75" s="644">
        <v>0.25</v>
      </c>
      <c r="IJ75" s="644">
        <v>0.33</v>
      </c>
      <c r="IK75" s="644">
        <v>0.56999999999999995</v>
      </c>
      <c r="IL75" s="644">
        <v>0.4</v>
      </c>
      <c r="IM75" s="644">
        <v>0.51</v>
      </c>
      <c r="IN75" s="644">
        <v>0.36</v>
      </c>
      <c r="IO75" s="644">
        <v>0.56000000000000005</v>
      </c>
      <c r="IP75" s="644">
        <v>0.35</v>
      </c>
      <c r="IQ75" s="644">
        <v>0.48</v>
      </c>
      <c r="IR75" s="644">
        <v>0.48</v>
      </c>
      <c r="IS75" s="644">
        <v>0.63</v>
      </c>
      <c r="IT75" s="644">
        <v>0.43</v>
      </c>
      <c r="IU75" s="640" t="s">
        <v>287</v>
      </c>
      <c r="IV75" s="644">
        <v>0.72</v>
      </c>
      <c r="IW75" s="644">
        <v>0.3</v>
      </c>
      <c r="IX75" s="644">
        <v>0.54</v>
      </c>
      <c r="IY75" s="644">
        <v>0.6</v>
      </c>
    </row>
    <row r="76" spans="1:259" s="461" customFormat="1" ht="24.9" customHeight="1" x14ac:dyDescent="0.25">
      <c r="A76" s="470" t="s">
        <v>958</v>
      </c>
      <c r="B76" s="15" t="s">
        <v>222</v>
      </c>
      <c r="C76" s="471">
        <v>2</v>
      </c>
      <c r="D76" s="502"/>
      <c r="E76" s="502"/>
      <c r="F76" s="508"/>
      <c r="G76" s="508"/>
      <c r="H76" s="508"/>
      <c r="I76" s="508"/>
      <c r="J76" s="508"/>
      <c r="K76" s="508"/>
      <c r="L76" s="508"/>
      <c r="M76" s="508"/>
      <c r="N76" s="508"/>
      <c r="O76" s="508"/>
      <c r="P76" s="508"/>
      <c r="Q76" s="508"/>
      <c r="R76" s="508"/>
      <c r="S76" s="508"/>
      <c r="T76" s="508"/>
      <c r="U76" s="508"/>
      <c r="V76" s="508"/>
      <c r="W76" s="508"/>
      <c r="X76" s="508"/>
      <c r="Y76" s="508"/>
      <c r="Z76" s="505"/>
      <c r="AA76" s="508"/>
      <c r="AB76" s="508"/>
      <c r="AC76" s="508"/>
      <c r="AD76" s="508"/>
      <c r="AE76" s="508"/>
      <c r="AF76" s="508"/>
      <c r="AG76" s="508"/>
      <c r="AH76" s="502"/>
      <c r="AI76" s="502"/>
      <c r="AJ76" s="506"/>
      <c r="AK76" s="506"/>
      <c r="AL76" s="506"/>
      <c r="AM76" s="506"/>
      <c r="AN76" s="506"/>
      <c r="AO76" s="506"/>
      <c r="AP76" s="506"/>
      <c r="AQ76" s="506"/>
      <c r="AR76" s="506"/>
      <c r="AS76" s="506"/>
      <c r="AT76" s="506"/>
      <c r="AU76" s="506"/>
      <c r="AV76" s="506"/>
      <c r="AW76" s="506"/>
      <c r="AX76" s="506"/>
      <c r="AY76" s="506"/>
      <c r="AZ76" s="506"/>
      <c r="BA76" s="506"/>
      <c r="BB76" s="506"/>
      <c r="BC76" s="506"/>
      <c r="BD76" s="506"/>
      <c r="BE76" s="506"/>
      <c r="BF76" s="506"/>
      <c r="BG76" s="506"/>
      <c r="BH76" s="506"/>
      <c r="BI76" s="506"/>
      <c r="BJ76" s="506"/>
      <c r="BK76" s="506"/>
      <c r="BL76" s="506"/>
      <c r="BM76" s="502"/>
      <c r="BN76" s="502"/>
      <c r="BO76" s="508"/>
      <c r="BP76" s="508"/>
      <c r="BQ76" s="508"/>
      <c r="BR76" s="508"/>
      <c r="BS76" s="508"/>
      <c r="BT76" s="508"/>
      <c r="BU76" s="508"/>
      <c r="BV76" s="508"/>
      <c r="BW76" s="508"/>
      <c r="BX76" s="508"/>
      <c r="BY76" s="508"/>
      <c r="BZ76" s="508"/>
      <c r="CA76" s="508"/>
      <c r="CB76" s="508"/>
      <c r="CC76" s="508"/>
      <c r="CD76" s="508"/>
      <c r="CE76" s="508"/>
      <c r="CF76" s="508"/>
      <c r="CG76" s="508"/>
      <c r="CH76" s="508"/>
      <c r="CI76" s="508"/>
      <c r="CJ76" s="508"/>
      <c r="CK76" s="508"/>
      <c r="CL76" s="508"/>
      <c r="CM76" s="508"/>
      <c r="CN76" s="508"/>
      <c r="CO76" s="508"/>
      <c r="CP76" s="508"/>
      <c r="CQ76" s="508"/>
      <c r="CR76" s="508"/>
      <c r="CS76" s="502"/>
      <c r="CT76" s="502"/>
      <c r="CU76" s="501"/>
      <c r="CV76" s="501"/>
      <c r="CW76" s="501"/>
      <c r="CX76" s="501"/>
      <c r="CY76" s="501"/>
      <c r="CZ76" s="501"/>
      <c r="DA76" s="501"/>
      <c r="DB76" s="501"/>
      <c r="DC76" s="501"/>
      <c r="DD76" s="501"/>
      <c r="DE76" s="501"/>
      <c r="DF76" s="501"/>
      <c r="DG76" s="501"/>
      <c r="DH76" s="501"/>
      <c r="DI76" s="501"/>
      <c r="DJ76" s="501"/>
      <c r="DK76" s="501"/>
      <c r="DL76" s="501"/>
      <c r="DM76" s="501"/>
      <c r="DN76" s="501"/>
      <c r="DO76" s="501"/>
      <c r="DP76" s="501"/>
      <c r="DQ76" s="501"/>
      <c r="DR76" s="501"/>
      <c r="DS76" s="501"/>
      <c r="DT76" s="501"/>
      <c r="DU76" s="501"/>
      <c r="DV76" s="501"/>
      <c r="DW76" s="501"/>
      <c r="DX76" s="472"/>
      <c r="DY76" s="472"/>
      <c r="DZ76" s="506"/>
      <c r="EA76" s="506"/>
      <c r="EB76" s="506"/>
      <c r="EC76" s="506"/>
      <c r="ED76" s="506"/>
      <c r="EE76" s="506"/>
      <c r="EF76" s="506"/>
      <c r="EG76" s="506"/>
      <c r="EH76" s="506"/>
      <c r="EI76" s="506"/>
      <c r="EJ76" s="506"/>
      <c r="EK76" s="506"/>
      <c r="EL76" s="506"/>
      <c r="EM76" s="506"/>
      <c r="EN76" s="506"/>
      <c r="EO76" s="506"/>
      <c r="EP76" s="506"/>
      <c r="EQ76" s="506"/>
      <c r="ER76" s="506"/>
      <c r="ES76" s="506"/>
      <c r="ET76" s="506"/>
      <c r="EU76" s="506"/>
      <c r="EV76" s="506"/>
      <c r="EW76" s="506"/>
      <c r="EX76" s="506"/>
      <c r="EY76" s="506"/>
      <c r="EZ76" s="506"/>
      <c r="FA76" s="506"/>
      <c r="FB76" s="475"/>
      <c r="FC76" s="493"/>
      <c r="FD76" s="475"/>
      <c r="FE76" s="493"/>
      <c r="FF76" s="507"/>
      <c r="FG76" s="507"/>
      <c r="FH76" s="507"/>
      <c r="FI76" s="507"/>
      <c r="FJ76" s="507"/>
      <c r="FK76" s="507"/>
      <c r="FL76" s="507"/>
      <c r="FM76" s="507"/>
      <c r="FN76" s="507"/>
      <c r="FO76" s="507"/>
      <c r="FP76" s="507"/>
      <c r="FQ76" s="507"/>
      <c r="FR76" s="507"/>
      <c r="FS76" s="507"/>
      <c r="FT76" s="507"/>
      <c r="FU76" s="507"/>
      <c r="FV76" s="507"/>
      <c r="FW76" s="507"/>
      <c r="FX76" s="507"/>
      <c r="FY76" s="507"/>
      <c r="FZ76" s="507"/>
      <c r="GA76" s="507"/>
      <c r="GB76" s="507"/>
      <c r="GC76" s="507"/>
      <c r="GD76" s="507"/>
      <c r="GE76" s="507"/>
      <c r="GF76" s="507"/>
      <c r="GG76" s="507"/>
      <c r="GH76" s="507"/>
      <c r="GI76" s="507"/>
      <c r="GJ76" s="469">
        <v>53</v>
      </c>
      <c r="GK76" s="471" t="s">
        <v>910</v>
      </c>
      <c r="GL76" s="469">
        <v>6</v>
      </c>
      <c r="GM76" s="471" t="s">
        <v>910</v>
      </c>
      <c r="GN76" s="501">
        <v>0</v>
      </c>
      <c r="GO76" s="501">
        <v>0.6</v>
      </c>
      <c r="GP76" s="501">
        <v>0.4</v>
      </c>
      <c r="GQ76" s="501">
        <v>0</v>
      </c>
      <c r="GR76" s="501">
        <v>0.64</v>
      </c>
      <c r="GS76" s="501">
        <v>0.28000000000000003</v>
      </c>
      <c r="GT76" s="501">
        <v>0.57999999999999996</v>
      </c>
      <c r="GU76" s="501">
        <v>0.25</v>
      </c>
      <c r="GV76" s="501">
        <v>0.48</v>
      </c>
      <c r="GW76" s="501">
        <v>0.47</v>
      </c>
      <c r="GX76" s="501">
        <v>0.38</v>
      </c>
      <c r="GY76" s="471" t="s">
        <v>287</v>
      </c>
      <c r="GZ76" s="501">
        <v>0.33</v>
      </c>
      <c r="HA76" s="501">
        <v>0.8</v>
      </c>
      <c r="HB76" s="501">
        <v>0.36</v>
      </c>
      <c r="HC76" s="501">
        <v>0.5</v>
      </c>
      <c r="HD76" s="501">
        <v>0.66</v>
      </c>
      <c r="HE76" s="501">
        <v>0.41</v>
      </c>
      <c r="HF76" s="501">
        <v>0.35</v>
      </c>
      <c r="HG76" s="501">
        <v>0.85</v>
      </c>
      <c r="HH76" s="501">
        <v>0.22</v>
      </c>
      <c r="HI76" s="501">
        <v>0.48</v>
      </c>
      <c r="HJ76" s="501">
        <v>0.64</v>
      </c>
      <c r="HK76" s="501">
        <v>0.63</v>
      </c>
      <c r="HL76" s="501">
        <v>0.34</v>
      </c>
      <c r="HM76" s="501">
        <v>0.54</v>
      </c>
      <c r="HN76" s="501">
        <v>0.43</v>
      </c>
      <c r="HO76" s="501">
        <v>0.36</v>
      </c>
      <c r="HP76" s="471" t="s">
        <v>287</v>
      </c>
      <c r="HQ76" s="501">
        <v>0.32</v>
      </c>
      <c r="HR76" s="630">
        <v>51</v>
      </c>
      <c r="HS76" s="640" t="s">
        <v>910</v>
      </c>
      <c r="HT76" s="630">
        <v>8</v>
      </c>
      <c r="HU76" s="640" t="s">
        <v>910</v>
      </c>
      <c r="HV76" s="644">
        <v>0.14000000000000001</v>
      </c>
      <c r="HW76" s="644">
        <v>0.52</v>
      </c>
      <c r="HX76" s="644">
        <v>0.33</v>
      </c>
      <c r="HY76" s="644">
        <v>0</v>
      </c>
      <c r="HZ76" s="644">
        <v>0.38</v>
      </c>
      <c r="IA76" s="644">
        <v>0.5</v>
      </c>
      <c r="IB76" s="644">
        <v>0.3</v>
      </c>
      <c r="IC76" s="644">
        <v>0.54</v>
      </c>
      <c r="ID76" s="644">
        <v>0.68</v>
      </c>
      <c r="IE76" s="644">
        <v>0.31</v>
      </c>
      <c r="IF76" s="644">
        <v>0.39</v>
      </c>
      <c r="IG76" s="644">
        <v>0.67</v>
      </c>
      <c r="IH76" s="644">
        <v>0.61</v>
      </c>
      <c r="II76" s="644">
        <v>0.44</v>
      </c>
      <c r="IJ76" s="644">
        <v>0.24</v>
      </c>
      <c r="IK76" s="644">
        <v>0.62</v>
      </c>
      <c r="IL76" s="644">
        <v>0.41</v>
      </c>
      <c r="IM76" s="644">
        <v>0.63</v>
      </c>
      <c r="IN76" s="644">
        <v>0.56000000000000005</v>
      </c>
      <c r="IO76" s="644">
        <v>0.6</v>
      </c>
      <c r="IP76" s="644">
        <v>0.41</v>
      </c>
      <c r="IQ76" s="644">
        <v>0.79</v>
      </c>
      <c r="IR76" s="644">
        <v>0.49</v>
      </c>
      <c r="IS76" s="644">
        <v>0.55000000000000004</v>
      </c>
      <c r="IT76" s="644">
        <v>0.41</v>
      </c>
      <c r="IU76" s="640" t="s">
        <v>287</v>
      </c>
      <c r="IV76" s="644">
        <v>0.59</v>
      </c>
      <c r="IW76" s="644">
        <v>0.37</v>
      </c>
      <c r="IX76" s="644">
        <v>0.47</v>
      </c>
      <c r="IY76" s="644">
        <v>0.56999999999999995</v>
      </c>
    </row>
    <row r="77" spans="1:259" ht="24.6" customHeight="1" x14ac:dyDescent="0.25">
      <c r="A77" s="188" t="s">
        <v>81</v>
      </c>
      <c r="B77" s="1" t="s">
        <v>222</v>
      </c>
      <c r="C77" s="2">
        <v>4</v>
      </c>
      <c r="D77" s="16">
        <v>48</v>
      </c>
      <c r="E77" s="16">
        <v>7</v>
      </c>
      <c r="F77" s="99">
        <v>0.18</v>
      </c>
      <c r="G77" s="99">
        <v>0.69</v>
      </c>
      <c r="H77" s="99">
        <v>0.14000000000000001</v>
      </c>
      <c r="I77" s="99">
        <v>0</v>
      </c>
      <c r="J77" s="99">
        <v>0.65</v>
      </c>
      <c r="K77" s="99">
        <v>0.37</v>
      </c>
      <c r="L77" s="99">
        <v>0.72</v>
      </c>
      <c r="M77" s="99">
        <v>0.43</v>
      </c>
      <c r="N77" s="99">
        <v>0.45</v>
      </c>
      <c r="O77" s="99">
        <v>0.61</v>
      </c>
      <c r="P77" s="99">
        <v>0.33</v>
      </c>
      <c r="Q77" s="99">
        <v>0.48</v>
      </c>
      <c r="R77" s="99">
        <v>0.62</v>
      </c>
      <c r="S77" s="99">
        <v>0.68</v>
      </c>
      <c r="T77" s="99">
        <v>0.51</v>
      </c>
      <c r="U77" s="99">
        <v>0.68</v>
      </c>
      <c r="V77" s="99">
        <v>0.12</v>
      </c>
      <c r="W77" s="99">
        <v>0.36</v>
      </c>
      <c r="X77" s="99">
        <v>0.57999999999999996</v>
      </c>
      <c r="Y77" s="99">
        <v>0.56999999999999995</v>
      </c>
      <c r="Z77" s="99">
        <v>1</v>
      </c>
      <c r="AA77" s="99">
        <v>0.24</v>
      </c>
      <c r="AB77" s="99">
        <v>0.56000000000000005</v>
      </c>
      <c r="AC77" s="99">
        <v>0.46</v>
      </c>
      <c r="AD77" s="99">
        <v>0.61</v>
      </c>
      <c r="AE77" s="99">
        <v>0.49</v>
      </c>
      <c r="AF77" s="99">
        <v>0.63</v>
      </c>
      <c r="AG77" s="99">
        <v>0.61</v>
      </c>
      <c r="AH77" s="16">
        <v>47</v>
      </c>
      <c r="AI77" s="16">
        <v>9</v>
      </c>
      <c r="AJ77" s="66">
        <v>0.25</v>
      </c>
      <c r="AK77" s="66">
        <v>0.55000000000000004</v>
      </c>
      <c r="AL77" s="66">
        <v>0.2</v>
      </c>
      <c r="AM77" s="66">
        <v>0</v>
      </c>
      <c r="AN77" s="66">
        <v>0.37</v>
      </c>
      <c r="AO77" s="66">
        <v>0.6</v>
      </c>
      <c r="AP77" s="66">
        <v>0.6</v>
      </c>
      <c r="AQ77" s="66">
        <v>0.54</v>
      </c>
      <c r="AR77" s="66">
        <v>0.57999999999999996</v>
      </c>
      <c r="AS77" s="66">
        <v>0.61</v>
      </c>
      <c r="AT77" s="66">
        <v>0.54</v>
      </c>
      <c r="AU77" s="66">
        <v>0.54</v>
      </c>
      <c r="AV77" s="66">
        <v>0.62</v>
      </c>
      <c r="AW77" s="66">
        <v>0.52</v>
      </c>
      <c r="AX77" s="66">
        <v>0.73</v>
      </c>
      <c r="AY77" s="66">
        <v>0.45</v>
      </c>
      <c r="AZ77" s="66">
        <v>0.42</v>
      </c>
      <c r="BA77" s="66">
        <v>0.55000000000000004</v>
      </c>
      <c r="BB77" s="66">
        <v>0.78</v>
      </c>
      <c r="BC77" s="66">
        <v>0.56999999999999995</v>
      </c>
      <c r="BD77" s="66">
        <v>0.53</v>
      </c>
      <c r="BE77" s="66">
        <v>0.77</v>
      </c>
      <c r="BF77" s="66">
        <v>0.73</v>
      </c>
      <c r="BG77" s="66">
        <v>0.61</v>
      </c>
      <c r="BH77" s="66">
        <v>0.53</v>
      </c>
      <c r="BI77" s="66">
        <v>0.5</v>
      </c>
      <c r="BJ77" s="66">
        <v>0.44</v>
      </c>
      <c r="BK77" s="66">
        <v>0.5</v>
      </c>
      <c r="BL77" s="66">
        <v>0.54</v>
      </c>
      <c r="BM77" s="16">
        <v>50</v>
      </c>
      <c r="BN77" s="16">
        <v>9</v>
      </c>
      <c r="BO77" s="99">
        <v>0.17</v>
      </c>
      <c r="BP77" s="99">
        <v>0.57999999999999996</v>
      </c>
      <c r="BQ77" s="99">
        <v>0.25</v>
      </c>
      <c r="BR77" s="99">
        <v>0</v>
      </c>
      <c r="BS77" s="99">
        <v>0.43</v>
      </c>
      <c r="BT77" s="99">
        <v>0.8</v>
      </c>
      <c r="BU77" s="99">
        <v>0.73</v>
      </c>
      <c r="BV77" s="99">
        <v>0.28999999999999998</v>
      </c>
      <c r="BW77" s="99">
        <v>0.57999999999999996</v>
      </c>
      <c r="BX77" s="99">
        <v>0.38</v>
      </c>
      <c r="BY77" s="99">
        <v>0.61</v>
      </c>
      <c r="BZ77" s="99">
        <v>0.55000000000000004</v>
      </c>
      <c r="CA77" s="99">
        <v>0.42</v>
      </c>
      <c r="CB77" s="99">
        <v>0.2</v>
      </c>
      <c r="CC77" s="99">
        <v>0.26</v>
      </c>
      <c r="CD77" s="99">
        <v>0.55000000000000004</v>
      </c>
      <c r="CE77" s="99">
        <v>0.3</v>
      </c>
      <c r="CF77" s="99">
        <v>0.56999999999999995</v>
      </c>
      <c r="CG77" s="99">
        <v>0.54</v>
      </c>
      <c r="CH77" s="99">
        <v>0.38</v>
      </c>
      <c r="CI77" s="99">
        <v>0.47</v>
      </c>
      <c r="CJ77" s="99">
        <v>0.38</v>
      </c>
      <c r="CK77" s="99">
        <v>0.8</v>
      </c>
      <c r="CL77" s="99">
        <v>0.37</v>
      </c>
      <c r="CM77" s="99">
        <v>0.55000000000000004</v>
      </c>
      <c r="CN77" s="99">
        <v>0.49</v>
      </c>
      <c r="CO77" s="99">
        <v>0.5</v>
      </c>
      <c r="CP77" s="99">
        <v>0.33</v>
      </c>
      <c r="CQ77" s="99">
        <v>0.41</v>
      </c>
      <c r="CR77" s="99">
        <v>0.52</v>
      </c>
      <c r="CS77" s="16">
        <v>45</v>
      </c>
      <c r="CT77" s="16">
        <v>7</v>
      </c>
      <c r="CU77" s="96">
        <v>0.28000000000000003</v>
      </c>
      <c r="CV77" s="96">
        <v>0.65</v>
      </c>
      <c r="CW77" s="96">
        <v>7.0000000000000007E-2</v>
      </c>
      <c r="CX77" s="96">
        <v>0</v>
      </c>
      <c r="CY77" s="96">
        <v>0.61</v>
      </c>
      <c r="CZ77" s="96">
        <v>0.38</v>
      </c>
      <c r="DA77" s="96">
        <v>0.61</v>
      </c>
      <c r="DB77" s="96">
        <v>0.44</v>
      </c>
      <c r="DC77" s="96">
        <v>0.44</v>
      </c>
      <c r="DD77" s="96">
        <v>0.67</v>
      </c>
      <c r="DE77" s="96">
        <v>0.59</v>
      </c>
      <c r="DF77" s="96">
        <v>0.66</v>
      </c>
      <c r="DG77" s="96">
        <v>0.56999999999999995</v>
      </c>
      <c r="DH77" s="96">
        <v>0.46</v>
      </c>
      <c r="DI77" s="96">
        <v>0.67</v>
      </c>
      <c r="DJ77" s="96">
        <v>0.68</v>
      </c>
      <c r="DK77" s="96">
        <v>0.53</v>
      </c>
      <c r="DL77" s="96">
        <v>0.47</v>
      </c>
      <c r="DM77" s="96">
        <v>0.54</v>
      </c>
      <c r="DN77" s="96">
        <v>0.61</v>
      </c>
      <c r="DO77" s="96">
        <v>0.56000000000000005</v>
      </c>
      <c r="DP77" s="96">
        <v>0.54</v>
      </c>
      <c r="DQ77" s="96">
        <v>0.59</v>
      </c>
      <c r="DR77" s="96">
        <v>0.24</v>
      </c>
      <c r="DS77" s="96">
        <v>0.39</v>
      </c>
      <c r="DT77" s="96">
        <v>0.68</v>
      </c>
      <c r="DU77" s="96">
        <v>0.65</v>
      </c>
      <c r="DV77" s="96">
        <v>0.64</v>
      </c>
      <c r="DW77" s="96">
        <v>0.46</v>
      </c>
      <c r="DX77" s="61"/>
      <c r="DY77" s="61"/>
      <c r="DZ77" s="66"/>
      <c r="EA77" s="66"/>
      <c r="EB77" s="66"/>
      <c r="EC77" s="66"/>
      <c r="ED77" s="66"/>
      <c r="EE77" s="66"/>
      <c r="EF77" s="66"/>
      <c r="EG77" s="66"/>
      <c r="EH77" s="66"/>
      <c r="EI77" s="66"/>
      <c r="EJ77" s="66"/>
      <c r="EK77" s="66"/>
      <c r="EL77" s="66"/>
      <c r="EM77" s="66"/>
      <c r="EN77" s="66"/>
      <c r="EO77" s="66"/>
      <c r="EP77" s="66"/>
      <c r="EQ77" s="66"/>
      <c r="ER77" s="66"/>
      <c r="ES77" s="66"/>
      <c r="ET77" s="66"/>
      <c r="EU77" s="66"/>
      <c r="EV77" s="66"/>
      <c r="EW77" s="66"/>
      <c r="EX77" s="66"/>
      <c r="EY77" s="66"/>
      <c r="EZ77" s="66"/>
      <c r="FA77" s="66"/>
      <c r="FB77" s="349">
        <v>43</v>
      </c>
      <c r="FC77" s="348" t="s">
        <v>910</v>
      </c>
      <c r="FD77" s="349">
        <v>0</v>
      </c>
      <c r="FE77" s="348" t="s">
        <v>912</v>
      </c>
      <c r="FF77" s="371">
        <v>0</v>
      </c>
      <c r="FG77" s="371">
        <v>1</v>
      </c>
      <c r="FH77" s="371">
        <v>0</v>
      </c>
      <c r="FI77" s="371">
        <v>0</v>
      </c>
      <c r="FJ77" s="371">
        <v>1</v>
      </c>
      <c r="FK77" s="371">
        <v>0.67</v>
      </c>
      <c r="FL77" s="371">
        <v>1</v>
      </c>
      <c r="FM77" s="371">
        <v>1</v>
      </c>
      <c r="FN77" s="348" t="s">
        <v>287</v>
      </c>
      <c r="FO77" s="371">
        <v>0.67</v>
      </c>
      <c r="FP77" s="371">
        <v>0.67</v>
      </c>
      <c r="FQ77" s="371">
        <v>0.67</v>
      </c>
      <c r="FR77" s="371">
        <v>0.5</v>
      </c>
      <c r="FS77" s="371">
        <v>1</v>
      </c>
      <c r="FT77" s="371">
        <v>0.5</v>
      </c>
      <c r="FU77" s="348" t="s">
        <v>287</v>
      </c>
      <c r="FV77" s="371">
        <v>1</v>
      </c>
      <c r="FW77" s="371">
        <v>0.5</v>
      </c>
      <c r="FX77" s="371">
        <v>0.5</v>
      </c>
      <c r="FY77" s="371">
        <v>0</v>
      </c>
      <c r="FZ77" s="371">
        <v>0.33</v>
      </c>
      <c r="GA77" s="371">
        <v>0.5</v>
      </c>
      <c r="GB77" s="371">
        <v>1</v>
      </c>
      <c r="GC77" s="371">
        <v>0.75</v>
      </c>
      <c r="GD77" s="371">
        <v>1</v>
      </c>
      <c r="GE77" s="371">
        <v>0</v>
      </c>
      <c r="GF77" s="348" t="s">
        <v>287</v>
      </c>
      <c r="GG77" s="371">
        <v>0.67</v>
      </c>
      <c r="GH77" s="371">
        <v>0</v>
      </c>
      <c r="GI77" s="371">
        <v>0</v>
      </c>
    </row>
    <row r="78" spans="1:259" ht="24.9" customHeight="1" x14ac:dyDescent="0.25">
      <c r="A78" s="188" t="s">
        <v>169</v>
      </c>
      <c r="B78" s="1" t="s">
        <v>222</v>
      </c>
      <c r="C78" s="2">
        <v>6</v>
      </c>
      <c r="D78" s="16">
        <v>53</v>
      </c>
      <c r="E78" s="16">
        <v>5</v>
      </c>
      <c r="F78" s="99">
        <v>0</v>
      </c>
      <c r="G78" s="99">
        <v>0.87</v>
      </c>
      <c r="H78" s="99">
        <v>0.13</v>
      </c>
      <c r="I78" s="99">
        <v>0</v>
      </c>
      <c r="J78" s="99">
        <v>0.48</v>
      </c>
      <c r="K78" s="99">
        <v>0.4</v>
      </c>
      <c r="L78" s="99">
        <v>0.97</v>
      </c>
      <c r="M78" s="99">
        <v>0.27</v>
      </c>
      <c r="N78" s="99">
        <v>0.33</v>
      </c>
      <c r="O78" s="99">
        <v>0.71</v>
      </c>
      <c r="P78" s="99">
        <v>0.4</v>
      </c>
      <c r="Q78" s="99">
        <v>0.43</v>
      </c>
      <c r="R78" s="99">
        <v>0.5</v>
      </c>
      <c r="S78" s="99">
        <v>0.56999999999999995</v>
      </c>
      <c r="T78" s="99">
        <v>0.65</v>
      </c>
      <c r="U78" s="99">
        <v>0.5</v>
      </c>
      <c r="V78" s="99">
        <v>0.15</v>
      </c>
      <c r="W78" s="99">
        <v>0.13</v>
      </c>
      <c r="X78" s="99">
        <v>0.43</v>
      </c>
      <c r="Y78" s="99">
        <v>0.44</v>
      </c>
      <c r="Z78" s="13" t="s">
        <v>287</v>
      </c>
      <c r="AA78" s="99">
        <v>0</v>
      </c>
      <c r="AB78" s="99">
        <v>0.43</v>
      </c>
      <c r="AC78" s="99">
        <v>0.24</v>
      </c>
      <c r="AD78" s="99">
        <v>0.35</v>
      </c>
      <c r="AE78" s="99">
        <v>0.55000000000000004</v>
      </c>
      <c r="AF78" s="99">
        <v>0.6</v>
      </c>
      <c r="AG78" s="99">
        <v>0.65</v>
      </c>
      <c r="AH78" s="16">
        <v>48</v>
      </c>
      <c r="AI78" s="16">
        <v>6</v>
      </c>
      <c r="AJ78" s="66">
        <v>0</v>
      </c>
      <c r="AK78" s="66">
        <v>0.86</v>
      </c>
      <c r="AL78" s="66">
        <v>0.14000000000000001</v>
      </c>
      <c r="AM78" s="66">
        <v>0</v>
      </c>
      <c r="AN78" s="66">
        <v>0.25</v>
      </c>
      <c r="AO78" s="66">
        <v>0.56999999999999995</v>
      </c>
      <c r="AP78" s="66">
        <v>0.67</v>
      </c>
      <c r="AQ78" s="66">
        <v>0.4</v>
      </c>
      <c r="AR78" s="66">
        <v>0.45</v>
      </c>
      <c r="AS78" s="66">
        <v>0.71</v>
      </c>
      <c r="AT78" s="66">
        <v>0.57999999999999996</v>
      </c>
      <c r="AU78" s="66">
        <v>0.62</v>
      </c>
      <c r="AV78" s="66">
        <v>0.53</v>
      </c>
      <c r="AW78" s="66">
        <v>0.67</v>
      </c>
      <c r="AX78" s="66">
        <v>0.75</v>
      </c>
      <c r="AY78" s="66">
        <v>0.45</v>
      </c>
      <c r="AZ78" s="66">
        <v>0.38</v>
      </c>
      <c r="BA78" s="66">
        <v>0.67</v>
      </c>
      <c r="BB78" s="66">
        <v>0.6</v>
      </c>
      <c r="BC78" s="66">
        <v>0.5</v>
      </c>
      <c r="BD78" s="66">
        <v>0.28000000000000003</v>
      </c>
      <c r="BE78" s="66">
        <v>0.75</v>
      </c>
      <c r="BF78" s="66">
        <v>0.67</v>
      </c>
      <c r="BG78" s="66">
        <v>0.67</v>
      </c>
      <c r="BH78" s="66">
        <v>0.46</v>
      </c>
      <c r="BI78" s="66">
        <v>0.52</v>
      </c>
      <c r="BJ78" s="66">
        <v>0.56000000000000005</v>
      </c>
      <c r="BK78" s="66">
        <v>0.46</v>
      </c>
      <c r="BL78" s="66">
        <v>0.75</v>
      </c>
      <c r="BM78" s="16">
        <v>48</v>
      </c>
      <c r="BN78" s="16">
        <v>6</v>
      </c>
      <c r="BO78" s="99">
        <v>0</v>
      </c>
      <c r="BP78" s="99">
        <v>0.88</v>
      </c>
      <c r="BQ78" s="99">
        <v>0.13</v>
      </c>
      <c r="BR78" s="99">
        <v>0</v>
      </c>
      <c r="BS78" s="99">
        <v>0.18</v>
      </c>
      <c r="BT78" s="99">
        <v>0</v>
      </c>
      <c r="BU78" s="99">
        <v>0.56999999999999995</v>
      </c>
      <c r="BV78" s="99">
        <v>0.67</v>
      </c>
      <c r="BW78" s="99">
        <v>0.57999999999999996</v>
      </c>
      <c r="BX78" s="99">
        <v>0.41</v>
      </c>
      <c r="BY78" s="99">
        <v>0.35</v>
      </c>
      <c r="BZ78" s="99">
        <v>0.6</v>
      </c>
      <c r="CA78" s="99">
        <v>0.46</v>
      </c>
      <c r="CB78" s="99">
        <v>0.38</v>
      </c>
      <c r="CC78" s="99">
        <v>0.13</v>
      </c>
      <c r="CD78" s="99">
        <v>0.55000000000000004</v>
      </c>
      <c r="CE78" s="99">
        <v>0.47</v>
      </c>
      <c r="CF78" s="99">
        <v>0.5</v>
      </c>
      <c r="CG78" s="99">
        <v>0.69</v>
      </c>
      <c r="CH78" s="99">
        <v>0.63</v>
      </c>
      <c r="CI78" s="99">
        <v>0.62</v>
      </c>
      <c r="CJ78" s="99">
        <v>0.25</v>
      </c>
      <c r="CK78" s="99">
        <v>0.74</v>
      </c>
      <c r="CL78" s="99">
        <v>0.5</v>
      </c>
      <c r="CM78" s="99">
        <v>0.67</v>
      </c>
      <c r="CN78" s="99">
        <v>0.54</v>
      </c>
      <c r="CO78" s="99">
        <v>0.67</v>
      </c>
      <c r="CP78" s="99">
        <v>0.37</v>
      </c>
      <c r="CQ78" s="99">
        <v>0.77</v>
      </c>
      <c r="CR78" s="99">
        <v>0.64</v>
      </c>
      <c r="CS78" s="16">
        <v>51</v>
      </c>
      <c r="CT78" s="16">
        <v>9</v>
      </c>
      <c r="CU78" s="96">
        <v>0.09</v>
      </c>
      <c r="CV78" s="96">
        <v>0.64</v>
      </c>
      <c r="CW78" s="96">
        <v>0.18</v>
      </c>
      <c r="CX78" s="96">
        <v>0.09</v>
      </c>
      <c r="CY78" s="96">
        <v>0.49</v>
      </c>
      <c r="CZ78" s="96">
        <v>0.35</v>
      </c>
      <c r="DA78" s="96">
        <v>0.5</v>
      </c>
      <c r="DB78" s="96">
        <v>0.42</v>
      </c>
      <c r="DC78" s="96">
        <v>0.43</v>
      </c>
      <c r="DD78" s="96">
        <v>0.83</v>
      </c>
      <c r="DE78" s="96">
        <v>0.55000000000000004</v>
      </c>
      <c r="DF78" s="96">
        <v>0.56000000000000005</v>
      </c>
      <c r="DG78" s="96">
        <v>0.33</v>
      </c>
      <c r="DH78" s="96">
        <v>0.2</v>
      </c>
      <c r="DI78" s="96">
        <v>0.32</v>
      </c>
      <c r="DJ78" s="96">
        <v>0.42</v>
      </c>
      <c r="DK78" s="96">
        <v>0.2</v>
      </c>
      <c r="DL78" s="96">
        <v>0.43</v>
      </c>
      <c r="DM78" s="96">
        <v>0.48</v>
      </c>
      <c r="DN78" s="96">
        <v>0.54</v>
      </c>
      <c r="DO78" s="96">
        <v>0.63</v>
      </c>
      <c r="DP78" s="96">
        <v>0.33</v>
      </c>
      <c r="DQ78" s="96">
        <v>0.7</v>
      </c>
      <c r="DR78" s="96">
        <v>0.05</v>
      </c>
      <c r="DS78" s="96">
        <v>0.39</v>
      </c>
      <c r="DT78" s="96">
        <v>0.53</v>
      </c>
      <c r="DU78" s="96">
        <v>0.6</v>
      </c>
      <c r="DV78" s="96">
        <v>0.54</v>
      </c>
      <c r="DW78" s="96">
        <v>0.13</v>
      </c>
      <c r="DX78" s="61">
        <v>47</v>
      </c>
      <c r="DY78" s="61">
        <v>9</v>
      </c>
      <c r="DZ78" s="66">
        <v>0.27</v>
      </c>
      <c r="EA78" s="66">
        <v>0.55000000000000004</v>
      </c>
      <c r="EB78" s="66">
        <v>0.18</v>
      </c>
      <c r="EC78" s="66">
        <v>0</v>
      </c>
      <c r="ED78" s="66">
        <v>0.59</v>
      </c>
      <c r="EE78" s="66">
        <v>0.46</v>
      </c>
      <c r="EF78" s="66">
        <v>0.62</v>
      </c>
      <c r="EG78" s="66">
        <v>0</v>
      </c>
      <c r="EH78" s="66">
        <v>0.53</v>
      </c>
      <c r="EI78" s="66">
        <v>0.61</v>
      </c>
      <c r="EJ78" s="66">
        <v>0.65</v>
      </c>
      <c r="EK78" s="66">
        <v>0.56000000000000005</v>
      </c>
      <c r="EL78" s="66">
        <v>0.47</v>
      </c>
      <c r="EM78" s="66">
        <v>0.77</v>
      </c>
      <c r="EN78" s="66">
        <v>0.57999999999999996</v>
      </c>
      <c r="EO78" s="66">
        <v>0.67</v>
      </c>
      <c r="EP78" s="66">
        <v>0.38</v>
      </c>
      <c r="EQ78" s="66">
        <v>0.36</v>
      </c>
      <c r="ER78" s="66">
        <v>0.56999999999999995</v>
      </c>
      <c r="ES78" s="66">
        <v>0.28999999999999998</v>
      </c>
      <c r="ET78" s="66">
        <v>0.37</v>
      </c>
      <c r="EU78" s="66">
        <v>0.83</v>
      </c>
      <c r="EV78" s="66">
        <v>0.33</v>
      </c>
      <c r="EW78" s="66">
        <v>0.27</v>
      </c>
      <c r="EX78" s="66">
        <v>0.71</v>
      </c>
      <c r="EY78" s="66">
        <v>0.68</v>
      </c>
      <c r="EZ78" s="66">
        <v>0.2</v>
      </c>
      <c r="FA78" s="66">
        <v>0.77</v>
      </c>
      <c r="FB78" s="349">
        <v>48</v>
      </c>
      <c r="FC78" s="348" t="s">
        <v>910</v>
      </c>
      <c r="FD78" s="349">
        <v>8</v>
      </c>
      <c r="FE78" s="348" t="s">
        <v>910</v>
      </c>
      <c r="FF78" s="371">
        <v>0.2</v>
      </c>
      <c r="FG78" s="371">
        <v>0.6</v>
      </c>
      <c r="FH78" s="371">
        <v>0.2</v>
      </c>
      <c r="FI78" s="371">
        <v>0</v>
      </c>
      <c r="FJ78" s="371">
        <v>0.49</v>
      </c>
      <c r="FK78" s="371">
        <v>0.69</v>
      </c>
      <c r="FL78" s="371">
        <v>0.48</v>
      </c>
      <c r="FM78" s="371">
        <v>0.38</v>
      </c>
      <c r="FN78" s="371">
        <v>0.44</v>
      </c>
      <c r="FO78" s="371">
        <v>0.43</v>
      </c>
      <c r="FP78" s="371">
        <v>0.43</v>
      </c>
      <c r="FQ78" s="371">
        <v>0.42</v>
      </c>
      <c r="FR78" s="371">
        <v>0.64</v>
      </c>
      <c r="FS78" s="371">
        <v>0.46</v>
      </c>
      <c r="FT78" s="371">
        <v>0.56999999999999995</v>
      </c>
      <c r="FU78" s="371">
        <v>0.5</v>
      </c>
      <c r="FV78" s="371">
        <v>0.83</v>
      </c>
      <c r="FW78" s="371">
        <v>0.6</v>
      </c>
      <c r="FX78" s="371">
        <v>0.48</v>
      </c>
      <c r="FY78" s="371">
        <v>0.33</v>
      </c>
      <c r="FZ78" s="371">
        <v>0.41</v>
      </c>
      <c r="GA78" s="371">
        <v>0.62</v>
      </c>
      <c r="GB78" s="371">
        <v>0.53</v>
      </c>
      <c r="GC78" s="371">
        <v>0.53</v>
      </c>
      <c r="GD78" s="371">
        <v>0.74</v>
      </c>
      <c r="GE78" s="371">
        <v>0.65</v>
      </c>
      <c r="GF78" s="371">
        <v>0.5</v>
      </c>
      <c r="GG78" s="371">
        <v>0.43</v>
      </c>
      <c r="GH78" s="371">
        <v>0.48</v>
      </c>
      <c r="GI78" s="371">
        <v>0.2</v>
      </c>
      <c r="GJ78" s="469">
        <v>47</v>
      </c>
      <c r="GK78" s="471" t="s">
        <v>910</v>
      </c>
      <c r="GL78" s="469">
        <v>8</v>
      </c>
      <c r="GM78" s="471" t="s">
        <v>910</v>
      </c>
      <c r="GN78" s="501">
        <v>0.25</v>
      </c>
      <c r="GO78" s="501">
        <v>0.6</v>
      </c>
      <c r="GP78" s="501">
        <v>0.15</v>
      </c>
      <c r="GQ78" s="501">
        <v>0</v>
      </c>
      <c r="GR78" s="501">
        <v>0.56000000000000005</v>
      </c>
      <c r="GS78" s="501">
        <v>0.57999999999999996</v>
      </c>
      <c r="GT78" s="501">
        <v>0.71</v>
      </c>
      <c r="GU78" s="501">
        <v>0.33</v>
      </c>
      <c r="GV78" s="501">
        <v>0.54</v>
      </c>
      <c r="GW78" s="501">
        <v>0.56999999999999995</v>
      </c>
      <c r="GX78" s="501">
        <v>0.42</v>
      </c>
      <c r="GY78" s="471" t="s">
        <v>287</v>
      </c>
      <c r="GZ78" s="501">
        <v>0.38</v>
      </c>
      <c r="HA78" s="501">
        <v>0.67</v>
      </c>
      <c r="HB78" s="501">
        <v>0.56999999999999995</v>
      </c>
      <c r="HC78" s="501">
        <v>0.43</v>
      </c>
      <c r="HD78" s="501">
        <v>0.62</v>
      </c>
      <c r="HE78" s="501">
        <v>0.66</v>
      </c>
      <c r="HF78" s="501">
        <v>0.63</v>
      </c>
      <c r="HG78" s="501">
        <v>0.67</v>
      </c>
      <c r="HH78" s="501">
        <v>0.47</v>
      </c>
      <c r="HI78" s="501">
        <v>0.64</v>
      </c>
      <c r="HJ78" s="501">
        <v>0.56000000000000005</v>
      </c>
      <c r="HK78" s="501">
        <v>0.7</v>
      </c>
      <c r="HL78" s="501">
        <v>0.56000000000000005</v>
      </c>
      <c r="HM78" s="501">
        <v>0.56999999999999995</v>
      </c>
      <c r="HN78" s="501">
        <v>0.59</v>
      </c>
      <c r="HO78" s="501">
        <v>0.55000000000000004</v>
      </c>
      <c r="HP78" s="471" t="s">
        <v>287</v>
      </c>
      <c r="HQ78" s="501">
        <v>0.31</v>
      </c>
      <c r="HR78" s="630">
        <v>41</v>
      </c>
      <c r="HS78" s="640" t="s">
        <v>912</v>
      </c>
      <c r="HT78" s="630">
        <v>7</v>
      </c>
      <c r="HU78" s="640" t="s">
        <v>910</v>
      </c>
      <c r="HV78" s="644">
        <v>0.53</v>
      </c>
      <c r="HW78" s="644">
        <v>0.4</v>
      </c>
      <c r="HX78" s="644">
        <v>7.0000000000000007E-2</v>
      </c>
      <c r="HY78" s="644">
        <v>0</v>
      </c>
      <c r="HZ78" s="644">
        <v>0.63</v>
      </c>
      <c r="IA78" s="644">
        <v>0.75</v>
      </c>
      <c r="IB78" s="644">
        <v>0.67</v>
      </c>
      <c r="IC78" s="644">
        <v>0.67</v>
      </c>
      <c r="ID78" s="644">
        <v>0.72</v>
      </c>
      <c r="IE78" s="644">
        <v>0.5</v>
      </c>
      <c r="IF78" s="644">
        <v>0.54</v>
      </c>
      <c r="IG78" s="644">
        <v>0.71</v>
      </c>
      <c r="IH78" s="644">
        <v>0.63</v>
      </c>
      <c r="II78" s="644">
        <v>0.4</v>
      </c>
      <c r="IJ78" s="644">
        <v>0.69</v>
      </c>
      <c r="IK78" s="644">
        <v>0.59</v>
      </c>
      <c r="IL78" s="644">
        <v>0.5</v>
      </c>
      <c r="IM78" s="644">
        <v>0.67</v>
      </c>
      <c r="IN78" s="644">
        <v>0.67</v>
      </c>
      <c r="IO78" s="644">
        <v>0.64</v>
      </c>
      <c r="IP78" s="644">
        <v>0.65</v>
      </c>
      <c r="IQ78" s="644">
        <v>0.84</v>
      </c>
      <c r="IR78" s="644">
        <v>0.73</v>
      </c>
      <c r="IS78" s="644">
        <v>0.46</v>
      </c>
      <c r="IT78" s="644">
        <v>0.64</v>
      </c>
      <c r="IU78" s="640" t="s">
        <v>287</v>
      </c>
      <c r="IV78" s="644">
        <v>0.6</v>
      </c>
      <c r="IW78" s="644">
        <v>0.64</v>
      </c>
      <c r="IX78" s="644">
        <v>0.63</v>
      </c>
      <c r="IY78" s="644">
        <v>0.57999999999999996</v>
      </c>
    </row>
    <row r="79" spans="1:259" ht="24.9" customHeight="1" x14ac:dyDescent="0.25">
      <c r="A79" s="188" t="s">
        <v>232</v>
      </c>
      <c r="B79" s="1" t="s">
        <v>222</v>
      </c>
      <c r="C79" s="2">
        <v>2</v>
      </c>
      <c r="D79" s="13" t="s">
        <v>226</v>
      </c>
      <c r="E79" s="13" t="s">
        <v>226</v>
      </c>
      <c r="F79" s="13"/>
      <c r="G79" s="13"/>
      <c r="H79" s="13"/>
      <c r="I79" s="13"/>
      <c r="J79" s="13"/>
      <c r="K79" s="13"/>
      <c r="L79" s="13"/>
      <c r="M79" s="13"/>
      <c r="N79" s="13"/>
      <c r="O79" s="13"/>
      <c r="P79" s="13"/>
      <c r="Q79" s="13"/>
      <c r="R79" s="13"/>
      <c r="S79" s="13"/>
      <c r="T79" s="13"/>
      <c r="U79" s="13"/>
      <c r="V79" s="13"/>
      <c r="W79" s="13"/>
      <c r="X79" s="13"/>
      <c r="Y79" s="13"/>
      <c r="Z79" s="13"/>
      <c r="AA79" s="13"/>
      <c r="AB79" s="13"/>
      <c r="AC79" s="13"/>
      <c r="AD79" s="13"/>
      <c r="AE79" s="13"/>
      <c r="AF79" s="13"/>
      <c r="AG79" s="13"/>
      <c r="AH79" s="16">
        <v>57</v>
      </c>
      <c r="AI79" s="16">
        <v>7</v>
      </c>
      <c r="AJ79" s="66">
        <v>0.04</v>
      </c>
      <c r="AK79" s="66">
        <v>0.28999999999999998</v>
      </c>
      <c r="AL79" s="66">
        <v>0.63</v>
      </c>
      <c r="AM79" s="66">
        <v>0.04</v>
      </c>
      <c r="AN79" s="66">
        <v>0.27</v>
      </c>
      <c r="AO79" s="66">
        <v>0.37</v>
      </c>
      <c r="AP79" s="66">
        <v>0.3</v>
      </c>
      <c r="AQ79" s="66">
        <v>0.28999999999999998</v>
      </c>
      <c r="AR79" s="66">
        <v>0.38</v>
      </c>
      <c r="AS79" s="66">
        <v>0.45</v>
      </c>
      <c r="AT79" s="66">
        <v>0.3</v>
      </c>
      <c r="AU79" s="66">
        <v>0.56999999999999995</v>
      </c>
      <c r="AV79" s="66">
        <v>0.67</v>
      </c>
      <c r="AW79" s="66">
        <v>0.27</v>
      </c>
      <c r="AX79" s="66">
        <v>0.38</v>
      </c>
      <c r="AY79" s="66">
        <v>0.21</v>
      </c>
      <c r="AZ79" s="66">
        <v>0.19</v>
      </c>
      <c r="BA79" s="66">
        <v>0.44</v>
      </c>
      <c r="BB79" s="66">
        <v>0.52</v>
      </c>
      <c r="BC79" s="66">
        <v>0.52</v>
      </c>
      <c r="BD79" s="66">
        <v>0.23</v>
      </c>
      <c r="BE79" s="66">
        <v>0.56999999999999995</v>
      </c>
      <c r="BF79" s="66">
        <v>0.43</v>
      </c>
      <c r="BG79" s="66">
        <v>0.47</v>
      </c>
      <c r="BH79" s="66">
        <v>0.37</v>
      </c>
      <c r="BI79" s="66">
        <v>0.36</v>
      </c>
      <c r="BJ79" s="66">
        <v>0.25</v>
      </c>
      <c r="BK79" s="66">
        <v>0.32</v>
      </c>
      <c r="BL79" s="66">
        <v>0.17</v>
      </c>
      <c r="BM79" s="16">
        <v>57</v>
      </c>
      <c r="BN79" s="16">
        <v>11</v>
      </c>
      <c r="BO79" s="99">
        <v>7.0000000000000007E-2</v>
      </c>
      <c r="BP79" s="99">
        <v>0.43</v>
      </c>
      <c r="BQ79" s="99">
        <v>0.36</v>
      </c>
      <c r="BR79" s="99">
        <v>0.14000000000000001</v>
      </c>
      <c r="BS79" s="99">
        <v>0.32</v>
      </c>
      <c r="BT79" s="99">
        <v>0.25</v>
      </c>
      <c r="BU79" s="99">
        <v>0.8</v>
      </c>
      <c r="BV79" s="99">
        <v>0.13</v>
      </c>
      <c r="BW79" s="99">
        <v>0.45</v>
      </c>
      <c r="BX79" s="99">
        <v>0.36</v>
      </c>
      <c r="BY79" s="99">
        <v>0.31</v>
      </c>
      <c r="BZ79" s="99">
        <v>0.34</v>
      </c>
      <c r="CA79" s="99">
        <v>0.41</v>
      </c>
      <c r="CB79" s="99">
        <v>0.19</v>
      </c>
      <c r="CC79" s="99">
        <v>7.0000000000000007E-2</v>
      </c>
      <c r="CD79" s="99">
        <v>0.28999999999999998</v>
      </c>
      <c r="CE79" s="99">
        <v>0.34</v>
      </c>
      <c r="CF79" s="99">
        <v>0.5</v>
      </c>
      <c r="CG79" s="99">
        <v>0.55000000000000004</v>
      </c>
      <c r="CH79" s="99">
        <v>0.34</v>
      </c>
      <c r="CI79" s="99">
        <v>0.48</v>
      </c>
      <c r="CJ79" s="99">
        <v>0.08</v>
      </c>
      <c r="CK79" s="99">
        <v>0.43</v>
      </c>
      <c r="CL79" s="99">
        <v>0.15</v>
      </c>
      <c r="CM79" s="99">
        <v>0.28000000000000003</v>
      </c>
      <c r="CN79" s="99">
        <v>0.27</v>
      </c>
      <c r="CO79" s="99">
        <v>0.26</v>
      </c>
      <c r="CP79" s="99">
        <v>0.23</v>
      </c>
      <c r="CQ79" s="99">
        <v>0.53</v>
      </c>
      <c r="CR79" s="99">
        <v>0.42</v>
      </c>
      <c r="CS79" s="16">
        <v>58</v>
      </c>
      <c r="CT79" s="16">
        <v>9</v>
      </c>
      <c r="CU79" s="96">
        <v>0.06</v>
      </c>
      <c r="CV79" s="96">
        <v>0.25</v>
      </c>
      <c r="CW79" s="96">
        <v>0.63</v>
      </c>
      <c r="CX79" s="96">
        <v>0.06</v>
      </c>
      <c r="CY79" s="96">
        <v>0.26</v>
      </c>
      <c r="CZ79" s="96">
        <v>0.23</v>
      </c>
      <c r="DA79" s="96">
        <v>0.53</v>
      </c>
      <c r="DB79" s="96">
        <v>0.31</v>
      </c>
      <c r="DC79" s="96">
        <v>0.38</v>
      </c>
      <c r="DD79" s="96">
        <v>0.55000000000000004</v>
      </c>
      <c r="DE79" s="96">
        <v>0.25</v>
      </c>
      <c r="DF79" s="96">
        <v>0.35</v>
      </c>
      <c r="DG79" s="96">
        <v>0.31</v>
      </c>
      <c r="DH79" s="96">
        <v>0.28000000000000003</v>
      </c>
      <c r="DI79" s="96">
        <v>0.39</v>
      </c>
      <c r="DJ79" s="96">
        <v>0.21</v>
      </c>
      <c r="DK79" s="96">
        <v>0.33</v>
      </c>
      <c r="DL79" s="96">
        <v>0</v>
      </c>
      <c r="DM79" s="96">
        <v>0.33</v>
      </c>
      <c r="DN79" s="96">
        <v>0.28999999999999998</v>
      </c>
      <c r="DO79" s="96">
        <v>0.31</v>
      </c>
      <c r="DP79" s="96">
        <v>0.41</v>
      </c>
      <c r="DQ79" s="96">
        <v>0.34</v>
      </c>
      <c r="DR79" s="96">
        <v>0.1</v>
      </c>
      <c r="DS79" s="96">
        <v>0.33</v>
      </c>
      <c r="DT79" s="96">
        <v>0.41</v>
      </c>
      <c r="DU79" s="96">
        <v>0.67</v>
      </c>
      <c r="DV79" s="96">
        <v>0.38</v>
      </c>
      <c r="DW79" s="96">
        <v>0.32</v>
      </c>
      <c r="DX79" s="61">
        <v>61</v>
      </c>
      <c r="DY79" s="61">
        <v>7</v>
      </c>
      <c r="DZ79" s="66">
        <v>0</v>
      </c>
      <c r="EA79" s="66">
        <v>0.19</v>
      </c>
      <c r="EB79" s="66">
        <v>0.75</v>
      </c>
      <c r="EC79" s="66">
        <v>0.06</v>
      </c>
      <c r="ED79" s="66">
        <v>0.23</v>
      </c>
      <c r="EE79" s="66">
        <v>0.33</v>
      </c>
      <c r="EF79" s="66">
        <v>0.28999999999999998</v>
      </c>
      <c r="EG79" s="66">
        <v>0.1</v>
      </c>
      <c r="EH79" s="66">
        <v>0.28999999999999998</v>
      </c>
      <c r="EI79" s="66">
        <v>0.19</v>
      </c>
      <c r="EJ79" s="66">
        <v>0.28000000000000003</v>
      </c>
      <c r="EK79" s="66">
        <v>0.14000000000000001</v>
      </c>
      <c r="EL79" s="66">
        <v>0.34</v>
      </c>
      <c r="EM79" s="66">
        <v>0.56000000000000005</v>
      </c>
      <c r="EN79" s="66">
        <v>0.22</v>
      </c>
      <c r="EO79" s="66">
        <v>0.4</v>
      </c>
      <c r="EP79" s="66">
        <v>0.21</v>
      </c>
      <c r="EQ79" s="66">
        <v>7.0000000000000007E-2</v>
      </c>
      <c r="ER79" s="66">
        <v>0.45</v>
      </c>
      <c r="ES79" s="66">
        <v>0.22</v>
      </c>
      <c r="ET79" s="66">
        <v>0.14000000000000001</v>
      </c>
      <c r="EU79" s="66">
        <v>0.17</v>
      </c>
      <c r="EV79" s="66">
        <v>0</v>
      </c>
      <c r="EW79" s="66">
        <v>0.14000000000000001</v>
      </c>
      <c r="EX79" s="66">
        <v>0.82</v>
      </c>
      <c r="EY79" s="66">
        <v>0.3</v>
      </c>
      <c r="EZ79" s="66">
        <v>0</v>
      </c>
      <c r="FA79" s="66">
        <v>0.45</v>
      </c>
      <c r="FB79" s="349">
        <v>62</v>
      </c>
      <c r="FC79" s="348" t="s">
        <v>911</v>
      </c>
      <c r="FD79" s="349">
        <v>6</v>
      </c>
      <c r="FE79" s="348" t="s">
        <v>910</v>
      </c>
      <c r="FF79" s="371">
        <v>0</v>
      </c>
      <c r="FG79" s="371">
        <v>0.25</v>
      </c>
      <c r="FH79" s="371">
        <v>0.65</v>
      </c>
      <c r="FI79" s="371">
        <v>0.1</v>
      </c>
      <c r="FJ79" s="371">
        <v>0.26</v>
      </c>
      <c r="FK79" s="371">
        <v>0.42</v>
      </c>
      <c r="FL79" s="371">
        <v>0.35</v>
      </c>
      <c r="FM79" s="371">
        <v>0.15</v>
      </c>
      <c r="FN79" s="371">
        <v>0.05</v>
      </c>
      <c r="FO79" s="371">
        <v>7.0000000000000007E-2</v>
      </c>
      <c r="FP79" s="371">
        <v>0.16</v>
      </c>
      <c r="FQ79" s="371">
        <v>0.28999999999999998</v>
      </c>
      <c r="FR79" s="371">
        <v>0.37</v>
      </c>
      <c r="FS79" s="371">
        <v>0.26</v>
      </c>
      <c r="FT79" s="371">
        <v>0.36</v>
      </c>
      <c r="FU79" s="371">
        <v>0.06</v>
      </c>
      <c r="FV79" s="371">
        <v>0.3</v>
      </c>
      <c r="FW79" s="371">
        <v>0.5</v>
      </c>
      <c r="FX79" s="371">
        <v>0.03</v>
      </c>
      <c r="FY79" s="371">
        <v>0.11</v>
      </c>
      <c r="FZ79" s="371">
        <v>0.15</v>
      </c>
      <c r="GA79" s="371">
        <v>0.21</v>
      </c>
      <c r="GB79" s="371">
        <v>0.18</v>
      </c>
      <c r="GC79" s="371">
        <v>0.17</v>
      </c>
      <c r="GD79" s="371">
        <v>0.36</v>
      </c>
      <c r="GE79" s="371">
        <v>0.34</v>
      </c>
      <c r="GF79" s="371">
        <v>0.25</v>
      </c>
      <c r="GG79" s="371">
        <v>0.2</v>
      </c>
      <c r="GH79" s="371">
        <v>0.28000000000000003</v>
      </c>
      <c r="GI79" s="371">
        <v>0.1</v>
      </c>
      <c r="GJ79" s="469">
        <v>60</v>
      </c>
      <c r="GK79" s="471" t="s">
        <v>911</v>
      </c>
      <c r="GL79" s="469">
        <v>5</v>
      </c>
      <c r="GM79" s="471" t="s">
        <v>912</v>
      </c>
      <c r="GN79" s="501">
        <v>0</v>
      </c>
      <c r="GO79" s="501">
        <v>0.19</v>
      </c>
      <c r="GP79" s="501">
        <v>0.81</v>
      </c>
      <c r="GQ79" s="501">
        <v>0</v>
      </c>
      <c r="GR79" s="501">
        <v>0.26</v>
      </c>
      <c r="GS79" s="501">
        <v>0.39</v>
      </c>
      <c r="GT79" s="501">
        <v>0.46</v>
      </c>
      <c r="GU79" s="501">
        <v>0.11</v>
      </c>
      <c r="GV79" s="501">
        <v>0.3</v>
      </c>
      <c r="GW79" s="501">
        <v>0.36</v>
      </c>
      <c r="GX79" s="501">
        <v>0.26</v>
      </c>
      <c r="GY79" s="471" t="s">
        <v>287</v>
      </c>
      <c r="GZ79" s="501">
        <v>0.17</v>
      </c>
      <c r="HA79" s="501">
        <v>0.73</v>
      </c>
      <c r="HB79" s="501">
        <v>0.34</v>
      </c>
      <c r="HC79" s="501">
        <v>0.35</v>
      </c>
      <c r="HD79" s="501">
        <v>0.35</v>
      </c>
      <c r="HE79" s="501">
        <v>0.28999999999999998</v>
      </c>
      <c r="HF79" s="501">
        <v>0.25</v>
      </c>
      <c r="HG79" s="501">
        <v>0.68</v>
      </c>
      <c r="HH79" s="501">
        <v>0.24</v>
      </c>
      <c r="HI79" s="501">
        <v>0.31</v>
      </c>
      <c r="HJ79" s="501">
        <v>0.48</v>
      </c>
      <c r="HK79" s="501">
        <v>0.21</v>
      </c>
      <c r="HL79" s="501">
        <v>0.2</v>
      </c>
      <c r="HM79" s="501">
        <v>0.38</v>
      </c>
      <c r="HN79" s="501">
        <v>0.25</v>
      </c>
      <c r="HO79" s="501">
        <v>0.12</v>
      </c>
      <c r="HP79" s="471" t="s">
        <v>287</v>
      </c>
      <c r="HQ79" s="501">
        <v>0.22</v>
      </c>
      <c r="HR79" s="630">
        <v>59</v>
      </c>
      <c r="HS79" s="640" t="s">
        <v>911</v>
      </c>
      <c r="HT79" s="630">
        <v>7</v>
      </c>
      <c r="HU79" s="640" t="s">
        <v>910</v>
      </c>
      <c r="HV79" s="644">
        <v>0</v>
      </c>
      <c r="HW79" s="644">
        <v>0.28000000000000003</v>
      </c>
      <c r="HX79" s="644">
        <v>0.66</v>
      </c>
      <c r="HY79" s="644">
        <v>7.0000000000000007E-2</v>
      </c>
      <c r="HZ79" s="644">
        <v>0.28000000000000003</v>
      </c>
      <c r="IA79" s="644">
        <v>0.44</v>
      </c>
      <c r="IB79" s="644">
        <v>0.14000000000000001</v>
      </c>
      <c r="IC79" s="644">
        <v>0.44</v>
      </c>
      <c r="ID79" s="644">
        <v>0.53</v>
      </c>
      <c r="IE79" s="644">
        <v>0.19</v>
      </c>
      <c r="IF79" s="644">
        <v>0.25</v>
      </c>
      <c r="IG79" s="644">
        <v>0.47</v>
      </c>
      <c r="IH79" s="644">
        <v>0.54</v>
      </c>
      <c r="II79" s="644">
        <v>0.27</v>
      </c>
      <c r="IJ79" s="644">
        <v>0.15</v>
      </c>
      <c r="IK79" s="644">
        <v>0.4</v>
      </c>
      <c r="IL79" s="644">
        <v>0.17</v>
      </c>
      <c r="IM79" s="644">
        <v>0.47</v>
      </c>
      <c r="IN79" s="644">
        <v>0.26</v>
      </c>
      <c r="IO79" s="644">
        <v>0.39</v>
      </c>
      <c r="IP79" s="644">
        <v>0.15</v>
      </c>
      <c r="IQ79" s="644">
        <v>0.56999999999999995</v>
      </c>
      <c r="IR79" s="644">
        <v>0.37</v>
      </c>
      <c r="IS79" s="644">
        <v>0.3</v>
      </c>
      <c r="IT79" s="644">
        <v>0.3</v>
      </c>
      <c r="IU79" s="640" t="s">
        <v>287</v>
      </c>
      <c r="IV79" s="644">
        <v>0.53</v>
      </c>
      <c r="IW79" s="644">
        <v>0.16</v>
      </c>
      <c r="IX79" s="644">
        <v>0.38</v>
      </c>
      <c r="IY79" s="644">
        <v>0.35</v>
      </c>
    </row>
    <row r="80" spans="1:259" ht="24.9" customHeight="1" x14ac:dyDescent="0.25">
      <c r="A80" s="188" t="s">
        <v>42</v>
      </c>
      <c r="B80" s="1" t="s">
        <v>222</v>
      </c>
      <c r="C80" s="2">
        <v>6</v>
      </c>
      <c r="D80" s="16">
        <v>56</v>
      </c>
      <c r="E80" s="16">
        <v>6</v>
      </c>
      <c r="F80" s="99">
        <v>0.03</v>
      </c>
      <c r="G80" s="99">
        <v>0.42</v>
      </c>
      <c r="H80" s="99">
        <v>0.52</v>
      </c>
      <c r="I80" s="99">
        <v>0.03</v>
      </c>
      <c r="J80" s="99">
        <v>0.32</v>
      </c>
      <c r="K80" s="99">
        <v>0.37</v>
      </c>
      <c r="L80" s="99">
        <v>0.7</v>
      </c>
      <c r="M80" s="99">
        <v>0.18</v>
      </c>
      <c r="N80" s="99">
        <v>0.22</v>
      </c>
      <c r="O80" s="99">
        <v>0.53</v>
      </c>
      <c r="P80" s="99">
        <v>0.42</v>
      </c>
      <c r="Q80" s="99">
        <v>0.5</v>
      </c>
      <c r="R80" s="99">
        <v>0.42</v>
      </c>
      <c r="S80" s="99">
        <v>0.56000000000000005</v>
      </c>
      <c r="T80" s="99">
        <v>0.36</v>
      </c>
      <c r="U80" s="99">
        <v>0.66</v>
      </c>
      <c r="V80" s="99">
        <v>0.06</v>
      </c>
      <c r="W80" s="99">
        <v>0.15</v>
      </c>
      <c r="X80" s="99">
        <v>0.42</v>
      </c>
      <c r="Y80" s="99">
        <v>0.42</v>
      </c>
      <c r="Z80" s="99">
        <v>1</v>
      </c>
      <c r="AA80" s="99">
        <v>0.08</v>
      </c>
      <c r="AB80" s="99">
        <v>0.41</v>
      </c>
      <c r="AC80" s="99">
        <v>0.17</v>
      </c>
      <c r="AD80" s="99">
        <v>0.39</v>
      </c>
      <c r="AE80" s="99">
        <v>0.37</v>
      </c>
      <c r="AF80" s="99">
        <v>0.39</v>
      </c>
      <c r="AG80" s="99">
        <v>0.43</v>
      </c>
      <c r="AH80" s="16">
        <v>54</v>
      </c>
      <c r="AI80" s="16">
        <v>8</v>
      </c>
      <c r="AJ80" s="66">
        <v>0.04</v>
      </c>
      <c r="AK80" s="66">
        <v>0.46</v>
      </c>
      <c r="AL80" s="66">
        <v>0.5</v>
      </c>
      <c r="AM80" s="66">
        <v>0</v>
      </c>
      <c r="AN80" s="66">
        <v>0.35</v>
      </c>
      <c r="AO80" s="66">
        <v>0.51</v>
      </c>
      <c r="AP80" s="66">
        <v>0.57999999999999996</v>
      </c>
      <c r="AQ80" s="66">
        <v>0.32</v>
      </c>
      <c r="AR80" s="66">
        <v>0.43</v>
      </c>
      <c r="AS80" s="66">
        <v>0.48</v>
      </c>
      <c r="AT80" s="66">
        <v>0.49</v>
      </c>
      <c r="AU80" s="66">
        <v>0.35</v>
      </c>
      <c r="AV80" s="66">
        <v>0.6</v>
      </c>
      <c r="AW80" s="66">
        <v>0.19</v>
      </c>
      <c r="AX80" s="66">
        <v>0.57999999999999996</v>
      </c>
      <c r="AY80" s="66">
        <v>0.32</v>
      </c>
      <c r="AZ80" s="66">
        <v>0.22</v>
      </c>
      <c r="BA80" s="66">
        <v>0.48</v>
      </c>
      <c r="BB80" s="66">
        <v>0.67</v>
      </c>
      <c r="BC80" s="66">
        <v>0.76</v>
      </c>
      <c r="BD80" s="66">
        <v>0.43</v>
      </c>
      <c r="BE80" s="66">
        <v>0.7</v>
      </c>
      <c r="BF80" s="66">
        <v>0.4</v>
      </c>
      <c r="BG80" s="66">
        <v>0.49</v>
      </c>
      <c r="BH80" s="66">
        <v>0.39</v>
      </c>
      <c r="BI80" s="66">
        <v>0.36</v>
      </c>
      <c r="BJ80" s="66">
        <v>0.4</v>
      </c>
      <c r="BK80" s="66">
        <v>0.4</v>
      </c>
      <c r="BL80" s="66">
        <v>0.46</v>
      </c>
      <c r="BM80" s="16">
        <v>53</v>
      </c>
      <c r="BN80" s="16">
        <v>10</v>
      </c>
      <c r="BO80" s="99">
        <v>0.08</v>
      </c>
      <c r="BP80" s="99">
        <v>0.5</v>
      </c>
      <c r="BQ80" s="99">
        <v>0.39</v>
      </c>
      <c r="BR80" s="99">
        <v>0.03</v>
      </c>
      <c r="BS80" s="99">
        <v>0.28000000000000003</v>
      </c>
      <c r="BT80" s="99">
        <v>0.44</v>
      </c>
      <c r="BU80" s="99">
        <v>0.57999999999999996</v>
      </c>
      <c r="BV80" s="99">
        <v>0.33</v>
      </c>
      <c r="BW80" s="99">
        <v>0.67</v>
      </c>
      <c r="BX80" s="99">
        <v>0.28999999999999998</v>
      </c>
      <c r="BY80" s="99">
        <v>0.33</v>
      </c>
      <c r="BZ80" s="99">
        <v>0.52</v>
      </c>
      <c r="CA80" s="99">
        <v>0.4</v>
      </c>
      <c r="CB80" s="99">
        <v>0.23</v>
      </c>
      <c r="CC80" s="99">
        <v>0.15</v>
      </c>
      <c r="CD80" s="99">
        <v>0.38</v>
      </c>
      <c r="CE80" s="99">
        <v>0.35</v>
      </c>
      <c r="CF80" s="99">
        <v>0.5</v>
      </c>
      <c r="CG80" s="99">
        <v>0.47</v>
      </c>
      <c r="CH80" s="99">
        <v>0.47</v>
      </c>
      <c r="CI80" s="99">
        <v>0.56000000000000005</v>
      </c>
      <c r="CJ80" s="99">
        <v>0.36</v>
      </c>
      <c r="CK80" s="99">
        <v>0.67</v>
      </c>
      <c r="CL80" s="99">
        <v>0.33</v>
      </c>
      <c r="CM80" s="99">
        <v>0.37</v>
      </c>
      <c r="CN80" s="99">
        <v>0.48</v>
      </c>
      <c r="CO80" s="99">
        <v>0.31</v>
      </c>
      <c r="CP80" s="99">
        <v>0.34</v>
      </c>
      <c r="CQ80" s="99">
        <v>0.48</v>
      </c>
      <c r="CR80" s="99">
        <v>0.46</v>
      </c>
      <c r="CS80" s="16">
        <v>54</v>
      </c>
      <c r="CT80" s="16">
        <v>9</v>
      </c>
      <c r="CU80" s="96">
        <v>0.1</v>
      </c>
      <c r="CV80" s="96">
        <v>0.43</v>
      </c>
      <c r="CW80" s="96">
        <v>0.47</v>
      </c>
      <c r="CX80" s="96">
        <v>0</v>
      </c>
      <c r="CY80" s="96">
        <v>0.56000000000000005</v>
      </c>
      <c r="CZ80" s="96">
        <v>0.28999999999999998</v>
      </c>
      <c r="DA80" s="96">
        <v>0.53</v>
      </c>
      <c r="DB80" s="96">
        <v>0.2</v>
      </c>
      <c r="DC80" s="96">
        <v>0.44</v>
      </c>
      <c r="DD80" s="96">
        <v>0.57999999999999996</v>
      </c>
      <c r="DE80" s="96">
        <v>0.31</v>
      </c>
      <c r="DF80" s="96">
        <v>0.48</v>
      </c>
      <c r="DG80" s="96">
        <v>0.42</v>
      </c>
      <c r="DH80" s="96">
        <v>0.34</v>
      </c>
      <c r="DI80" s="96">
        <v>0.45</v>
      </c>
      <c r="DJ80" s="96">
        <v>0.38</v>
      </c>
      <c r="DK80" s="96">
        <v>0.27</v>
      </c>
      <c r="DL80" s="96">
        <v>0.28999999999999998</v>
      </c>
      <c r="DM80" s="96">
        <v>0.49</v>
      </c>
      <c r="DN80" s="96">
        <v>0.43</v>
      </c>
      <c r="DO80" s="96">
        <v>0.3</v>
      </c>
      <c r="DP80" s="96">
        <v>0.38</v>
      </c>
      <c r="DQ80" s="96">
        <v>0.44</v>
      </c>
      <c r="DR80" s="96">
        <v>0.13</v>
      </c>
      <c r="DS80" s="96">
        <v>0.33</v>
      </c>
      <c r="DT80" s="96">
        <v>0.55000000000000004</v>
      </c>
      <c r="DU80" s="96">
        <v>0.5</v>
      </c>
      <c r="DV80" s="96">
        <v>0.53</v>
      </c>
      <c r="DW80" s="96">
        <v>0.33</v>
      </c>
      <c r="DX80" s="61">
        <v>54</v>
      </c>
      <c r="DY80" s="61">
        <v>7</v>
      </c>
      <c r="DZ80" s="66">
        <v>0.04</v>
      </c>
      <c r="EA80" s="66">
        <v>0.54</v>
      </c>
      <c r="EB80" s="66">
        <v>0.42</v>
      </c>
      <c r="EC80" s="66">
        <v>0</v>
      </c>
      <c r="ED80" s="66">
        <v>0.37</v>
      </c>
      <c r="EE80" s="66">
        <v>0.44</v>
      </c>
      <c r="EF80" s="66">
        <v>0.3</v>
      </c>
      <c r="EG80" s="66">
        <v>0.43</v>
      </c>
      <c r="EH80" s="66">
        <v>0.38</v>
      </c>
      <c r="EI80" s="66">
        <v>0.49</v>
      </c>
      <c r="EJ80" s="66">
        <v>0.55000000000000004</v>
      </c>
      <c r="EK80" s="66">
        <v>0.35</v>
      </c>
      <c r="EL80" s="66">
        <v>0.33</v>
      </c>
      <c r="EM80" s="66">
        <v>0.62</v>
      </c>
      <c r="EN80" s="66">
        <v>0.3</v>
      </c>
      <c r="EO80" s="66">
        <v>0.54</v>
      </c>
      <c r="EP80" s="66">
        <v>0.3</v>
      </c>
      <c r="EQ80" s="66">
        <v>0.32</v>
      </c>
      <c r="ER80" s="66">
        <v>0.5</v>
      </c>
      <c r="ES80" s="66">
        <v>0.34</v>
      </c>
      <c r="ET80" s="66">
        <v>0.3</v>
      </c>
      <c r="EU80" s="66">
        <v>0.48</v>
      </c>
      <c r="EV80" s="66">
        <v>0.31</v>
      </c>
      <c r="EW80" s="66">
        <v>0.28000000000000003</v>
      </c>
      <c r="EX80" s="66">
        <v>0.6</v>
      </c>
      <c r="EY80" s="66">
        <v>0.43</v>
      </c>
      <c r="EZ80" s="66">
        <v>0</v>
      </c>
      <c r="FA80" s="66">
        <v>0.56000000000000005</v>
      </c>
      <c r="FB80" s="349">
        <v>52</v>
      </c>
      <c r="FC80" s="348" t="s">
        <v>910</v>
      </c>
      <c r="FD80" s="349">
        <v>8</v>
      </c>
      <c r="FE80" s="348" t="s">
        <v>910</v>
      </c>
      <c r="FF80" s="371">
        <v>0.11</v>
      </c>
      <c r="FG80" s="371">
        <v>0.52</v>
      </c>
      <c r="FH80" s="371">
        <v>0.36</v>
      </c>
      <c r="FI80" s="371">
        <v>0</v>
      </c>
      <c r="FJ80" s="371">
        <v>0.41</v>
      </c>
      <c r="FK80" s="371">
        <v>0.61</v>
      </c>
      <c r="FL80" s="371">
        <v>0.51</v>
      </c>
      <c r="FM80" s="371">
        <v>0.35</v>
      </c>
      <c r="FN80" s="371">
        <v>0.31</v>
      </c>
      <c r="FO80" s="371">
        <v>0.37</v>
      </c>
      <c r="FP80" s="371">
        <v>0.34</v>
      </c>
      <c r="FQ80" s="371">
        <v>0.43</v>
      </c>
      <c r="FR80" s="371">
        <v>0.55000000000000004</v>
      </c>
      <c r="FS80" s="371">
        <v>0.52</v>
      </c>
      <c r="FT80" s="371">
        <v>0.52</v>
      </c>
      <c r="FU80" s="371">
        <v>0.39</v>
      </c>
      <c r="FV80" s="371">
        <v>0.56999999999999995</v>
      </c>
      <c r="FW80" s="371">
        <v>0.56000000000000005</v>
      </c>
      <c r="FX80" s="371">
        <v>0.39</v>
      </c>
      <c r="FY80" s="371">
        <v>0.28999999999999998</v>
      </c>
      <c r="FZ80" s="371">
        <v>0.34</v>
      </c>
      <c r="GA80" s="371">
        <v>0.5</v>
      </c>
      <c r="GB80" s="371">
        <v>0.41</v>
      </c>
      <c r="GC80" s="371">
        <v>0.38</v>
      </c>
      <c r="GD80" s="371">
        <v>0.55000000000000004</v>
      </c>
      <c r="GE80" s="371">
        <v>0.45</v>
      </c>
      <c r="GF80" s="371">
        <v>0.34</v>
      </c>
      <c r="GG80" s="371">
        <v>0.38</v>
      </c>
      <c r="GH80" s="371">
        <v>0.55000000000000004</v>
      </c>
      <c r="GI80" s="371">
        <v>0.2</v>
      </c>
      <c r="GJ80" s="469">
        <v>59</v>
      </c>
      <c r="GK80" s="471" t="s">
        <v>911</v>
      </c>
      <c r="GL80" s="469">
        <v>8</v>
      </c>
      <c r="GM80" s="471" t="s">
        <v>910</v>
      </c>
      <c r="GN80" s="501">
        <v>0</v>
      </c>
      <c r="GO80" s="501">
        <v>0.34</v>
      </c>
      <c r="GP80" s="501">
        <v>0.62</v>
      </c>
      <c r="GQ80" s="501">
        <v>0.03</v>
      </c>
      <c r="GR80" s="501">
        <v>0.36</v>
      </c>
      <c r="GS80" s="501">
        <v>0.35</v>
      </c>
      <c r="GT80" s="501">
        <v>0.41</v>
      </c>
      <c r="GU80" s="501">
        <v>0.13</v>
      </c>
      <c r="GV80" s="501">
        <v>0.36</v>
      </c>
      <c r="GW80" s="501">
        <v>0.25</v>
      </c>
      <c r="GX80" s="501">
        <v>0.31</v>
      </c>
      <c r="GY80" s="471" t="s">
        <v>287</v>
      </c>
      <c r="GZ80" s="501">
        <v>0.24</v>
      </c>
      <c r="HA80" s="501">
        <v>0.92</v>
      </c>
      <c r="HB80" s="501">
        <v>0.35</v>
      </c>
      <c r="HC80" s="501">
        <v>0.38</v>
      </c>
      <c r="HD80" s="501">
        <v>0.44</v>
      </c>
      <c r="HE80" s="501">
        <v>0.28999999999999998</v>
      </c>
      <c r="HF80" s="501">
        <v>0.31</v>
      </c>
      <c r="HG80" s="501">
        <v>0.61</v>
      </c>
      <c r="HH80" s="501">
        <v>0.18</v>
      </c>
      <c r="HI80" s="501">
        <v>0.26</v>
      </c>
      <c r="HJ80" s="501">
        <v>0.54</v>
      </c>
      <c r="HK80" s="501">
        <v>0.33</v>
      </c>
      <c r="HL80" s="501">
        <v>0.3</v>
      </c>
      <c r="HM80" s="501">
        <v>0.36</v>
      </c>
      <c r="HN80" s="501">
        <v>0.34</v>
      </c>
      <c r="HO80" s="501">
        <v>0.12</v>
      </c>
      <c r="HP80" s="471" t="s">
        <v>287</v>
      </c>
      <c r="HQ80" s="501">
        <v>0.28000000000000003</v>
      </c>
      <c r="HR80" s="630">
        <v>55</v>
      </c>
      <c r="HS80" s="640" t="s">
        <v>910</v>
      </c>
      <c r="HT80" s="630">
        <v>7</v>
      </c>
      <c r="HU80" s="640" t="s">
        <v>910</v>
      </c>
      <c r="HV80" s="644">
        <v>0.03</v>
      </c>
      <c r="HW80" s="644">
        <v>0.5</v>
      </c>
      <c r="HX80" s="644">
        <v>0.47</v>
      </c>
      <c r="HY80" s="644">
        <v>0</v>
      </c>
      <c r="HZ80" s="644">
        <v>0.35</v>
      </c>
      <c r="IA80" s="644">
        <v>0.45</v>
      </c>
      <c r="IB80" s="644">
        <v>0.3</v>
      </c>
      <c r="IC80" s="644">
        <v>0.48</v>
      </c>
      <c r="ID80" s="644">
        <v>0.62</v>
      </c>
      <c r="IE80" s="644">
        <v>0.28000000000000003</v>
      </c>
      <c r="IF80" s="644">
        <v>0.34</v>
      </c>
      <c r="IG80" s="644">
        <v>0.48</v>
      </c>
      <c r="IH80" s="644">
        <v>0.4</v>
      </c>
      <c r="II80" s="644">
        <v>0.47</v>
      </c>
      <c r="IJ80" s="644">
        <v>0.21</v>
      </c>
      <c r="IK80" s="644">
        <v>0.54</v>
      </c>
      <c r="IL80" s="644">
        <v>0.23</v>
      </c>
      <c r="IM80" s="644">
        <v>0.56999999999999995</v>
      </c>
      <c r="IN80" s="644">
        <v>0.39</v>
      </c>
      <c r="IO80" s="644">
        <v>0.4</v>
      </c>
      <c r="IP80" s="644">
        <v>0.31</v>
      </c>
      <c r="IQ80" s="644">
        <v>0.62</v>
      </c>
      <c r="IR80" s="644">
        <v>0.38</v>
      </c>
      <c r="IS80" s="644">
        <v>0.45</v>
      </c>
      <c r="IT80" s="644">
        <v>0.31</v>
      </c>
      <c r="IU80" s="640" t="s">
        <v>287</v>
      </c>
      <c r="IV80" s="644">
        <v>0.59</v>
      </c>
      <c r="IW80" s="644">
        <v>0.28000000000000003</v>
      </c>
      <c r="IX80" s="644">
        <v>0.48</v>
      </c>
      <c r="IY80" s="644">
        <v>0.45</v>
      </c>
    </row>
    <row r="81" spans="1:259" s="461" customFormat="1" ht="24.9" customHeight="1" x14ac:dyDescent="0.25">
      <c r="A81" s="470" t="s">
        <v>960</v>
      </c>
      <c r="B81" s="15" t="s">
        <v>222</v>
      </c>
      <c r="C81" s="471">
        <v>3</v>
      </c>
      <c r="D81" s="502"/>
      <c r="E81" s="502"/>
      <c r="F81" s="508"/>
      <c r="G81" s="508"/>
      <c r="H81" s="508"/>
      <c r="I81" s="508"/>
      <c r="J81" s="508"/>
      <c r="K81" s="508"/>
      <c r="L81" s="508"/>
      <c r="M81" s="508"/>
      <c r="N81" s="508"/>
      <c r="O81" s="508"/>
      <c r="P81" s="508"/>
      <c r="Q81" s="508"/>
      <c r="R81" s="508"/>
      <c r="S81" s="508"/>
      <c r="T81" s="508"/>
      <c r="U81" s="508"/>
      <c r="V81" s="508"/>
      <c r="W81" s="508"/>
      <c r="X81" s="508"/>
      <c r="Y81" s="508"/>
      <c r="Z81" s="508"/>
      <c r="AA81" s="508"/>
      <c r="AB81" s="508"/>
      <c r="AC81" s="508"/>
      <c r="AD81" s="508"/>
      <c r="AE81" s="508"/>
      <c r="AF81" s="508"/>
      <c r="AG81" s="508"/>
      <c r="AH81" s="502"/>
      <c r="AI81" s="502"/>
      <c r="AJ81" s="506"/>
      <c r="AK81" s="506"/>
      <c r="AL81" s="506"/>
      <c r="AM81" s="506"/>
      <c r="AN81" s="506"/>
      <c r="AO81" s="506"/>
      <c r="AP81" s="506"/>
      <c r="AQ81" s="506"/>
      <c r="AR81" s="506"/>
      <c r="AS81" s="506"/>
      <c r="AT81" s="506"/>
      <c r="AU81" s="506"/>
      <c r="AV81" s="506"/>
      <c r="AW81" s="506"/>
      <c r="AX81" s="506"/>
      <c r="AY81" s="506"/>
      <c r="AZ81" s="506"/>
      <c r="BA81" s="506"/>
      <c r="BB81" s="506"/>
      <c r="BC81" s="506"/>
      <c r="BD81" s="506"/>
      <c r="BE81" s="506"/>
      <c r="BF81" s="506"/>
      <c r="BG81" s="506"/>
      <c r="BH81" s="506"/>
      <c r="BI81" s="506"/>
      <c r="BJ81" s="506"/>
      <c r="BK81" s="506"/>
      <c r="BL81" s="506"/>
      <c r="BM81" s="502"/>
      <c r="BN81" s="502"/>
      <c r="BO81" s="508"/>
      <c r="BP81" s="508"/>
      <c r="BQ81" s="508"/>
      <c r="BR81" s="508"/>
      <c r="BS81" s="508"/>
      <c r="BT81" s="508"/>
      <c r="BU81" s="508"/>
      <c r="BV81" s="508"/>
      <c r="BW81" s="508"/>
      <c r="BX81" s="508"/>
      <c r="BY81" s="508"/>
      <c r="BZ81" s="508"/>
      <c r="CA81" s="508"/>
      <c r="CB81" s="508"/>
      <c r="CC81" s="508"/>
      <c r="CD81" s="508"/>
      <c r="CE81" s="508"/>
      <c r="CF81" s="508"/>
      <c r="CG81" s="508"/>
      <c r="CH81" s="508"/>
      <c r="CI81" s="508"/>
      <c r="CJ81" s="508"/>
      <c r="CK81" s="508"/>
      <c r="CL81" s="508"/>
      <c r="CM81" s="508"/>
      <c r="CN81" s="508"/>
      <c r="CO81" s="508"/>
      <c r="CP81" s="508"/>
      <c r="CQ81" s="508"/>
      <c r="CR81" s="508"/>
      <c r="CS81" s="502"/>
      <c r="CT81" s="502"/>
      <c r="CU81" s="501"/>
      <c r="CV81" s="501"/>
      <c r="CW81" s="501"/>
      <c r="CX81" s="501"/>
      <c r="CY81" s="501"/>
      <c r="CZ81" s="501"/>
      <c r="DA81" s="501"/>
      <c r="DB81" s="501"/>
      <c r="DC81" s="501"/>
      <c r="DD81" s="501"/>
      <c r="DE81" s="501"/>
      <c r="DF81" s="501"/>
      <c r="DG81" s="501"/>
      <c r="DH81" s="501"/>
      <c r="DI81" s="501"/>
      <c r="DJ81" s="501"/>
      <c r="DK81" s="501"/>
      <c r="DL81" s="501"/>
      <c r="DM81" s="501"/>
      <c r="DN81" s="501"/>
      <c r="DO81" s="501"/>
      <c r="DP81" s="501"/>
      <c r="DQ81" s="501"/>
      <c r="DR81" s="501"/>
      <c r="DS81" s="501"/>
      <c r="DT81" s="501"/>
      <c r="DU81" s="501"/>
      <c r="DV81" s="501"/>
      <c r="DW81" s="501"/>
      <c r="DX81" s="472"/>
      <c r="DY81" s="472"/>
      <c r="DZ81" s="506"/>
      <c r="EA81" s="506"/>
      <c r="EB81" s="506"/>
      <c r="EC81" s="506"/>
      <c r="ED81" s="506"/>
      <c r="EE81" s="506"/>
      <c r="EF81" s="506"/>
      <c r="EG81" s="506"/>
      <c r="EH81" s="506"/>
      <c r="EI81" s="506"/>
      <c r="EJ81" s="506"/>
      <c r="EK81" s="506"/>
      <c r="EL81" s="506"/>
      <c r="EM81" s="506"/>
      <c r="EN81" s="506"/>
      <c r="EO81" s="506"/>
      <c r="EP81" s="506"/>
      <c r="EQ81" s="506"/>
      <c r="ER81" s="506"/>
      <c r="ES81" s="506"/>
      <c r="ET81" s="506"/>
      <c r="EU81" s="506"/>
      <c r="EV81" s="506"/>
      <c r="EW81" s="506"/>
      <c r="EX81" s="506"/>
      <c r="EY81" s="506"/>
      <c r="EZ81" s="506"/>
      <c r="FA81" s="506"/>
      <c r="FB81" s="475"/>
      <c r="FC81" s="493"/>
      <c r="FD81" s="475"/>
      <c r="FE81" s="493"/>
      <c r="FF81" s="507"/>
      <c r="FG81" s="507"/>
      <c r="FH81" s="507"/>
      <c r="FI81" s="507"/>
      <c r="FJ81" s="507"/>
      <c r="FK81" s="507"/>
      <c r="FL81" s="507"/>
      <c r="FM81" s="507"/>
      <c r="FN81" s="507"/>
      <c r="FO81" s="507"/>
      <c r="FP81" s="507"/>
      <c r="FQ81" s="507"/>
      <c r="FR81" s="507"/>
      <c r="FS81" s="507"/>
      <c r="FT81" s="507"/>
      <c r="FU81" s="507"/>
      <c r="FV81" s="507"/>
      <c r="FW81" s="507"/>
      <c r="FX81" s="507"/>
      <c r="FY81" s="507"/>
      <c r="FZ81" s="507"/>
      <c r="GA81" s="507"/>
      <c r="GB81" s="507"/>
      <c r="GC81" s="507"/>
      <c r="GD81" s="507"/>
      <c r="GE81" s="507"/>
      <c r="GF81" s="507"/>
      <c r="GG81" s="507"/>
      <c r="GH81" s="507"/>
      <c r="GI81" s="507"/>
      <c r="GJ81" s="469">
        <v>53</v>
      </c>
      <c r="GK81" s="471" t="s">
        <v>910</v>
      </c>
      <c r="GL81" s="469">
        <v>9</v>
      </c>
      <c r="GM81" s="471" t="s">
        <v>910</v>
      </c>
      <c r="GN81" s="501">
        <v>0.14000000000000001</v>
      </c>
      <c r="GO81" s="501">
        <v>0.5</v>
      </c>
      <c r="GP81" s="501">
        <v>0.36</v>
      </c>
      <c r="GQ81" s="501">
        <v>0</v>
      </c>
      <c r="GR81" s="501">
        <v>0.4</v>
      </c>
      <c r="GS81" s="501">
        <v>0.28000000000000003</v>
      </c>
      <c r="GT81" s="501">
        <v>0.55000000000000004</v>
      </c>
      <c r="GU81" s="501">
        <v>0.14000000000000001</v>
      </c>
      <c r="GV81" s="501">
        <v>0.56000000000000005</v>
      </c>
      <c r="GW81" s="501">
        <v>0.47</v>
      </c>
      <c r="GX81" s="501">
        <v>0.49</v>
      </c>
      <c r="GY81" s="471" t="s">
        <v>287</v>
      </c>
      <c r="GZ81" s="501">
        <v>0.2</v>
      </c>
      <c r="HA81" s="501">
        <v>0.83</v>
      </c>
      <c r="HB81" s="501">
        <v>0.36</v>
      </c>
      <c r="HC81" s="501">
        <v>0.52</v>
      </c>
      <c r="HD81" s="501">
        <v>0.52</v>
      </c>
      <c r="HE81" s="501">
        <v>0.36</v>
      </c>
      <c r="HF81" s="501">
        <v>0.33</v>
      </c>
      <c r="HG81" s="501">
        <v>0.65</v>
      </c>
      <c r="HH81" s="501">
        <v>0.26</v>
      </c>
      <c r="HI81" s="501">
        <v>0.53</v>
      </c>
      <c r="HJ81" s="501">
        <v>0.65</v>
      </c>
      <c r="HK81" s="501">
        <v>0.38</v>
      </c>
      <c r="HL81" s="501">
        <v>0.19</v>
      </c>
      <c r="HM81" s="501">
        <v>0.47</v>
      </c>
      <c r="HN81" s="501">
        <v>0.44</v>
      </c>
      <c r="HO81" s="501">
        <v>0.26</v>
      </c>
      <c r="HP81" s="471" t="s">
        <v>287</v>
      </c>
      <c r="HQ81" s="501">
        <v>0.35</v>
      </c>
      <c r="HR81" s="630">
        <v>48</v>
      </c>
      <c r="HS81" s="640" t="s">
        <v>910</v>
      </c>
      <c r="HT81" s="630">
        <v>10</v>
      </c>
      <c r="HU81" s="640" t="s">
        <v>910</v>
      </c>
      <c r="HV81" s="644">
        <v>0.15</v>
      </c>
      <c r="HW81" s="644">
        <v>0.65</v>
      </c>
      <c r="HX81" s="644">
        <v>0.2</v>
      </c>
      <c r="HY81" s="644">
        <v>0</v>
      </c>
      <c r="HZ81" s="644">
        <v>0.47</v>
      </c>
      <c r="IA81" s="644">
        <v>0.56000000000000005</v>
      </c>
      <c r="IB81" s="644">
        <v>0.62</v>
      </c>
      <c r="IC81" s="644">
        <v>0.56999999999999995</v>
      </c>
      <c r="ID81" s="644">
        <v>0.7</v>
      </c>
      <c r="IE81" s="644">
        <v>0.35</v>
      </c>
      <c r="IF81" s="644">
        <v>0.47</v>
      </c>
      <c r="IG81" s="644">
        <v>0.65</v>
      </c>
      <c r="IH81" s="644">
        <v>0.48</v>
      </c>
      <c r="II81" s="644">
        <v>0.71</v>
      </c>
      <c r="IJ81" s="644">
        <v>0.27</v>
      </c>
      <c r="IK81" s="644">
        <v>0.56999999999999995</v>
      </c>
      <c r="IL81" s="644">
        <v>0.2</v>
      </c>
      <c r="IM81" s="644">
        <v>0.6</v>
      </c>
      <c r="IN81" s="644">
        <v>0.47</v>
      </c>
      <c r="IO81" s="644">
        <v>0.61</v>
      </c>
      <c r="IP81" s="644">
        <v>0.37</v>
      </c>
      <c r="IQ81" s="644">
        <v>0.69</v>
      </c>
      <c r="IR81" s="644">
        <v>0.57999999999999996</v>
      </c>
      <c r="IS81" s="644">
        <v>0.5</v>
      </c>
      <c r="IT81" s="644">
        <v>0.61</v>
      </c>
      <c r="IU81" s="640" t="s">
        <v>287</v>
      </c>
      <c r="IV81" s="644">
        <v>0.6</v>
      </c>
      <c r="IW81" s="644">
        <v>0.67</v>
      </c>
      <c r="IX81" s="644">
        <v>0.42</v>
      </c>
      <c r="IY81" s="644">
        <v>0.6</v>
      </c>
    </row>
    <row r="82" spans="1:259" ht="24.9" customHeight="1" x14ac:dyDescent="0.25">
      <c r="A82" s="188" t="s">
        <v>108</v>
      </c>
      <c r="B82" s="1" t="s">
        <v>222</v>
      </c>
      <c r="C82" s="2">
        <v>6</v>
      </c>
      <c r="D82" s="16">
        <v>57</v>
      </c>
      <c r="E82" s="16">
        <v>4</v>
      </c>
      <c r="F82" s="99">
        <v>0</v>
      </c>
      <c r="G82" s="99">
        <v>0.4</v>
      </c>
      <c r="H82" s="99">
        <v>0.6</v>
      </c>
      <c r="I82" s="99">
        <v>0</v>
      </c>
      <c r="J82" s="99">
        <v>0.17</v>
      </c>
      <c r="K82" s="99">
        <v>0.18</v>
      </c>
      <c r="L82" s="99">
        <v>0.77</v>
      </c>
      <c r="M82" s="99">
        <v>0.12</v>
      </c>
      <c r="N82" s="99">
        <v>0.22</v>
      </c>
      <c r="O82" s="99">
        <v>0.47</v>
      </c>
      <c r="P82" s="99">
        <v>0.19</v>
      </c>
      <c r="Q82" s="99">
        <v>0.41</v>
      </c>
      <c r="R82" s="99">
        <v>0.42</v>
      </c>
      <c r="S82" s="99">
        <v>0.53</v>
      </c>
      <c r="T82" s="99">
        <v>0.48</v>
      </c>
      <c r="U82" s="99">
        <v>0.44</v>
      </c>
      <c r="V82" s="99">
        <v>0.17</v>
      </c>
      <c r="W82" s="99">
        <v>0</v>
      </c>
      <c r="X82" s="99">
        <v>0.57999999999999996</v>
      </c>
      <c r="Y82" s="99">
        <v>0.36</v>
      </c>
      <c r="Z82" s="99">
        <v>1</v>
      </c>
      <c r="AA82" s="99">
        <v>0</v>
      </c>
      <c r="AB82" s="99">
        <v>0.45</v>
      </c>
      <c r="AC82" s="99">
        <v>0.38</v>
      </c>
      <c r="AD82" s="99">
        <v>0.51</v>
      </c>
      <c r="AE82" s="99">
        <v>0.33</v>
      </c>
      <c r="AF82" s="99">
        <v>0.45</v>
      </c>
      <c r="AG82" s="99">
        <v>0.36</v>
      </c>
      <c r="AH82" s="16">
        <v>48</v>
      </c>
      <c r="AI82" s="16">
        <v>8</v>
      </c>
      <c r="AJ82" s="66">
        <v>0.24</v>
      </c>
      <c r="AK82" s="66">
        <v>0.53</v>
      </c>
      <c r="AL82" s="66">
        <v>0.24</v>
      </c>
      <c r="AM82" s="66">
        <v>0</v>
      </c>
      <c r="AN82" s="66">
        <v>0.33</v>
      </c>
      <c r="AO82" s="66">
        <v>0.53</v>
      </c>
      <c r="AP82" s="66">
        <v>0.85</v>
      </c>
      <c r="AQ82" s="66">
        <v>0.49</v>
      </c>
      <c r="AR82" s="66">
        <v>0.41</v>
      </c>
      <c r="AS82" s="66">
        <v>0.63</v>
      </c>
      <c r="AT82" s="66">
        <v>0.72</v>
      </c>
      <c r="AU82" s="66">
        <v>0.67</v>
      </c>
      <c r="AV82" s="66">
        <v>0.69</v>
      </c>
      <c r="AW82" s="66">
        <v>0.82</v>
      </c>
      <c r="AX82" s="66">
        <v>0.81</v>
      </c>
      <c r="AY82" s="66">
        <v>0.35</v>
      </c>
      <c r="AZ82" s="66">
        <v>0.56000000000000005</v>
      </c>
      <c r="BA82" s="66">
        <v>0.46</v>
      </c>
      <c r="BB82" s="66">
        <v>0.77</v>
      </c>
      <c r="BC82" s="66">
        <v>0.73</v>
      </c>
      <c r="BD82" s="66">
        <v>0.49</v>
      </c>
      <c r="BE82" s="66">
        <v>0.71</v>
      </c>
      <c r="BF82" s="66">
        <v>0.83</v>
      </c>
      <c r="BG82" s="66">
        <v>0.5</v>
      </c>
      <c r="BH82" s="66">
        <v>0.48</v>
      </c>
      <c r="BI82" s="66">
        <v>0.48</v>
      </c>
      <c r="BJ82" s="66">
        <v>0.39</v>
      </c>
      <c r="BK82" s="66">
        <v>0.48</v>
      </c>
      <c r="BL82" s="66">
        <v>0.38</v>
      </c>
      <c r="BM82" s="16">
        <v>50</v>
      </c>
      <c r="BN82" s="16">
        <v>7</v>
      </c>
      <c r="BO82" s="99">
        <v>0.09</v>
      </c>
      <c r="BP82" s="99">
        <v>0.64</v>
      </c>
      <c r="BQ82" s="99">
        <v>0.27</v>
      </c>
      <c r="BR82" s="99">
        <v>0</v>
      </c>
      <c r="BS82" s="99">
        <v>0.28000000000000003</v>
      </c>
      <c r="BT82" s="99">
        <v>0.63</v>
      </c>
      <c r="BU82" s="99">
        <v>0.5</v>
      </c>
      <c r="BV82" s="99">
        <v>0.43</v>
      </c>
      <c r="BW82" s="99">
        <v>0.55000000000000004</v>
      </c>
      <c r="BX82" s="99">
        <v>0.28000000000000003</v>
      </c>
      <c r="BY82" s="99">
        <v>0.48</v>
      </c>
      <c r="BZ82" s="99">
        <v>0.53</v>
      </c>
      <c r="CA82" s="99">
        <v>0.3</v>
      </c>
      <c r="CB82" s="99">
        <v>0.35</v>
      </c>
      <c r="CC82" s="99">
        <v>0.28000000000000003</v>
      </c>
      <c r="CD82" s="99">
        <v>0.25</v>
      </c>
      <c r="CE82" s="99">
        <v>0.35</v>
      </c>
      <c r="CF82" s="99">
        <v>0.82</v>
      </c>
      <c r="CG82" s="99">
        <v>0.93</v>
      </c>
      <c r="CH82" s="99">
        <v>0.53</v>
      </c>
      <c r="CI82" s="99">
        <v>0.6</v>
      </c>
      <c r="CJ82" s="99">
        <v>0.17</v>
      </c>
      <c r="CK82" s="99">
        <v>0.74</v>
      </c>
      <c r="CL82" s="99">
        <v>0.28999999999999998</v>
      </c>
      <c r="CM82" s="99">
        <v>0.46</v>
      </c>
      <c r="CN82" s="99">
        <v>0.55000000000000004</v>
      </c>
      <c r="CO82" s="99">
        <v>0.27</v>
      </c>
      <c r="CP82" s="99">
        <v>0.28999999999999998</v>
      </c>
      <c r="CQ82" s="99">
        <v>0.54</v>
      </c>
      <c r="CR82" s="99">
        <v>0.57999999999999996</v>
      </c>
      <c r="CS82" s="16">
        <v>55</v>
      </c>
      <c r="CT82" s="16">
        <v>8</v>
      </c>
      <c r="CU82" s="96">
        <v>0</v>
      </c>
      <c r="CV82" s="96">
        <v>0.56000000000000005</v>
      </c>
      <c r="CW82" s="96">
        <v>0.38</v>
      </c>
      <c r="CX82" s="96">
        <v>0.06</v>
      </c>
      <c r="CY82" s="96">
        <v>0.5</v>
      </c>
      <c r="CZ82" s="96">
        <v>0.22</v>
      </c>
      <c r="DA82" s="96">
        <v>0.38</v>
      </c>
      <c r="DB82" s="96">
        <v>0.12</v>
      </c>
      <c r="DC82" s="96">
        <v>0.38</v>
      </c>
      <c r="DD82" s="96">
        <v>0.71</v>
      </c>
      <c r="DE82" s="96">
        <v>0.45</v>
      </c>
      <c r="DF82" s="96">
        <v>0.43</v>
      </c>
      <c r="DG82" s="96">
        <v>0.41</v>
      </c>
      <c r="DH82" s="96">
        <v>0.39</v>
      </c>
      <c r="DI82" s="96">
        <v>0.42</v>
      </c>
      <c r="DJ82" s="96">
        <v>0.36</v>
      </c>
      <c r="DK82" s="96">
        <v>0.36</v>
      </c>
      <c r="DL82" s="96">
        <v>0.38</v>
      </c>
      <c r="DM82" s="96">
        <v>0.45</v>
      </c>
      <c r="DN82" s="96">
        <v>0.38</v>
      </c>
      <c r="DO82" s="96">
        <v>0.5</v>
      </c>
      <c r="DP82" s="96">
        <v>0.23</v>
      </c>
      <c r="DQ82" s="96">
        <v>0.44</v>
      </c>
      <c r="DR82" s="96">
        <v>0.09</v>
      </c>
      <c r="DS82" s="96">
        <v>0.31</v>
      </c>
      <c r="DT82" s="96">
        <v>0.67</v>
      </c>
      <c r="DU82" s="96">
        <v>0.5</v>
      </c>
      <c r="DV82" s="96">
        <v>0.44</v>
      </c>
      <c r="DW82" s="96">
        <v>0.33</v>
      </c>
      <c r="DX82" s="61">
        <v>50</v>
      </c>
      <c r="DY82" s="61">
        <v>9</v>
      </c>
      <c r="DZ82" s="66">
        <v>0.05</v>
      </c>
      <c r="EA82" s="66">
        <v>0.57999999999999996</v>
      </c>
      <c r="EB82" s="66">
        <v>0.37</v>
      </c>
      <c r="EC82" s="66">
        <v>0</v>
      </c>
      <c r="ED82" s="66">
        <v>0.46</v>
      </c>
      <c r="EE82" s="66">
        <v>0.62</v>
      </c>
      <c r="EF82" s="66">
        <v>0.34</v>
      </c>
      <c r="EG82" s="66">
        <v>0.3</v>
      </c>
      <c r="EH82" s="66">
        <v>0.47</v>
      </c>
      <c r="EI82" s="66">
        <v>0.5</v>
      </c>
      <c r="EJ82" s="66">
        <v>0.5</v>
      </c>
      <c r="EK82" s="66">
        <v>0.26</v>
      </c>
      <c r="EL82" s="66">
        <v>0.5</v>
      </c>
      <c r="EM82" s="66">
        <v>0.9</v>
      </c>
      <c r="EN82" s="66">
        <v>0.3</v>
      </c>
      <c r="EO82" s="66">
        <v>0.55000000000000004</v>
      </c>
      <c r="EP82" s="66">
        <v>0.41</v>
      </c>
      <c r="EQ82" s="66">
        <v>0.24</v>
      </c>
      <c r="ER82" s="66">
        <v>0.56999999999999995</v>
      </c>
      <c r="ES82" s="66">
        <v>0.47</v>
      </c>
      <c r="ET82" s="66">
        <v>0.3</v>
      </c>
      <c r="EU82" s="66">
        <v>0.56000000000000005</v>
      </c>
      <c r="EV82" s="66">
        <v>0.33</v>
      </c>
      <c r="EW82" s="66">
        <v>0.42</v>
      </c>
      <c r="EX82" s="66">
        <v>0.63</v>
      </c>
      <c r="EY82" s="66">
        <v>0.51</v>
      </c>
      <c r="EZ82" s="66">
        <v>0.1</v>
      </c>
      <c r="FA82" s="66">
        <v>0.65</v>
      </c>
      <c r="FB82" s="349">
        <v>53</v>
      </c>
      <c r="FC82" s="348" t="s">
        <v>910</v>
      </c>
      <c r="FD82" s="349">
        <v>9</v>
      </c>
      <c r="FE82" s="348" t="s">
        <v>910</v>
      </c>
      <c r="FF82" s="371">
        <v>0.08</v>
      </c>
      <c r="FG82" s="371">
        <v>0.62</v>
      </c>
      <c r="FH82" s="371">
        <v>0.23</v>
      </c>
      <c r="FI82" s="371">
        <v>0.08</v>
      </c>
      <c r="FJ82" s="371">
        <v>0.43</v>
      </c>
      <c r="FK82" s="371">
        <v>0.59</v>
      </c>
      <c r="FL82" s="371">
        <v>0.44</v>
      </c>
      <c r="FM82" s="371">
        <v>0.47</v>
      </c>
      <c r="FN82" s="371">
        <v>0.36</v>
      </c>
      <c r="FO82" s="371">
        <v>0.22</v>
      </c>
      <c r="FP82" s="371">
        <v>0.44</v>
      </c>
      <c r="FQ82" s="371">
        <v>0.48</v>
      </c>
      <c r="FR82" s="371">
        <v>0.53</v>
      </c>
      <c r="FS82" s="371">
        <v>0.53</v>
      </c>
      <c r="FT82" s="371">
        <v>0.48</v>
      </c>
      <c r="FU82" s="371">
        <v>0.44</v>
      </c>
      <c r="FV82" s="371">
        <v>0.63</v>
      </c>
      <c r="FW82" s="371">
        <v>0.44</v>
      </c>
      <c r="FX82" s="371">
        <v>0.17</v>
      </c>
      <c r="FY82" s="371">
        <v>0.43</v>
      </c>
      <c r="FZ82" s="371">
        <v>0.19</v>
      </c>
      <c r="GA82" s="371">
        <v>0.37</v>
      </c>
      <c r="GB82" s="371">
        <v>0.38</v>
      </c>
      <c r="GC82" s="371">
        <v>0.36</v>
      </c>
      <c r="GD82" s="371">
        <v>0.48</v>
      </c>
      <c r="GE82" s="371">
        <v>0.42</v>
      </c>
      <c r="GF82" s="371">
        <v>0.53</v>
      </c>
      <c r="GG82" s="371">
        <v>0.44</v>
      </c>
      <c r="GH82" s="371">
        <v>0.64</v>
      </c>
      <c r="GI82" s="371">
        <v>0.14000000000000001</v>
      </c>
      <c r="GJ82" s="469">
        <v>46</v>
      </c>
      <c r="GK82" s="471" t="s">
        <v>910</v>
      </c>
      <c r="GL82" s="469">
        <v>10</v>
      </c>
      <c r="GM82" s="471" t="s">
        <v>910</v>
      </c>
      <c r="GN82" s="501">
        <v>0.4</v>
      </c>
      <c r="GO82" s="501">
        <v>0.5</v>
      </c>
      <c r="GP82" s="501">
        <v>0.1</v>
      </c>
      <c r="GQ82" s="501">
        <v>0</v>
      </c>
      <c r="GR82" s="501">
        <v>0.53</v>
      </c>
      <c r="GS82" s="501">
        <v>0.5</v>
      </c>
      <c r="GT82" s="501">
        <v>0.75</v>
      </c>
      <c r="GU82" s="501">
        <v>0.75</v>
      </c>
      <c r="GV82" s="501">
        <v>0.5</v>
      </c>
      <c r="GW82" s="501">
        <v>0.6</v>
      </c>
      <c r="GX82" s="501">
        <v>0.59</v>
      </c>
      <c r="GY82" s="471" t="s">
        <v>287</v>
      </c>
      <c r="GZ82" s="501">
        <v>0.28999999999999998</v>
      </c>
      <c r="HA82" s="501">
        <v>1</v>
      </c>
      <c r="HB82" s="501">
        <v>0.55000000000000004</v>
      </c>
      <c r="HC82" s="501">
        <v>0.75</v>
      </c>
      <c r="HD82" s="501">
        <v>0.57999999999999996</v>
      </c>
      <c r="HE82" s="501">
        <v>0.4</v>
      </c>
      <c r="HF82" s="501">
        <v>0.56000000000000005</v>
      </c>
      <c r="HG82" s="501">
        <v>0.71</v>
      </c>
      <c r="HH82" s="501">
        <v>0.55000000000000004</v>
      </c>
      <c r="HI82" s="501">
        <v>0.69</v>
      </c>
      <c r="HJ82" s="501">
        <v>0.76</v>
      </c>
      <c r="HK82" s="501">
        <v>0.72</v>
      </c>
      <c r="HL82" s="501">
        <v>0.52</v>
      </c>
      <c r="HM82" s="501">
        <v>0.5</v>
      </c>
      <c r="HN82" s="501">
        <v>0.53</v>
      </c>
      <c r="HO82" s="501">
        <v>0.59</v>
      </c>
      <c r="HP82" s="471" t="s">
        <v>287</v>
      </c>
      <c r="HQ82" s="501">
        <v>0.43</v>
      </c>
      <c r="HR82" s="630">
        <v>56</v>
      </c>
      <c r="HS82" s="640" t="s">
        <v>910</v>
      </c>
      <c r="HT82" s="630">
        <v>7</v>
      </c>
      <c r="HU82" s="640" t="s">
        <v>910</v>
      </c>
      <c r="HV82" s="644">
        <v>0</v>
      </c>
      <c r="HW82" s="644">
        <v>0.44</v>
      </c>
      <c r="HX82" s="644">
        <v>0.56000000000000005</v>
      </c>
      <c r="HY82" s="644">
        <v>0</v>
      </c>
      <c r="HZ82" s="644">
        <v>0.16</v>
      </c>
      <c r="IA82" s="644">
        <v>0.24</v>
      </c>
      <c r="IB82" s="644">
        <v>0.4</v>
      </c>
      <c r="IC82" s="644">
        <v>0.42</v>
      </c>
      <c r="ID82" s="644">
        <v>0.42</v>
      </c>
      <c r="IE82" s="644">
        <v>0.18</v>
      </c>
      <c r="IF82" s="644">
        <v>0.44</v>
      </c>
      <c r="IG82" s="644">
        <v>0.47</v>
      </c>
      <c r="IH82" s="644">
        <v>0.63</v>
      </c>
      <c r="II82" s="644">
        <v>0</v>
      </c>
      <c r="IJ82" s="644">
        <v>0.08</v>
      </c>
      <c r="IK82" s="644">
        <v>0.52</v>
      </c>
      <c r="IL82" s="644">
        <v>0.23</v>
      </c>
      <c r="IM82" s="644">
        <v>0.45</v>
      </c>
      <c r="IN82" s="644">
        <v>0.4</v>
      </c>
      <c r="IO82" s="644">
        <v>0.56999999999999995</v>
      </c>
      <c r="IP82" s="644">
        <v>0.13</v>
      </c>
      <c r="IQ82" s="644">
        <v>0.56000000000000005</v>
      </c>
      <c r="IR82" s="644">
        <v>0.4</v>
      </c>
      <c r="IS82" s="644">
        <v>0.33</v>
      </c>
      <c r="IT82" s="644">
        <v>0.28000000000000003</v>
      </c>
      <c r="IU82" s="640" t="s">
        <v>287</v>
      </c>
      <c r="IV82" s="644">
        <v>0.57999999999999996</v>
      </c>
      <c r="IW82" s="644">
        <v>0.28000000000000003</v>
      </c>
      <c r="IX82" s="644">
        <v>0.67</v>
      </c>
      <c r="IY82" s="644">
        <v>0.45</v>
      </c>
    </row>
    <row r="83" spans="1:259" ht="24.9" customHeight="1" x14ac:dyDescent="0.25">
      <c r="A83" s="188" t="s">
        <v>38</v>
      </c>
      <c r="B83" s="1" t="s">
        <v>222</v>
      </c>
      <c r="C83" s="2">
        <v>6</v>
      </c>
      <c r="D83" s="16">
        <v>58</v>
      </c>
      <c r="E83" s="16">
        <v>7</v>
      </c>
      <c r="F83" s="99">
        <v>0</v>
      </c>
      <c r="G83" s="99">
        <v>0.35</v>
      </c>
      <c r="H83" s="99">
        <v>0.65</v>
      </c>
      <c r="I83" s="99">
        <v>0</v>
      </c>
      <c r="J83" s="99">
        <v>0.21</v>
      </c>
      <c r="K83" s="99">
        <v>0.19</v>
      </c>
      <c r="L83" s="99">
        <v>0.6</v>
      </c>
      <c r="M83" s="99">
        <v>0.08</v>
      </c>
      <c r="N83" s="99">
        <v>0.22</v>
      </c>
      <c r="O83" s="99">
        <v>0.59</v>
      </c>
      <c r="P83" s="99">
        <v>0.35</v>
      </c>
      <c r="Q83" s="99">
        <v>0.28999999999999998</v>
      </c>
      <c r="R83" s="99">
        <v>0.43</v>
      </c>
      <c r="S83" s="99">
        <v>0.6</v>
      </c>
      <c r="T83" s="99">
        <v>0.43</v>
      </c>
      <c r="U83" s="99">
        <v>0.49</v>
      </c>
      <c r="V83" s="99">
        <v>0.08</v>
      </c>
      <c r="W83" s="99">
        <v>0.14000000000000001</v>
      </c>
      <c r="X83" s="99">
        <v>0.4</v>
      </c>
      <c r="Y83" s="99">
        <v>0.43</v>
      </c>
      <c r="Z83" s="13" t="s">
        <v>287</v>
      </c>
      <c r="AA83" s="99">
        <v>0</v>
      </c>
      <c r="AB83" s="99">
        <v>0.31</v>
      </c>
      <c r="AC83" s="99">
        <v>0.16</v>
      </c>
      <c r="AD83" s="99">
        <v>0.4</v>
      </c>
      <c r="AE83" s="99">
        <v>0.37</v>
      </c>
      <c r="AF83" s="99">
        <v>0.28000000000000003</v>
      </c>
      <c r="AG83" s="99">
        <v>0.52</v>
      </c>
      <c r="AH83" s="16">
        <v>52</v>
      </c>
      <c r="AI83" s="16">
        <v>8</v>
      </c>
      <c r="AJ83" s="66">
        <v>0.13</v>
      </c>
      <c r="AK83" s="66">
        <v>0.45</v>
      </c>
      <c r="AL83" s="66">
        <v>0.42</v>
      </c>
      <c r="AM83" s="66">
        <v>0</v>
      </c>
      <c r="AN83" s="66">
        <v>0.23</v>
      </c>
      <c r="AO83" s="66">
        <v>0.38</v>
      </c>
      <c r="AP83" s="66">
        <v>0.62</v>
      </c>
      <c r="AQ83" s="66">
        <v>0.41</v>
      </c>
      <c r="AR83" s="66">
        <v>0.5</v>
      </c>
      <c r="AS83" s="66">
        <v>0.5</v>
      </c>
      <c r="AT83" s="66">
        <v>0.53</v>
      </c>
      <c r="AU83" s="66">
        <v>0.44</v>
      </c>
      <c r="AV83" s="66">
        <v>0.65</v>
      </c>
      <c r="AW83" s="66">
        <v>0.5</v>
      </c>
      <c r="AX83" s="66">
        <v>0.5</v>
      </c>
      <c r="AY83" s="66">
        <v>0.34</v>
      </c>
      <c r="AZ83" s="66">
        <v>0.22</v>
      </c>
      <c r="BA83" s="66">
        <v>0.44</v>
      </c>
      <c r="BB83" s="66">
        <v>0.72</v>
      </c>
      <c r="BC83" s="66">
        <v>0.61</v>
      </c>
      <c r="BD83" s="66">
        <v>0.4</v>
      </c>
      <c r="BE83" s="66">
        <v>0.53</v>
      </c>
      <c r="BF83" s="66">
        <v>0.8</v>
      </c>
      <c r="BG83" s="66">
        <v>0.45</v>
      </c>
      <c r="BH83" s="66">
        <v>0.45</v>
      </c>
      <c r="BI83" s="66">
        <v>0.43</v>
      </c>
      <c r="BJ83" s="66">
        <v>0.32</v>
      </c>
      <c r="BK83" s="66">
        <v>0.46</v>
      </c>
      <c r="BL83" s="66">
        <v>0.4</v>
      </c>
      <c r="BM83" s="16">
        <v>51</v>
      </c>
      <c r="BN83" s="16">
        <v>8</v>
      </c>
      <c r="BO83" s="99">
        <v>0.09</v>
      </c>
      <c r="BP83" s="99">
        <v>0.62</v>
      </c>
      <c r="BQ83" s="99">
        <v>0.3</v>
      </c>
      <c r="BR83" s="99">
        <v>0</v>
      </c>
      <c r="BS83" s="99">
        <v>0.36</v>
      </c>
      <c r="BT83" s="99">
        <v>0.38</v>
      </c>
      <c r="BU83" s="99">
        <v>0.72</v>
      </c>
      <c r="BV83" s="99">
        <v>0.22</v>
      </c>
      <c r="BW83" s="99">
        <v>0.63</v>
      </c>
      <c r="BX83" s="99">
        <v>0.28000000000000003</v>
      </c>
      <c r="BY83" s="99">
        <v>0.48</v>
      </c>
      <c r="BZ83" s="99">
        <v>0.56999999999999995</v>
      </c>
      <c r="CA83" s="99">
        <v>0.49</v>
      </c>
      <c r="CB83" s="99">
        <v>0.42</v>
      </c>
      <c r="CC83" s="99">
        <v>0.18</v>
      </c>
      <c r="CD83" s="99">
        <v>0.44</v>
      </c>
      <c r="CE83" s="99">
        <v>0.35</v>
      </c>
      <c r="CF83" s="99">
        <v>0.56999999999999995</v>
      </c>
      <c r="CG83" s="99">
        <v>0.52</v>
      </c>
      <c r="CH83" s="99">
        <v>0.53</v>
      </c>
      <c r="CI83" s="99">
        <v>0.64</v>
      </c>
      <c r="CJ83" s="99">
        <v>0.26</v>
      </c>
      <c r="CK83" s="99">
        <v>0.7</v>
      </c>
      <c r="CL83" s="99">
        <v>0.3</v>
      </c>
      <c r="CM83" s="99">
        <v>0.42</v>
      </c>
      <c r="CN83" s="99">
        <v>0.37</v>
      </c>
      <c r="CO83" s="99">
        <v>0.39</v>
      </c>
      <c r="CP83" s="99">
        <v>0.36</v>
      </c>
      <c r="CQ83" s="99">
        <v>0.49</v>
      </c>
      <c r="CR83" s="99">
        <v>0.54</v>
      </c>
      <c r="CS83" s="16">
        <v>51</v>
      </c>
      <c r="CT83" s="16">
        <v>10</v>
      </c>
      <c r="CU83" s="96">
        <v>0.13</v>
      </c>
      <c r="CV83" s="96">
        <v>0.55000000000000004</v>
      </c>
      <c r="CW83" s="96">
        <v>0.3</v>
      </c>
      <c r="CX83" s="96">
        <v>0.02</v>
      </c>
      <c r="CY83" s="96">
        <v>0.49</v>
      </c>
      <c r="CZ83" s="96">
        <v>0.28000000000000003</v>
      </c>
      <c r="DA83" s="96">
        <v>0.57999999999999996</v>
      </c>
      <c r="DB83" s="96">
        <v>0.34</v>
      </c>
      <c r="DC83" s="96">
        <v>0.47</v>
      </c>
      <c r="DD83" s="96">
        <v>0.57999999999999996</v>
      </c>
      <c r="DE83" s="96">
        <v>0.49</v>
      </c>
      <c r="DF83" s="96">
        <v>0.55000000000000004</v>
      </c>
      <c r="DG83" s="96">
        <v>0.41</v>
      </c>
      <c r="DH83" s="96">
        <v>0.35</v>
      </c>
      <c r="DI83" s="96">
        <v>0.52</v>
      </c>
      <c r="DJ83" s="96">
        <v>0.5</v>
      </c>
      <c r="DK83" s="96">
        <v>0.38</v>
      </c>
      <c r="DL83" s="96">
        <v>0.37</v>
      </c>
      <c r="DM83" s="96">
        <v>0.5</v>
      </c>
      <c r="DN83" s="96">
        <v>0.47</v>
      </c>
      <c r="DO83" s="96">
        <v>0.44</v>
      </c>
      <c r="DP83" s="96">
        <v>0.45</v>
      </c>
      <c r="DQ83" s="96">
        <v>0.56000000000000005</v>
      </c>
      <c r="DR83" s="96">
        <v>0.14000000000000001</v>
      </c>
      <c r="DS83" s="96">
        <v>0.3</v>
      </c>
      <c r="DT83" s="96">
        <v>0.5</v>
      </c>
      <c r="DU83" s="96">
        <v>0.52</v>
      </c>
      <c r="DV83" s="96">
        <v>0.59</v>
      </c>
      <c r="DW83" s="96">
        <v>0.2</v>
      </c>
      <c r="DX83" s="61">
        <v>48</v>
      </c>
      <c r="DY83" s="61">
        <v>8</v>
      </c>
      <c r="DZ83" s="66">
        <v>0.15</v>
      </c>
      <c r="EA83" s="66">
        <v>0.69</v>
      </c>
      <c r="EB83" s="66">
        <v>0.16</v>
      </c>
      <c r="EC83" s="66">
        <v>0</v>
      </c>
      <c r="ED83" s="66">
        <v>0.6</v>
      </c>
      <c r="EE83" s="66">
        <v>0.47</v>
      </c>
      <c r="EF83" s="66">
        <v>0.62</v>
      </c>
      <c r="EG83" s="66">
        <v>0.47</v>
      </c>
      <c r="EH83" s="66">
        <v>0.53</v>
      </c>
      <c r="EI83" s="66">
        <v>0.57999999999999996</v>
      </c>
      <c r="EJ83" s="66">
        <v>0.65</v>
      </c>
      <c r="EK83" s="66">
        <v>0.23</v>
      </c>
      <c r="EL83" s="66">
        <v>0.49</v>
      </c>
      <c r="EM83" s="66">
        <v>0.57999999999999996</v>
      </c>
      <c r="EN83" s="66">
        <v>0.52</v>
      </c>
      <c r="EO83" s="66">
        <v>0.59</v>
      </c>
      <c r="EP83" s="66">
        <v>0.46</v>
      </c>
      <c r="EQ83" s="66">
        <v>0.3</v>
      </c>
      <c r="ER83" s="66">
        <v>0.64</v>
      </c>
      <c r="ES83" s="66">
        <v>0.5</v>
      </c>
      <c r="ET83" s="66">
        <v>0.39</v>
      </c>
      <c r="EU83" s="66">
        <v>0.66</v>
      </c>
      <c r="EV83" s="66">
        <v>0.38</v>
      </c>
      <c r="EW83" s="66">
        <v>0.32</v>
      </c>
      <c r="EX83" s="66">
        <v>0.69</v>
      </c>
      <c r="EY83" s="66">
        <v>0.62</v>
      </c>
      <c r="EZ83" s="66">
        <v>0.1</v>
      </c>
      <c r="FA83" s="66">
        <v>0.64</v>
      </c>
      <c r="FB83" s="349">
        <v>48</v>
      </c>
      <c r="FC83" s="348" t="s">
        <v>910</v>
      </c>
      <c r="FD83" s="349">
        <v>9</v>
      </c>
      <c r="FE83" s="348" t="s">
        <v>910</v>
      </c>
      <c r="FF83" s="371">
        <v>0.26</v>
      </c>
      <c r="FG83" s="371">
        <v>0.53</v>
      </c>
      <c r="FH83" s="371">
        <v>0.21</v>
      </c>
      <c r="FI83" s="371">
        <v>0</v>
      </c>
      <c r="FJ83" s="371">
        <v>0.48</v>
      </c>
      <c r="FK83" s="371">
        <v>0.63</v>
      </c>
      <c r="FL83" s="371">
        <v>0.49</v>
      </c>
      <c r="FM83" s="371">
        <v>0.65</v>
      </c>
      <c r="FN83" s="371">
        <v>0.3</v>
      </c>
      <c r="FO83" s="371">
        <v>0.42</v>
      </c>
      <c r="FP83" s="371">
        <v>0.4</v>
      </c>
      <c r="FQ83" s="371">
        <v>0.43</v>
      </c>
      <c r="FR83" s="371">
        <v>0.62</v>
      </c>
      <c r="FS83" s="371">
        <v>0.65</v>
      </c>
      <c r="FT83" s="371">
        <v>0.49</v>
      </c>
      <c r="FU83" s="371">
        <v>0.44</v>
      </c>
      <c r="FV83" s="371">
        <v>0.59</v>
      </c>
      <c r="FW83" s="371">
        <v>0.55000000000000004</v>
      </c>
      <c r="FX83" s="371">
        <v>0.48</v>
      </c>
      <c r="FY83" s="371">
        <v>0.38</v>
      </c>
      <c r="FZ83" s="371">
        <v>0.4</v>
      </c>
      <c r="GA83" s="371">
        <v>0.55000000000000004</v>
      </c>
      <c r="GB83" s="371">
        <v>0.67</v>
      </c>
      <c r="GC83" s="371">
        <v>0.51</v>
      </c>
      <c r="GD83" s="371">
        <v>0.64</v>
      </c>
      <c r="GE83" s="371">
        <v>0.55000000000000004</v>
      </c>
      <c r="GF83" s="371">
        <v>0.55000000000000004</v>
      </c>
      <c r="GG83" s="371">
        <v>0.53</v>
      </c>
      <c r="GH83" s="371">
        <v>0.56000000000000005</v>
      </c>
      <c r="GI83" s="371">
        <v>0.36</v>
      </c>
      <c r="GJ83" s="469">
        <v>49</v>
      </c>
      <c r="GK83" s="471" t="s">
        <v>910</v>
      </c>
      <c r="GL83" s="469">
        <v>9</v>
      </c>
      <c r="GM83" s="471" t="s">
        <v>910</v>
      </c>
      <c r="GN83" s="501">
        <v>0.18</v>
      </c>
      <c r="GO83" s="501">
        <v>0.63</v>
      </c>
      <c r="GP83" s="501">
        <v>0.18</v>
      </c>
      <c r="GQ83" s="501">
        <v>0.01</v>
      </c>
      <c r="GR83" s="501">
        <v>0.44</v>
      </c>
      <c r="GS83" s="501">
        <v>0.55000000000000004</v>
      </c>
      <c r="GT83" s="501">
        <v>0.63</v>
      </c>
      <c r="GU83" s="501">
        <v>0.17</v>
      </c>
      <c r="GV83" s="501">
        <v>0.54</v>
      </c>
      <c r="GW83" s="501">
        <v>0.56000000000000005</v>
      </c>
      <c r="GX83" s="501">
        <v>0.45</v>
      </c>
      <c r="GY83" s="471" t="s">
        <v>287</v>
      </c>
      <c r="GZ83" s="501">
        <v>0.35</v>
      </c>
      <c r="HA83" s="501">
        <v>0.76</v>
      </c>
      <c r="HB83" s="501">
        <v>0.5</v>
      </c>
      <c r="HC83" s="501">
        <v>0.57999999999999996</v>
      </c>
      <c r="HD83" s="501">
        <v>0.61</v>
      </c>
      <c r="HE83" s="501">
        <v>0.55000000000000004</v>
      </c>
      <c r="HF83" s="501">
        <v>0.52</v>
      </c>
      <c r="HG83" s="501">
        <v>0.69</v>
      </c>
      <c r="HH83" s="501">
        <v>0.43</v>
      </c>
      <c r="HI83" s="501">
        <v>0.56999999999999995</v>
      </c>
      <c r="HJ83" s="501">
        <v>0.55000000000000004</v>
      </c>
      <c r="HK83" s="501">
        <v>0.54</v>
      </c>
      <c r="HL83" s="501">
        <v>0.46</v>
      </c>
      <c r="HM83" s="501">
        <v>0.51</v>
      </c>
      <c r="HN83" s="501">
        <v>0.46</v>
      </c>
      <c r="HO83" s="501">
        <v>0.46</v>
      </c>
      <c r="HP83" s="471" t="s">
        <v>287</v>
      </c>
      <c r="HQ83" s="501">
        <v>0.51</v>
      </c>
      <c r="HR83" s="630">
        <v>50</v>
      </c>
      <c r="HS83" s="640" t="s">
        <v>910</v>
      </c>
      <c r="HT83" s="630">
        <v>9</v>
      </c>
      <c r="HU83" s="640" t="s">
        <v>910</v>
      </c>
      <c r="HV83" s="644">
        <v>0.17</v>
      </c>
      <c r="HW83" s="644">
        <v>0.55000000000000004</v>
      </c>
      <c r="HX83" s="644">
        <v>0.28999999999999998</v>
      </c>
      <c r="HY83" s="644">
        <v>0</v>
      </c>
      <c r="HZ83" s="644">
        <v>0.38</v>
      </c>
      <c r="IA83" s="644">
        <v>0.56999999999999995</v>
      </c>
      <c r="IB83" s="644">
        <v>0.37</v>
      </c>
      <c r="IC83" s="644">
        <v>0.52</v>
      </c>
      <c r="ID83" s="644">
        <v>0.6</v>
      </c>
      <c r="IE83" s="644">
        <v>0.35</v>
      </c>
      <c r="IF83" s="644">
        <v>0.43</v>
      </c>
      <c r="IG83" s="644">
        <v>0.61</v>
      </c>
      <c r="IH83" s="644">
        <v>0.54</v>
      </c>
      <c r="II83" s="644">
        <v>0.33</v>
      </c>
      <c r="IJ83" s="644">
        <v>0.27</v>
      </c>
      <c r="IK83" s="644">
        <v>0.64</v>
      </c>
      <c r="IL83" s="644">
        <v>0.33</v>
      </c>
      <c r="IM83" s="644">
        <v>0.61</v>
      </c>
      <c r="IN83" s="644">
        <v>0.49</v>
      </c>
      <c r="IO83" s="644">
        <v>0.62</v>
      </c>
      <c r="IP83" s="644">
        <v>0.47</v>
      </c>
      <c r="IQ83" s="644">
        <v>0.69</v>
      </c>
      <c r="IR83" s="644">
        <v>0.63</v>
      </c>
      <c r="IS83" s="644">
        <v>0.56000000000000005</v>
      </c>
      <c r="IT83" s="644">
        <v>0.44</v>
      </c>
      <c r="IU83" s="640" t="s">
        <v>287</v>
      </c>
      <c r="IV83" s="644">
        <v>0.66</v>
      </c>
      <c r="IW83" s="644">
        <v>0.5</v>
      </c>
      <c r="IX83" s="644">
        <v>0.46</v>
      </c>
      <c r="IY83" s="644">
        <v>0.54</v>
      </c>
    </row>
    <row r="84" spans="1:259" ht="24.9" customHeight="1" x14ac:dyDescent="0.25">
      <c r="A84" s="188" t="s">
        <v>184</v>
      </c>
      <c r="B84" s="1" t="s">
        <v>222</v>
      </c>
      <c r="C84" s="2">
        <v>3</v>
      </c>
      <c r="D84" s="16">
        <v>55</v>
      </c>
      <c r="E84" s="16">
        <v>9</v>
      </c>
      <c r="F84" s="99">
        <v>0.09</v>
      </c>
      <c r="G84" s="99">
        <v>0.39</v>
      </c>
      <c r="H84" s="99">
        <v>0.52</v>
      </c>
      <c r="I84" s="99">
        <v>0</v>
      </c>
      <c r="J84" s="99">
        <v>0.25</v>
      </c>
      <c r="K84" s="99">
        <v>0.21</v>
      </c>
      <c r="L84" s="99">
        <v>0.9</v>
      </c>
      <c r="M84" s="99">
        <v>0.21</v>
      </c>
      <c r="N84" s="99">
        <v>0.23</v>
      </c>
      <c r="O84" s="99">
        <v>0.75</v>
      </c>
      <c r="P84" s="99">
        <v>0.38</v>
      </c>
      <c r="Q84" s="99">
        <v>0.34</v>
      </c>
      <c r="R84" s="99">
        <v>0.53</v>
      </c>
      <c r="S84" s="99">
        <v>0.57999999999999996</v>
      </c>
      <c r="T84" s="99">
        <v>0.43</v>
      </c>
      <c r="U84" s="99">
        <v>0.45</v>
      </c>
      <c r="V84" s="99">
        <v>0.04</v>
      </c>
      <c r="W84" s="99">
        <v>7.0000000000000007E-2</v>
      </c>
      <c r="X84" s="99">
        <v>0.43</v>
      </c>
      <c r="Y84" s="99">
        <v>0.42</v>
      </c>
      <c r="Z84" s="13" t="s">
        <v>287</v>
      </c>
      <c r="AA84" s="99">
        <v>0.21</v>
      </c>
      <c r="AB84" s="99">
        <v>0.37</v>
      </c>
      <c r="AC84" s="99">
        <v>0.31</v>
      </c>
      <c r="AD84" s="99">
        <v>0.5</v>
      </c>
      <c r="AE84" s="99">
        <v>0.4</v>
      </c>
      <c r="AF84" s="99">
        <v>0.43</v>
      </c>
      <c r="AG84" s="99">
        <v>0.38</v>
      </c>
      <c r="AH84" s="16">
        <v>52</v>
      </c>
      <c r="AI84" s="16">
        <v>8</v>
      </c>
      <c r="AJ84" s="66">
        <v>0.04</v>
      </c>
      <c r="AK84" s="66">
        <v>0.63</v>
      </c>
      <c r="AL84" s="66">
        <v>0.33</v>
      </c>
      <c r="AM84" s="66">
        <v>0</v>
      </c>
      <c r="AN84" s="66">
        <v>0.35</v>
      </c>
      <c r="AO84" s="66">
        <v>0.38</v>
      </c>
      <c r="AP84" s="66">
        <v>0.43</v>
      </c>
      <c r="AQ84" s="66">
        <v>0.44</v>
      </c>
      <c r="AR84" s="66">
        <v>0.44</v>
      </c>
      <c r="AS84" s="66">
        <v>0.53</v>
      </c>
      <c r="AT84" s="66">
        <v>0.51</v>
      </c>
      <c r="AU84" s="66">
        <v>0.56999999999999995</v>
      </c>
      <c r="AV84" s="66">
        <v>0.52</v>
      </c>
      <c r="AW84" s="66">
        <v>0.44</v>
      </c>
      <c r="AX84" s="66">
        <v>0.5</v>
      </c>
      <c r="AY84" s="66">
        <v>0.38</v>
      </c>
      <c r="AZ84" s="66">
        <v>0.39</v>
      </c>
      <c r="BA84" s="66">
        <v>0.59</v>
      </c>
      <c r="BB84" s="66">
        <v>0.66</v>
      </c>
      <c r="BC84" s="66">
        <v>0.73</v>
      </c>
      <c r="BD84" s="66">
        <v>0.4</v>
      </c>
      <c r="BE84" s="66">
        <v>0.79</v>
      </c>
      <c r="BF84" s="66">
        <v>0.69</v>
      </c>
      <c r="BG84" s="66">
        <v>0.57999999999999996</v>
      </c>
      <c r="BH84" s="66">
        <v>0.4</v>
      </c>
      <c r="BI84" s="66">
        <v>0.46</v>
      </c>
      <c r="BJ84" s="66">
        <v>0.37</v>
      </c>
      <c r="BK84" s="66">
        <v>0.4</v>
      </c>
      <c r="BL84" s="66">
        <v>0.33</v>
      </c>
      <c r="BM84" s="16">
        <v>52</v>
      </c>
      <c r="BN84" s="16">
        <v>7</v>
      </c>
      <c r="BO84" s="99">
        <v>0.06</v>
      </c>
      <c r="BP84" s="99">
        <v>0.61</v>
      </c>
      <c r="BQ84" s="99">
        <v>0.33</v>
      </c>
      <c r="BR84" s="99">
        <v>0</v>
      </c>
      <c r="BS84" s="99">
        <v>0.35</v>
      </c>
      <c r="BT84" s="99">
        <v>0.5</v>
      </c>
      <c r="BU84" s="99">
        <v>0.77</v>
      </c>
      <c r="BV84" s="99">
        <v>0.22</v>
      </c>
      <c r="BW84" s="99">
        <v>0.5</v>
      </c>
      <c r="BX84" s="99">
        <v>0.35</v>
      </c>
      <c r="BY84" s="99">
        <v>0.37</v>
      </c>
      <c r="BZ84" s="99">
        <v>0.56000000000000005</v>
      </c>
      <c r="CA84" s="99">
        <v>0.22</v>
      </c>
      <c r="CB84" s="99">
        <v>0.24</v>
      </c>
      <c r="CC84" s="99">
        <v>0.26</v>
      </c>
      <c r="CD84" s="99">
        <v>0.43</v>
      </c>
      <c r="CE84" s="99">
        <v>0.27</v>
      </c>
      <c r="CF84" s="99">
        <v>0.61</v>
      </c>
      <c r="CG84" s="99">
        <v>0.62</v>
      </c>
      <c r="CH84" s="99">
        <v>0.39</v>
      </c>
      <c r="CI84" s="99">
        <v>0.59</v>
      </c>
      <c r="CJ84" s="99">
        <v>0.5</v>
      </c>
      <c r="CK84" s="99">
        <v>0.67</v>
      </c>
      <c r="CL84" s="99">
        <v>0.14000000000000001</v>
      </c>
      <c r="CM84" s="99">
        <v>0.38</v>
      </c>
      <c r="CN84" s="99">
        <v>0.37</v>
      </c>
      <c r="CO84" s="99">
        <v>0.42</v>
      </c>
      <c r="CP84" s="99">
        <v>0.28999999999999998</v>
      </c>
      <c r="CQ84" s="99">
        <v>0.56000000000000005</v>
      </c>
      <c r="CR84" s="99">
        <v>0.5</v>
      </c>
      <c r="CS84" s="16">
        <v>50</v>
      </c>
      <c r="CT84" s="16">
        <v>7</v>
      </c>
      <c r="CU84" s="96">
        <v>0.11</v>
      </c>
      <c r="CV84" s="96">
        <v>0.78</v>
      </c>
      <c r="CW84" s="96">
        <v>0.11</v>
      </c>
      <c r="CX84" s="96">
        <v>0</v>
      </c>
      <c r="CY84" s="96">
        <v>0.53</v>
      </c>
      <c r="CZ84" s="96">
        <v>0.25</v>
      </c>
      <c r="DA84" s="96">
        <v>0.51</v>
      </c>
      <c r="DB84" s="96">
        <v>0.32</v>
      </c>
      <c r="DC84" s="96">
        <v>0.35</v>
      </c>
      <c r="DD84" s="96">
        <v>0.69</v>
      </c>
      <c r="DE84" s="96">
        <v>0.56999999999999995</v>
      </c>
      <c r="DF84" s="96">
        <v>0.56000000000000005</v>
      </c>
      <c r="DG84" s="96">
        <v>0.41</v>
      </c>
      <c r="DH84" s="96">
        <v>0.26</v>
      </c>
      <c r="DI84" s="96">
        <v>0.56999999999999995</v>
      </c>
      <c r="DJ84" s="96">
        <v>0.57999999999999996</v>
      </c>
      <c r="DK84" s="96">
        <v>0.15</v>
      </c>
      <c r="DL84" s="96">
        <v>0.25</v>
      </c>
      <c r="DM84" s="96">
        <v>0.6</v>
      </c>
      <c r="DN84" s="96">
        <v>0.69</v>
      </c>
      <c r="DO84" s="96">
        <v>0.67</v>
      </c>
      <c r="DP84" s="96">
        <v>0.52</v>
      </c>
      <c r="DQ84" s="96">
        <v>0.49</v>
      </c>
      <c r="DR84" s="96">
        <v>0.09</v>
      </c>
      <c r="DS84" s="96">
        <v>0.38</v>
      </c>
      <c r="DT84" s="96">
        <v>0.69</v>
      </c>
      <c r="DU84" s="96">
        <v>0.6</v>
      </c>
      <c r="DV84" s="96">
        <v>0.64</v>
      </c>
      <c r="DW84" s="96">
        <v>0.37</v>
      </c>
      <c r="DX84" s="61">
        <v>56</v>
      </c>
      <c r="DY84" s="61">
        <v>10</v>
      </c>
      <c r="DZ84" s="66">
        <v>0.05</v>
      </c>
      <c r="EA84" s="66">
        <v>0.3</v>
      </c>
      <c r="EB84" s="66">
        <v>0.6</v>
      </c>
      <c r="EC84" s="66">
        <v>0.05</v>
      </c>
      <c r="ED84" s="66">
        <v>0.35</v>
      </c>
      <c r="EE84" s="66">
        <v>0.38</v>
      </c>
      <c r="EF84" s="66">
        <v>0.32</v>
      </c>
      <c r="EG84" s="66">
        <v>0.28999999999999998</v>
      </c>
      <c r="EH84" s="66">
        <v>0.32</v>
      </c>
      <c r="EI84" s="66">
        <v>0.33</v>
      </c>
      <c r="EJ84" s="66">
        <v>0.4</v>
      </c>
      <c r="EK84" s="66">
        <v>0.35</v>
      </c>
      <c r="EL84" s="66">
        <v>0.48</v>
      </c>
      <c r="EM84" s="66">
        <v>0.65</v>
      </c>
      <c r="EN84" s="66">
        <v>0.28000000000000003</v>
      </c>
      <c r="EO84" s="66">
        <v>0.41</v>
      </c>
      <c r="EP84" s="66">
        <v>0.14000000000000001</v>
      </c>
      <c r="EQ84" s="66">
        <v>0.14000000000000001</v>
      </c>
      <c r="ER84" s="66">
        <v>0.46</v>
      </c>
      <c r="ES84" s="66">
        <v>0.37</v>
      </c>
      <c r="ET84" s="66">
        <v>0.17</v>
      </c>
      <c r="EU84" s="66">
        <v>0.31</v>
      </c>
      <c r="EV84" s="66">
        <v>0.28999999999999998</v>
      </c>
      <c r="EW84" s="66">
        <v>0.26</v>
      </c>
      <c r="EX84" s="66">
        <v>0.6</v>
      </c>
      <c r="EY84" s="66">
        <v>0.49</v>
      </c>
      <c r="EZ84" s="66">
        <v>0.14000000000000001</v>
      </c>
      <c r="FA84" s="66">
        <v>0.49</v>
      </c>
      <c r="FB84" s="349">
        <v>50</v>
      </c>
      <c r="FC84" s="348" t="s">
        <v>910</v>
      </c>
      <c r="FD84" s="349">
        <v>7</v>
      </c>
      <c r="FE84" s="348" t="s">
        <v>910</v>
      </c>
      <c r="FF84" s="371">
        <v>0.13</v>
      </c>
      <c r="FG84" s="371">
        <v>0.56000000000000005</v>
      </c>
      <c r="FH84" s="371">
        <v>0.31</v>
      </c>
      <c r="FI84" s="371">
        <v>0</v>
      </c>
      <c r="FJ84" s="371">
        <v>0.45</v>
      </c>
      <c r="FK84" s="371">
        <v>0.62</v>
      </c>
      <c r="FL84" s="371">
        <v>0.49</v>
      </c>
      <c r="FM84" s="371">
        <v>0.47</v>
      </c>
      <c r="FN84" s="371">
        <v>0.23</v>
      </c>
      <c r="FO84" s="371">
        <v>0.46</v>
      </c>
      <c r="FP84" s="371">
        <v>0.42</v>
      </c>
      <c r="FQ84" s="371">
        <v>0.32</v>
      </c>
      <c r="FR84" s="371">
        <v>0.62</v>
      </c>
      <c r="FS84" s="371">
        <v>0.4</v>
      </c>
      <c r="FT84" s="371">
        <v>0.45</v>
      </c>
      <c r="FU84" s="371">
        <v>0.25</v>
      </c>
      <c r="FV84" s="371">
        <v>0.66</v>
      </c>
      <c r="FW84" s="371">
        <v>0.56000000000000005</v>
      </c>
      <c r="FX84" s="371">
        <v>0.38</v>
      </c>
      <c r="FY84" s="371">
        <v>0.34</v>
      </c>
      <c r="FZ84" s="371">
        <v>0.43</v>
      </c>
      <c r="GA84" s="371">
        <v>0.45</v>
      </c>
      <c r="GB84" s="371">
        <v>0.54</v>
      </c>
      <c r="GC84" s="371">
        <v>0.42</v>
      </c>
      <c r="GD84" s="371">
        <v>0.64</v>
      </c>
      <c r="GE84" s="371">
        <v>0.53</v>
      </c>
      <c r="GF84" s="371">
        <v>0.49</v>
      </c>
      <c r="GG84" s="371">
        <v>0.4</v>
      </c>
      <c r="GH84" s="371">
        <v>0.63</v>
      </c>
      <c r="GI84" s="371">
        <v>0.24</v>
      </c>
      <c r="GJ84" s="469">
        <v>49</v>
      </c>
      <c r="GK84" s="471" t="s">
        <v>910</v>
      </c>
      <c r="GL84" s="469">
        <v>9</v>
      </c>
      <c r="GM84" s="471" t="s">
        <v>910</v>
      </c>
      <c r="GN84" s="501">
        <v>0.19</v>
      </c>
      <c r="GO84" s="501">
        <v>0.56000000000000005</v>
      </c>
      <c r="GP84" s="501">
        <v>0.25</v>
      </c>
      <c r="GQ84" s="501">
        <v>0</v>
      </c>
      <c r="GR84" s="501">
        <v>0.57999999999999996</v>
      </c>
      <c r="GS84" s="501">
        <v>0.59</v>
      </c>
      <c r="GT84" s="501">
        <v>0.6</v>
      </c>
      <c r="GU84" s="501">
        <v>0.33</v>
      </c>
      <c r="GV84" s="501">
        <v>0.45</v>
      </c>
      <c r="GW84" s="501">
        <v>0.45</v>
      </c>
      <c r="GX84" s="501">
        <v>0.44</v>
      </c>
      <c r="GY84" s="471" t="s">
        <v>287</v>
      </c>
      <c r="GZ84" s="501">
        <v>0.21</v>
      </c>
      <c r="HA84" s="501">
        <v>0.6</v>
      </c>
      <c r="HB84" s="501">
        <v>0.42</v>
      </c>
      <c r="HC84" s="501">
        <v>0.64</v>
      </c>
      <c r="HD84" s="501">
        <v>0.64</v>
      </c>
      <c r="HE84" s="501">
        <v>0.41</v>
      </c>
      <c r="HF84" s="501">
        <v>0.55000000000000004</v>
      </c>
      <c r="HG84" s="501">
        <v>0.64</v>
      </c>
      <c r="HH84" s="501">
        <v>0.44</v>
      </c>
      <c r="HI84" s="501">
        <v>0.65</v>
      </c>
      <c r="HJ84" s="501">
        <v>0.62</v>
      </c>
      <c r="HK84" s="501">
        <v>0.64</v>
      </c>
      <c r="HL84" s="501">
        <v>0.5</v>
      </c>
      <c r="HM84" s="501">
        <v>0.49</v>
      </c>
      <c r="HN84" s="501">
        <v>0.56000000000000005</v>
      </c>
      <c r="HO84" s="501">
        <v>0.42</v>
      </c>
      <c r="HP84" s="471" t="s">
        <v>287</v>
      </c>
      <c r="HQ84" s="501">
        <v>0.68</v>
      </c>
      <c r="HR84" s="630">
        <v>51</v>
      </c>
      <c r="HS84" s="640" t="s">
        <v>910</v>
      </c>
      <c r="HT84" s="630">
        <v>8</v>
      </c>
      <c r="HU84" s="640" t="s">
        <v>910</v>
      </c>
      <c r="HV84" s="644">
        <v>0.15</v>
      </c>
      <c r="HW84" s="644">
        <v>0.62</v>
      </c>
      <c r="HX84" s="644">
        <v>0.23</v>
      </c>
      <c r="HY84" s="644">
        <v>0</v>
      </c>
      <c r="HZ84" s="644">
        <v>0.33</v>
      </c>
      <c r="IA84" s="644">
        <v>0.53</v>
      </c>
      <c r="IB84" s="644">
        <v>0.33</v>
      </c>
      <c r="IC84" s="644">
        <v>0.56000000000000005</v>
      </c>
      <c r="ID84" s="644">
        <v>0.66</v>
      </c>
      <c r="IE84" s="644">
        <v>0.36</v>
      </c>
      <c r="IF84" s="644">
        <v>0.44</v>
      </c>
      <c r="IG84" s="644">
        <v>0.4</v>
      </c>
      <c r="IH84" s="644">
        <v>0.61</v>
      </c>
      <c r="II84" s="644">
        <v>0.6</v>
      </c>
      <c r="IJ84" s="644">
        <v>0.24</v>
      </c>
      <c r="IK84" s="644">
        <v>0.72</v>
      </c>
      <c r="IL84" s="644">
        <v>0.28999999999999998</v>
      </c>
      <c r="IM84" s="644">
        <v>0.59</v>
      </c>
      <c r="IN84" s="644">
        <v>0.41</v>
      </c>
      <c r="IO84" s="644">
        <v>0.57999999999999996</v>
      </c>
      <c r="IP84" s="644">
        <v>0.41</v>
      </c>
      <c r="IQ84" s="644">
        <v>0.65</v>
      </c>
      <c r="IR84" s="644">
        <v>0.52</v>
      </c>
      <c r="IS84" s="644">
        <v>0.47</v>
      </c>
      <c r="IT84" s="644">
        <v>0.38</v>
      </c>
      <c r="IU84" s="640" t="s">
        <v>287</v>
      </c>
      <c r="IV84" s="644">
        <v>0.56000000000000005</v>
      </c>
      <c r="IW84" s="644">
        <v>0.35</v>
      </c>
      <c r="IX84" s="644">
        <v>0.46</v>
      </c>
      <c r="IY84" s="644">
        <v>0.43</v>
      </c>
    </row>
    <row r="85" spans="1:259" ht="24.9" customHeight="1" x14ac:dyDescent="0.25">
      <c r="A85" s="188" t="s">
        <v>110</v>
      </c>
      <c r="B85" s="1" t="s">
        <v>222</v>
      </c>
      <c r="C85" s="2">
        <v>2</v>
      </c>
      <c r="D85" s="16">
        <v>60</v>
      </c>
      <c r="E85" s="16">
        <v>6</v>
      </c>
      <c r="F85" s="99">
        <v>0</v>
      </c>
      <c r="G85" s="99">
        <v>0.28000000000000003</v>
      </c>
      <c r="H85" s="99">
        <v>0.7</v>
      </c>
      <c r="I85" s="99">
        <v>0.03</v>
      </c>
      <c r="J85" s="99">
        <v>0.26</v>
      </c>
      <c r="K85" s="99">
        <v>0.19</v>
      </c>
      <c r="L85" s="99">
        <v>0.62</v>
      </c>
      <c r="M85" s="99">
        <v>7.0000000000000007E-2</v>
      </c>
      <c r="N85" s="99">
        <v>0.21</v>
      </c>
      <c r="O85" s="99">
        <v>0.57999999999999996</v>
      </c>
      <c r="P85" s="99">
        <v>0.22</v>
      </c>
      <c r="Q85" s="99">
        <v>0.28999999999999998</v>
      </c>
      <c r="R85" s="99">
        <v>0.42</v>
      </c>
      <c r="S85" s="99">
        <v>0.49</v>
      </c>
      <c r="T85" s="99">
        <v>0.33</v>
      </c>
      <c r="U85" s="99">
        <v>0.44</v>
      </c>
      <c r="V85" s="99">
        <v>0.03</v>
      </c>
      <c r="W85" s="99">
        <v>7.0000000000000007E-2</v>
      </c>
      <c r="X85" s="99">
        <v>0.3</v>
      </c>
      <c r="Y85" s="99">
        <v>0.3</v>
      </c>
      <c r="Z85" s="13" t="s">
        <v>287</v>
      </c>
      <c r="AA85" s="99">
        <v>0.03</v>
      </c>
      <c r="AB85" s="99">
        <v>0.31</v>
      </c>
      <c r="AC85" s="99">
        <v>0.1</v>
      </c>
      <c r="AD85" s="99">
        <v>0.35</v>
      </c>
      <c r="AE85" s="99">
        <v>0.32</v>
      </c>
      <c r="AF85" s="99">
        <v>0.47</v>
      </c>
      <c r="AG85" s="99">
        <v>0.41</v>
      </c>
      <c r="AH85" s="16">
        <v>58</v>
      </c>
      <c r="AI85" s="16">
        <v>6</v>
      </c>
      <c r="AJ85" s="66">
        <v>0</v>
      </c>
      <c r="AK85" s="66">
        <v>0.32</v>
      </c>
      <c r="AL85" s="66">
        <v>0.68</v>
      </c>
      <c r="AM85" s="66">
        <v>0</v>
      </c>
      <c r="AN85" s="66">
        <v>0.16</v>
      </c>
      <c r="AO85" s="66">
        <v>0.37</v>
      </c>
      <c r="AP85" s="66">
        <v>0.42</v>
      </c>
      <c r="AQ85" s="66">
        <v>0.3</v>
      </c>
      <c r="AR85" s="66">
        <v>0.5</v>
      </c>
      <c r="AS85" s="66">
        <v>0.39</v>
      </c>
      <c r="AT85" s="66">
        <v>0.38</v>
      </c>
      <c r="AU85" s="66">
        <v>0.33</v>
      </c>
      <c r="AV85" s="66">
        <v>0.51</v>
      </c>
      <c r="AW85" s="66">
        <v>0.51</v>
      </c>
      <c r="AX85" s="66">
        <v>0.42</v>
      </c>
      <c r="AY85" s="66">
        <v>0.19</v>
      </c>
      <c r="AZ85" s="66">
        <v>0.11</v>
      </c>
      <c r="BA85" s="66">
        <v>0.35</v>
      </c>
      <c r="BB85" s="66">
        <v>0.54</v>
      </c>
      <c r="BC85" s="66">
        <v>0.61</v>
      </c>
      <c r="BD85" s="66">
        <v>0.35</v>
      </c>
      <c r="BE85" s="66">
        <v>0.39</v>
      </c>
      <c r="BF85" s="66">
        <v>0.38</v>
      </c>
      <c r="BG85" s="66">
        <v>0.38</v>
      </c>
      <c r="BH85" s="66">
        <v>0.37</v>
      </c>
      <c r="BI85" s="66">
        <v>0.31</v>
      </c>
      <c r="BJ85" s="66">
        <v>0.23</v>
      </c>
      <c r="BK85" s="66">
        <v>0.33</v>
      </c>
      <c r="BL85" s="66">
        <v>0.34</v>
      </c>
      <c r="BM85" s="16">
        <v>57</v>
      </c>
      <c r="BN85" s="16">
        <v>9</v>
      </c>
      <c r="BO85" s="99">
        <v>0</v>
      </c>
      <c r="BP85" s="99">
        <v>0.45</v>
      </c>
      <c r="BQ85" s="99">
        <v>0.51</v>
      </c>
      <c r="BR85" s="99">
        <v>0.04</v>
      </c>
      <c r="BS85" s="99">
        <v>0.27</v>
      </c>
      <c r="BT85" s="99">
        <v>0.3</v>
      </c>
      <c r="BU85" s="99">
        <v>0.65</v>
      </c>
      <c r="BV85" s="99">
        <v>0.13</v>
      </c>
      <c r="BW85" s="99">
        <v>0.59</v>
      </c>
      <c r="BX85" s="99">
        <v>0.23</v>
      </c>
      <c r="BY85" s="99">
        <v>0.34</v>
      </c>
      <c r="BZ85" s="99">
        <v>0.42</v>
      </c>
      <c r="CA85" s="99">
        <v>0.46</v>
      </c>
      <c r="CB85" s="99">
        <v>0.17</v>
      </c>
      <c r="CC85" s="99">
        <v>0.09</v>
      </c>
      <c r="CD85" s="99">
        <v>0.28000000000000003</v>
      </c>
      <c r="CE85" s="99">
        <v>0.19</v>
      </c>
      <c r="CF85" s="99">
        <v>0.45</v>
      </c>
      <c r="CG85" s="99">
        <v>0.42</v>
      </c>
      <c r="CH85" s="99">
        <v>0.36</v>
      </c>
      <c r="CI85" s="99">
        <v>0.47</v>
      </c>
      <c r="CJ85" s="99">
        <v>0.28000000000000003</v>
      </c>
      <c r="CK85" s="99">
        <v>0.54</v>
      </c>
      <c r="CL85" s="99">
        <v>0.2</v>
      </c>
      <c r="CM85" s="99">
        <v>0.33</v>
      </c>
      <c r="CN85" s="99">
        <v>0.32</v>
      </c>
      <c r="CO85" s="99">
        <v>0.26</v>
      </c>
      <c r="CP85" s="99">
        <v>0.27</v>
      </c>
      <c r="CQ85" s="99">
        <v>0.4</v>
      </c>
      <c r="CR85" s="99">
        <v>0.48</v>
      </c>
      <c r="CS85" s="16">
        <v>58</v>
      </c>
      <c r="CT85" s="16">
        <v>6</v>
      </c>
      <c r="CU85" s="96">
        <v>0</v>
      </c>
      <c r="CV85" s="96">
        <v>0.35</v>
      </c>
      <c r="CW85" s="96">
        <v>0.65</v>
      </c>
      <c r="CX85" s="96">
        <v>0</v>
      </c>
      <c r="CY85" s="96">
        <v>0.44</v>
      </c>
      <c r="CZ85" s="96">
        <v>0.21</v>
      </c>
      <c r="DA85" s="96">
        <v>0.42</v>
      </c>
      <c r="DB85" s="96">
        <v>0.2</v>
      </c>
      <c r="DC85" s="96">
        <v>0.25</v>
      </c>
      <c r="DD85" s="96">
        <v>0.57999999999999996</v>
      </c>
      <c r="DE85" s="96">
        <v>0.24</v>
      </c>
      <c r="DF85" s="96">
        <v>0.37</v>
      </c>
      <c r="DG85" s="96">
        <v>0.28000000000000003</v>
      </c>
      <c r="DH85" s="96">
        <v>0.28999999999999998</v>
      </c>
      <c r="DI85" s="96">
        <v>0.48</v>
      </c>
      <c r="DJ85" s="96">
        <v>0.3</v>
      </c>
      <c r="DK85" s="96">
        <v>0.19</v>
      </c>
      <c r="DL85" s="96">
        <v>0.08</v>
      </c>
      <c r="DM85" s="96">
        <v>0.39</v>
      </c>
      <c r="DN85" s="96">
        <v>0.28000000000000003</v>
      </c>
      <c r="DO85" s="96">
        <v>0.13</v>
      </c>
      <c r="DP85" s="96">
        <v>0.34</v>
      </c>
      <c r="DQ85" s="96">
        <v>0.4</v>
      </c>
      <c r="DR85" s="96">
        <v>0.06</v>
      </c>
      <c r="DS85" s="96">
        <v>0.27</v>
      </c>
      <c r="DT85" s="96">
        <v>0.41</v>
      </c>
      <c r="DU85" s="96">
        <v>0.36</v>
      </c>
      <c r="DV85" s="96">
        <v>0.45</v>
      </c>
      <c r="DW85" s="96">
        <v>0.14000000000000001</v>
      </c>
      <c r="DX85" s="61">
        <v>59</v>
      </c>
      <c r="DY85" s="61">
        <v>7</v>
      </c>
      <c r="DZ85" s="66">
        <v>0</v>
      </c>
      <c r="EA85" s="66">
        <v>0.38</v>
      </c>
      <c r="EB85" s="66">
        <v>0.55000000000000004</v>
      </c>
      <c r="EC85" s="66">
        <v>7.0000000000000007E-2</v>
      </c>
      <c r="ED85" s="66">
        <v>0.28999999999999998</v>
      </c>
      <c r="EE85" s="66">
        <v>0.34</v>
      </c>
      <c r="EF85" s="66">
        <v>0.41</v>
      </c>
      <c r="EG85" s="66">
        <v>0.15</v>
      </c>
      <c r="EH85" s="66">
        <v>0.32</v>
      </c>
      <c r="EI85" s="66">
        <v>0.41</v>
      </c>
      <c r="EJ85" s="66">
        <v>0.47</v>
      </c>
      <c r="EK85" s="66">
        <v>0.1</v>
      </c>
      <c r="EL85" s="66">
        <v>0.33</v>
      </c>
      <c r="EM85" s="66">
        <v>0.49</v>
      </c>
      <c r="EN85" s="66">
        <v>0.24</v>
      </c>
      <c r="EO85" s="66">
        <v>0.47</v>
      </c>
      <c r="EP85" s="66">
        <v>0.19</v>
      </c>
      <c r="EQ85" s="66">
        <v>0.1</v>
      </c>
      <c r="ER85" s="66">
        <v>0.5</v>
      </c>
      <c r="ES85" s="66">
        <v>0.28999999999999998</v>
      </c>
      <c r="ET85" s="66">
        <v>0.12</v>
      </c>
      <c r="EU85" s="66">
        <v>0.34</v>
      </c>
      <c r="EV85" s="66">
        <v>0.15</v>
      </c>
      <c r="EW85" s="66">
        <v>0.19</v>
      </c>
      <c r="EX85" s="66">
        <v>0.47</v>
      </c>
      <c r="EY85" s="66">
        <v>0.35</v>
      </c>
      <c r="EZ85" s="66">
        <v>0.05</v>
      </c>
      <c r="FA85" s="66">
        <v>0.38</v>
      </c>
      <c r="FB85" s="349">
        <v>56</v>
      </c>
      <c r="FC85" s="348" t="s">
        <v>910</v>
      </c>
      <c r="FD85" s="349">
        <v>9</v>
      </c>
      <c r="FE85" s="348" t="s">
        <v>910</v>
      </c>
      <c r="FF85" s="371">
        <v>0.03</v>
      </c>
      <c r="FG85" s="371">
        <v>0.39</v>
      </c>
      <c r="FH85" s="371">
        <v>0.53</v>
      </c>
      <c r="FI85" s="371">
        <v>0.05</v>
      </c>
      <c r="FJ85" s="371">
        <v>0.38</v>
      </c>
      <c r="FK85" s="371">
        <v>0.55000000000000004</v>
      </c>
      <c r="FL85" s="371">
        <v>0.35</v>
      </c>
      <c r="FM85" s="371">
        <v>0.26</v>
      </c>
      <c r="FN85" s="371">
        <v>0.26</v>
      </c>
      <c r="FO85" s="371">
        <v>0.17</v>
      </c>
      <c r="FP85" s="371">
        <v>0.2</v>
      </c>
      <c r="FQ85" s="371">
        <v>0.31</v>
      </c>
      <c r="FR85" s="371">
        <v>0.5</v>
      </c>
      <c r="FS85" s="371">
        <v>0.43</v>
      </c>
      <c r="FT85" s="371">
        <v>0.42</v>
      </c>
      <c r="FU85" s="371">
        <v>0.24</v>
      </c>
      <c r="FV85" s="371">
        <v>0.33</v>
      </c>
      <c r="FW85" s="371">
        <v>0.46</v>
      </c>
      <c r="FX85" s="371">
        <v>0.33</v>
      </c>
      <c r="FY85" s="371">
        <v>0.23</v>
      </c>
      <c r="FZ85" s="371">
        <v>0.45</v>
      </c>
      <c r="GA85" s="371">
        <v>0.56999999999999995</v>
      </c>
      <c r="GB85" s="371">
        <v>0.32</v>
      </c>
      <c r="GC85" s="371">
        <v>0.36</v>
      </c>
      <c r="GD85" s="371">
        <v>0.48</v>
      </c>
      <c r="GE85" s="371">
        <v>0.44</v>
      </c>
      <c r="GF85" s="371">
        <v>0.28999999999999998</v>
      </c>
      <c r="GG85" s="371">
        <v>0.24</v>
      </c>
      <c r="GH85" s="371">
        <v>0.36</v>
      </c>
      <c r="GI85" s="371">
        <v>0.24</v>
      </c>
      <c r="GJ85" s="469">
        <v>61</v>
      </c>
      <c r="GK85" s="471" t="s">
        <v>911</v>
      </c>
      <c r="GL85" s="469">
        <v>7</v>
      </c>
      <c r="GM85" s="471" t="s">
        <v>910</v>
      </c>
      <c r="GN85" s="501">
        <v>0</v>
      </c>
      <c r="GO85" s="501">
        <v>0.17</v>
      </c>
      <c r="GP85" s="501">
        <v>0.74</v>
      </c>
      <c r="GQ85" s="501">
        <v>0.09</v>
      </c>
      <c r="GR85" s="501">
        <v>0.13</v>
      </c>
      <c r="GS85" s="501">
        <v>0.3</v>
      </c>
      <c r="GT85" s="501">
        <v>0.51</v>
      </c>
      <c r="GU85" s="501">
        <v>0</v>
      </c>
      <c r="GV85" s="501">
        <v>0.3</v>
      </c>
      <c r="GW85" s="501">
        <v>0.28999999999999998</v>
      </c>
      <c r="GX85" s="501">
        <v>0.22</v>
      </c>
      <c r="GY85" s="471" t="s">
        <v>287</v>
      </c>
      <c r="GZ85" s="501">
        <v>0.22</v>
      </c>
      <c r="HA85" s="501">
        <v>0.7</v>
      </c>
      <c r="HB85" s="501">
        <v>0.36</v>
      </c>
      <c r="HC85" s="501">
        <v>0.34</v>
      </c>
      <c r="HD85" s="501">
        <v>0.39</v>
      </c>
      <c r="HE85" s="501">
        <v>0.19</v>
      </c>
      <c r="HF85" s="501">
        <v>0.23</v>
      </c>
      <c r="HG85" s="501">
        <v>0.55000000000000004</v>
      </c>
      <c r="HH85" s="501">
        <v>0.12</v>
      </c>
      <c r="HI85" s="501">
        <v>0.35</v>
      </c>
      <c r="HJ85" s="501">
        <v>0.46</v>
      </c>
      <c r="HK85" s="501">
        <v>0.38</v>
      </c>
      <c r="HL85" s="501">
        <v>0.27</v>
      </c>
      <c r="HM85" s="501">
        <v>0.32</v>
      </c>
      <c r="HN85" s="501">
        <v>0.28999999999999998</v>
      </c>
      <c r="HO85" s="501">
        <v>0.11</v>
      </c>
      <c r="HP85" s="471" t="s">
        <v>287</v>
      </c>
      <c r="HQ85" s="501">
        <v>0.28000000000000003</v>
      </c>
      <c r="HR85" s="630">
        <v>64</v>
      </c>
      <c r="HS85" s="640" t="s">
        <v>911</v>
      </c>
      <c r="HT85" s="630">
        <v>8</v>
      </c>
      <c r="HU85" s="640" t="s">
        <v>910</v>
      </c>
      <c r="HV85" s="644">
        <v>0</v>
      </c>
      <c r="HW85" s="644">
        <v>0.18</v>
      </c>
      <c r="HX85" s="644">
        <v>0.65</v>
      </c>
      <c r="HY85" s="644">
        <v>0.18</v>
      </c>
      <c r="HZ85" s="644">
        <v>0.12</v>
      </c>
      <c r="IA85" s="644">
        <v>0.33</v>
      </c>
      <c r="IB85" s="644">
        <v>0.06</v>
      </c>
      <c r="IC85" s="644">
        <v>0.47</v>
      </c>
      <c r="ID85" s="644">
        <v>0.56000000000000005</v>
      </c>
      <c r="IE85" s="644">
        <v>0.03</v>
      </c>
      <c r="IF85" s="644">
        <v>0.38</v>
      </c>
      <c r="IG85" s="644">
        <v>0.54</v>
      </c>
      <c r="IH85" s="644">
        <v>0.32</v>
      </c>
      <c r="II85" s="644">
        <v>0</v>
      </c>
      <c r="IJ85" s="644">
        <v>0.14000000000000001</v>
      </c>
      <c r="IK85" s="644">
        <v>0.46</v>
      </c>
      <c r="IL85" s="644">
        <v>0.21</v>
      </c>
      <c r="IM85" s="644">
        <v>0.25</v>
      </c>
      <c r="IN85" s="644">
        <v>0.24</v>
      </c>
      <c r="IO85" s="644">
        <v>0.28000000000000003</v>
      </c>
      <c r="IP85" s="644">
        <v>0.22</v>
      </c>
      <c r="IQ85" s="644">
        <v>0.23</v>
      </c>
      <c r="IR85" s="644">
        <v>0.3</v>
      </c>
      <c r="IS85" s="644">
        <v>0.4</v>
      </c>
      <c r="IT85" s="644">
        <v>0.23</v>
      </c>
      <c r="IU85" s="640" t="s">
        <v>287</v>
      </c>
      <c r="IV85" s="644">
        <v>0.48</v>
      </c>
      <c r="IW85" s="644">
        <v>0.16</v>
      </c>
      <c r="IX85" s="644">
        <v>0.14000000000000001</v>
      </c>
      <c r="IY85" s="644">
        <v>0.17</v>
      </c>
    </row>
    <row r="86" spans="1:259" s="461" customFormat="1" ht="24.9" customHeight="1" x14ac:dyDescent="0.25">
      <c r="A86" s="470" t="s">
        <v>962</v>
      </c>
      <c r="B86" s="15" t="s">
        <v>222</v>
      </c>
      <c r="C86" s="471">
        <v>6</v>
      </c>
      <c r="D86" s="502"/>
      <c r="E86" s="502"/>
      <c r="F86" s="508"/>
      <c r="G86" s="508"/>
      <c r="H86" s="508"/>
      <c r="I86" s="508"/>
      <c r="J86" s="508"/>
      <c r="K86" s="508"/>
      <c r="L86" s="508"/>
      <c r="M86" s="508"/>
      <c r="N86" s="508"/>
      <c r="O86" s="508"/>
      <c r="P86" s="508"/>
      <c r="Q86" s="508"/>
      <c r="R86" s="508"/>
      <c r="S86" s="508"/>
      <c r="T86" s="508"/>
      <c r="U86" s="508"/>
      <c r="V86" s="508"/>
      <c r="W86" s="508"/>
      <c r="X86" s="508"/>
      <c r="Y86" s="508"/>
      <c r="Z86" s="505"/>
      <c r="AA86" s="508"/>
      <c r="AB86" s="508"/>
      <c r="AC86" s="508"/>
      <c r="AD86" s="508"/>
      <c r="AE86" s="508"/>
      <c r="AF86" s="508"/>
      <c r="AG86" s="508"/>
      <c r="AH86" s="502"/>
      <c r="AI86" s="502"/>
      <c r="AJ86" s="506"/>
      <c r="AK86" s="506"/>
      <c r="AL86" s="506"/>
      <c r="AM86" s="506"/>
      <c r="AN86" s="506"/>
      <c r="AO86" s="506"/>
      <c r="AP86" s="506"/>
      <c r="AQ86" s="506"/>
      <c r="AR86" s="506"/>
      <c r="AS86" s="506"/>
      <c r="AT86" s="506"/>
      <c r="AU86" s="506"/>
      <c r="AV86" s="506"/>
      <c r="AW86" s="506"/>
      <c r="AX86" s="506"/>
      <c r="AY86" s="506"/>
      <c r="AZ86" s="506"/>
      <c r="BA86" s="506"/>
      <c r="BB86" s="506"/>
      <c r="BC86" s="506"/>
      <c r="BD86" s="506"/>
      <c r="BE86" s="506"/>
      <c r="BF86" s="506"/>
      <c r="BG86" s="506"/>
      <c r="BH86" s="506"/>
      <c r="BI86" s="506"/>
      <c r="BJ86" s="506"/>
      <c r="BK86" s="506"/>
      <c r="BL86" s="506"/>
      <c r="BM86" s="502"/>
      <c r="BN86" s="502"/>
      <c r="BO86" s="508"/>
      <c r="BP86" s="508"/>
      <c r="BQ86" s="508"/>
      <c r="BR86" s="508"/>
      <c r="BS86" s="508"/>
      <c r="BT86" s="508"/>
      <c r="BU86" s="508"/>
      <c r="BV86" s="508"/>
      <c r="BW86" s="508"/>
      <c r="BX86" s="508"/>
      <c r="BY86" s="508"/>
      <c r="BZ86" s="508"/>
      <c r="CA86" s="508"/>
      <c r="CB86" s="508"/>
      <c r="CC86" s="508"/>
      <c r="CD86" s="508"/>
      <c r="CE86" s="508"/>
      <c r="CF86" s="508"/>
      <c r="CG86" s="508"/>
      <c r="CH86" s="508"/>
      <c r="CI86" s="508"/>
      <c r="CJ86" s="508"/>
      <c r="CK86" s="508"/>
      <c r="CL86" s="508"/>
      <c r="CM86" s="508"/>
      <c r="CN86" s="508"/>
      <c r="CO86" s="508"/>
      <c r="CP86" s="508"/>
      <c r="CQ86" s="508"/>
      <c r="CR86" s="508"/>
      <c r="CS86" s="502"/>
      <c r="CT86" s="502"/>
      <c r="CU86" s="501"/>
      <c r="CV86" s="501"/>
      <c r="CW86" s="501"/>
      <c r="CX86" s="501"/>
      <c r="CY86" s="501"/>
      <c r="CZ86" s="501"/>
      <c r="DA86" s="501"/>
      <c r="DB86" s="501"/>
      <c r="DC86" s="501"/>
      <c r="DD86" s="501"/>
      <c r="DE86" s="501"/>
      <c r="DF86" s="501"/>
      <c r="DG86" s="501"/>
      <c r="DH86" s="501"/>
      <c r="DI86" s="501"/>
      <c r="DJ86" s="501"/>
      <c r="DK86" s="501"/>
      <c r="DL86" s="501"/>
      <c r="DM86" s="501"/>
      <c r="DN86" s="501"/>
      <c r="DO86" s="501"/>
      <c r="DP86" s="501"/>
      <c r="DQ86" s="501"/>
      <c r="DR86" s="501"/>
      <c r="DS86" s="501"/>
      <c r="DT86" s="501"/>
      <c r="DU86" s="501"/>
      <c r="DV86" s="501"/>
      <c r="DW86" s="501"/>
      <c r="DX86" s="472"/>
      <c r="DY86" s="472"/>
      <c r="DZ86" s="506"/>
      <c r="EA86" s="506"/>
      <c r="EB86" s="506"/>
      <c r="EC86" s="506"/>
      <c r="ED86" s="506"/>
      <c r="EE86" s="506"/>
      <c r="EF86" s="506"/>
      <c r="EG86" s="506"/>
      <c r="EH86" s="506"/>
      <c r="EI86" s="506"/>
      <c r="EJ86" s="506"/>
      <c r="EK86" s="506"/>
      <c r="EL86" s="506"/>
      <c r="EM86" s="506"/>
      <c r="EN86" s="506"/>
      <c r="EO86" s="506"/>
      <c r="EP86" s="506"/>
      <c r="EQ86" s="506"/>
      <c r="ER86" s="506"/>
      <c r="ES86" s="506"/>
      <c r="ET86" s="506"/>
      <c r="EU86" s="506"/>
      <c r="EV86" s="506"/>
      <c r="EW86" s="506"/>
      <c r="EX86" s="506"/>
      <c r="EY86" s="506"/>
      <c r="EZ86" s="506"/>
      <c r="FA86" s="506"/>
      <c r="FB86" s="475"/>
      <c r="FC86" s="493"/>
      <c r="FD86" s="475"/>
      <c r="FE86" s="493"/>
      <c r="FF86" s="507"/>
      <c r="FG86" s="507"/>
      <c r="FH86" s="507"/>
      <c r="FI86" s="507"/>
      <c r="FJ86" s="507"/>
      <c r="FK86" s="507"/>
      <c r="FL86" s="507"/>
      <c r="FM86" s="507"/>
      <c r="FN86" s="507"/>
      <c r="FO86" s="507"/>
      <c r="FP86" s="507"/>
      <c r="FQ86" s="507"/>
      <c r="FR86" s="507"/>
      <c r="FS86" s="507"/>
      <c r="FT86" s="507"/>
      <c r="FU86" s="507"/>
      <c r="FV86" s="507"/>
      <c r="FW86" s="507"/>
      <c r="FX86" s="507"/>
      <c r="FY86" s="507"/>
      <c r="FZ86" s="507"/>
      <c r="GA86" s="507"/>
      <c r="GB86" s="507"/>
      <c r="GC86" s="507"/>
      <c r="GD86" s="507"/>
      <c r="GE86" s="507"/>
      <c r="GF86" s="507"/>
      <c r="GG86" s="507"/>
      <c r="GH86" s="507"/>
      <c r="GI86" s="507"/>
      <c r="GJ86" s="469">
        <v>42</v>
      </c>
      <c r="GK86" s="471" t="s">
        <v>912</v>
      </c>
      <c r="GL86" s="469">
        <v>8</v>
      </c>
      <c r="GM86" s="471" t="s">
        <v>910</v>
      </c>
      <c r="GN86" s="501">
        <v>0.47</v>
      </c>
      <c r="GO86" s="501">
        <v>0.47</v>
      </c>
      <c r="GP86" s="501">
        <v>0.06</v>
      </c>
      <c r="GQ86" s="501">
        <v>0</v>
      </c>
      <c r="GR86" s="501">
        <v>0.56999999999999995</v>
      </c>
      <c r="GS86" s="501">
        <v>0.68</v>
      </c>
      <c r="GT86" s="501">
        <v>0.66</v>
      </c>
      <c r="GU86" s="501">
        <v>0.56000000000000005</v>
      </c>
      <c r="GV86" s="501">
        <v>0.74</v>
      </c>
      <c r="GW86" s="501">
        <v>0.53</v>
      </c>
      <c r="GX86" s="501">
        <v>0.65</v>
      </c>
      <c r="GY86" s="471" t="s">
        <v>287</v>
      </c>
      <c r="GZ86" s="501">
        <v>0.63</v>
      </c>
      <c r="HA86" s="501">
        <v>0.38</v>
      </c>
      <c r="HB86" s="501">
        <v>0.64</v>
      </c>
      <c r="HC86" s="501">
        <v>0.71</v>
      </c>
      <c r="HD86" s="501">
        <v>0.69</v>
      </c>
      <c r="HE86" s="501">
        <v>0.55000000000000004</v>
      </c>
      <c r="HF86" s="501">
        <v>0.61</v>
      </c>
      <c r="HG86" s="501">
        <v>0.72</v>
      </c>
      <c r="HH86" s="501">
        <v>0.51</v>
      </c>
      <c r="HI86" s="501">
        <v>0.64</v>
      </c>
      <c r="HJ86" s="501">
        <v>0.69</v>
      </c>
      <c r="HK86" s="501">
        <v>0.74</v>
      </c>
      <c r="HL86" s="501">
        <v>0.56999999999999995</v>
      </c>
      <c r="HM86" s="501">
        <v>0.64</v>
      </c>
      <c r="HN86" s="501">
        <v>0.57999999999999996</v>
      </c>
      <c r="HO86" s="501">
        <v>0.56999999999999995</v>
      </c>
      <c r="HP86" s="471" t="s">
        <v>287</v>
      </c>
      <c r="HQ86" s="501">
        <v>0.67</v>
      </c>
      <c r="HR86" s="630">
        <v>50</v>
      </c>
      <c r="HS86" s="640" t="s">
        <v>910</v>
      </c>
      <c r="HT86" s="630">
        <v>0</v>
      </c>
      <c r="HU86" s="640" t="s">
        <v>912</v>
      </c>
      <c r="HV86" s="644">
        <v>0</v>
      </c>
      <c r="HW86" s="644">
        <v>1</v>
      </c>
      <c r="HX86" s="644">
        <v>0</v>
      </c>
      <c r="HY86" s="644">
        <v>0</v>
      </c>
      <c r="HZ86" s="644">
        <v>0.5</v>
      </c>
      <c r="IA86" s="644">
        <v>0.67</v>
      </c>
      <c r="IB86" s="644">
        <v>0</v>
      </c>
      <c r="IC86" s="644">
        <v>0.25</v>
      </c>
      <c r="ID86" s="644">
        <v>0.67</v>
      </c>
      <c r="IE86" s="644">
        <v>0</v>
      </c>
      <c r="IF86" s="644">
        <v>0.5</v>
      </c>
      <c r="IG86" s="644">
        <v>0.67</v>
      </c>
      <c r="IH86" s="644">
        <v>0.5</v>
      </c>
      <c r="II86" s="640" t="s">
        <v>287</v>
      </c>
      <c r="IJ86" s="644">
        <v>0.33</v>
      </c>
      <c r="IK86" s="644">
        <v>0.67</v>
      </c>
      <c r="IL86" s="644">
        <v>1</v>
      </c>
      <c r="IM86" s="644">
        <v>1</v>
      </c>
      <c r="IN86" s="644">
        <v>0.5</v>
      </c>
      <c r="IO86" s="644">
        <v>0.75</v>
      </c>
      <c r="IP86" s="644">
        <v>0.33</v>
      </c>
      <c r="IQ86" s="644">
        <v>0</v>
      </c>
      <c r="IR86" s="644">
        <v>1</v>
      </c>
      <c r="IS86" s="640" t="s">
        <v>287</v>
      </c>
      <c r="IT86" s="644">
        <v>0.33</v>
      </c>
      <c r="IU86" s="640" t="s">
        <v>287</v>
      </c>
      <c r="IV86" s="644">
        <v>0.5</v>
      </c>
      <c r="IW86" s="644">
        <v>0.33</v>
      </c>
      <c r="IX86" s="644">
        <v>1</v>
      </c>
      <c r="IY86" s="644">
        <v>1</v>
      </c>
    </row>
    <row r="87" spans="1:259" s="53" customFormat="1" ht="24.9" customHeight="1" x14ac:dyDescent="0.25">
      <c r="A87" s="189" t="s">
        <v>268</v>
      </c>
      <c r="B87" s="1" t="s">
        <v>222</v>
      </c>
      <c r="C87" s="2">
        <v>3</v>
      </c>
      <c r="D87" s="13" t="s">
        <v>226</v>
      </c>
      <c r="E87" s="13" t="s">
        <v>226</v>
      </c>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t="s">
        <v>226</v>
      </c>
      <c r="AI87" s="13" t="s">
        <v>226</v>
      </c>
      <c r="AJ87" s="66"/>
      <c r="AK87" s="66"/>
      <c r="AL87" s="66"/>
      <c r="AM87" s="66"/>
      <c r="AN87" s="66"/>
      <c r="AO87" s="66"/>
      <c r="AP87" s="66"/>
      <c r="AQ87" s="66"/>
      <c r="AR87" s="66"/>
      <c r="AS87" s="66"/>
      <c r="AT87" s="66"/>
      <c r="AU87" s="66"/>
      <c r="AV87" s="66"/>
      <c r="AW87" s="66"/>
      <c r="AX87" s="66"/>
      <c r="AY87" s="66"/>
      <c r="AZ87" s="66"/>
      <c r="BA87" s="66"/>
      <c r="BB87" s="66"/>
      <c r="BC87" s="66"/>
      <c r="BD87" s="66"/>
      <c r="BE87" s="66"/>
      <c r="BF87" s="66"/>
      <c r="BG87" s="66"/>
      <c r="BH87" s="66"/>
      <c r="BI87" s="66"/>
      <c r="BJ87" s="66"/>
      <c r="BK87" s="66"/>
      <c r="BL87" s="66"/>
      <c r="BM87" s="13" t="s">
        <v>226</v>
      </c>
      <c r="BN87" s="13" t="s">
        <v>226</v>
      </c>
      <c r="BO87" s="13"/>
      <c r="BP87" s="13"/>
      <c r="BQ87" s="13"/>
      <c r="BR87" s="13"/>
      <c r="BS87" s="13"/>
      <c r="BT87" s="13"/>
      <c r="BU87" s="13"/>
      <c r="BV87" s="13"/>
      <c r="BW87" s="13"/>
      <c r="BX87" s="13"/>
      <c r="BY87" s="13"/>
      <c r="BZ87" s="13"/>
      <c r="CA87" s="13"/>
      <c r="CB87" s="13"/>
      <c r="CC87" s="13"/>
      <c r="CD87" s="13"/>
      <c r="CE87" s="13"/>
      <c r="CF87" s="13"/>
      <c r="CG87" s="13"/>
      <c r="CH87" s="13"/>
      <c r="CI87" s="13"/>
      <c r="CJ87" s="13"/>
      <c r="CK87" s="13"/>
      <c r="CL87" s="13"/>
      <c r="CM87" s="13"/>
      <c r="CN87" s="13"/>
      <c r="CO87" s="13"/>
      <c r="CP87" s="13"/>
      <c r="CQ87" s="13"/>
      <c r="CR87" s="13"/>
      <c r="CS87" s="13" t="s">
        <v>226</v>
      </c>
      <c r="CT87" s="13" t="s">
        <v>226</v>
      </c>
      <c r="CU87" s="2"/>
      <c r="CV87" s="2"/>
      <c r="CW87" s="2"/>
      <c r="CX87" s="2"/>
      <c r="CY87" s="2"/>
      <c r="CZ87" s="2"/>
      <c r="DA87" s="2"/>
      <c r="DB87" s="2"/>
      <c r="DC87" s="2"/>
      <c r="DD87" s="2"/>
      <c r="DE87" s="2"/>
      <c r="DF87" s="2"/>
      <c r="DG87" s="2"/>
      <c r="DH87" s="2"/>
      <c r="DI87" s="2"/>
      <c r="DJ87" s="2"/>
      <c r="DK87" s="2"/>
      <c r="DL87" s="2"/>
      <c r="DM87" s="2"/>
      <c r="DN87" s="2"/>
      <c r="DO87" s="2"/>
      <c r="DP87" s="2"/>
      <c r="DQ87" s="2"/>
      <c r="DR87" s="2"/>
      <c r="DS87" s="2"/>
      <c r="DT87" s="2"/>
      <c r="DU87" s="2"/>
      <c r="DV87" s="2"/>
      <c r="DW87" s="2"/>
      <c r="DX87" s="61">
        <v>51</v>
      </c>
      <c r="DY87" s="61">
        <v>7</v>
      </c>
      <c r="DZ87" s="66">
        <v>0.13</v>
      </c>
      <c r="EA87" s="66">
        <v>0.63</v>
      </c>
      <c r="EB87" s="66">
        <v>0.25</v>
      </c>
      <c r="EC87" s="66">
        <v>0</v>
      </c>
      <c r="ED87" s="66">
        <v>0.73</v>
      </c>
      <c r="EE87" s="66">
        <v>0.53</v>
      </c>
      <c r="EF87" s="66">
        <v>0.54</v>
      </c>
      <c r="EG87" s="66">
        <v>0.33</v>
      </c>
      <c r="EH87" s="66">
        <v>0.54</v>
      </c>
      <c r="EI87" s="66">
        <v>0.46</v>
      </c>
      <c r="EJ87" s="66">
        <v>0.61</v>
      </c>
      <c r="EK87" s="66">
        <v>0.28999999999999998</v>
      </c>
      <c r="EL87" s="66">
        <v>0.23</v>
      </c>
      <c r="EM87" s="66">
        <v>0.71</v>
      </c>
      <c r="EN87" s="66">
        <v>0.46</v>
      </c>
      <c r="EO87" s="66">
        <v>0.63</v>
      </c>
      <c r="EP87" s="66">
        <v>0.31</v>
      </c>
      <c r="EQ87" s="66">
        <v>0</v>
      </c>
      <c r="ER87" s="66">
        <v>0.56999999999999995</v>
      </c>
      <c r="ES87" s="66">
        <v>0.31</v>
      </c>
      <c r="ET87" s="66">
        <v>0.33</v>
      </c>
      <c r="EU87" s="66">
        <v>0.78</v>
      </c>
      <c r="EV87" s="66">
        <v>0</v>
      </c>
      <c r="EW87" s="66">
        <v>0.18</v>
      </c>
      <c r="EX87" s="66">
        <v>0.67</v>
      </c>
      <c r="EY87" s="66">
        <v>0.56999999999999995</v>
      </c>
      <c r="EZ87" s="66">
        <v>0.2</v>
      </c>
      <c r="FA87" s="66">
        <v>0.65</v>
      </c>
      <c r="FB87" s="349">
        <v>57</v>
      </c>
      <c r="FC87" s="348" t="s">
        <v>910</v>
      </c>
      <c r="FD87" s="349">
        <v>7</v>
      </c>
      <c r="FE87" s="348" t="s">
        <v>910</v>
      </c>
      <c r="FF87" s="371">
        <v>0</v>
      </c>
      <c r="FG87" s="371">
        <v>0.33</v>
      </c>
      <c r="FH87" s="371">
        <v>0.67</v>
      </c>
      <c r="FI87" s="371">
        <v>0</v>
      </c>
      <c r="FJ87" s="371">
        <v>0.38</v>
      </c>
      <c r="FK87" s="371">
        <v>0.6</v>
      </c>
      <c r="FL87" s="371">
        <v>0.38</v>
      </c>
      <c r="FM87" s="371">
        <v>0.33</v>
      </c>
      <c r="FN87" s="371">
        <v>0</v>
      </c>
      <c r="FO87" s="371">
        <v>0.18</v>
      </c>
      <c r="FP87" s="371">
        <v>0.19</v>
      </c>
      <c r="FQ87" s="371">
        <v>0.32</v>
      </c>
      <c r="FR87" s="371">
        <v>0.33</v>
      </c>
      <c r="FS87" s="371">
        <v>0.56000000000000005</v>
      </c>
      <c r="FT87" s="371">
        <v>0.4</v>
      </c>
      <c r="FU87" s="371">
        <v>0</v>
      </c>
      <c r="FV87" s="371">
        <v>0.2</v>
      </c>
      <c r="FW87" s="371">
        <v>0.62</v>
      </c>
      <c r="FX87" s="371">
        <v>0.2</v>
      </c>
      <c r="FY87" s="371">
        <v>0.13</v>
      </c>
      <c r="FZ87" s="371">
        <v>0.33</v>
      </c>
      <c r="GA87" s="371">
        <v>0.5</v>
      </c>
      <c r="GB87" s="371">
        <v>0.33</v>
      </c>
      <c r="GC87" s="371">
        <v>0.46</v>
      </c>
      <c r="GD87" s="371">
        <v>0.59</v>
      </c>
      <c r="GE87" s="371">
        <v>0.33</v>
      </c>
      <c r="GF87" s="371">
        <v>0.17</v>
      </c>
      <c r="GG87" s="371">
        <v>0.25</v>
      </c>
      <c r="GH87" s="371">
        <v>0.28000000000000003</v>
      </c>
      <c r="GI87" s="371">
        <v>0.06</v>
      </c>
      <c r="GJ87" s="469">
        <v>55</v>
      </c>
      <c r="GK87" s="471" t="s">
        <v>910</v>
      </c>
      <c r="GL87" s="469">
        <v>9</v>
      </c>
      <c r="GM87" s="471" t="s">
        <v>910</v>
      </c>
      <c r="GN87" s="501">
        <v>0.11</v>
      </c>
      <c r="GO87" s="501">
        <v>0.22</v>
      </c>
      <c r="GP87" s="501">
        <v>0.67</v>
      </c>
      <c r="GQ87" s="501">
        <v>0</v>
      </c>
      <c r="GR87" s="501">
        <v>0.27</v>
      </c>
      <c r="GS87" s="501">
        <v>0.28000000000000003</v>
      </c>
      <c r="GT87" s="501">
        <v>0.49</v>
      </c>
      <c r="GU87" s="501">
        <v>0</v>
      </c>
      <c r="GV87" s="501">
        <v>0.55000000000000004</v>
      </c>
      <c r="GW87" s="501">
        <v>0.46</v>
      </c>
      <c r="GX87" s="501">
        <v>0.44</v>
      </c>
      <c r="GY87" s="471" t="s">
        <v>287</v>
      </c>
      <c r="GZ87" s="501">
        <v>0.15</v>
      </c>
      <c r="HA87" s="501">
        <v>0.56999999999999995</v>
      </c>
      <c r="HB87" s="501">
        <v>0.4</v>
      </c>
      <c r="HC87" s="501">
        <v>0.32</v>
      </c>
      <c r="HD87" s="501">
        <v>0.39</v>
      </c>
      <c r="HE87" s="501">
        <v>0.5</v>
      </c>
      <c r="HF87" s="501">
        <v>0.37</v>
      </c>
      <c r="HG87" s="501">
        <v>0.59</v>
      </c>
      <c r="HH87" s="501">
        <v>0.35</v>
      </c>
      <c r="HI87" s="501">
        <v>0.32</v>
      </c>
      <c r="HJ87" s="501">
        <v>0.61</v>
      </c>
      <c r="HK87" s="501">
        <v>0.55000000000000004</v>
      </c>
      <c r="HL87" s="501">
        <v>0.39</v>
      </c>
      <c r="HM87" s="501">
        <v>0.52</v>
      </c>
      <c r="HN87" s="501">
        <v>0.28999999999999998</v>
      </c>
      <c r="HO87" s="501">
        <v>0.17</v>
      </c>
      <c r="HP87" s="471" t="s">
        <v>287</v>
      </c>
      <c r="HQ87" s="501">
        <v>0.37</v>
      </c>
      <c r="HR87" s="630">
        <v>58</v>
      </c>
      <c r="HS87" s="640" t="s">
        <v>910</v>
      </c>
      <c r="HT87" s="630">
        <v>9</v>
      </c>
      <c r="HU87" s="640" t="s">
        <v>910</v>
      </c>
      <c r="HV87" s="644">
        <v>0.1</v>
      </c>
      <c r="HW87" s="644">
        <v>0.2</v>
      </c>
      <c r="HX87" s="644">
        <v>0.6</v>
      </c>
      <c r="HY87" s="644">
        <v>0.1</v>
      </c>
      <c r="HZ87" s="644">
        <v>0.14000000000000001</v>
      </c>
      <c r="IA87" s="644">
        <v>0.39</v>
      </c>
      <c r="IB87" s="644">
        <v>0.1</v>
      </c>
      <c r="IC87" s="644">
        <v>0.33</v>
      </c>
      <c r="ID87" s="644">
        <v>0.32</v>
      </c>
      <c r="IE87" s="644">
        <v>0.22</v>
      </c>
      <c r="IF87" s="644">
        <v>0.32</v>
      </c>
      <c r="IG87" s="644">
        <v>0.26</v>
      </c>
      <c r="IH87" s="644">
        <v>0.35</v>
      </c>
      <c r="II87" s="644">
        <v>0</v>
      </c>
      <c r="IJ87" s="644">
        <v>0.28000000000000003</v>
      </c>
      <c r="IK87" s="644">
        <v>0.36</v>
      </c>
      <c r="IL87" s="644">
        <v>0.25</v>
      </c>
      <c r="IM87" s="644">
        <v>0.48</v>
      </c>
      <c r="IN87" s="644">
        <v>0.41</v>
      </c>
      <c r="IO87" s="644">
        <v>0.56999999999999995</v>
      </c>
      <c r="IP87" s="644">
        <v>0.43</v>
      </c>
      <c r="IQ87" s="644">
        <v>0.57999999999999996</v>
      </c>
      <c r="IR87" s="644">
        <v>0.42</v>
      </c>
      <c r="IS87" s="644">
        <v>0.28999999999999998</v>
      </c>
      <c r="IT87" s="644">
        <v>0.27</v>
      </c>
      <c r="IU87" s="640" t="s">
        <v>287</v>
      </c>
      <c r="IV87" s="644">
        <v>0.55000000000000004</v>
      </c>
      <c r="IW87" s="644">
        <v>0.44</v>
      </c>
      <c r="IX87" s="644">
        <v>0.5</v>
      </c>
      <c r="IY87" s="644">
        <v>0.3</v>
      </c>
    </row>
    <row r="88" spans="1:259" ht="24.9" customHeight="1" x14ac:dyDescent="0.25">
      <c r="A88" s="188" t="s">
        <v>234</v>
      </c>
      <c r="B88" s="1" t="s">
        <v>222</v>
      </c>
      <c r="C88" s="2">
        <v>5</v>
      </c>
      <c r="D88" s="13" t="s">
        <v>226</v>
      </c>
      <c r="E88" s="13" t="s">
        <v>226</v>
      </c>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t="s">
        <v>226</v>
      </c>
      <c r="AI88" s="13" t="s">
        <v>226</v>
      </c>
      <c r="AJ88" s="66"/>
      <c r="AK88" s="66"/>
      <c r="AL88" s="66"/>
      <c r="AM88" s="66"/>
      <c r="AN88" s="66"/>
      <c r="AO88" s="66"/>
      <c r="AP88" s="66"/>
      <c r="AQ88" s="66"/>
      <c r="AR88" s="66"/>
      <c r="AS88" s="66"/>
      <c r="AT88" s="66"/>
      <c r="AU88" s="66"/>
      <c r="AV88" s="66"/>
      <c r="AW88" s="66"/>
      <c r="AX88" s="66"/>
      <c r="AY88" s="66"/>
      <c r="AZ88" s="66"/>
      <c r="BA88" s="66"/>
      <c r="BB88" s="66"/>
      <c r="BC88" s="66"/>
      <c r="BD88" s="66"/>
      <c r="BE88" s="66"/>
      <c r="BF88" s="66"/>
      <c r="BG88" s="66"/>
      <c r="BH88" s="66"/>
      <c r="BI88" s="66"/>
      <c r="BJ88" s="66"/>
      <c r="BK88" s="66"/>
      <c r="BL88" s="66"/>
      <c r="BM88" s="13" t="s">
        <v>226</v>
      </c>
      <c r="BN88" s="13" t="s">
        <v>226</v>
      </c>
      <c r="BO88" s="13"/>
      <c r="BP88" s="13"/>
      <c r="BQ88" s="13"/>
      <c r="BR88" s="13"/>
      <c r="BS88" s="13"/>
      <c r="BT88" s="13"/>
      <c r="BU88" s="13"/>
      <c r="BV88" s="13"/>
      <c r="BW88" s="13"/>
      <c r="BX88" s="13"/>
      <c r="BY88" s="13"/>
      <c r="BZ88" s="13"/>
      <c r="CA88" s="13"/>
      <c r="CB88" s="13"/>
      <c r="CC88" s="13"/>
      <c r="CD88" s="13"/>
      <c r="CE88" s="13"/>
      <c r="CF88" s="13"/>
      <c r="CG88" s="13"/>
      <c r="CH88" s="13"/>
      <c r="CI88" s="13"/>
      <c r="CJ88" s="13"/>
      <c r="CK88" s="13"/>
      <c r="CL88" s="13"/>
      <c r="CM88" s="13"/>
      <c r="CN88" s="13"/>
      <c r="CO88" s="13"/>
      <c r="CP88" s="13"/>
      <c r="CQ88" s="13"/>
      <c r="CR88" s="13"/>
      <c r="CS88" s="16">
        <v>47</v>
      </c>
      <c r="CT88" s="16">
        <v>7</v>
      </c>
      <c r="CU88" s="96">
        <v>0.17</v>
      </c>
      <c r="CV88" s="96">
        <v>0.75</v>
      </c>
      <c r="CW88" s="96">
        <v>0.08</v>
      </c>
      <c r="CX88" s="96">
        <v>0</v>
      </c>
      <c r="CY88" s="96">
        <v>0.5</v>
      </c>
      <c r="CZ88" s="96">
        <v>0.33</v>
      </c>
      <c r="DA88" s="96">
        <v>0.52</v>
      </c>
      <c r="DB88" s="96">
        <v>0.45</v>
      </c>
      <c r="DC88" s="96">
        <v>0.39</v>
      </c>
      <c r="DD88" s="96">
        <v>0.73</v>
      </c>
      <c r="DE88" s="96">
        <v>0.2</v>
      </c>
      <c r="DF88" s="96">
        <v>0.45</v>
      </c>
      <c r="DG88" s="96">
        <v>0.55000000000000004</v>
      </c>
      <c r="DH88" s="96">
        <v>0.44</v>
      </c>
      <c r="DI88" s="96">
        <v>0.56999999999999995</v>
      </c>
      <c r="DJ88" s="96">
        <v>0.63</v>
      </c>
      <c r="DK88" s="96">
        <v>0.32</v>
      </c>
      <c r="DL88" s="96">
        <v>0.4</v>
      </c>
      <c r="DM88" s="96">
        <v>0.56999999999999995</v>
      </c>
      <c r="DN88" s="96">
        <v>0.46</v>
      </c>
      <c r="DO88" s="96">
        <v>0.47</v>
      </c>
      <c r="DP88" s="96">
        <v>0.44</v>
      </c>
      <c r="DQ88" s="96">
        <v>0.7</v>
      </c>
      <c r="DR88" s="96">
        <v>0.35</v>
      </c>
      <c r="DS88" s="96">
        <v>0.39</v>
      </c>
      <c r="DT88" s="96">
        <v>0.66</v>
      </c>
      <c r="DU88" s="96">
        <v>0.5</v>
      </c>
      <c r="DV88" s="96">
        <v>0.71</v>
      </c>
      <c r="DW88" s="96">
        <v>0.4</v>
      </c>
      <c r="DX88" s="61"/>
      <c r="DY88" s="61"/>
      <c r="DZ88" s="66"/>
      <c r="EA88" s="66"/>
      <c r="EB88" s="66"/>
      <c r="EC88" s="66"/>
      <c r="ED88" s="66"/>
      <c r="EE88" s="66"/>
      <c r="EF88" s="66"/>
      <c r="EG88" s="66"/>
      <c r="EH88" s="66"/>
      <c r="EI88" s="66"/>
      <c r="EJ88" s="66"/>
      <c r="EK88" s="66"/>
      <c r="EL88" s="66"/>
      <c r="EM88" s="66"/>
      <c r="EN88" s="66"/>
      <c r="EO88" s="66"/>
      <c r="EP88" s="66"/>
      <c r="EQ88" s="66"/>
      <c r="ER88" s="66"/>
      <c r="ES88" s="66"/>
      <c r="ET88" s="66"/>
      <c r="EU88" s="66"/>
      <c r="EV88" s="66"/>
      <c r="EW88" s="66"/>
      <c r="EX88" s="66"/>
      <c r="EY88" s="66"/>
      <c r="EZ88" s="66"/>
      <c r="FA88" s="66"/>
    </row>
    <row r="89" spans="1:259" ht="24.9" customHeight="1" x14ac:dyDescent="0.25">
      <c r="A89" s="189" t="s">
        <v>153</v>
      </c>
      <c r="B89" s="1" t="s">
        <v>222</v>
      </c>
      <c r="C89" s="2">
        <v>2</v>
      </c>
      <c r="D89" s="16">
        <v>57</v>
      </c>
      <c r="E89" s="16">
        <v>7</v>
      </c>
      <c r="F89" s="99">
        <v>0</v>
      </c>
      <c r="G89" s="99">
        <v>0.48</v>
      </c>
      <c r="H89" s="99">
        <v>0.48</v>
      </c>
      <c r="I89" s="99">
        <v>0.03</v>
      </c>
      <c r="J89" s="99">
        <v>0.34</v>
      </c>
      <c r="K89" s="99">
        <v>0.11</v>
      </c>
      <c r="L89" s="99">
        <v>0.66</v>
      </c>
      <c r="M89" s="99">
        <v>0.1</v>
      </c>
      <c r="N89" s="99">
        <v>0.25</v>
      </c>
      <c r="O89" s="99">
        <v>0.69</v>
      </c>
      <c r="P89" s="99">
        <v>0.35</v>
      </c>
      <c r="Q89" s="99">
        <v>0.33</v>
      </c>
      <c r="R89" s="99">
        <v>0.45</v>
      </c>
      <c r="S89" s="99">
        <v>0.52</v>
      </c>
      <c r="T89" s="99">
        <v>0.38</v>
      </c>
      <c r="U89" s="99">
        <v>0.49</v>
      </c>
      <c r="V89" s="99">
        <v>7.0000000000000007E-2</v>
      </c>
      <c r="W89" s="99">
        <v>0.04</v>
      </c>
      <c r="X89" s="99">
        <v>0.52</v>
      </c>
      <c r="Y89" s="99">
        <v>0.5</v>
      </c>
      <c r="Z89" s="13" t="s">
        <v>287</v>
      </c>
      <c r="AA89" s="99">
        <v>0.1</v>
      </c>
      <c r="AB89" s="99">
        <v>0.4</v>
      </c>
      <c r="AC89" s="99">
        <v>0.18</v>
      </c>
      <c r="AD89" s="99">
        <v>0.44</v>
      </c>
      <c r="AE89" s="99">
        <v>0.25</v>
      </c>
      <c r="AF89" s="99">
        <v>0.44</v>
      </c>
      <c r="AG89" s="99">
        <v>0.5</v>
      </c>
      <c r="AH89" s="16">
        <v>55</v>
      </c>
      <c r="AI89" s="16">
        <v>7</v>
      </c>
      <c r="AJ89" s="66">
        <v>0</v>
      </c>
      <c r="AK89" s="66">
        <v>0.47</v>
      </c>
      <c r="AL89" s="66">
        <v>0.5</v>
      </c>
      <c r="AM89" s="66">
        <v>0.03</v>
      </c>
      <c r="AN89" s="66">
        <v>0.33</v>
      </c>
      <c r="AO89" s="66">
        <v>0.45</v>
      </c>
      <c r="AP89" s="66">
        <v>0.61</v>
      </c>
      <c r="AQ89" s="66">
        <v>0.28000000000000003</v>
      </c>
      <c r="AR89" s="66">
        <v>0.4</v>
      </c>
      <c r="AS89" s="66">
        <v>0.49</v>
      </c>
      <c r="AT89" s="66">
        <v>0.49</v>
      </c>
      <c r="AU89" s="66">
        <v>0.53</v>
      </c>
      <c r="AV89" s="66">
        <v>0.56999999999999995</v>
      </c>
      <c r="AW89" s="66">
        <v>0.42</v>
      </c>
      <c r="AX89" s="66">
        <v>0.34</v>
      </c>
      <c r="AY89" s="66">
        <v>0.27</v>
      </c>
      <c r="AZ89" s="66">
        <v>0.18</v>
      </c>
      <c r="BA89" s="66">
        <v>0.52</v>
      </c>
      <c r="BB89" s="66">
        <v>0.46</v>
      </c>
      <c r="BC89" s="66">
        <v>0.71</v>
      </c>
      <c r="BD89" s="66">
        <v>0.35</v>
      </c>
      <c r="BE89" s="66">
        <v>0.41</v>
      </c>
      <c r="BF89" s="66">
        <v>0.62</v>
      </c>
      <c r="BG89" s="66">
        <v>0.31</v>
      </c>
      <c r="BH89" s="66">
        <v>0.36</v>
      </c>
      <c r="BI89" s="66">
        <v>0.39</v>
      </c>
      <c r="BJ89" s="66">
        <v>0.33</v>
      </c>
      <c r="BK89" s="66">
        <v>0.38</v>
      </c>
      <c r="BL89" s="66">
        <v>0.31</v>
      </c>
      <c r="BM89" s="16">
        <v>52</v>
      </c>
      <c r="BN89" s="16">
        <v>10</v>
      </c>
      <c r="BO89" s="99">
        <v>0.18</v>
      </c>
      <c r="BP89" s="99">
        <v>0.41</v>
      </c>
      <c r="BQ89" s="99">
        <v>0.41</v>
      </c>
      <c r="BR89" s="99">
        <v>0</v>
      </c>
      <c r="BS89" s="99">
        <v>0.35</v>
      </c>
      <c r="BT89" s="99">
        <v>0.6</v>
      </c>
      <c r="BU89" s="99">
        <v>0.67</v>
      </c>
      <c r="BV89" s="99">
        <v>0.31</v>
      </c>
      <c r="BW89" s="99">
        <v>0.56000000000000005</v>
      </c>
      <c r="BX89" s="99">
        <v>0.38</v>
      </c>
      <c r="BY89" s="99">
        <v>0.28000000000000003</v>
      </c>
      <c r="BZ89" s="99">
        <v>0.52</v>
      </c>
      <c r="CA89" s="99">
        <v>0.4</v>
      </c>
      <c r="CB89" s="99">
        <v>0.24</v>
      </c>
      <c r="CC89" s="99">
        <v>0.21</v>
      </c>
      <c r="CD89" s="99">
        <v>0.34</v>
      </c>
      <c r="CE89" s="99">
        <v>0.33</v>
      </c>
      <c r="CF89" s="99">
        <v>0.63</v>
      </c>
      <c r="CG89" s="99">
        <v>0.53</v>
      </c>
      <c r="CH89" s="99">
        <v>0.45</v>
      </c>
      <c r="CI89" s="99">
        <v>0.51</v>
      </c>
      <c r="CJ89" s="99">
        <v>0.43</v>
      </c>
      <c r="CK89" s="99">
        <v>0.66</v>
      </c>
      <c r="CL89" s="99">
        <v>0.37</v>
      </c>
      <c r="CM89" s="99">
        <v>0.45</v>
      </c>
      <c r="CN89" s="99">
        <v>0.41</v>
      </c>
      <c r="CO89" s="99">
        <v>0.45</v>
      </c>
      <c r="CP89" s="99">
        <v>0.33</v>
      </c>
      <c r="CQ89" s="99">
        <v>0.48</v>
      </c>
      <c r="CR89" s="99">
        <v>0.5</v>
      </c>
      <c r="CS89" s="16">
        <v>54</v>
      </c>
      <c r="CT89" s="16">
        <v>7</v>
      </c>
      <c r="CU89" s="96">
        <v>0.04</v>
      </c>
      <c r="CV89" s="96">
        <v>0.52</v>
      </c>
      <c r="CW89" s="96">
        <v>0.44</v>
      </c>
      <c r="CX89" s="96">
        <v>0</v>
      </c>
      <c r="CY89" s="96">
        <v>0.44</v>
      </c>
      <c r="CZ89" s="96">
        <v>0.18</v>
      </c>
      <c r="DA89" s="96">
        <v>0.4</v>
      </c>
      <c r="DB89" s="96">
        <v>0.21</v>
      </c>
      <c r="DC89" s="96">
        <v>0.32</v>
      </c>
      <c r="DD89" s="96">
        <v>0.57999999999999996</v>
      </c>
      <c r="DE89" s="96">
        <v>0.48</v>
      </c>
      <c r="DF89" s="96">
        <v>0.42</v>
      </c>
      <c r="DG89" s="96">
        <v>0.43</v>
      </c>
      <c r="DH89" s="96">
        <v>0.24</v>
      </c>
      <c r="DI89" s="96">
        <v>0.4</v>
      </c>
      <c r="DJ89" s="96">
        <v>0.53</v>
      </c>
      <c r="DK89" s="96">
        <v>0.31</v>
      </c>
      <c r="DL89" s="96">
        <v>0.27</v>
      </c>
      <c r="DM89" s="96">
        <v>0.37</v>
      </c>
      <c r="DN89" s="96">
        <v>0.41</v>
      </c>
      <c r="DO89" s="96">
        <v>0.38</v>
      </c>
      <c r="DP89" s="96">
        <v>0.44</v>
      </c>
      <c r="DQ89" s="96">
        <v>0.53</v>
      </c>
      <c r="DR89" s="96">
        <v>0.2</v>
      </c>
      <c r="DS89" s="96">
        <v>0.41</v>
      </c>
      <c r="DT89" s="96">
        <v>0.66</v>
      </c>
      <c r="DU89" s="96">
        <v>0.27</v>
      </c>
      <c r="DV89" s="96">
        <v>0.47</v>
      </c>
      <c r="DW89" s="96">
        <v>0.19</v>
      </c>
      <c r="DX89" s="61">
        <v>53</v>
      </c>
      <c r="DY89" s="61">
        <v>8</v>
      </c>
      <c r="DZ89" s="66">
        <v>0.09</v>
      </c>
      <c r="EA89" s="66">
        <v>0.51</v>
      </c>
      <c r="EB89" s="66">
        <v>0.4</v>
      </c>
      <c r="EC89" s="66">
        <v>0</v>
      </c>
      <c r="ED89" s="66">
        <v>0.53</v>
      </c>
      <c r="EE89" s="66">
        <v>0.41</v>
      </c>
      <c r="EF89" s="66">
        <v>0.41</v>
      </c>
      <c r="EG89" s="66">
        <v>0.44</v>
      </c>
      <c r="EH89" s="66">
        <v>0.31</v>
      </c>
      <c r="EI89" s="66">
        <v>0.42</v>
      </c>
      <c r="EJ89" s="66">
        <v>0.53</v>
      </c>
      <c r="EK89" s="66">
        <v>0.18</v>
      </c>
      <c r="EL89" s="66">
        <v>0.36</v>
      </c>
      <c r="EM89" s="66">
        <v>0.56000000000000005</v>
      </c>
      <c r="EN89" s="66">
        <v>0.31</v>
      </c>
      <c r="EO89" s="66">
        <v>0.53</v>
      </c>
      <c r="EP89" s="66">
        <v>0.2</v>
      </c>
      <c r="EQ89" s="66">
        <v>0.08</v>
      </c>
      <c r="ER89" s="66">
        <v>0.6</v>
      </c>
      <c r="ES89" s="66">
        <v>0.49</v>
      </c>
      <c r="ET89" s="66">
        <v>0.27</v>
      </c>
      <c r="EU89" s="66">
        <v>0.51</v>
      </c>
      <c r="EV89" s="66">
        <v>0.35</v>
      </c>
      <c r="EW89" s="66">
        <v>0.15</v>
      </c>
      <c r="EX89" s="66">
        <v>0.67</v>
      </c>
      <c r="EY89" s="66">
        <v>0.49</v>
      </c>
      <c r="EZ89" s="66">
        <v>0.17</v>
      </c>
      <c r="FA89" s="66">
        <v>0.64</v>
      </c>
      <c r="FB89" s="349">
        <v>50</v>
      </c>
      <c r="FC89" s="348" t="s">
        <v>910</v>
      </c>
      <c r="FD89" s="349">
        <v>8</v>
      </c>
      <c r="FE89" s="348" t="s">
        <v>910</v>
      </c>
      <c r="FF89" s="371">
        <v>0.08</v>
      </c>
      <c r="FG89" s="371">
        <v>0.68</v>
      </c>
      <c r="FH89" s="371">
        <v>0.23</v>
      </c>
      <c r="FI89" s="371">
        <v>0</v>
      </c>
      <c r="FJ89" s="371">
        <v>0.46</v>
      </c>
      <c r="FK89" s="371">
        <v>0.7</v>
      </c>
      <c r="FL89" s="371">
        <v>0.46</v>
      </c>
      <c r="FM89" s="371">
        <v>0.37</v>
      </c>
      <c r="FN89" s="371">
        <v>0.27</v>
      </c>
      <c r="FO89" s="371">
        <v>0.25</v>
      </c>
      <c r="FP89" s="371">
        <v>0.45</v>
      </c>
      <c r="FQ89" s="371">
        <v>0.47</v>
      </c>
      <c r="FR89" s="371">
        <v>0.7</v>
      </c>
      <c r="FS89" s="371">
        <v>0.56000000000000005</v>
      </c>
      <c r="FT89" s="371">
        <v>0.4</v>
      </c>
      <c r="FU89" s="371">
        <v>0.33</v>
      </c>
      <c r="FV89" s="371">
        <v>0.56000000000000005</v>
      </c>
      <c r="FW89" s="371">
        <v>0.57999999999999996</v>
      </c>
      <c r="FX89" s="371">
        <v>0.52</v>
      </c>
      <c r="FY89" s="371">
        <v>0.41</v>
      </c>
      <c r="FZ89" s="371">
        <v>0.41</v>
      </c>
      <c r="GA89" s="371">
        <v>0.52</v>
      </c>
      <c r="GB89" s="371">
        <v>0.56000000000000005</v>
      </c>
      <c r="GC89" s="371">
        <v>0.44</v>
      </c>
      <c r="GD89" s="371">
        <v>0.59</v>
      </c>
      <c r="GE89" s="371">
        <v>0.52</v>
      </c>
      <c r="GF89" s="371">
        <v>0.49</v>
      </c>
      <c r="GG89" s="371">
        <v>0.41</v>
      </c>
      <c r="GH89" s="371">
        <v>0.54</v>
      </c>
      <c r="GI89" s="371">
        <v>0.19</v>
      </c>
      <c r="GJ89" s="469">
        <v>52</v>
      </c>
      <c r="GK89" s="471" t="s">
        <v>910</v>
      </c>
      <c r="GL89" s="469">
        <v>8</v>
      </c>
      <c r="GM89" s="471" t="s">
        <v>910</v>
      </c>
      <c r="GN89" s="501">
        <v>0.08</v>
      </c>
      <c r="GO89" s="501">
        <v>0.57999999999999996</v>
      </c>
      <c r="GP89" s="501">
        <v>0.31</v>
      </c>
      <c r="GQ89" s="501">
        <v>0.04</v>
      </c>
      <c r="GR89" s="501">
        <v>0.42</v>
      </c>
      <c r="GS89" s="501">
        <v>0.53</v>
      </c>
      <c r="GT89" s="501">
        <v>0.56999999999999995</v>
      </c>
      <c r="GU89" s="501">
        <v>0.28000000000000003</v>
      </c>
      <c r="GV89" s="501">
        <v>0.56000000000000005</v>
      </c>
      <c r="GW89" s="501">
        <v>0.4</v>
      </c>
      <c r="GX89" s="501">
        <v>0.41</v>
      </c>
      <c r="GY89" s="471" t="s">
        <v>287</v>
      </c>
      <c r="GZ89" s="501">
        <v>0.26</v>
      </c>
      <c r="HA89" s="501">
        <v>0.59</v>
      </c>
      <c r="HB89" s="501">
        <v>0.47</v>
      </c>
      <c r="HC89" s="501">
        <v>0.49</v>
      </c>
      <c r="HD89" s="501">
        <v>0.53</v>
      </c>
      <c r="HE89" s="501">
        <v>0.34</v>
      </c>
      <c r="HF89" s="501">
        <v>0.49</v>
      </c>
      <c r="HG89" s="501">
        <v>0.65</v>
      </c>
      <c r="HH89" s="501">
        <v>0.36</v>
      </c>
      <c r="HI89" s="501">
        <v>0.61</v>
      </c>
      <c r="HJ89" s="501">
        <v>0.54</v>
      </c>
      <c r="HK89" s="501">
        <v>0.46</v>
      </c>
      <c r="HL89" s="501">
        <v>0.39</v>
      </c>
      <c r="HM89" s="501">
        <v>0.56000000000000005</v>
      </c>
      <c r="HN89" s="501">
        <v>0.4</v>
      </c>
      <c r="HO89" s="501">
        <v>0.42</v>
      </c>
      <c r="HP89" s="471" t="s">
        <v>287</v>
      </c>
      <c r="HQ89" s="501">
        <v>0.33</v>
      </c>
      <c r="HR89" s="630">
        <v>52</v>
      </c>
      <c r="HS89" s="640" t="s">
        <v>910</v>
      </c>
      <c r="HT89" s="630">
        <v>7</v>
      </c>
      <c r="HU89" s="640" t="s">
        <v>910</v>
      </c>
      <c r="HV89" s="644">
        <v>0.03</v>
      </c>
      <c r="HW89" s="644">
        <v>0.67</v>
      </c>
      <c r="HX89" s="644">
        <v>0.3</v>
      </c>
      <c r="HY89" s="644">
        <v>0</v>
      </c>
      <c r="HZ89" s="644">
        <v>0.36</v>
      </c>
      <c r="IA89" s="644">
        <v>0.6</v>
      </c>
      <c r="IB89" s="644">
        <v>0.25</v>
      </c>
      <c r="IC89" s="644">
        <v>0.38</v>
      </c>
      <c r="ID89" s="644">
        <v>0.73</v>
      </c>
      <c r="IE89" s="644">
        <v>0.28999999999999998</v>
      </c>
      <c r="IF89" s="644">
        <v>0.35</v>
      </c>
      <c r="IG89" s="644">
        <v>0.56999999999999995</v>
      </c>
      <c r="IH89" s="644">
        <v>0.41</v>
      </c>
      <c r="II89" s="644">
        <v>0.37</v>
      </c>
      <c r="IJ89" s="644">
        <v>0.24</v>
      </c>
      <c r="IK89" s="644">
        <v>0.57999999999999996</v>
      </c>
      <c r="IL89" s="644">
        <v>0.27</v>
      </c>
      <c r="IM89" s="644">
        <v>0.51</v>
      </c>
      <c r="IN89" s="644">
        <v>0.42</v>
      </c>
      <c r="IO89" s="644">
        <v>0.63</v>
      </c>
      <c r="IP89" s="644">
        <v>0.46</v>
      </c>
      <c r="IQ89" s="644">
        <v>0.66</v>
      </c>
      <c r="IR89" s="644">
        <v>0.57999999999999996</v>
      </c>
      <c r="IS89" s="644">
        <v>0.53</v>
      </c>
      <c r="IT89" s="644">
        <v>0.41</v>
      </c>
      <c r="IU89" s="640" t="s">
        <v>287</v>
      </c>
      <c r="IV89" s="644">
        <v>0.56000000000000005</v>
      </c>
      <c r="IW89" s="644">
        <v>0.43</v>
      </c>
      <c r="IX89" s="644">
        <v>0.46</v>
      </c>
      <c r="IY89" s="644">
        <v>0.5</v>
      </c>
    </row>
    <row r="90" spans="1:259" ht="24.9" customHeight="1" x14ac:dyDescent="0.25">
      <c r="A90" s="188" t="s">
        <v>136</v>
      </c>
      <c r="B90" s="1" t="s">
        <v>222</v>
      </c>
      <c r="C90" s="2">
        <v>4</v>
      </c>
      <c r="D90" s="16">
        <v>50</v>
      </c>
      <c r="E90" s="16">
        <v>6</v>
      </c>
      <c r="F90" s="99">
        <v>0.12</v>
      </c>
      <c r="G90" s="99">
        <v>0.73</v>
      </c>
      <c r="H90" s="99">
        <v>0.15</v>
      </c>
      <c r="I90" s="99">
        <v>0</v>
      </c>
      <c r="J90" s="99">
        <v>0.54</v>
      </c>
      <c r="K90" s="99">
        <v>0.42</v>
      </c>
      <c r="L90" s="99">
        <v>0.87</v>
      </c>
      <c r="M90" s="99">
        <v>0.19</v>
      </c>
      <c r="N90" s="99">
        <v>0.36</v>
      </c>
      <c r="O90" s="99">
        <v>0.71</v>
      </c>
      <c r="P90" s="99">
        <v>0.51</v>
      </c>
      <c r="Q90" s="99">
        <v>0.43</v>
      </c>
      <c r="R90" s="99">
        <v>0.59</v>
      </c>
      <c r="S90" s="99">
        <v>0.67</v>
      </c>
      <c r="T90" s="99">
        <v>0.65</v>
      </c>
      <c r="U90" s="99">
        <v>0.73</v>
      </c>
      <c r="V90" s="99">
        <v>0.15</v>
      </c>
      <c r="W90" s="99">
        <v>0.15</v>
      </c>
      <c r="X90" s="99">
        <v>0.61</v>
      </c>
      <c r="Y90" s="99">
        <v>0.55000000000000004</v>
      </c>
      <c r="Z90" s="13" t="s">
        <v>287</v>
      </c>
      <c r="AA90" s="99">
        <v>0.15</v>
      </c>
      <c r="AB90" s="99">
        <v>0.51</v>
      </c>
      <c r="AC90" s="99">
        <v>0.28000000000000003</v>
      </c>
      <c r="AD90" s="99">
        <v>0.4</v>
      </c>
      <c r="AE90" s="99">
        <v>0.42</v>
      </c>
      <c r="AF90" s="99">
        <v>0.56000000000000005</v>
      </c>
      <c r="AG90" s="99">
        <v>0.68</v>
      </c>
      <c r="AH90" s="16">
        <v>53</v>
      </c>
      <c r="AI90" s="16">
        <v>9</v>
      </c>
      <c r="AJ90" s="66">
        <v>0.08</v>
      </c>
      <c r="AK90" s="66">
        <v>0.56000000000000005</v>
      </c>
      <c r="AL90" s="66">
        <v>0.33</v>
      </c>
      <c r="AM90" s="66">
        <v>0.03</v>
      </c>
      <c r="AN90" s="66">
        <v>0.26</v>
      </c>
      <c r="AO90" s="66">
        <v>0.45</v>
      </c>
      <c r="AP90" s="66">
        <v>0.56000000000000005</v>
      </c>
      <c r="AQ90" s="66">
        <v>0.39</v>
      </c>
      <c r="AR90" s="66">
        <v>0.48</v>
      </c>
      <c r="AS90" s="66">
        <v>0.45</v>
      </c>
      <c r="AT90" s="66">
        <v>0.42</v>
      </c>
      <c r="AU90" s="66">
        <v>0.57999999999999996</v>
      </c>
      <c r="AV90" s="66">
        <v>0.64</v>
      </c>
      <c r="AW90" s="66">
        <v>0.38</v>
      </c>
      <c r="AX90" s="66">
        <v>0.61</v>
      </c>
      <c r="AY90" s="66">
        <v>0.31</v>
      </c>
      <c r="AZ90" s="66">
        <v>0.17</v>
      </c>
      <c r="BA90" s="66">
        <v>0.48</v>
      </c>
      <c r="BB90" s="66">
        <v>0.72</v>
      </c>
      <c r="BC90" s="66">
        <v>0.62</v>
      </c>
      <c r="BD90" s="66">
        <v>0.38</v>
      </c>
      <c r="BE90" s="66">
        <v>0.79</v>
      </c>
      <c r="BF90" s="66">
        <v>0.61</v>
      </c>
      <c r="BG90" s="66">
        <v>0.5</v>
      </c>
      <c r="BH90" s="66">
        <v>0.43</v>
      </c>
      <c r="BI90" s="66">
        <v>0.4</v>
      </c>
      <c r="BJ90" s="66">
        <v>0.4</v>
      </c>
      <c r="BK90" s="66">
        <v>0.34</v>
      </c>
      <c r="BL90" s="66">
        <v>0.26</v>
      </c>
      <c r="BM90" s="16">
        <v>50</v>
      </c>
      <c r="BN90" s="16">
        <v>8</v>
      </c>
      <c r="BO90" s="99">
        <v>0.14000000000000001</v>
      </c>
      <c r="BP90" s="99">
        <v>0.61</v>
      </c>
      <c r="BQ90" s="99">
        <v>0.25</v>
      </c>
      <c r="BR90" s="99">
        <v>0</v>
      </c>
      <c r="BS90" s="99">
        <v>0.4</v>
      </c>
      <c r="BT90" s="99">
        <v>0.44</v>
      </c>
      <c r="BU90" s="99">
        <v>0.61</v>
      </c>
      <c r="BV90" s="99">
        <v>0.25</v>
      </c>
      <c r="BW90" s="99">
        <v>0.57999999999999996</v>
      </c>
      <c r="BX90" s="99">
        <v>0.4</v>
      </c>
      <c r="BY90" s="99">
        <v>0.43</v>
      </c>
      <c r="BZ90" s="99">
        <v>0.52</v>
      </c>
      <c r="CA90" s="99">
        <v>0.47</v>
      </c>
      <c r="CB90" s="99">
        <v>0.37</v>
      </c>
      <c r="CC90" s="99">
        <v>0.17</v>
      </c>
      <c r="CD90" s="99">
        <v>0.49</v>
      </c>
      <c r="CE90" s="99">
        <v>0.32</v>
      </c>
      <c r="CF90" s="99">
        <v>0.63</v>
      </c>
      <c r="CG90" s="99">
        <v>0.63</v>
      </c>
      <c r="CH90" s="99">
        <v>0.43</v>
      </c>
      <c r="CI90" s="99">
        <v>0.48</v>
      </c>
      <c r="CJ90" s="99">
        <v>0.34</v>
      </c>
      <c r="CK90" s="99">
        <v>0.74</v>
      </c>
      <c r="CL90" s="99">
        <v>0.38</v>
      </c>
      <c r="CM90" s="99">
        <v>0.47</v>
      </c>
      <c r="CN90" s="99">
        <v>0.56000000000000005</v>
      </c>
      <c r="CO90" s="99">
        <v>0.53</v>
      </c>
      <c r="CP90" s="99">
        <v>0.34</v>
      </c>
      <c r="CQ90" s="99">
        <v>0.6</v>
      </c>
      <c r="CR90" s="99">
        <v>0.51</v>
      </c>
      <c r="CS90" s="16">
        <v>48</v>
      </c>
      <c r="CT90" s="16">
        <v>7</v>
      </c>
      <c r="CU90" s="96">
        <v>0.12</v>
      </c>
      <c r="CV90" s="96">
        <v>0.74</v>
      </c>
      <c r="CW90" s="96">
        <v>0.12</v>
      </c>
      <c r="CX90" s="96">
        <v>0.02</v>
      </c>
      <c r="CY90" s="96">
        <v>0.44</v>
      </c>
      <c r="CZ90" s="96">
        <v>0.28999999999999998</v>
      </c>
      <c r="DA90" s="96">
        <v>0.62</v>
      </c>
      <c r="DB90" s="96">
        <v>0.41</v>
      </c>
      <c r="DC90" s="96">
        <v>0.42</v>
      </c>
      <c r="DD90" s="96">
        <v>0.62</v>
      </c>
      <c r="DE90" s="96">
        <v>0.45</v>
      </c>
      <c r="DF90" s="96">
        <v>0.57999999999999996</v>
      </c>
      <c r="DG90" s="96">
        <v>0.5</v>
      </c>
      <c r="DH90" s="96">
        <v>0.31</v>
      </c>
      <c r="DI90" s="96">
        <v>0.55000000000000004</v>
      </c>
      <c r="DJ90" s="96">
        <v>0.65</v>
      </c>
      <c r="DK90" s="96">
        <v>0.44</v>
      </c>
      <c r="DL90" s="96">
        <v>0.48</v>
      </c>
      <c r="DM90" s="96">
        <v>0.54</v>
      </c>
      <c r="DN90" s="96">
        <v>0.55000000000000004</v>
      </c>
      <c r="DO90" s="96">
        <v>0.52</v>
      </c>
      <c r="DP90" s="96">
        <v>0.49</v>
      </c>
      <c r="DQ90" s="96">
        <v>0.6</v>
      </c>
      <c r="DR90" s="96">
        <v>0.24</v>
      </c>
      <c r="DS90" s="96">
        <v>0.47</v>
      </c>
      <c r="DT90" s="96">
        <v>0.72</v>
      </c>
      <c r="DU90" s="96">
        <v>0.5</v>
      </c>
      <c r="DV90" s="96">
        <v>0.63</v>
      </c>
      <c r="DW90" s="96">
        <v>0.33</v>
      </c>
      <c r="DX90" s="61">
        <v>52</v>
      </c>
      <c r="DY90" s="61">
        <v>9</v>
      </c>
      <c r="DZ90" s="66">
        <v>0.15</v>
      </c>
      <c r="EA90" s="66">
        <v>0.44</v>
      </c>
      <c r="EB90" s="66">
        <v>0.41</v>
      </c>
      <c r="EC90" s="66">
        <v>0</v>
      </c>
      <c r="ED90" s="66">
        <v>0.56000000000000005</v>
      </c>
      <c r="EE90" s="66">
        <v>0.44</v>
      </c>
      <c r="EF90" s="66">
        <v>0.41</v>
      </c>
      <c r="EG90" s="66">
        <v>0.13</v>
      </c>
      <c r="EH90" s="66">
        <v>0.33</v>
      </c>
      <c r="EI90" s="66">
        <v>0.41</v>
      </c>
      <c r="EJ90" s="66">
        <v>0.52</v>
      </c>
      <c r="EK90" s="66">
        <v>0.26</v>
      </c>
      <c r="EL90" s="66">
        <v>0.46</v>
      </c>
      <c r="EM90" s="66">
        <v>0.67</v>
      </c>
      <c r="EN90" s="66">
        <v>0.39</v>
      </c>
      <c r="EO90" s="66">
        <v>0.47</v>
      </c>
      <c r="EP90" s="66">
        <v>0.31</v>
      </c>
      <c r="EQ90" s="66">
        <v>0.3</v>
      </c>
      <c r="ER90" s="66">
        <v>0.56999999999999995</v>
      </c>
      <c r="ES90" s="66">
        <v>0.31</v>
      </c>
      <c r="ET90" s="66">
        <v>0.28999999999999998</v>
      </c>
      <c r="EU90" s="66">
        <v>0.71</v>
      </c>
      <c r="EV90" s="66">
        <v>0.06</v>
      </c>
      <c r="EW90" s="66">
        <v>0.26</v>
      </c>
      <c r="EX90" s="66">
        <v>0.5</v>
      </c>
      <c r="EY90" s="66">
        <v>0.61</v>
      </c>
      <c r="EZ90" s="66">
        <v>0.21</v>
      </c>
      <c r="FA90" s="66">
        <v>0.6</v>
      </c>
      <c r="FB90" s="349">
        <v>51</v>
      </c>
      <c r="FC90" s="348" t="s">
        <v>910</v>
      </c>
      <c r="FD90" s="349">
        <v>9</v>
      </c>
      <c r="FE90" s="348" t="s">
        <v>910</v>
      </c>
      <c r="FF90" s="371">
        <v>0.16</v>
      </c>
      <c r="FG90" s="371">
        <v>0.56000000000000005</v>
      </c>
      <c r="FH90" s="371">
        <v>0.27</v>
      </c>
      <c r="FI90" s="371">
        <v>0.02</v>
      </c>
      <c r="FJ90" s="371">
        <v>0.35</v>
      </c>
      <c r="FK90" s="371">
        <v>0.65</v>
      </c>
      <c r="FL90" s="371">
        <v>0.43</v>
      </c>
      <c r="FM90" s="371">
        <v>0.5</v>
      </c>
      <c r="FN90" s="371">
        <v>0.38</v>
      </c>
      <c r="FO90" s="371">
        <v>0.38</v>
      </c>
      <c r="FP90" s="371">
        <v>0.28000000000000003</v>
      </c>
      <c r="FQ90" s="371">
        <v>0.38</v>
      </c>
      <c r="FR90" s="371">
        <v>0.6</v>
      </c>
      <c r="FS90" s="371">
        <v>0.5</v>
      </c>
      <c r="FT90" s="371">
        <v>0.44</v>
      </c>
      <c r="FU90" s="371">
        <v>0.52</v>
      </c>
      <c r="FV90" s="371">
        <v>0.66</v>
      </c>
      <c r="FW90" s="371">
        <v>0.54</v>
      </c>
      <c r="FX90" s="371">
        <v>0.44</v>
      </c>
      <c r="FY90" s="371">
        <v>0.4</v>
      </c>
      <c r="FZ90" s="371">
        <v>0.36</v>
      </c>
      <c r="GA90" s="371">
        <v>0.55000000000000004</v>
      </c>
      <c r="GB90" s="371">
        <v>0.64</v>
      </c>
      <c r="GC90" s="371">
        <v>0.34</v>
      </c>
      <c r="GD90" s="371">
        <v>0.59</v>
      </c>
      <c r="GE90" s="371">
        <v>0.57999999999999996</v>
      </c>
      <c r="GF90" s="371">
        <v>0.39</v>
      </c>
      <c r="GG90" s="371">
        <v>0.45</v>
      </c>
      <c r="GH90" s="371">
        <v>0.46</v>
      </c>
      <c r="GI90" s="371">
        <v>0.36</v>
      </c>
      <c r="GJ90" s="469">
        <v>53</v>
      </c>
      <c r="GK90" s="471" t="s">
        <v>910</v>
      </c>
      <c r="GL90" s="469">
        <v>10</v>
      </c>
      <c r="GM90" s="471" t="s">
        <v>910</v>
      </c>
      <c r="GN90" s="501">
        <v>0.13</v>
      </c>
      <c r="GO90" s="501">
        <v>0.48</v>
      </c>
      <c r="GP90" s="501">
        <v>0.35</v>
      </c>
      <c r="GQ90" s="501">
        <v>0.04</v>
      </c>
      <c r="GR90" s="501">
        <v>0.44</v>
      </c>
      <c r="GS90" s="501">
        <v>0.45</v>
      </c>
      <c r="GT90" s="501">
        <v>0.62</v>
      </c>
      <c r="GU90" s="501">
        <v>0.18</v>
      </c>
      <c r="GV90" s="501">
        <v>0.54</v>
      </c>
      <c r="GW90" s="501">
        <v>0.42</v>
      </c>
      <c r="GX90" s="501">
        <v>0.43</v>
      </c>
      <c r="GY90" s="471" t="s">
        <v>287</v>
      </c>
      <c r="GZ90" s="501">
        <v>0.24</v>
      </c>
      <c r="HA90" s="501">
        <v>0.7</v>
      </c>
      <c r="HB90" s="501">
        <v>0.42</v>
      </c>
      <c r="HC90" s="501">
        <v>0.51</v>
      </c>
      <c r="HD90" s="501">
        <v>0.5</v>
      </c>
      <c r="HE90" s="501">
        <v>0.47</v>
      </c>
      <c r="HF90" s="501">
        <v>0.46</v>
      </c>
      <c r="HG90" s="501">
        <v>0.62</v>
      </c>
      <c r="HH90" s="501">
        <v>0.33</v>
      </c>
      <c r="HI90" s="501">
        <v>0.46</v>
      </c>
      <c r="HJ90" s="501">
        <v>0.61</v>
      </c>
      <c r="HK90" s="501">
        <v>0.51</v>
      </c>
      <c r="HL90" s="501">
        <v>0.38</v>
      </c>
      <c r="HM90" s="501">
        <v>0.45</v>
      </c>
      <c r="HN90" s="501">
        <v>0.38</v>
      </c>
      <c r="HO90" s="501">
        <v>0.38</v>
      </c>
      <c r="HP90" s="471" t="s">
        <v>287</v>
      </c>
      <c r="HQ90" s="501">
        <v>0.34</v>
      </c>
      <c r="HR90" s="630">
        <v>49</v>
      </c>
      <c r="HS90" s="640" t="s">
        <v>910</v>
      </c>
      <c r="HT90" s="630">
        <v>8</v>
      </c>
      <c r="HU90" s="640" t="s">
        <v>910</v>
      </c>
      <c r="HV90" s="644">
        <v>0.16</v>
      </c>
      <c r="HW90" s="644">
        <v>0.63</v>
      </c>
      <c r="HX90" s="644">
        <v>0.21</v>
      </c>
      <c r="HY90" s="644">
        <v>0</v>
      </c>
      <c r="HZ90" s="644">
        <v>0.44</v>
      </c>
      <c r="IA90" s="644">
        <v>0.56000000000000005</v>
      </c>
      <c r="IB90" s="644">
        <v>0.28999999999999998</v>
      </c>
      <c r="IC90" s="644">
        <v>0.53</v>
      </c>
      <c r="ID90" s="644">
        <v>0.64</v>
      </c>
      <c r="IE90" s="644">
        <v>0.42</v>
      </c>
      <c r="IF90" s="644">
        <v>0.49</v>
      </c>
      <c r="IG90" s="644">
        <v>0.65</v>
      </c>
      <c r="IH90" s="644">
        <v>0.56999999999999995</v>
      </c>
      <c r="II90" s="644">
        <v>0.33</v>
      </c>
      <c r="IJ90" s="644">
        <v>0.38</v>
      </c>
      <c r="IK90" s="644">
        <v>0.61</v>
      </c>
      <c r="IL90" s="644">
        <v>0.39</v>
      </c>
      <c r="IM90" s="644">
        <v>0.56999999999999995</v>
      </c>
      <c r="IN90" s="644">
        <v>0.49</v>
      </c>
      <c r="IO90" s="644">
        <v>0.62</v>
      </c>
      <c r="IP90" s="644">
        <v>0.44</v>
      </c>
      <c r="IQ90" s="644">
        <v>0.63</v>
      </c>
      <c r="IR90" s="644">
        <v>0.64</v>
      </c>
      <c r="IS90" s="644">
        <v>0.59</v>
      </c>
      <c r="IT90" s="644">
        <v>0.45</v>
      </c>
      <c r="IU90" s="640" t="s">
        <v>287</v>
      </c>
      <c r="IV90" s="644">
        <v>0.66</v>
      </c>
      <c r="IW90" s="644">
        <v>0.44</v>
      </c>
      <c r="IX90" s="644">
        <v>0.5</v>
      </c>
      <c r="IY90" s="644">
        <v>0.59</v>
      </c>
    </row>
    <row r="91" spans="1:259" ht="24.9" customHeight="1" x14ac:dyDescent="0.25">
      <c r="A91" s="188" t="s">
        <v>97</v>
      </c>
      <c r="B91" s="1" t="s">
        <v>222</v>
      </c>
      <c r="C91" s="2">
        <v>2</v>
      </c>
      <c r="D91" s="16">
        <v>61</v>
      </c>
      <c r="E91" s="16">
        <v>7</v>
      </c>
      <c r="F91" s="99">
        <v>0</v>
      </c>
      <c r="G91" s="99">
        <v>0.28999999999999998</v>
      </c>
      <c r="H91" s="99">
        <v>0.71</v>
      </c>
      <c r="I91" s="99">
        <v>0</v>
      </c>
      <c r="J91" s="99">
        <v>0.13</v>
      </c>
      <c r="K91" s="99">
        <v>0.13</v>
      </c>
      <c r="L91" s="99">
        <v>0.75</v>
      </c>
      <c r="M91" s="99">
        <v>0.13</v>
      </c>
      <c r="N91" s="99">
        <v>0.2</v>
      </c>
      <c r="O91" s="99">
        <v>0.6</v>
      </c>
      <c r="P91" s="99">
        <v>0.31</v>
      </c>
      <c r="Q91" s="99">
        <v>0.22</v>
      </c>
      <c r="R91" s="99">
        <v>0.38</v>
      </c>
      <c r="S91" s="99">
        <v>0.44</v>
      </c>
      <c r="T91" s="99">
        <v>0.13</v>
      </c>
      <c r="U91" s="99">
        <v>0</v>
      </c>
      <c r="V91" s="99">
        <v>0</v>
      </c>
      <c r="W91" s="99">
        <v>0.13</v>
      </c>
      <c r="X91" s="99">
        <v>0.34</v>
      </c>
      <c r="Y91" s="99">
        <v>0.25</v>
      </c>
      <c r="Z91" s="13" t="s">
        <v>287</v>
      </c>
      <c r="AA91" s="99">
        <v>0</v>
      </c>
      <c r="AB91" s="99">
        <v>0.27</v>
      </c>
      <c r="AC91" s="99">
        <v>0.19</v>
      </c>
      <c r="AD91" s="99">
        <v>0.33</v>
      </c>
      <c r="AE91" s="99">
        <v>0.69</v>
      </c>
      <c r="AF91" s="99">
        <v>0.25</v>
      </c>
      <c r="AG91" s="99">
        <v>0.28999999999999998</v>
      </c>
      <c r="AH91" s="16">
        <v>44</v>
      </c>
      <c r="AI91" s="16">
        <v>7</v>
      </c>
      <c r="AJ91" s="66">
        <v>0.22</v>
      </c>
      <c r="AK91" s="66">
        <v>0.67</v>
      </c>
      <c r="AL91" s="66">
        <v>0.11</v>
      </c>
      <c r="AM91" s="66">
        <v>0</v>
      </c>
      <c r="AN91" s="66">
        <v>0.56000000000000005</v>
      </c>
      <c r="AO91" s="66">
        <v>0.59</v>
      </c>
      <c r="AP91" s="66">
        <v>0.75</v>
      </c>
      <c r="AQ91" s="66">
        <v>0.61</v>
      </c>
      <c r="AR91" s="66">
        <v>0.8</v>
      </c>
      <c r="AS91" s="66">
        <v>0.56000000000000005</v>
      </c>
      <c r="AT91" s="66">
        <v>0.65</v>
      </c>
      <c r="AU91" s="66">
        <v>0.84</v>
      </c>
      <c r="AV91" s="66">
        <v>0.59</v>
      </c>
      <c r="AW91" s="66">
        <v>0.5</v>
      </c>
      <c r="AX91" s="66">
        <v>0.83</v>
      </c>
      <c r="AY91" s="66">
        <v>0.41</v>
      </c>
      <c r="AZ91" s="66">
        <v>0.43</v>
      </c>
      <c r="BA91" s="66">
        <v>0.73</v>
      </c>
      <c r="BB91" s="66">
        <v>0.65</v>
      </c>
      <c r="BC91" s="66">
        <v>0.7</v>
      </c>
      <c r="BD91" s="66">
        <v>0.7</v>
      </c>
      <c r="BE91" s="66">
        <v>0.67</v>
      </c>
      <c r="BF91" s="66">
        <v>1</v>
      </c>
      <c r="BG91" s="66">
        <v>0.65</v>
      </c>
      <c r="BH91" s="66">
        <v>0.66</v>
      </c>
      <c r="BI91" s="66">
        <v>0.57999999999999996</v>
      </c>
      <c r="BJ91" s="66">
        <v>0.52</v>
      </c>
      <c r="BK91" s="66">
        <v>0.52</v>
      </c>
      <c r="BL91" s="66">
        <v>0.33</v>
      </c>
      <c r="BM91" s="16">
        <v>46</v>
      </c>
      <c r="BN91" s="16">
        <v>7</v>
      </c>
      <c r="BO91" s="99">
        <v>0.17</v>
      </c>
      <c r="BP91" s="99">
        <v>0.67</v>
      </c>
      <c r="BQ91" s="99">
        <v>0.17</v>
      </c>
      <c r="BR91" s="99">
        <v>0</v>
      </c>
      <c r="BS91" s="99">
        <v>0.25</v>
      </c>
      <c r="BT91" s="99">
        <v>0.5</v>
      </c>
      <c r="BU91" s="99">
        <v>0.83</v>
      </c>
      <c r="BV91" s="99">
        <v>1</v>
      </c>
      <c r="BW91" s="99">
        <v>0.8</v>
      </c>
      <c r="BX91" s="99">
        <v>0.28999999999999998</v>
      </c>
      <c r="BY91" s="99">
        <v>0.47</v>
      </c>
      <c r="BZ91" s="99">
        <v>0.65</v>
      </c>
      <c r="CA91" s="99">
        <v>0.5</v>
      </c>
      <c r="CB91" s="99">
        <v>0.5</v>
      </c>
      <c r="CC91" s="99">
        <v>0</v>
      </c>
      <c r="CD91" s="99">
        <v>0.71</v>
      </c>
      <c r="CE91" s="99">
        <v>0.4</v>
      </c>
      <c r="CF91" s="99">
        <v>0.56999999999999995</v>
      </c>
      <c r="CG91" s="99">
        <v>0.4</v>
      </c>
      <c r="CH91" s="99">
        <v>0.65</v>
      </c>
      <c r="CI91" s="99">
        <v>0.81</v>
      </c>
      <c r="CJ91" s="99">
        <v>0.8</v>
      </c>
      <c r="CK91" s="99">
        <v>0.94</v>
      </c>
      <c r="CL91" s="99">
        <v>0.57999999999999996</v>
      </c>
      <c r="CM91" s="99">
        <v>0.64</v>
      </c>
      <c r="CN91" s="99">
        <v>0.56000000000000005</v>
      </c>
      <c r="CO91" s="99">
        <v>0.4</v>
      </c>
      <c r="CP91" s="99">
        <v>0.56999999999999995</v>
      </c>
      <c r="CQ91" s="99">
        <v>0.73</v>
      </c>
      <c r="CR91" s="99">
        <v>0.6</v>
      </c>
      <c r="CS91" s="16">
        <v>47</v>
      </c>
      <c r="CT91" s="16">
        <v>10</v>
      </c>
      <c r="CU91" s="96">
        <v>0.44</v>
      </c>
      <c r="CV91" s="96">
        <v>0.33</v>
      </c>
      <c r="CW91" s="96">
        <v>0.22</v>
      </c>
      <c r="CX91" s="96">
        <v>0</v>
      </c>
      <c r="CY91" s="96">
        <v>0.56999999999999995</v>
      </c>
      <c r="CZ91" s="96">
        <v>0.33</v>
      </c>
      <c r="DA91" s="96">
        <v>0.61</v>
      </c>
      <c r="DB91" s="96">
        <v>0.56000000000000005</v>
      </c>
      <c r="DC91" s="96">
        <v>0.52</v>
      </c>
      <c r="DD91" s="96">
        <v>0.64</v>
      </c>
      <c r="DE91" s="96">
        <v>0.6</v>
      </c>
      <c r="DF91" s="96">
        <v>0.82</v>
      </c>
      <c r="DG91" s="96">
        <v>0.25</v>
      </c>
      <c r="DH91" s="96">
        <v>0.38</v>
      </c>
      <c r="DI91" s="96">
        <v>0.88</v>
      </c>
      <c r="DJ91" s="96">
        <v>0.63</v>
      </c>
      <c r="DK91" s="96">
        <v>0.63</v>
      </c>
      <c r="DL91" s="96">
        <v>0.33</v>
      </c>
      <c r="DM91" s="96">
        <v>0.56999999999999995</v>
      </c>
      <c r="DN91" s="96">
        <v>0.68</v>
      </c>
      <c r="DO91" s="96">
        <v>0.43</v>
      </c>
      <c r="DP91" s="96">
        <v>0.39</v>
      </c>
      <c r="DQ91" s="96">
        <v>0.53</v>
      </c>
      <c r="DR91" s="96">
        <v>0.2</v>
      </c>
      <c r="DS91" s="96">
        <v>0.19</v>
      </c>
      <c r="DT91" s="96">
        <v>0.65</v>
      </c>
      <c r="DU91" s="96">
        <v>0.75</v>
      </c>
      <c r="DV91" s="96">
        <v>0.56000000000000005</v>
      </c>
      <c r="DW91" s="96">
        <v>0.33</v>
      </c>
      <c r="DX91" s="61">
        <v>46</v>
      </c>
      <c r="DY91" s="61">
        <v>7</v>
      </c>
      <c r="DZ91" s="66">
        <v>0.27</v>
      </c>
      <c r="EA91" s="66">
        <v>0.73</v>
      </c>
      <c r="EB91" s="66">
        <v>0</v>
      </c>
      <c r="EC91" s="66">
        <v>0</v>
      </c>
      <c r="ED91" s="66">
        <v>0.59</v>
      </c>
      <c r="EE91" s="66">
        <v>0.3</v>
      </c>
      <c r="EF91" s="66">
        <v>0.5</v>
      </c>
      <c r="EG91" s="66">
        <v>0.4</v>
      </c>
      <c r="EH91" s="66">
        <v>0.53</v>
      </c>
      <c r="EI91" s="66">
        <v>0.37</v>
      </c>
      <c r="EJ91" s="66">
        <v>0.67</v>
      </c>
      <c r="EK91" s="66">
        <v>0.22</v>
      </c>
      <c r="EL91" s="66">
        <v>0.47</v>
      </c>
      <c r="EM91" s="66">
        <v>0.67</v>
      </c>
      <c r="EN91" s="66">
        <v>0.55000000000000004</v>
      </c>
      <c r="EO91" s="66">
        <v>0.52</v>
      </c>
      <c r="EP91" s="66">
        <v>0.59</v>
      </c>
      <c r="EQ91" s="66">
        <v>0.2</v>
      </c>
      <c r="ER91" s="66">
        <v>0.61</v>
      </c>
      <c r="ES91" s="66">
        <v>0.6</v>
      </c>
      <c r="ET91" s="66">
        <v>0.33</v>
      </c>
      <c r="EU91" s="66">
        <v>0.69</v>
      </c>
      <c r="EV91" s="66">
        <v>0.6</v>
      </c>
      <c r="EW91" s="66">
        <v>0.5</v>
      </c>
      <c r="EX91" s="66">
        <v>0.86</v>
      </c>
      <c r="EY91" s="66">
        <v>0.6</v>
      </c>
      <c r="EZ91" s="66">
        <v>0.17</v>
      </c>
      <c r="FA91" s="66">
        <v>0.81</v>
      </c>
      <c r="FB91" s="349">
        <v>47</v>
      </c>
      <c r="FC91" s="348" t="s">
        <v>910</v>
      </c>
      <c r="FD91" s="349">
        <v>5</v>
      </c>
      <c r="FE91" s="348" t="s">
        <v>912</v>
      </c>
      <c r="FF91" s="371">
        <v>0</v>
      </c>
      <c r="FG91" s="371">
        <v>1</v>
      </c>
      <c r="FH91" s="371">
        <v>0</v>
      </c>
      <c r="FI91" s="371">
        <v>0</v>
      </c>
      <c r="FJ91" s="371">
        <v>0.75</v>
      </c>
      <c r="FK91" s="371">
        <v>0.72</v>
      </c>
      <c r="FL91" s="371">
        <v>0.25</v>
      </c>
      <c r="FM91" s="371">
        <v>0.67</v>
      </c>
      <c r="FN91" s="371">
        <v>0</v>
      </c>
      <c r="FO91" s="371">
        <v>0.3</v>
      </c>
      <c r="FP91" s="371">
        <v>0.4</v>
      </c>
      <c r="FQ91" s="371">
        <v>0.36</v>
      </c>
      <c r="FR91" s="371">
        <v>0.94</v>
      </c>
      <c r="FS91" s="371">
        <v>0.5</v>
      </c>
      <c r="FT91" s="371">
        <v>0.5</v>
      </c>
      <c r="FU91" s="371">
        <v>0.5</v>
      </c>
      <c r="FV91" s="371">
        <v>0.75</v>
      </c>
      <c r="FW91" s="371">
        <v>0.5</v>
      </c>
      <c r="FX91" s="371">
        <v>0.67</v>
      </c>
      <c r="FY91" s="371">
        <v>0.4</v>
      </c>
      <c r="FZ91" s="371">
        <v>0.6</v>
      </c>
      <c r="GA91" s="371">
        <v>0.6</v>
      </c>
      <c r="GB91" s="371">
        <v>0.63</v>
      </c>
      <c r="GC91" s="371">
        <v>0.39</v>
      </c>
      <c r="GD91" s="371">
        <v>0.56000000000000005</v>
      </c>
      <c r="GE91" s="371">
        <v>0.33</v>
      </c>
      <c r="GF91" s="371">
        <v>0.67</v>
      </c>
      <c r="GG91" s="371">
        <v>0.63</v>
      </c>
      <c r="GH91" s="371">
        <v>0.79</v>
      </c>
      <c r="GI91" s="371">
        <v>0.38</v>
      </c>
      <c r="GJ91" s="469">
        <v>50</v>
      </c>
      <c r="GK91" s="471" t="s">
        <v>910</v>
      </c>
      <c r="GL91" s="469">
        <v>13</v>
      </c>
      <c r="GM91" s="471" t="s">
        <v>911</v>
      </c>
      <c r="GN91" s="501">
        <v>0</v>
      </c>
      <c r="GO91" s="501">
        <v>0.67</v>
      </c>
      <c r="GP91" s="501">
        <v>0.33</v>
      </c>
      <c r="GQ91" s="501">
        <v>0</v>
      </c>
      <c r="GR91" s="501">
        <v>0.4</v>
      </c>
      <c r="GS91" s="501">
        <v>0.75</v>
      </c>
      <c r="GT91" s="501">
        <v>0.83</v>
      </c>
      <c r="GU91" s="501">
        <v>0</v>
      </c>
      <c r="GV91" s="501">
        <v>0.33</v>
      </c>
      <c r="GW91" s="501">
        <v>0.67</v>
      </c>
      <c r="GX91" s="501">
        <v>0.4</v>
      </c>
      <c r="GY91" s="471" t="s">
        <v>287</v>
      </c>
      <c r="GZ91" s="501">
        <v>0</v>
      </c>
      <c r="HA91" s="501">
        <v>1</v>
      </c>
      <c r="HB91" s="501">
        <v>0.75</v>
      </c>
      <c r="HC91" s="501">
        <v>0.2</v>
      </c>
      <c r="HD91" s="501">
        <v>0.6</v>
      </c>
      <c r="HE91" s="501">
        <v>0.43</v>
      </c>
      <c r="HF91" s="501">
        <v>0.5</v>
      </c>
      <c r="HG91" s="501">
        <v>0.45</v>
      </c>
      <c r="HH91" s="501">
        <v>0.56999999999999995</v>
      </c>
      <c r="HI91" s="501">
        <v>0.67</v>
      </c>
      <c r="HJ91" s="501">
        <v>0.64</v>
      </c>
      <c r="HK91" s="501">
        <v>0.33</v>
      </c>
      <c r="HL91" s="501">
        <v>0.43</v>
      </c>
      <c r="HM91" s="501">
        <v>0.67</v>
      </c>
      <c r="HN91" s="501">
        <v>0.4</v>
      </c>
      <c r="HO91" s="501">
        <v>0.67</v>
      </c>
      <c r="HP91" s="471" t="s">
        <v>287</v>
      </c>
      <c r="HQ91" s="501">
        <v>0.33</v>
      </c>
      <c r="HR91" s="630">
        <v>52</v>
      </c>
      <c r="HS91" s="640" t="s">
        <v>910</v>
      </c>
      <c r="HT91" s="630">
        <v>8</v>
      </c>
      <c r="HU91" s="640" t="s">
        <v>910</v>
      </c>
      <c r="HV91" s="644">
        <v>0.13</v>
      </c>
      <c r="HW91" s="644">
        <v>0.5</v>
      </c>
      <c r="HX91" s="644">
        <v>0.38</v>
      </c>
      <c r="HY91" s="644">
        <v>0</v>
      </c>
      <c r="HZ91" s="644">
        <v>0.43</v>
      </c>
      <c r="IA91" s="644">
        <v>0.53</v>
      </c>
      <c r="IB91" s="644">
        <v>0.25</v>
      </c>
      <c r="IC91" s="644">
        <v>0.53</v>
      </c>
      <c r="ID91" s="644">
        <v>0.57999999999999996</v>
      </c>
      <c r="IE91" s="644">
        <v>0.22</v>
      </c>
      <c r="IF91" s="644">
        <v>0.56000000000000005</v>
      </c>
      <c r="IG91" s="644">
        <v>0.56000000000000005</v>
      </c>
      <c r="IH91" s="644">
        <v>0.36</v>
      </c>
      <c r="II91" s="644">
        <v>0.4</v>
      </c>
      <c r="IJ91" s="644">
        <v>0.11</v>
      </c>
      <c r="IK91" s="644">
        <v>0.62</v>
      </c>
      <c r="IL91" s="644">
        <v>0.18</v>
      </c>
      <c r="IM91" s="644">
        <v>0.53</v>
      </c>
      <c r="IN91" s="644">
        <v>0.46</v>
      </c>
      <c r="IO91" s="644">
        <v>0.74</v>
      </c>
      <c r="IP91" s="644">
        <v>0.23</v>
      </c>
      <c r="IQ91" s="644">
        <v>0.56000000000000005</v>
      </c>
      <c r="IR91" s="644">
        <v>0.6</v>
      </c>
      <c r="IS91" s="644">
        <v>0.53</v>
      </c>
      <c r="IT91" s="644">
        <v>0.41</v>
      </c>
      <c r="IU91" s="640" t="s">
        <v>287</v>
      </c>
      <c r="IV91" s="644">
        <v>0.56999999999999995</v>
      </c>
      <c r="IW91" s="644">
        <v>0.44</v>
      </c>
      <c r="IX91" s="644">
        <v>0.46</v>
      </c>
      <c r="IY91" s="644">
        <v>0.48</v>
      </c>
    </row>
    <row r="92" spans="1:259" ht="24.9" customHeight="1" x14ac:dyDescent="0.25">
      <c r="A92" s="188" t="s">
        <v>181</v>
      </c>
      <c r="B92" s="1" t="s">
        <v>222</v>
      </c>
      <c r="C92" s="2">
        <v>3</v>
      </c>
      <c r="D92" s="16">
        <v>60</v>
      </c>
      <c r="E92" s="16">
        <v>6</v>
      </c>
      <c r="F92" s="99">
        <v>0</v>
      </c>
      <c r="G92" s="99">
        <v>0.23</v>
      </c>
      <c r="H92" s="99">
        <v>0.77</v>
      </c>
      <c r="I92" s="99">
        <v>0</v>
      </c>
      <c r="J92" s="99">
        <v>0.19</v>
      </c>
      <c r="K92" s="99">
        <v>0.21</v>
      </c>
      <c r="L92" s="99">
        <v>0.59</v>
      </c>
      <c r="M92" s="99">
        <v>0.11</v>
      </c>
      <c r="N92" s="99">
        <v>0.18</v>
      </c>
      <c r="O92" s="99">
        <v>0.5</v>
      </c>
      <c r="P92" s="99">
        <v>0.33</v>
      </c>
      <c r="Q92" s="99">
        <v>0.31</v>
      </c>
      <c r="R92" s="99">
        <v>0.35</v>
      </c>
      <c r="S92" s="99">
        <v>0.45</v>
      </c>
      <c r="T92" s="99">
        <v>0.42</v>
      </c>
      <c r="U92" s="99">
        <v>0.4</v>
      </c>
      <c r="V92" s="99">
        <v>0</v>
      </c>
      <c r="W92" s="99">
        <v>0.04</v>
      </c>
      <c r="X92" s="99">
        <v>0.28999999999999998</v>
      </c>
      <c r="Y92" s="99">
        <v>0.28000000000000003</v>
      </c>
      <c r="Z92" s="13" t="s">
        <v>287</v>
      </c>
      <c r="AA92" s="99">
        <v>0.03</v>
      </c>
      <c r="AB92" s="99">
        <v>0.43</v>
      </c>
      <c r="AC92" s="99">
        <v>0.18</v>
      </c>
      <c r="AD92" s="99">
        <v>0.34</v>
      </c>
      <c r="AE92" s="99">
        <v>0.4</v>
      </c>
      <c r="AF92" s="99">
        <v>0.37</v>
      </c>
      <c r="AG92" s="99">
        <v>0.45</v>
      </c>
      <c r="AH92" s="16">
        <v>59</v>
      </c>
      <c r="AI92" s="16">
        <v>8</v>
      </c>
      <c r="AJ92" s="66">
        <v>0</v>
      </c>
      <c r="AK92" s="66">
        <v>0.31</v>
      </c>
      <c r="AL92" s="66">
        <v>0.59</v>
      </c>
      <c r="AM92" s="66">
        <v>0.09</v>
      </c>
      <c r="AN92" s="66">
        <v>0.25</v>
      </c>
      <c r="AO92" s="66">
        <v>0.4</v>
      </c>
      <c r="AP92" s="66">
        <v>0.4</v>
      </c>
      <c r="AQ92" s="66">
        <v>0.21</v>
      </c>
      <c r="AR92" s="66">
        <v>0.3</v>
      </c>
      <c r="AS92" s="66">
        <v>0.44</v>
      </c>
      <c r="AT92" s="66">
        <v>0.37</v>
      </c>
      <c r="AU92" s="66">
        <v>0.34</v>
      </c>
      <c r="AV92" s="66">
        <v>0.45</v>
      </c>
      <c r="AW92" s="66">
        <v>0.13</v>
      </c>
      <c r="AX92" s="66">
        <v>0.37</v>
      </c>
      <c r="AY92" s="66">
        <v>0.21</v>
      </c>
      <c r="AZ92" s="66">
        <v>0.18</v>
      </c>
      <c r="BA92" s="66">
        <v>0.31</v>
      </c>
      <c r="BB92" s="66">
        <v>0.46</v>
      </c>
      <c r="BC92" s="66">
        <v>0.54</v>
      </c>
      <c r="BD92" s="66">
        <v>0.33</v>
      </c>
      <c r="BE92" s="66">
        <v>0.28999999999999998</v>
      </c>
      <c r="BF92" s="66">
        <v>0.26</v>
      </c>
      <c r="BG92" s="66">
        <v>0.35</v>
      </c>
      <c r="BH92" s="66">
        <v>0.3</v>
      </c>
      <c r="BI92" s="66">
        <v>0.34</v>
      </c>
      <c r="BJ92" s="66">
        <v>0.27</v>
      </c>
      <c r="BK92" s="66">
        <v>0.28999999999999998</v>
      </c>
      <c r="BL92" s="66">
        <v>0.2</v>
      </c>
      <c r="BM92" s="16">
        <v>57</v>
      </c>
      <c r="BN92" s="16">
        <v>8</v>
      </c>
      <c r="BO92" s="99">
        <v>0</v>
      </c>
      <c r="BP92" s="99">
        <v>0.38</v>
      </c>
      <c r="BQ92" s="99">
        <v>0.59</v>
      </c>
      <c r="BR92" s="99">
        <v>0.03</v>
      </c>
      <c r="BS92" s="99">
        <v>0.27</v>
      </c>
      <c r="BT92" s="99">
        <v>0.62</v>
      </c>
      <c r="BU92" s="99">
        <v>0.52</v>
      </c>
      <c r="BV92" s="99">
        <v>0.27</v>
      </c>
      <c r="BW92" s="99">
        <v>0.57999999999999996</v>
      </c>
      <c r="BX92" s="99">
        <v>0.22</v>
      </c>
      <c r="BY92" s="99">
        <v>0.49</v>
      </c>
      <c r="BZ92" s="99">
        <v>0.41</v>
      </c>
      <c r="CA92" s="99">
        <v>0.41</v>
      </c>
      <c r="CB92" s="99">
        <v>0.19</v>
      </c>
      <c r="CC92" s="99">
        <v>0.02</v>
      </c>
      <c r="CD92" s="99">
        <v>0.23</v>
      </c>
      <c r="CE92" s="99">
        <v>0.22</v>
      </c>
      <c r="CF92" s="99">
        <v>0.67</v>
      </c>
      <c r="CG92" s="99">
        <v>0.52</v>
      </c>
      <c r="CH92" s="99">
        <v>0.34</v>
      </c>
      <c r="CI92" s="99">
        <v>0.45</v>
      </c>
      <c r="CJ92" s="99">
        <v>0.37</v>
      </c>
      <c r="CK92" s="99">
        <v>0.67</v>
      </c>
      <c r="CL92" s="99">
        <v>0.2</v>
      </c>
      <c r="CM92" s="99">
        <v>0.41</v>
      </c>
      <c r="CN92" s="99">
        <v>0.28000000000000003</v>
      </c>
      <c r="CO92" s="99">
        <v>0.32</v>
      </c>
      <c r="CP92" s="99">
        <v>0.2</v>
      </c>
      <c r="CQ92" s="99">
        <v>0.48</v>
      </c>
      <c r="CR92" s="99">
        <v>0.37</v>
      </c>
      <c r="CS92" s="16">
        <v>53</v>
      </c>
      <c r="CT92" s="16">
        <v>10</v>
      </c>
      <c r="CU92" s="96">
        <v>0.08</v>
      </c>
      <c r="CV92" s="96">
        <v>0.57999999999999996</v>
      </c>
      <c r="CW92" s="96">
        <v>0.31</v>
      </c>
      <c r="CX92" s="96">
        <v>0.04</v>
      </c>
      <c r="CY92" s="96">
        <v>0.44</v>
      </c>
      <c r="CZ92" s="96">
        <v>0.27</v>
      </c>
      <c r="DA92" s="96">
        <v>0.56000000000000005</v>
      </c>
      <c r="DB92" s="96">
        <v>0.33</v>
      </c>
      <c r="DC92" s="96">
        <v>0.42</v>
      </c>
      <c r="DD92" s="96">
        <v>0.59</v>
      </c>
      <c r="DE92" s="96">
        <v>0.38</v>
      </c>
      <c r="DF92" s="96">
        <v>0.46</v>
      </c>
      <c r="DG92" s="96">
        <v>0.38</v>
      </c>
      <c r="DH92" s="96">
        <v>0.37</v>
      </c>
      <c r="DI92" s="96">
        <v>0.53</v>
      </c>
      <c r="DJ92" s="96">
        <v>0.5</v>
      </c>
      <c r="DK92" s="96">
        <v>0.4</v>
      </c>
      <c r="DL92" s="96">
        <v>0.34</v>
      </c>
      <c r="DM92" s="96">
        <v>0.48</v>
      </c>
      <c r="DN92" s="96">
        <v>0.38</v>
      </c>
      <c r="DO92" s="96">
        <v>0.28999999999999998</v>
      </c>
      <c r="DP92" s="96">
        <v>0.42</v>
      </c>
      <c r="DQ92" s="96">
        <v>0.52</v>
      </c>
      <c r="DR92" s="96">
        <v>0.11</v>
      </c>
      <c r="DS92" s="96">
        <v>0.33</v>
      </c>
      <c r="DT92" s="96">
        <v>0.47</v>
      </c>
      <c r="DU92" s="96">
        <v>0.3</v>
      </c>
      <c r="DV92" s="96">
        <v>0.54</v>
      </c>
      <c r="DW92" s="96">
        <v>0.31</v>
      </c>
      <c r="DX92" s="61">
        <v>54</v>
      </c>
      <c r="DY92" s="61">
        <v>9</v>
      </c>
      <c r="DZ92" s="66">
        <v>0.1</v>
      </c>
      <c r="EA92" s="66">
        <v>0.41</v>
      </c>
      <c r="EB92" s="66">
        <v>0.48</v>
      </c>
      <c r="EC92" s="66">
        <v>0.02</v>
      </c>
      <c r="ED92" s="66">
        <v>0.37</v>
      </c>
      <c r="EE92" s="66">
        <v>0.41</v>
      </c>
      <c r="EF92" s="66">
        <v>0.46</v>
      </c>
      <c r="EG92" s="66">
        <v>0.26</v>
      </c>
      <c r="EH92" s="66">
        <v>0.38</v>
      </c>
      <c r="EI92" s="66">
        <v>0.43</v>
      </c>
      <c r="EJ92" s="66">
        <v>0.43</v>
      </c>
      <c r="EK92" s="66">
        <v>0.18</v>
      </c>
      <c r="EL92" s="66">
        <v>0.38</v>
      </c>
      <c r="EM92" s="66">
        <v>0.66</v>
      </c>
      <c r="EN92" s="66">
        <v>0.42</v>
      </c>
      <c r="EO92" s="66">
        <v>0.52</v>
      </c>
      <c r="EP92" s="66">
        <v>0.24</v>
      </c>
      <c r="EQ92" s="66">
        <v>0.15</v>
      </c>
      <c r="ER92" s="66">
        <v>0.62</v>
      </c>
      <c r="ES92" s="66">
        <v>0.35</v>
      </c>
      <c r="ET92" s="66">
        <v>0.23</v>
      </c>
      <c r="EU92" s="66">
        <v>0.55000000000000004</v>
      </c>
      <c r="EV92" s="66">
        <v>0.41</v>
      </c>
      <c r="EW92" s="66">
        <v>0.21</v>
      </c>
      <c r="EX92" s="66">
        <v>0.85</v>
      </c>
      <c r="EY92" s="66">
        <v>0.42</v>
      </c>
      <c r="EZ92" s="66">
        <v>0.15</v>
      </c>
      <c r="FA92" s="66">
        <v>0.51</v>
      </c>
      <c r="FB92" s="349">
        <v>53</v>
      </c>
      <c r="FC92" s="348" t="s">
        <v>910</v>
      </c>
      <c r="FD92" s="349">
        <v>8</v>
      </c>
      <c r="FE92" s="348" t="s">
        <v>910</v>
      </c>
      <c r="FF92" s="371">
        <v>0.04</v>
      </c>
      <c r="FG92" s="371">
        <v>0.55000000000000004</v>
      </c>
      <c r="FH92" s="371">
        <v>0.4</v>
      </c>
      <c r="FI92" s="371">
        <v>0.01</v>
      </c>
      <c r="FJ92" s="371">
        <v>0.4</v>
      </c>
      <c r="FK92" s="371">
        <v>0.64</v>
      </c>
      <c r="FL92" s="371">
        <v>0.4</v>
      </c>
      <c r="FM92" s="371">
        <v>0.46</v>
      </c>
      <c r="FN92" s="371">
        <v>0.2</v>
      </c>
      <c r="FO92" s="371">
        <v>0.22</v>
      </c>
      <c r="FP92" s="371">
        <v>0.32</v>
      </c>
      <c r="FQ92" s="371">
        <v>0.26</v>
      </c>
      <c r="FR92" s="371">
        <v>0.56000000000000005</v>
      </c>
      <c r="FS92" s="371">
        <v>0.5</v>
      </c>
      <c r="FT92" s="371">
        <v>0.39</v>
      </c>
      <c r="FU92" s="371">
        <v>0.25</v>
      </c>
      <c r="FV92" s="371">
        <v>0.45</v>
      </c>
      <c r="FW92" s="371">
        <v>0.49</v>
      </c>
      <c r="FX92" s="371">
        <v>0.28999999999999998</v>
      </c>
      <c r="FY92" s="371">
        <v>0.3</v>
      </c>
      <c r="FZ92" s="371">
        <v>0.3</v>
      </c>
      <c r="GA92" s="371">
        <v>0.52</v>
      </c>
      <c r="GB92" s="371">
        <v>0.55000000000000004</v>
      </c>
      <c r="GC92" s="371">
        <v>0.4</v>
      </c>
      <c r="GD92" s="371">
        <v>0.56999999999999995</v>
      </c>
      <c r="GE92" s="371">
        <v>0.47</v>
      </c>
      <c r="GF92" s="371">
        <v>0.43</v>
      </c>
      <c r="GG92" s="371">
        <v>0.33</v>
      </c>
      <c r="GH92" s="371">
        <v>0.55000000000000004</v>
      </c>
      <c r="GI92" s="371">
        <v>0.25</v>
      </c>
      <c r="GJ92" s="469">
        <v>53</v>
      </c>
      <c r="GK92" s="471" t="s">
        <v>910</v>
      </c>
      <c r="GL92" s="469">
        <v>8</v>
      </c>
      <c r="GM92" s="471" t="s">
        <v>910</v>
      </c>
      <c r="GN92" s="501">
        <v>0.08</v>
      </c>
      <c r="GO92" s="501">
        <v>0.53</v>
      </c>
      <c r="GP92" s="501">
        <v>0.39</v>
      </c>
      <c r="GQ92" s="501">
        <v>0</v>
      </c>
      <c r="GR92" s="501">
        <v>0.49</v>
      </c>
      <c r="GS92" s="501">
        <v>0.48</v>
      </c>
      <c r="GT92" s="501">
        <v>0.56000000000000005</v>
      </c>
      <c r="GU92" s="501">
        <v>0.11</v>
      </c>
      <c r="GV92" s="501">
        <v>0.49</v>
      </c>
      <c r="GW92" s="501">
        <v>0.28000000000000003</v>
      </c>
      <c r="GX92" s="501">
        <v>0.41</v>
      </c>
      <c r="GY92" s="471" t="s">
        <v>287</v>
      </c>
      <c r="GZ92" s="501">
        <v>0.28999999999999998</v>
      </c>
      <c r="HA92" s="501">
        <v>0.61</v>
      </c>
      <c r="HB92" s="501">
        <v>0.45</v>
      </c>
      <c r="HC92" s="501">
        <v>0.47</v>
      </c>
      <c r="HD92" s="501">
        <v>0.59</v>
      </c>
      <c r="HE92" s="501">
        <v>0.48</v>
      </c>
      <c r="HF92" s="501">
        <v>0.4</v>
      </c>
      <c r="HG92" s="501">
        <v>0.65</v>
      </c>
      <c r="HH92" s="501">
        <v>0.33</v>
      </c>
      <c r="HI92" s="501">
        <v>0.49</v>
      </c>
      <c r="HJ92" s="501">
        <v>0.56999999999999995</v>
      </c>
      <c r="HK92" s="501">
        <v>0.53</v>
      </c>
      <c r="HL92" s="501">
        <v>0.35</v>
      </c>
      <c r="HM92" s="501">
        <v>0.39</v>
      </c>
      <c r="HN92" s="501">
        <v>0.42</v>
      </c>
      <c r="HO92" s="501">
        <v>0.35</v>
      </c>
      <c r="HP92" s="471" t="s">
        <v>287</v>
      </c>
      <c r="HQ92" s="501">
        <v>0.37</v>
      </c>
      <c r="HR92" s="630">
        <v>55</v>
      </c>
      <c r="HS92" s="640" t="s">
        <v>910</v>
      </c>
      <c r="HT92" s="630">
        <v>7</v>
      </c>
      <c r="HU92" s="640" t="s">
        <v>910</v>
      </c>
      <c r="HV92" s="644">
        <v>0.02</v>
      </c>
      <c r="HW92" s="644">
        <v>0.56999999999999995</v>
      </c>
      <c r="HX92" s="644">
        <v>0.4</v>
      </c>
      <c r="HY92" s="644">
        <v>0</v>
      </c>
      <c r="HZ92" s="644">
        <v>0.28999999999999998</v>
      </c>
      <c r="IA92" s="644">
        <v>0.51</v>
      </c>
      <c r="IB92" s="644">
        <v>0.27</v>
      </c>
      <c r="IC92" s="644">
        <v>0.45</v>
      </c>
      <c r="ID92" s="644">
        <v>0.56999999999999995</v>
      </c>
      <c r="IE92" s="644">
        <v>0.28000000000000003</v>
      </c>
      <c r="IF92" s="644">
        <v>0.3</v>
      </c>
      <c r="IG92" s="644">
        <v>0.48</v>
      </c>
      <c r="IH92" s="644">
        <v>0.43</v>
      </c>
      <c r="II92" s="644">
        <v>0.26</v>
      </c>
      <c r="IJ92" s="644">
        <v>0.21</v>
      </c>
      <c r="IK92" s="644">
        <v>0.5</v>
      </c>
      <c r="IL92" s="644">
        <v>0.23</v>
      </c>
      <c r="IM92" s="644">
        <v>0.5</v>
      </c>
      <c r="IN92" s="644">
        <v>0.42</v>
      </c>
      <c r="IO92" s="644">
        <v>0.49</v>
      </c>
      <c r="IP92" s="644">
        <v>0.4</v>
      </c>
      <c r="IQ92" s="644">
        <v>0.61</v>
      </c>
      <c r="IR92" s="644">
        <v>0.48</v>
      </c>
      <c r="IS92" s="644">
        <v>0.45</v>
      </c>
      <c r="IT92" s="644">
        <v>0.32</v>
      </c>
      <c r="IU92" s="640" t="s">
        <v>287</v>
      </c>
      <c r="IV92" s="644">
        <v>0.61</v>
      </c>
      <c r="IW92" s="644">
        <v>0.39</v>
      </c>
      <c r="IX92" s="644">
        <v>0.45</v>
      </c>
      <c r="IY92" s="644">
        <v>0.47</v>
      </c>
    </row>
    <row r="93" spans="1:259" ht="24.9" customHeight="1" x14ac:dyDescent="0.25">
      <c r="A93" s="188" t="s">
        <v>171</v>
      </c>
      <c r="B93" s="1" t="s">
        <v>222</v>
      </c>
      <c r="C93" s="2">
        <v>2</v>
      </c>
      <c r="D93" s="16">
        <v>56</v>
      </c>
      <c r="E93" s="16">
        <v>7</v>
      </c>
      <c r="F93" s="99">
        <v>0</v>
      </c>
      <c r="G93" s="99">
        <v>0.51</v>
      </c>
      <c r="H93" s="99">
        <v>0.49</v>
      </c>
      <c r="I93" s="99">
        <v>0</v>
      </c>
      <c r="J93" s="99">
        <v>0.51</v>
      </c>
      <c r="K93" s="99">
        <v>0.39</v>
      </c>
      <c r="L93" s="99">
        <v>0.75</v>
      </c>
      <c r="M93" s="99">
        <v>0.2</v>
      </c>
      <c r="N93" s="99">
        <v>0.22</v>
      </c>
      <c r="O93" s="99">
        <v>0.55000000000000004</v>
      </c>
      <c r="P93" s="99">
        <v>0.28000000000000003</v>
      </c>
      <c r="Q93" s="99">
        <v>0.46</v>
      </c>
      <c r="R93" s="99">
        <v>0.45</v>
      </c>
      <c r="S93" s="99">
        <v>0.65</v>
      </c>
      <c r="T93" s="99">
        <v>0.31</v>
      </c>
      <c r="U93" s="99">
        <v>0.57999999999999996</v>
      </c>
      <c r="V93" s="99">
        <v>0.05</v>
      </c>
      <c r="W93" s="99">
        <v>0.1</v>
      </c>
      <c r="X93" s="99">
        <v>0.43</v>
      </c>
      <c r="Y93" s="99">
        <v>0.44</v>
      </c>
      <c r="Z93" s="99">
        <v>0</v>
      </c>
      <c r="AA93" s="99">
        <v>0.02</v>
      </c>
      <c r="AB93" s="99">
        <v>0.37</v>
      </c>
      <c r="AC93" s="99">
        <v>0.11</v>
      </c>
      <c r="AD93" s="99">
        <v>0.42</v>
      </c>
      <c r="AE93" s="99">
        <v>0.47</v>
      </c>
      <c r="AF93" s="99">
        <v>0.44</v>
      </c>
      <c r="AG93" s="99">
        <v>0.49</v>
      </c>
      <c r="AH93" s="16">
        <v>55</v>
      </c>
      <c r="AI93" s="16">
        <v>8</v>
      </c>
      <c r="AJ93" s="66">
        <v>0.06</v>
      </c>
      <c r="AK93" s="66">
        <v>0.5</v>
      </c>
      <c r="AL93" s="66">
        <v>0.39</v>
      </c>
      <c r="AM93" s="66">
        <v>0.06</v>
      </c>
      <c r="AN93" s="66">
        <v>0.22</v>
      </c>
      <c r="AO93" s="66">
        <v>0.43</v>
      </c>
      <c r="AP93" s="66">
        <v>0.4</v>
      </c>
      <c r="AQ93" s="66">
        <v>0.3</v>
      </c>
      <c r="AR93" s="66">
        <v>0.5</v>
      </c>
      <c r="AS93" s="66">
        <v>0.4</v>
      </c>
      <c r="AT93" s="66">
        <v>0.53</v>
      </c>
      <c r="AU93" s="66">
        <v>0.56000000000000005</v>
      </c>
      <c r="AV93" s="66">
        <v>0.53</v>
      </c>
      <c r="AW93" s="66">
        <v>0.61</v>
      </c>
      <c r="AX93" s="66">
        <v>0.36</v>
      </c>
      <c r="AY93" s="66">
        <v>0.26</v>
      </c>
      <c r="AZ93" s="66">
        <v>0.2</v>
      </c>
      <c r="BA93" s="66">
        <v>0.53</v>
      </c>
      <c r="BB93" s="66">
        <v>0.6</v>
      </c>
      <c r="BC93" s="66">
        <v>0.67</v>
      </c>
      <c r="BD93" s="66">
        <v>0.21</v>
      </c>
      <c r="BE93" s="66">
        <v>0.57999999999999996</v>
      </c>
      <c r="BF93" s="66">
        <v>0.69</v>
      </c>
      <c r="BG93" s="66">
        <v>0.45</v>
      </c>
      <c r="BH93" s="66">
        <v>0.39</v>
      </c>
      <c r="BI93" s="66">
        <v>0.41</v>
      </c>
      <c r="BJ93" s="66">
        <v>0.36</v>
      </c>
      <c r="BK93" s="66">
        <v>0.42</v>
      </c>
      <c r="BL93" s="66">
        <v>0.44</v>
      </c>
      <c r="BM93" s="16">
        <v>52</v>
      </c>
      <c r="BN93" s="16">
        <v>7</v>
      </c>
      <c r="BO93" s="99">
        <v>0.03</v>
      </c>
      <c r="BP93" s="99">
        <v>0.67</v>
      </c>
      <c r="BQ93" s="99">
        <v>0.3</v>
      </c>
      <c r="BR93" s="99">
        <v>0</v>
      </c>
      <c r="BS93" s="99">
        <v>0.36</v>
      </c>
      <c r="BT93" s="99">
        <v>0.46</v>
      </c>
      <c r="BU93" s="99">
        <v>0.7</v>
      </c>
      <c r="BV93" s="99">
        <v>0.28999999999999998</v>
      </c>
      <c r="BW93" s="99">
        <v>0.64</v>
      </c>
      <c r="BX93" s="99">
        <v>0.36</v>
      </c>
      <c r="BY93" s="99">
        <v>0.42</v>
      </c>
      <c r="BZ93" s="99">
        <v>0.59</v>
      </c>
      <c r="CA93" s="99">
        <v>0.43</v>
      </c>
      <c r="CB93" s="99">
        <v>0.31</v>
      </c>
      <c r="CC93" s="99">
        <v>0.13</v>
      </c>
      <c r="CD93" s="99">
        <v>0.36</v>
      </c>
      <c r="CE93" s="99">
        <v>0.32</v>
      </c>
      <c r="CF93" s="99">
        <v>0.77</v>
      </c>
      <c r="CG93" s="99">
        <v>0.55000000000000004</v>
      </c>
      <c r="CH93" s="99">
        <v>0.44</v>
      </c>
      <c r="CI93" s="99">
        <v>0.5</v>
      </c>
      <c r="CJ93" s="99">
        <v>0.33</v>
      </c>
      <c r="CK93" s="99">
        <v>0.67</v>
      </c>
      <c r="CL93" s="99">
        <v>0.28000000000000003</v>
      </c>
      <c r="CM93" s="99">
        <v>0.35</v>
      </c>
      <c r="CN93" s="99">
        <v>0.53</v>
      </c>
      <c r="CO93" s="99">
        <v>0.44</v>
      </c>
      <c r="CP93" s="99">
        <v>0.26</v>
      </c>
      <c r="CQ93" s="99">
        <v>0.55000000000000004</v>
      </c>
      <c r="CR93" s="99">
        <v>0.45</v>
      </c>
      <c r="CS93" s="16">
        <v>52</v>
      </c>
      <c r="CT93" s="16">
        <v>8</v>
      </c>
      <c r="CU93" s="96">
        <v>0.05</v>
      </c>
      <c r="CV93" s="96">
        <v>0.59</v>
      </c>
      <c r="CW93" s="96">
        <v>0.32</v>
      </c>
      <c r="CX93" s="96">
        <v>0.03</v>
      </c>
      <c r="CY93" s="96">
        <v>0.45</v>
      </c>
      <c r="CZ93" s="96">
        <v>0.25</v>
      </c>
      <c r="DA93" s="96">
        <v>0.54</v>
      </c>
      <c r="DB93" s="96">
        <v>0.3</v>
      </c>
      <c r="DC93" s="96">
        <v>0.44</v>
      </c>
      <c r="DD93" s="96">
        <v>0.53</v>
      </c>
      <c r="DE93" s="96">
        <v>0.34</v>
      </c>
      <c r="DF93" s="96">
        <v>0.5</v>
      </c>
      <c r="DG93" s="96">
        <v>0.44</v>
      </c>
      <c r="DH93" s="96">
        <v>0.35</v>
      </c>
      <c r="DI93" s="96">
        <v>0.43</v>
      </c>
      <c r="DJ93" s="96">
        <v>0.54</v>
      </c>
      <c r="DK93" s="96">
        <v>0.35</v>
      </c>
      <c r="DL93" s="96">
        <v>0.31</v>
      </c>
      <c r="DM93" s="96">
        <v>0.51</v>
      </c>
      <c r="DN93" s="96">
        <v>0.5</v>
      </c>
      <c r="DO93" s="96">
        <v>0.27</v>
      </c>
      <c r="DP93" s="96">
        <v>0.48</v>
      </c>
      <c r="DQ93" s="96">
        <v>0.51</v>
      </c>
      <c r="DR93" s="96">
        <v>0.13</v>
      </c>
      <c r="DS93" s="96">
        <v>0.32</v>
      </c>
      <c r="DT93" s="96">
        <v>0.56999999999999995</v>
      </c>
      <c r="DU93" s="96">
        <v>0.33</v>
      </c>
      <c r="DV93" s="96">
        <v>0.7</v>
      </c>
      <c r="DW93" s="96">
        <v>0.39</v>
      </c>
      <c r="DX93" s="61">
        <v>51</v>
      </c>
      <c r="DY93" s="61">
        <v>9</v>
      </c>
      <c r="DZ93" s="66">
        <v>0.12</v>
      </c>
      <c r="EA93" s="66">
        <v>0.54</v>
      </c>
      <c r="EB93" s="66">
        <v>0.34</v>
      </c>
      <c r="EC93" s="66">
        <v>0</v>
      </c>
      <c r="ED93" s="66">
        <v>0.48</v>
      </c>
      <c r="EE93" s="66">
        <v>0.37</v>
      </c>
      <c r="EF93" s="66">
        <v>0.47</v>
      </c>
      <c r="EG93" s="66">
        <v>0.32</v>
      </c>
      <c r="EH93" s="66">
        <v>0.38</v>
      </c>
      <c r="EI93" s="66">
        <v>0.45</v>
      </c>
      <c r="EJ93" s="66">
        <v>0.68</v>
      </c>
      <c r="EK93" s="66">
        <v>0.2</v>
      </c>
      <c r="EL93" s="66">
        <v>0.45</v>
      </c>
      <c r="EM93" s="66">
        <v>0.6</v>
      </c>
      <c r="EN93" s="66">
        <v>0.4</v>
      </c>
      <c r="EO93" s="66">
        <v>0.59</v>
      </c>
      <c r="EP93" s="66">
        <v>0.37</v>
      </c>
      <c r="EQ93" s="66">
        <v>0.23</v>
      </c>
      <c r="ER93" s="66">
        <v>0.59</v>
      </c>
      <c r="ES93" s="66">
        <v>0.45</v>
      </c>
      <c r="ET93" s="66">
        <v>0.24</v>
      </c>
      <c r="EU93" s="66">
        <v>0.62</v>
      </c>
      <c r="EV93" s="66">
        <v>0.3</v>
      </c>
      <c r="EW93" s="66">
        <v>0.3</v>
      </c>
      <c r="EX93" s="66">
        <v>0.63</v>
      </c>
      <c r="EY93" s="66">
        <v>0.56999999999999995</v>
      </c>
      <c r="EZ93" s="66">
        <v>0.32</v>
      </c>
      <c r="FA93" s="66">
        <v>0.68</v>
      </c>
      <c r="FB93" s="349">
        <v>53</v>
      </c>
      <c r="FC93" s="348" t="s">
        <v>910</v>
      </c>
      <c r="FD93" s="349">
        <v>10</v>
      </c>
      <c r="FE93" s="348" t="s">
        <v>910</v>
      </c>
      <c r="FF93" s="371">
        <v>0.09</v>
      </c>
      <c r="FG93" s="371">
        <v>0.53</v>
      </c>
      <c r="FH93" s="371">
        <v>0.34</v>
      </c>
      <c r="FI93" s="371">
        <v>0.04</v>
      </c>
      <c r="FJ93" s="371">
        <v>0.33</v>
      </c>
      <c r="FK93" s="371">
        <v>0.54</v>
      </c>
      <c r="FL93" s="371">
        <v>0.45</v>
      </c>
      <c r="FM93" s="371">
        <v>0.3</v>
      </c>
      <c r="FN93" s="371">
        <v>0.22</v>
      </c>
      <c r="FO93" s="371">
        <v>0.31</v>
      </c>
      <c r="FP93" s="371">
        <v>0.37</v>
      </c>
      <c r="FQ93" s="371">
        <v>0.37</v>
      </c>
      <c r="FR93" s="371">
        <v>0.53</v>
      </c>
      <c r="FS93" s="371">
        <v>0.38</v>
      </c>
      <c r="FT93" s="371">
        <v>0.4</v>
      </c>
      <c r="FU93" s="371">
        <v>0.38</v>
      </c>
      <c r="FV93" s="371">
        <v>0.54</v>
      </c>
      <c r="FW93" s="371">
        <v>0.5</v>
      </c>
      <c r="FX93" s="371">
        <v>0.28000000000000003</v>
      </c>
      <c r="FY93" s="371">
        <v>0.36</v>
      </c>
      <c r="FZ93" s="371">
        <v>0.51</v>
      </c>
      <c r="GA93" s="371">
        <v>0.46</v>
      </c>
      <c r="GB93" s="371">
        <v>0.41</v>
      </c>
      <c r="GC93" s="371">
        <v>0.48</v>
      </c>
      <c r="GD93" s="371">
        <v>0.56000000000000005</v>
      </c>
      <c r="GE93" s="371">
        <v>0.43</v>
      </c>
      <c r="GF93" s="371">
        <v>0.28999999999999998</v>
      </c>
      <c r="GG93" s="371">
        <v>0.39</v>
      </c>
      <c r="GH93" s="371">
        <v>0.51</v>
      </c>
      <c r="GI93" s="371">
        <v>0.27</v>
      </c>
      <c r="GJ93" s="469">
        <v>54</v>
      </c>
      <c r="GK93" s="471" t="s">
        <v>910</v>
      </c>
      <c r="GL93" s="469">
        <v>8</v>
      </c>
      <c r="GM93" s="471" t="s">
        <v>910</v>
      </c>
      <c r="GN93" s="501">
        <v>0.05</v>
      </c>
      <c r="GO93" s="501">
        <v>0.49</v>
      </c>
      <c r="GP93" s="501">
        <v>0.46</v>
      </c>
      <c r="GQ93" s="501">
        <v>0</v>
      </c>
      <c r="GR93" s="501">
        <v>0.5</v>
      </c>
      <c r="GS93" s="501">
        <v>0.38</v>
      </c>
      <c r="GT93" s="501">
        <v>0.5</v>
      </c>
      <c r="GU93" s="501">
        <v>0.18</v>
      </c>
      <c r="GV93" s="501">
        <v>0.54</v>
      </c>
      <c r="GW93" s="501">
        <v>0.24</v>
      </c>
      <c r="GX93" s="501">
        <v>0.4</v>
      </c>
      <c r="GY93" s="471" t="s">
        <v>287</v>
      </c>
      <c r="GZ93" s="501">
        <v>0.28999999999999998</v>
      </c>
      <c r="HA93" s="501">
        <v>0.62</v>
      </c>
      <c r="HB93" s="501">
        <v>0.41</v>
      </c>
      <c r="HC93" s="501">
        <v>0.61</v>
      </c>
      <c r="HD93" s="501">
        <v>0.65</v>
      </c>
      <c r="HE93" s="501">
        <v>0.34</v>
      </c>
      <c r="HF93" s="501">
        <v>0.45</v>
      </c>
      <c r="HG93" s="501">
        <v>0.56000000000000005</v>
      </c>
      <c r="HH93" s="501">
        <v>0.35</v>
      </c>
      <c r="HI93" s="501">
        <v>0.39</v>
      </c>
      <c r="HJ93" s="501">
        <v>0.54</v>
      </c>
      <c r="HK93" s="501">
        <v>0.45</v>
      </c>
      <c r="HL93" s="501">
        <v>0.31</v>
      </c>
      <c r="HM93" s="501">
        <v>0.46</v>
      </c>
      <c r="HN93" s="501">
        <v>0.43</v>
      </c>
      <c r="HO93" s="501">
        <v>0.3</v>
      </c>
      <c r="HP93" s="471" t="s">
        <v>287</v>
      </c>
      <c r="HQ93" s="501">
        <v>0.27</v>
      </c>
      <c r="HR93" s="630">
        <v>53</v>
      </c>
      <c r="HS93" s="640" t="s">
        <v>910</v>
      </c>
      <c r="HT93" s="630">
        <v>9</v>
      </c>
      <c r="HU93" s="640" t="s">
        <v>910</v>
      </c>
      <c r="HV93" s="644">
        <v>0.09</v>
      </c>
      <c r="HW93" s="644">
        <v>0.56000000000000005</v>
      </c>
      <c r="HX93" s="644">
        <v>0.28999999999999998</v>
      </c>
      <c r="HY93" s="644">
        <v>0.06</v>
      </c>
      <c r="HZ93" s="644">
        <v>0.3</v>
      </c>
      <c r="IA93" s="644">
        <v>0.48</v>
      </c>
      <c r="IB93" s="644">
        <v>0.25</v>
      </c>
      <c r="IC93" s="644">
        <v>0.38</v>
      </c>
      <c r="ID93" s="644">
        <v>0.56000000000000005</v>
      </c>
      <c r="IE93" s="644">
        <v>0.33</v>
      </c>
      <c r="IF93" s="644">
        <v>0.42</v>
      </c>
      <c r="IG93" s="644">
        <v>0.44</v>
      </c>
      <c r="IH93" s="644">
        <v>0.56000000000000005</v>
      </c>
      <c r="II93" s="644">
        <v>0.45</v>
      </c>
      <c r="IJ93" s="644">
        <v>0.28999999999999998</v>
      </c>
      <c r="IK93" s="644">
        <v>0.49</v>
      </c>
      <c r="IL93" s="644">
        <v>0.37</v>
      </c>
      <c r="IM93" s="644">
        <v>0.55000000000000004</v>
      </c>
      <c r="IN93" s="644">
        <v>0.41</v>
      </c>
      <c r="IO93" s="644">
        <v>0.49</v>
      </c>
      <c r="IP93" s="644">
        <v>0.36</v>
      </c>
      <c r="IQ93" s="644">
        <v>0.66</v>
      </c>
      <c r="IR93" s="644">
        <v>0.55000000000000004</v>
      </c>
      <c r="IS93" s="644">
        <v>0.56999999999999995</v>
      </c>
      <c r="IT93" s="644">
        <v>0.33</v>
      </c>
      <c r="IU93" s="640" t="s">
        <v>287</v>
      </c>
      <c r="IV93" s="644">
        <v>0.63</v>
      </c>
      <c r="IW93" s="644">
        <v>0.38</v>
      </c>
      <c r="IX93" s="644">
        <v>0.43</v>
      </c>
      <c r="IY93" s="644">
        <v>0.41</v>
      </c>
    </row>
    <row r="94" spans="1:259" ht="24.9" customHeight="1" x14ac:dyDescent="0.25">
      <c r="A94" s="188" t="s">
        <v>77</v>
      </c>
      <c r="B94" s="1" t="s">
        <v>222</v>
      </c>
      <c r="C94" s="2">
        <v>2</v>
      </c>
      <c r="D94" s="16">
        <v>53</v>
      </c>
      <c r="E94" s="16">
        <v>8</v>
      </c>
      <c r="F94" s="99">
        <v>0.06</v>
      </c>
      <c r="G94" s="99">
        <v>0.47</v>
      </c>
      <c r="H94" s="99">
        <v>0.47</v>
      </c>
      <c r="I94" s="99">
        <v>0</v>
      </c>
      <c r="J94" s="99">
        <v>0.25</v>
      </c>
      <c r="K94" s="99">
        <v>0.52</v>
      </c>
      <c r="L94" s="99">
        <v>0.78</v>
      </c>
      <c r="M94" s="99">
        <v>0.27</v>
      </c>
      <c r="N94" s="99">
        <v>0.32</v>
      </c>
      <c r="O94" s="99">
        <v>0.77</v>
      </c>
      <c r="P94" s="99">
        <v>0.32</v>
      </c>
      <c r="Q94" s="99">
        <v>0.42</v>
      </c>
      <c r="R94" s="99">
        <v>0.49</v>
      </c>
      <c r="S94" s="99">
        <v>0.66</v>
      </c>
      <c r="T94" s="99">
        <v>0.48</v>
      </c>
      <c r="U94" s="99">
        <v>0.6</v>
      </c>
      <c r="V94" s="99">
        <v>0.08</v>
      </c>
      <c r="W94" s="99">
        <v>0.1</v>
      </c>
      <c r="X94" s="99">
        <v>0.41</v>
      </c>
      <c r="Y94" s="99">
        <v>0.61</v>
      </c>
      <c r="Z94" s="99">
        <v>0.5</v>
      </c>
      <c r="AA94" s="99">
        <v>0.27</v>
      </c>
      <c r="AB94" s="99">
        <v>0.48</v>
      </c>
      <c r="AC94" s="99">
        <v>0.27</v>
      </c>
      <c r="AD94" s="99">
        <v>0.45</v>
      </c>
      <c r="AE94" s="99">
        <v>0.56000000000000005</v>
      </c>
      <c r="AF94" s="99">
        <v>0.54</v>
      </c>
      <c r="AG94" s="99">
        <v>0.5</v>
      </c>
      <c r="AH94" s="16">
        <v>46</v>
      </c>
      <c r="AI94" s="16">
        <v>9</v>
      </c>
      <c r="AJ94" s="66">
        <v>0.35</v>
      </c>
      <c r="AK94" s="66">
        <v>0.59</v>
      </c>
      <c r="AL94" s="66">
        <v>0.06</v>
      </c>
      <c r="AM94" s="66">
        <v>0</v>
      </c>
      <c r="AN94" s="66">
        <v>0.64</v>
      </c>
      <c r="AO94" s="66">
        <v>0.48</v>
      </c>
      <c r="AP94" s="66">
        <v>0.75</v>
      </c>
      <c r="AQ94" s="66">
        <v>0.52</v>
      </c>
      <c r="AR94" s="66">
        <v>0.73</v>
      </c>
      <c r="AS94" s="66">
        <v>0.62</v>
      </c>
      <c r="AT94" s="66">
        <v>0.39</v>
      </c>
      <c r="AU94" s="66">
        <v>0.64</v>
      </c>
      <c r="AV94" s="66">
        <v>0.66</v>
      </c>
      <c r="AW94" s="66">
        <v>0.5</v>
      </c>
      <c r="AX94" s="66">
        <v>0.69</v>
      </c>
      <c r="AY94" s="66">
        <v>0.42</v>
      </c>
      <c r="AZ94" s="66">
        <v>0.3</v>
      </c>
      <c r="BA94" s="66">
        <v>0.56999999999999995</v>
      </c>
      <c r="BB94" s="66">
        <v>0.66</v>
      </c>
      <c r="BC94" s="66">
        <v>0.63</v>
      </c>
      <c r="BD94" s="66">
        <v>0.6</v>
      </c>
      <c r="BE94" s="66">
        <v>1</v>
      </c>
      <c r="BF94" s="66">
        <v>0.89</v>
      </c>
      <c r="BG94" s="66">
        <v>0.51</v>
      </c>
      <c r="BH94" s="66">
        <v>0.49</v>
      </c>
      <c r="BI94" s="66">
        <v>0.51</v>
      </c>
      <c r="BJ94" s="66">
        <v>0.48</v>
      </c>
      <c r="BK94" s="66">
        <v>0.53</v>
      </c>
      <c r="BL94" s="66">
        <v>0.5</v>
      </c>
      <c r="BM94" s="16">
        <v>50</v>
      </c>
      <c r="BN94" s="16">
        <v>8</v>
      </c>
      <c r="BO94" s="99">
        <v>7.0000000000000007E-2</v>
      </c>
      <c r="BP94" s="99">
        <v>0.53</v>
      </c>
      <c r="BQ94" s="99">
        <v>0.4</v>
      </c>
      <c r="BR94" s="99">
        <v>0</v>
      </c>
      <c r="BS94" s="99">
        <v>0.28000000000000003</v>
      </c>
      <c r="BT94" s="99">
        <v>0.78</v>
      </c>
      <c r="BU94" s="99">
        <v>0.6</v>
      </c>
      <c r="BV94" s="99">
        <v>0.38</v>
      </c>
      <c r="BW94" s="99">
        <v>0.55000000000000004</v>
      </c>
      <c r="BX94" s="99">
        <v>0.38</v>
      </c>
      <c r="BY94" s="99">
        <v>0.33</v>
      </c>
      <c r="BZ94" s="99">
        <v>0.43</v>
      </c>
      <c r="CA94" s="99">
        <v>0.5</v>
      </c>
      <c r="CB94" s="99">
        <v>0.65</v>
      </c>
      <c r="CC94" s="99">
        <v>0.12</v>
      </c>
      <c r="CD94" s="99">
        <v>0.39</v>
      </c>
      <c r="CE94" s="99">
        <v>0.41</v>
      </c>
      <c r="CF94" s="99">
        <v>0.4</v>
      </c>
      <c r="CG94" s="99">
        <v>0.82</v>
      </c>
      <c r="CH94" s="99">
        <v>0.45</v>
      </c>
      <c r="CI94" s="99">
        <v>0.53</v>
      </c>
      <c r="CJ94" s="99">
        <v>0.4</v>
      </c>
      <c r="CK94" s="99">
        <v>0.72</v>
      </c>
      <c r="CL94" s="99">
        <v>0.41</v>
      </c>
      <c r="CM94" s="99">
        <v>0.39</v>
      </c>
      <c r="CN94" s="99">
        <v>0.53</v>
      </c>
      <c r="CO94" s="99">
        <v>0.3</v>
      </c>
      <c r="CP94" s="99">
        <v>0.38</v>
      </c>
      <c r="CQ94" s="99">
        <v>0.56000000000000005</v>
      </c>
      <c r="CR94" s="99">
        <v>0.67</v>
      </c>
      <c r="CS94" s="16">
        <v>50</v>
      </c>
      <c r="CT94" s="16">
        <v>6</v>
      </c>
      <c r="CU94" s="96">
        <v>0.09</v>
      </c>
      <c r="CV94" s="96">
        <v>0.73</v>
      </c>
      <c r="CW94" s="96">
        <v>0.18</v>
      </c>
      <c r="CX94" s="96">
        <v>0</v>
      </c>
      <c r="CY94" s="96">
        <v>0.46</v>
      </c>
      <c r="CZ94" s="96">
        <v>0.31</v>
      </c>
      <c r="DA94" s="96">
        <v>0.52</v>
      </c>
      <c r="DB94" s="96">
        <v>0.14000000000000001</v>
      </c>
      <c r="DC94" s="96">
        <v>0.39</v>
      </c>
      <c r="DD94" s="96">
        <v>0.53</v>
      </c>
      <c r="DE94" s="96">
        <v>0.5</v>
      </c>
      <c r="DF94" s="96">
        <v>0.5</v>
      </c>
      <c r="DG94" s="96">
        <v>0.32</v>
      </c>
      <c r="DH94" s="96">
        <v>0.38</v>
      </c>
      <c r="DI94" s="96">
        <v>0.56000000000000005</v>
      </c>
      <c r="DJ94" s="96">
        <v>0.67</v>
      </c>
      <c r="DK94" s="96">
        <v>0.4</v>
      </c>
      <c r="DL94" s="96">
        <v>0.2</v>
      </c>
      <c r="DM94" s="96">
        <v>0.48</v>
      </c>
      <c r="DN94" s="96">
        <v>0.46</v>
      </c>
      <c r="DO94" s="96">
        <v>0.79</v>
      </c>
      <c r="DP94" s="96">
        <v>0.48</v>
      </c>
      <c r="DQ94" s="96">
        <v>0.67</v>
      </c>
      <c r="DR94" s="96">
        <v>0.26</v>
      </c>
      <c r="DS94" s="96">
        <v>0.28999999999999998</v>
      </c>
      <c r="DT94" s="96">
        <v>0.7</v>
      </c>
      <c r="DU94" s="96">
        <v>0.67</v>
      </c>
      <c r="DV94" s="96">
        <v>0.52</v>
      </c>
      <c r="DW94" s="96">
        <v>0.31</v>
      </c>
      <c r="DX94" s="61">
        <v>51</v>
      </c>
      <c r="DY94" s="61">
        <v>9</v>
      </c>
      <c r="DZ94" s="66">
        <v>0.14000000000000001</v>
      </c>
      <c r="EA94" s="66">
        <v>0.5</v>
      </c>
      <c r="EB94" s="66">
        <v>0.36</v>
      </c>
      <c r="EC94" s="66">
        <v>0</v>
      </c>
      <c r="ED94" s="66">
        <v>0.38</v>
      </c>
      <c r="EE94" s="66">
        <v>0.59</v>
      </c>
      <c r="EF94" s="66">
        <v>0.5</v>
      </c>
      <c r="EG94" s="66">
        <v>0.44</v>
      </c>
      <c r="EH94" s="66">
        <v>0.33</v>
      </c>
      <c r="EI94" s="66">
        <v>0.26</v>
      </c>
      <c r="EJ94" s="66">
        <v>0.59</v>
      </c>
      <c r="EK94" s="66">
        <v>0.13</v>
      </c>
      <c r="EL94" s="66">
        <v>0.47</v>
      </c>
      <c r="EM94" s="66">
        <v>0.8</v>
      </c>
      <c r="EN94" s="66">
        <v>0.4</v>
      </c>
      <c r="EO94" s="66">
        <v>0.49</v>
      </c>
      <c r="EP94" s="66">
        <v>0.38</v>
      </c>
      <c r="EQ94" s="66">
        <v>0.2</v>
      </c>
      <c r="ER94" s="66">
        <v>0.48</v>
      </c>
      <c r="ES94" s="66">
        <v>0.42</v>
      </c>
      <c r="ET94" s="66">
        <v>0.22</v>
      </c>
      <c r="EU94" s="66">
        <v>0.64</v>
      </c>
      <c r="EV94" s="66">
        <v>0.38</v>
      </c>
      <c r="EW94" s="66">
        <v>0.35</v>
      </c>
      <c r="EX94" s="66">
        <v>0.71</v>
      </c>
      <c r="EY94" s="66">
        <v>0.71</v>
      </c>
      <c r="EZ94" s="66">
        <v>0.13</v>
      </c>
      <c r="FA94" s="66">
        <v>0.59</v>
      </c>
      <c r="FB94" s="349">
        <v>47</v>
      </c>
      <c r="FC94" s="348" t="s">
        <v>910</v>
      </c>
      <c r="FD94" s="349">
        <v>7</v>
      </c>
      <c r="FE94" s="348" t="s">
        <v>910</v>
      </c>
      <c r="FF94" s="371">
        <v>0.14000000000000001</v>
      </c>
      <c r="FG94" s="371">
        <v>0.71</v>
      </c>
      <c r="FH94" s="371">
        <v>0.14000000000000001</v>
      </c>
      <c r="FI94" s="371">
        <v>0</v>
      </c>
      <c r="FJ94" s="371">
        <v>0.36</v>
      </c>
      <c r="FK94" s="371">
        <v>0.56000000000000005</v>
      </c>
      <c r="FL94" s="371">
        <v>0.68</v>
      </c>
      <c r="FM94" s="371">
        <v>0.56999999999999995</v>
      </c>
      <c r="FN94" s="371">
        <v>0.6</v>
      </c>
      <c r="FO94" s="371">
        <v>0.33</v>
      </c>
      <c r="FP94" s="371">
        <v>0.28999999999999998</v>
      </c>
      <c r="FQ94" s="371">
        <v>0.53</v>
      </c>
      <c r="FR94" s="371">
        <v>0.41</v>
      </c>
      <c r="FS94" s="371">
        <v>0.45</v>
      </c>
      <c r="FT94" s="371">
        <v>0.56000000000000005</v>
      </c>
      <c r="FU94" s="371">
        <v>0.25</v>
      </c>
      <c r="FV94" s="371">
        <v>0.7</v>
      </c>
      <c r="FW94" s="371">
        <v>0.92</v>
      </c>
      <c r="FX94" s="371">
        <v>0.33</v>
      </c>
      <c r="FY94" s="371">
        <v>0.28999999999999998</v>
      </c>
      <c r="FZ94" s="371">
        <v>0.5</v>
      </c>
      <c r="GA94" s="371">
        <v>0.38</v>
      </c>
      <c r="GB94" s="371">
        <v>0.62</v>
      </c>
      <c r="GC94" s="371">
        <v>0.56000000000000005</v>
      </c>
      <c r="GD94" s="371">
        <v>0.64</v>
      </c>
      <c r="GE94" s="371">
        <v>0.44</v>
      </c>
      <c r="GF94" s="371">
        <v>0.17</v>
      </c>
      <c r="GG94" s="371">
        <v>0.5</v>
      </c>
      <c r="GH94" s="371">
        <v>0.69</v>
      </c>
      <c r="GI94" s="371">
        <v>0.55000000000000004</v>
      </c>
      <c r="GJ94" s="469">
        <v>48</v>
      </c>
      <c r="GK94" s="471" t="s">
        <v>910</v>
      </c>
      <c r="GL94" s="469">
        <v>10</v>
      </c>
      <c r="GM94" s="471" t="s">
        <v>910</v>
      </c>
      <c r="GN94" s="501">
        <v>0.2</v>
      </c>
      <c r="GO94" s="501">
        <v>0.6</v>
      </c>
      <c r="GP94" s="501">
        <v>0.2</v>
      </c>
      <c r="GQ94" s="501">
        <v>0</v>
      </c>
      <c r="GR94" s="501">
        <v>0.6</v>
      </c>
      <c r="GS94" s="501">
        <v>0.77</v>
      </c>
      <c r="GT94" s="501">
        <v>0.7</v>
      </c>
      <c r="GU94" s="501">
        <v>0.33</v>
      </c>
      <c r="GV94" s="501">
        <v>0.59</v>
      </c>
      <c r="GW94" s="501">
        <v>0.56000000000000005</v>
      </c>
      <c r="GX94" s="501">
        <v>0.45</v>
      </c>
      <c r="GY94" s="471" t="s">
        <v>287</v>
      </c>
      <c r="GZ94" s="501">
        <v>0.31</v>
      </c>
      <c r="HA94" s="501">
        <v>0.83</v>
      </c>
      <c r="HB94" s="501">
        <v>0.46</v>
      </c>
      <c r="HC94" s="501">
        <v>0.71</v>
      </c>
      <c r="HD94" s="501">
        <v>0.56000000000000005</v>
      </c>
      <c r="HE94" s="501">
        <v>0.52</v>
      </c>
      <c r="HF94" s="501">
        <v>0.43</v>
      </c>
      <c r="HG94" s="501">
        <v>0.56999999999999995</v>
      </c>
      <c r="HH94" s="501">
        <v>0.52</v>
      </c>
      <c r="HI94" s="501">
        <v>0.56000000000000005</v>
      </c>
      <c r="HJ94" s="501">
        <v>0.71</v>
      </c>
      <c r="HK94" s="501">
        <v>0.6</v>
      </c>
      <c r="HL94" s="501">
        <v>0.3</v>
      </c>
      <c r="HM94" s="501">
        <v>0.48</v>
      </c>
      <c r="HN94" s="501">
        <v>0.5</v>
      </c>
      <c r="HO94" s="501">
        <v>0.44</v>
      </c>
      <c r="HP94" s="471" t="s">
        <v>287</v>
      </c>
      <c r="HQ94" s="501">
        <v>0.68</v>
      </c>
      <c r="HR94" s="630">
        <v>49</v>
      </c>
      <c r="HS94" s="640" t="s">
        <v>910</v>
      </c>
      <c r="HT94" s="630">
        <v>8</v>
      </c>
      <c r="HU94" s="640" t="s">
        <v>910</v>
      </c>
      <c r="HV94" s="644">
        <v>0.17</v>
      </c>
      <c r="HW94" s="644">
        <v>0.67</v>
      </c>
      <c r="HX94" s="644">
        <v>0.17</v>
      </c>
      <c r="HY94" s="644">
        <v>0</v>
      </c>
      <c r="HZ94" s="644">
        <v>0.23</v>
      </c>
      <c r="IA94" s="644">
        <v>0.56999999999999995</v>
      </c>
      <c r="IB94" s="644">
        <v>0.2</v>
      </c>
      <c r="IC94" s="644">
        <v>0.35</v>
      </c>
      <c r="ID94" s="644">
        <v>0.57999999999999996</v>
      </c>
      <c r="IE94" s="644">
        <v>0.36</v>
      </c>
      <c r="IF94" s="644">
        <v>0.54</v>
      </c>
      <c r="IG94" s="644">
        <v>0.86</v>
      </c>
      <c r="IH94" s="644">
        <v>0.5</v>
      </c>
      <c r="II94" s="644">
        <v>0.5</v>
      </c>
      <c r="IJ94" s="644">
        <v>0.3</v>
      </c>
      <c r="IK94" s="644">
        <v>0.71</v>
      </c>
      <c r="IL94" s="644">
        <v>0.5</v>
      </c>
      <c r="IM94" s="644">
        <v>0.64</v>
      </c>
      <c r="IN94" s="644">
        <v>0.39</v>
      </c>
      <c r="IO94" s="644">
        <v>0.72</v>
      </c>
      <c r="IP94" s="644">
        <v>0.4</v>
      </c>
      <c r="IQ94" s="644">
        <v>0.64</v>
      </c>
      <c r="IR94" s="644">
        <v>0.56999999999999995</v>
      </c>
      <c r="IS94" s="644">
        <v>0.6</v>
      </c>
      <c r="IT94" s="644">
        <v>0.37</v>
      </c>
      <c r="IU94" s="640" t="s">
        <v>287</v>
      </c>
      <c r="IV94" s="644">
        <v>0.6</v>
      </c>
      <c r="IW94" s="644">
        <v>0.46</v>
      </c>
      <c r="IX94" s="644">
        <v>0.6</v>
      </c>
      <c r="IY94" s="644">
        <v>0.61</v>
      </c>
    </row>
    <row r="95" spans="1:259" ht="24.9" customHeight="1" x14ac:dyDescent="0.25">
      <c r="A95" s="188" t="s">
        <v>36</v>
      </c>
      <c r="B95" s="1" t="s">
        <v>220</v>
      </c>
      <c r="C95" s="2" t="s">
        <v>221</v>
      </c>
      <c r="D95" s="16">
        <v>54</v>
      </c>
      <c r="E95" s="16">
        <v>7</v>
      </c>
      <c r="F95" s="99">
        <v>0</v>
      </c>
      <c r="G95" s="99">
        <v>0.59</v>
      </c>
      <c r="H95" s="99">
        <v>0.41</v>
      </c>
      <c r="I95" s="99">
        <v>0</v>
      </c>
      <c r="J95" s="99">
        <v>0.46</v>
      </c>
      <c r="K95" s="99">
        <v>0.35</v>
      </c>
      <c r="L95" s="99">
        <v>0.8</v>
      </c>
      <c r="M95" s="99">
        <v>0.19</v>
      </c>
      <c r="N95" s="99">
        <v>0.27</v>
      </c>
      <c r="O95" s="99">
        <v>0.57999999999999996</v>
      </c>
      <c r="P95" s="99">
        <v>0.3</v>
      </c>
      <c r="Q95" s="99">
        <v>0.49</v>
      </c>
      <c r="R95" s="99">
        <v>0.52</v>
      </c>
      <c r="S95" s="99">
        <v>0.65</v>
      </c>
      <c r="T95" s="99">
        <v>0.45</v>
      </c>
      <c r="U95" s="99">
        <v>0.55000000000000004</v>
      </c>
      <c r="V95" s="99">
        <v>0.08</v>
      </c>
      <c r="W95" s="99">
        <v>0.06</v>
      </c>
      <c r="X95" s="99">
        <v>0.53</v>
      </c>
      <c r="Y95" s="99">
        <v>0.43</v>
      </c>
      <c r="Z95" s="99">
        <v>1</v>
      </c>
      <c r="AA95" s="99">
        <v>0.02</v>
      </c>
      <c r="AB95" s="99">
        <v>0.45</v>
      </c>
      <c r="AC95" s="99">
        <v>0.22</v>
      </c>
      <c r="AD95" s="99">
        <v>0.45</v>
      </c>
      <c r="AE95" s="99">
        <v>0.47</v>
      </c>
      <c r="AF95" s="99">
        <v>0.49</v>
      </c>
      <c r="AG95" s="99">
        <v>0.53</v>
      </c>
      <c r="AH95" s="16">
        <v>51</v>
      </c>
      <c r="AI95" s="16">
        <v>7</v>
      </c>
      <c r="AJ95" s="66">
        <v>0.1</v>
      </c>
      <c r="AK95" s="66">
        <v>0.62</v>
      </c>
      <c r="AL95" s="66">
        <v>0.28999999999999998</v>
      </c>
      <c r="AM95" s="66">
        <v>0</v>
      </c>
      <c r="AN95" s="66">
        <v>0.28000000000000003</v>
      </c>
      <c r="AO95" s="66">
        <v>0.52</v>
      </c>
      <c r="AP95" s="66">
        <v>0.56999999999999995</v>
      </c>
      <c r="AQ95" s="66">
        <v>0.43</v>
      </c>
      <c r="AR95" s="66">
        <v>0.62</v>
      </c>
      <c r="AS95" s="66">
        <v>0.48</v>
      </c>
      <c r="AT95" s="66">
        <v>0.56999999999999995</v>
      </c>
      <c r="AU95" s="66">
        <v>0.56999999999999995</v>
      </c>
      <c r="AV95" s="66">
        <v>0.59</v>
      </c>
      <c r="AW95" s="66">
        <v>0.55000000000000004</v>
      </c>
      <c r="AX95" s="66">
        <v>0.6</v>
      </c>
      <c r="AY95" s="66">
        <v>0.28999999999999998</v>
      </c>
      <c r="AZ95" s="66">
        <v>0.24</v>
      </c>
      <c r="BA95" s="66">
        <v>0.54</v>
      </c>
      <c r="BB95" s="66">
        <v>0.67</v>
      </c>
      <c r="BC95" s="66">
        <v>0.73</v>
      </c>
      <c r="BD95" s="66">
        <v>0.39</v>
      </c>
      <c r="BE95" s="66">
        <v>0.65</v>
      </c>
      <c r="BF95" s="66">
        <v>0.52</v>
      </c>
      <c r="BG95" s="66">
        <v>0.63</v>
      </c>
      <c r="BH95" s="66">
        <v>0.42</v>
      </c>
      <c r="BI95" s="66">
        <v>0.4</v>
      </c>
      <c r="BJ95" s="66">
        <v>0.38</v>
      </c>
      <c r="BK95" s="66">
        <v>0.46</v>
      </c>
      <c r="BL95" s="66">
        <v>0.5</v>
      </c>
      <c r="BM95" s="16">
        <v>50</v>
      </c>
      <c r="BN95" s="16">
        <v>9</v>
      </c>
      <c r="BO95" s="99">
        <v>0.12</v>
      </c>
      <c r="BP95" s="99">
        <v>0.62</v>
      </c>
      <c r="BQ95" s="99">
        <v>0.26</v>
      </c>
      <c r="BR95" s="99">
        <v>0</v>
      </c>
      <c r="BS95" s="99">
        <v>0.31</v>
      </c>
      <c r="BT95" s="99">
        <v>0.63</v>
      </c>
      <c r="BU95" s="99">
        <v>0.77</v>
      </c>
      <c r="BV95" s="99">
        <v>0.44</v>
      </c>
      <c r="BW95" s="99">
        <v>0.6</v>
      </c>
      <c r="BX95" s="99">
        <v>0.34</v>
      </c>
      <c r="BY95" s="99">
        <v>0.52</v>
      </c>
      <c r="BZ95" s="99">
        <v>0.51</v>
      </c>
      <c r="CA95" s="99">
        <v>0.46</v>
      </c>
      <c r="CB95" s="99">
        <v>0.45</v>
      </c>
      <c r="CC95" s="99">
        <v>0.15</v>
      </c>
      <c r="CD95" s="99">
        <v>0.41</v>
      </c>
      <c r="CE95" s="99">
        <v>0.34</v>
      </c>
      <c r="CF95" s="99">
        <v>0.69</v>
      </c>
      <c r="CG95" s="99">
        <v>0.69</v>
      </c>
      <c r="CH95" s="99">
        <v>0.42</v>
      </c>
      <c r="CI95" s="99">
        <v>0.62</v>
      </c>
      <c r="CJ95" s="99">
        <v>0.43</v>
      </c>
      <c r="CK95" s="99">
        <v>0.73</v>
      </c>
      <c r="CL95" s="99">
        <v>0.37</v>
      </c>
      <c r="CM95" s="99">
        <v>0.44</v>
      </c>
      <c r="CN95" s="99">
        <v>0.49</v>
      </c>
      <c r="CO95" s="99">
        <v>0.36</v>
      </c>
      <c r="CP95" s="99">
        <v>0.31</v>
      </c>
      <c r="CQ95" s="99">
        <v>0.59</v>
      </c>
      <c r="CR95" s="99">
        <v>0.51</v>
      </c>
      <c r="CS95" s="16">
        <v>49</v>
      </c>
      <c r="CT95" s="16">
        <v>9</v>
      </c>
      <c r="CU95" s="96">
        <v>0.18</v>
      </c>
      <c r="CV95" s="96">
        <v>0.56999999999999995</v>
      </c>
      <c r="CW95" s="96">
        <v>0.25</v>
      </c>
      <c r="CX95" s="96">
        <v>0</v>
      </c>
      <c r="CY95" s="96">
        <v>0.48</v>
      </c>
      <c r="CZ95" s="96">
        <v>0.3</v>
      </c>
      <c r="DA95" s="96">
        <v>0.66</v>
      </c>
      <c r="DB95" s="96">
        <v>0.42</v>
      </c>
      <c r="DC95" s="96">
        <v>0.48</v>
      </c>
      <c r="DD95" s="96">
        <v>0.62</v>
      </c>
      <c r="DE95" s="96">
        <v>0.53</v>
      </c>
      <c r="DF95" s="96">
        <v>0.57999999999999996</v>
      </c>
      <c r="DG95" s="96">
        <v>0.44</v>
      </c>
      <c r="DH95" s="96">
        <v>0.41</v>
      </c>
      <c r="DI95" s="96">
        <v>0.51</v>
      </c>
      <c r="DJ95" s="96">
        <v>0.56000000000000005</v>
      </c>
      <c r="DK95" s="96">
        <v>0.44</v>
      </c>
      <c r="DL95" s="96">
        <v>0.33</v>
      </c>
      <c r="DM95" s="96">
        <v>0.56000000000000005</v>
      </c>
      <c r="DN95" s="96">
        <v>0.49</v>
      </c>
      <c r="DO95" s="96">
        <v>0.53</v>
      </c>
      <c r="DP95" s="96">
        <v>0.44</v>
      </c>
      <c r="DQ95" s="96">
        <v>0.55000000000000004</v>
      </c>
      <c r="DR95" s="96">
        <v>0.18</v>
      </c>
      <c r="DS95" s="96">
        <v>0.44</v>
      </c>
      <c r="DT95" s="96">
        <v>0.57999999999999996</v>
      </c>
      <c r="DU95" s="96">
        <v>0.56000000000000005</v>
      </c>
      <c r="DV95" s="96">
        <v>0.55000000000000004</v>
      </c>
      <c r="DW95" s="96">
        <v>0.37</v>
      </c>
      <c r="DX95" s="61">
        <v>48</v>
      </c>
      <c r="DY95" s="61">
        <v>9</v>
      </c>
      <c r="DZ95" s="66">
        <v>0.21</v>
      </c>
      <c r="EA95" s="66">
        <v>0.61</v>
      </c>
      <c r="EB95" s="66">
        <v>0.18</v>
      </c>
      <c r="EC95" s="66">
        <v>0</v>
      </c>
      <c r="ED95" s="66">
        <v>0.48</v>
      </c>
      <c r="EE95" s="66">
        <v>0.52</v>
      </c>
      <c r="EF95" s="66">
        <v>0.42</v>
      </c>
      <c r="EG95" s="66">
        <v>0.35</v>
      </c>
      <c r="EH95" s="66">
        <v>0.46</v>
      </c>
      <c r="EI95" s="66">
        <v>0.51</v>
      </c>
      <c r="EJ95" s="66">
        <v>0.55000000000000004</v>
      </c>
      <c r="EK95" s="66">
        <v>0.2</v>
      </c>
      <c r="EL95" s="66">
        <v>0.46</v>
      </c>
      <c r="EM95" s="66">
        <v>0.5</v>
      </c>
      <c r="EN95" s="66">
        <v>0.56000000000000005</v>
      </c>
      <c r="EO95" s="66">
        <v>0.56999999999999995</v>
      </c>
      <c r="EP95" s="66">
        <v>0.51</v>
      </c>
      <c r="EQ95" s="66">
        <v>0.27</v>
      </c>
      <c r="ER95" s="66">
        <v>0.62</v>
      </c>
      <c r="ES95" s="66">
        <v>0.48</v>
      </c>
      <c r="ET95" s="66">
        <v>0.4</v>
      </c>
      <c r="EU95" s="66">
        <v>0.63</v>
      </c>
      <c r="EV95" s="66">
        <v>0.44</v>
      </c>
      <c r="EW95" s="66">
        <v>0.3</v>
      </c>
      <c r="EX95" s="66">
        <v>0.78</v>
      </c>
      <c r="EY95" s="66">
        <v>0.65</v>
      </c>
      <c r="EZ95" s="66">
        <v>0.24</v>
      </c>
      <c r="FA95" s="66">
        <v>0.64</v>
      </c>
      <c r="FB95" s="349">
        <v>48</v>
      </c>
      <c r="FC95" s="348" t="s">
        <v>910</v>
      </c>
      <c r="FD95" s="349">
        <v>9</v>
      </c>
      <c r="FE95" s="348" t="s">
        <v>910</v>
      </c>
      <c r="FF95" s="371">
        <v>0.25</v>
      </c>
      <c r="FG95" s="371">
        <v>0.55000000000000004</v>
      </c>
      <c r="FH95" s="371">
        <v>0.2</v>
      </c>
      <c r="FI95" s="371">
        <v>0</v>
      </c>
      <c r="FJ95" s="371">
        <v>0.53</v>
      </c>
      <c r="FK95" s="371">
        <v>0.67</v>
      </c>
      <c r="FL95" s="371">
        <v>0.56999999999999995</v>
      </c>
      <c r="FM95" s="371">
        <v>0.43</v>
      </c>
      <c r="FN95" s="371">
        <v>0.34</v>
      </c>
      <c r="FO95" s="371">
        <v>0.41</v>
      </c>
      <c r="FP95" s="371">
        <v>0.43</v>
      </c>
      <c r="FQ95" s="371">
        <v>0.4</v>
      </c>
      <c r="FR95" s="371">
        <v>0.59</v>
      </c>
      <c r="FS95" s="371">
        <v>0.56999999999999995</v>
      </c>
      <c r="FT95" s="371">
        <v>0.53</v>
      </c>
      <c r="FU95" s="371">
        <v>0.38</v>
      </c>
      <c r="FV95" s="371">
        <v>0.67</v>
      </c>
      <c r="FW95" s="371">
        <v>0.56999999999999995</v>
      </c>
      <c r="FX95" s="371">
        <v>0.49</v>
      </c>
      <c r="FY95" s="371">
        <v>0.41</v>
      </c>
      <c r="FZ95" s="371">
        <v>0.39</v>
      </c>
      <c r="GA95" s="371">
        <v>0.6</v>
      </c>
      <c r="GB95" s="371">
        <v>0.54</v>
      </c>
      <c r="GC95" s="371">
        <v>0.5</v>
      </c>
      <c r="GD95" s="371">
        <v>0.6</v>
      </c>
      <c r="GE95" s="371">
        <v>0.52</v>
      </c>
      <c r="GF95" s="371">
        <v>0.62</v>
      </c>
      <c r="GG95" s="371">
        <v>0.43</v>
      </c>
      <c r="GH95" s="371">
        <v>0.64</v>
      </c>
      <c r="GI95" s="371">
        <v>0.3</v>
      </c>
      <c r="GJ95" s="469">
        <v>50</v>
      </c>
      <c r="GK95" s="471" t="s">
        <v>910</v>
      </c>
      <c r="GL95" s="469">
        <v>9</v>
      </c>
      <c r="GM95" s="471" t="s">
        <v>910</v>
      </c>
      <c r="GN95" s="501">
        <v>0.18</v>
      </c>
      <c r="GO95" s="501">
        <v>0.57999999999999996</v>
      </c>
      <c r="GP95" s="501">
        <v>0.25</v>
      </c>
      <c r="GQ95" s="501">
        <v>0</v>
      </c>
      <c r="GR95" s="501">
        <v>0.49</v>
      </c>
      <c r="GS95" s="501">
        <v>0.63</v>
      </c>
      <c r="GT95" s="501">
        <v>0.59</v>
      </c>
      <c r="GU95" s="501">
        <v>0.1</v>
      </c>
      <c r="GV95" s="501">
        <v>0.55000000000000004</v>
      </c>
      <c r="GW95" s="501">
        <v>0.48</v>
      </c>
      <c r="GX95" s="501">
        <v>0.52</v>
      </c>
      <c r="GY95" s="471" t="s">
        <v>287</v>
      </c>
      <c r="GZ95" s="501">
        <v>0.28999999999999998</v>
      </c>
      <c r="HA95" s="501">
        <v>0.86</v>
      </c>
      <c r="HB95" s="501">
        <v>0.51</v>
      </c>
      <c r="HC95" s="501">
        <v>0.51</v>
      </c>
      <c r="HD95" s="501">
        <v>0.54</v>
      </c>
      <c r="HE95" s="501">
        <v>0.49</v>
      </c>
      <c r="HF95" s="501">
        <v>0.55000000000000004</v>
      </c>
      <c r="HG95" s="501">
        <v>0.63</v>
      </c>
      <c r="HH95" s="501">
        <v>0.41</v>
      </c>
      <c r="HI95" s="501">
        <v>0.56000000000000005</v>
      </c>
      <c r="HJ95" s="501">
        <v>0.61</v>
      </c>
      <c r="HK95" s="501">
        <v>0.47</v>
      </c>
      <c r="HL95" s="501">
        <v>0.38</v>
      </c>
      <c r="HM95" s="501">
        <v>0.57999999999999996</v>
      </c>
      <c r="HN95" s="501">
        <v>0.59</v>
      </c>
      <c r="HO95" s="501">
        <v>0.46</v>
      </c>
      <c r="HP95" s="471" t="s">
        <v>287</v>
      </c>
      <c r="HQ95" s="501">
        <v>0.47</v>
      </c>
      <c r="HR95" s="630">
        <v>47</v>
      </c>
      <c r="HS95" s="640" t="s">
        <v>910</v>
      </c>
      <c r="HT95" s="630">
        <v>8</v>
      </c>
      <c r="HU95" s="640" t="s">
        <v>910</v>
      </c>
      <c r="HV95" s="644">
        <v>0.24</v>
      </c>
      <c r="HW95" s="644">
        <v>0.6</v>
      </c>
      <c r="HX95" s="644">
        <v>0.16</v>
      </c>
      <c r="HY95" s="644">
        <v>0</v>
      </c>
      <c r="HZ95" s="644">
        <v>0.49</v>
      </c>
      <c r="IA95" s="644">
        <v>0.55000000000000004</v>
      </c>
      <c r="IB95" s="644">
        <v>0.41</v>
      </c>
      <c r="IC95" s="644">
        <v>0.65</v>
      </c>
      <c r="ID95" s="644">
        <v>0.63</v>
      </c>
      <c r="IE95" s="644">
        <v>0.47</v>
      </c>
      <c r="IF95" s="644">
        <v>0.41</v>
      </c>
      <c r="IG95" s="644">
        <v>0.64</v>
      </c>
      <c r="IH95" s="644">
        <v>0.62</v>
      </c>
      <c r="II95" s="644">
        <v>0.35</v>
      </c>
      <c r="IJ95" s="644">
        <v>0.35</v>
      </c>
      <c r="IK95" s="644">
        <v>0.65</v>
      </c>
      <c r="IL95" s="644">
        <v>0.52</v>
      </c>
      <c r="IM95" s="644">
        <v>0.69</v>
      </c>
      <c r="IN95" s="644">
        <v>0.55000000000000004</v>
      </c>
      <c r="IO95" s="644">
        <v>0.56000000000000005</v>
      </c>
      <c r="IP95" s="644">
        <v>0.49</v>
      </c>
      <c r="IQ95" s="644">
        <v>0.66</v>
      </c>
      <c r="IR95" s="644">
        <v>0.69</v>
      </c>
      <c r="IS95" s="644">
        <v>0.55000000000000004</v>
      </c>
      <c r="IT95" s="644">
        <v>0.56999999999999995</v>
      </c>
      <c r="IU95" s="640" t="s">
        <v>287</v>
      </c>
      <c r="IV95" s="644">
        <v>0.63</v>
      </c>
      <c r="IW95" s="644">
        <v>0.47</v>
      </c>
      <c r="IX95" s="644">
        <v>0.54</v>
      </c>
      <c r="IY95" s="644">
        <v>0.63</v>
      </c>
    </row>
    <row r="96" spans="1:259" ht="24.9" customHeight="1" x14ac:dyDescent="0.25">
      <c r="A96" s="188" t="s">
        <v>227</v>
      </c>
      <c r="B96" s="1" t="s">
        <v>222</v>
      </c>
      <c r="C96" s="2">
        <v>4</v>
      </c>
      <c r="D96" s="13" t="s">
        <v>226</v>
      </c>
      <c r="E96" s="13" t="s">
        <v>226</v>
      </c>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6">
        <v>58</v>
      </c>
      <c r="AI96" s="16">
        <v>0</v>
      </c>
      <c r="AJ96" s="66">
        <v>0</v>
      </c>
      <c r="AK96" s="66">
        <v>0</v>
      </c>
      <c r="AL96" s="66">
        <v>1</v>
      </c>
      <c r="AM96" s="66">
        <v>0</v>
      </c>
      <c r="AN96" s="66">
        <v>0</v>
      </c>
      <c r="AO96" s="66">
        <v>0</v>
      </c>
      <c r="AP96" s="66">
        <v>1</v>
      </c>
      <c r="AQ96" s="66">
        <v>0.33</v>
      </c>
      <c r="AR96" s="66">
        <v>0.67</v>
      </c>
      <c r="AS96" s="66">
        <v>0.5</v>
      </c>
      <c r="AT96" s="66">
        <v>0.33</v>
      </c>
      <c r="AU96" s="66">
        <v>0.5</v>
      </c>
      <c r="AV96" s="66">
        <v>0.5</v>
      </c>
      <c r="AW96" s="66">
        <v>0</v>
      </c>
      <c r="AX96" s="61" t="s">
        <v>287</v>
      </c>
      <c r="AY96" s="66">
        <v>0.25</v>
      </c>
      <c r="AZ96" s="66">
        <v>0.5</v>
      </c>
      <c r="BA96" s="66">
        <v>0.5</v>
      </c>
      <c r="BB96" s="66">
        <v>0</v>
      </c>
      <c r="BC96" s="66">
        <v>0</v>
      </c>
      <c r="BD96" s="66">
        <v>0</v>
      </c>
      <c r="BE96" s="66">
        <v>0</v>
      </c>
      <c r="BF96" s="61" t="s">
        <v>287</v>
      </c>
      <c r="BG96" s="66">
        <v>0</v>
      </c>
      <c r="BH96" s="66">
        <v>0.2</v>
      </c>
      <c r="BI96" s="66">
        <v>0.33</v>
      </c>
      <c r="BJ96" s="66">
        <v>0.5</v>
      </c>
      <c r="BK96" s="66">
        <v>0.5</v>
      </c>
      <c r="BL96" s="61" t="s">
        <v>287</v>
      </c>
      <c r="BM96" s="13" t="s">
        <v>226</v>
      </c>
      <c r="BN96" s="13" t="s">
        <v>226</v>
      </c>
      <c r="BO96" s="13"/>
      <c r="BP96" s="13"/>
      <c r="BQ96" s="13"/>
      <c r="BR96" s="13"/>
      <c r="BS96" s="13"/>
      <c r="BT96" s="13"/>
      <c r="BU96" s="13"/>
      <c r="BV96" s="13"/>
      <c r="BW96" s="13"/>
      <c r="BX96" s="13"/>
      <c r="BY96" s="13"/>
      <c r="BZ96" s="13"/>
      <c r="CA96" s="13"/>
      <c r="CB96" s="13"/>
      <c r="CC96" s="13"/>
      <c r="CD96" s="13"/>
      <c r="CE96" s="13"/>
      <c r="CF96" s="13"/>
      <c r="CG96" s="13"/>
      <c r="CH96" s="13"/>
      <c r="CI96" s="13"/>
      <c r="CJ96" s="13"/>
      <c r="CK96" s="13"/>
      <c r="CL96" s="13"/>
      <c r="CM96" s="13"/>
      <c r="CN96" s="13"/>
      <c r="CO96" s="13"/>
      <c r="CP96" s="13"/>
      <c r="CQ96" s="13"/>
      <c r="CR96" s="13"/>
      <c r="CS96" s="13" t="s">
        <v>226</v>
      </c>
      <c r="CT96" s="13" t="s">
        <v>226</v>
      </c>
      <c r="CU96" s="2"/>
      <c r="CV96" s="2"/>
      <c r="CW96" s="2"/>
      <c r="CX96" s="2"/>
      <c r="CY96" s="2"/>
      <c r="CZ96" s="2"/>
      <c r="DA96" s="2"/>
      <c r="DB96" s="2"/>
      <c r="DC96" s="2"/>
      <c r="DD96" s="2"/>
      <c r="DE96" s="2"/>
      <c r="DF96" s="2"/>
      <c r="DG96" s="2"/>
      <c r="DH96" s="2"/>
      <c r="DI96" s="2"/>
      <c r="DJ96" s="2"/>
      <c r="DK96" s="2"/>
      <c r="DL96" s="2"/>
      <c r="DM96" s="2"/>
      <c r="DN96" s="2"/>
      <c r="DO96" s="2"/>
      <c r="DP96" s="2"/>
      <c r="DQ96" s="2"/>
      <c r="DR96" s="2"/>
      <c r="DS96" s="2"/>
      <c r="DT96" s="2"/>
      <c r="DU96" s="2"/>
      <c r="DV96" s="2"/>
      <c r="DW96" s="2"/>
      <c r="DX96" s="61"/>
      <c r="DY96" s="61"/>
      <c r="DZ96" s="66"/>
      <c r="EA96" s="66"/>
      <c r="EB96" s="66"/>
      <c r="EC96" s="66"/>
      <c r="ED96" s="66"/>
      <c r="EE96" s="66"/>
      <c r="EF96" s="66"/>
      <c r="EG96" s="66"/>
      <c r="EH96" s="66"/>
      <c r="EI96" s="66"/>
      <c r="EJ96" s="66"/>
      <c r="EK96" s="66"/>
      <c r="EL96" s="66"/>
      <c r="EM96" s="66"/>
      <c r="EN96" s="66"/>
      <c r="EO96" s="66"/>
      <c r="EP96" s="66"/>
      <c r="EQ96" s="66"/>
      <c r="ER96" s="66"/>
      <c r="ES96" s="66"/>
      <c r="ET96" s="66"/>
      <c r="EU96" s="66"/>
      <c r="EV96" s="66"/>
      <c r="EW96" s="66"/>
      <c r="EX96" s="66"/>
      <c r="EY96" s="66"/>
      <c r="EZ96" s="66"/>
      <c r="FA96" s="66"/>
    </row>
    <row r="97" spans="1:259" ht="24.9" customHeight="1" x14ac:dyDescent="0.25">
      <c r="A97" s="188" t="s">
        <v>92</v>
      </c>
      <c r="B97" s="1" t="s">
        <v>220</v>
      </c>
      <c r="C97" s="2">
        <v>1</v>
      </c>
      <c r="D97" s="16">
        <v>53</v>
      </c>
      <c r="E97" s="16">
        <v>7</v>
      </c>
      <c r="F97" s="99">
        <v>0.05</v>
      </c>
      <c r="G97" s="99">
        <v>0.65</v>
      </c>
      <c r="H97" s="99">
        <v>0.28999999999999998</v>
      </c>
      <c r="I97" s="99">
        <v>0</v>
      </c>
      <c r="J97" s="99">
        <v>0.43</v>
      </c>
      <c r="K97" s="99">
        <v>0.41</v>
      </c>
      <c r="L97" s="99">
        <v>0.75</v>
      </c>
      <c r="M97" s="99">
        <v>0.19</v>
      </c>
      <c r="N97" s="99">
        <v>0.32</v>
      </c>
      <c r="O97" s="99">
        <v>0.59</v>
      </c>
      <c r="P97" s="99">
        <v>0.31</v>
      </c>
      <c r="Q97" s="99">
        <v>0.43</v>
      </c>
      <c r="R97" s="99">
        <v>0.52</v>
      </c>
      <c r="S97" s="99">
        <v>0.62</v>
      </c>
      <c r="T97" s="99">
        <v>0.48</v>
      </c>
      <c r="U97" s="99">
        <v>0.69</v>
      </c>
      <c r="V97" s="99">
        <v>0.04</v>
      </c>
      <c r="W97" s="99">
        <v>0.12</v>
      </c>
      <c r="X97" s="99">
        <v>0.47</v>
      </c>
      <c r="Y97" s="99">
        <v>0.47</v>
      </c>
      <c r="Z97" s="99">
        <v>1</v>
      </c>
      <c r="AA97" s="99">
        <v>0.05</v>
      </c>
      <c r="AB97" s="99">
        <v>0.45</v>
      </c>
      <c r="AC97" s="99">
        <v>0.26</v>
      </c>
      <c r="AD97" s="99">
        <v>0.43</v>
      </c>
      <c r="AE97" s="99">
        <v>0.42</v>
      </c>
      <c r="AF97" s="99">
        <v>0.56999999999999995</v>
      </c>
      <c r="AG97" s="99">
        <v>0.51</v>
      </c>
      <c r="AH97" s="16">
        <v>53</v>
      </c>
      <c r="AI97" s="16">
        <v>8</v>
      </c>
      <c r="AJ97" s="66">
        <v>0.05</v>
      </c>
      <c r="AK97" s="66">
        <v>0.57999999999999996</v>
      </c>
      <c r="AL97" s="66">
        <v>0.36</v>
      </c>
      <c r="AM97" s="66">
        <v>0.01</v>
      </c>
      <c r="AN97" s="66">
        <v>0.28999999999999998</v>
      </c>
      <c r="AO97" s="66">
        <v>0.44</v>
      </c>
      <c r="AP97" s="66">
        <v>0.56999999999999995</v>
      </c>
      <c r="AQ97" s="66">
        <v>0.35</v>
      </c>
      <c r="AR97" s="66">
        <v>0.53</v>
      </c>
      <c r="AS97" s="66">
        <v>0.56000000000000005</v>
      </c>
      <c r="AT97" s="66">
        <v>0.51</v>
      </c>
      <c r="AU97" s="66">
        <v>0.47</v>
      </c>
      <c r="AV97" s="66">
        <v>0.59</v>
      </c>
      <c r="AW97" s="66">
        <v>0.46</v>
      </c>
      <c r="AX97" s="66">
        <v>0.57999999999999996</v>
      </c>
      <c r="AY97" s="66">
        <v>0.3</v>
      </c>
      <c r="AZ97" s="66">
        <v>0.24</v>
      </c>
      <c r="BA97" s="66">
        <v>0.49</v>
      </c>
      <c r="BB97" s="66">
        <v>0.66</v>
      </c>
      <c r="BC97" s="66">
        <v>0.64</v>
      </c>
      <c r="BD97" s="66">
        <v>0.41</v>
      </c>
      <c r="BE97" s="66">
        <v>0.61</v>
      </c>
      <c r="BF97" s="66">
        <v>0.57999999999999996</v>
      </c>
      <c r="BG97" s="66">
        <v>0.45</v>
      </c>
      <c r="BH97" s="66">
        <v>0.44</v>
      </c>
      <c r="BI97" s="66">
        <v>0.37</v>
      </c>
      <c r="BJ97" s="66">
        <v>0.34</v>
      </c>
      <c r="BK97" s="66">
        <v>0.46</v>
      </c>
      <c r="BL97" s="66">
        <v>0.45</v>
      </c>
      <c r="BM97" s="16">
        <v>50</v>
      </c>
      <c r="BN97" s="16">
        <v>8</v>
      </c>
      <c r="BO97" s="99">
        <v>0.09</v>
      </c>
      <c r="BP97" s="99">
        <v>0.69</v>
      </c>
      <c r="BQ97" s="99">
        <v>0.22</v>
      </c>
      <c r="BR97" s="99">
        <v>0.01</v>
      </c>
      <c r="BS97" s="99">
        <v>0.31</v>
      </c>
      <c r="BT97" s="99">
        <v>0.55000000000000004</v>
      </c>
      <c r="BU97" s="99">
        <v>0.68</v>
      </c>
      <c r="BV97" s="99">
        <v>0.28999999999999998</v>
      </c>
      <c r="BW97" s="99">
        <v>0.6</v>
      </c>
      <c r="BX97" s="99">
        <v>0.32</v>
      </c>
      <c r="BY97" s="99">
        <v>0.44</v>
      </c>
      <c r="BZ97" s="99">
        <v>0.55000000000000004</v>
      </c>
      <c r="CA97" s="99">
        <v>0.45</v>
      </c>
      <c r="CB97" s="99">
        <v>0.42</v>
      </c>
      <c r="CC97" s="99">
        <v>0.17</v>
      </c>
      <c r="CD97" s="99">
        <v>0.46</v>
      </c>
      <c r="CE97" s="99">
        <v>0.34</v>
      </c>
      <c r="CF97" s="99">
        <v>0.65</v>
      </c>
      <c r="CG97" s="99">
        <v>0.62</v>
      </c>
      <c r="CH97" s="99">
        <v>0.49</v>
      </c>
      <c r="CI97" s="99">
        <v>0.59</v>
      </c>
      <c r="CJ97" s="99">
        <v>0.38</v>
      </c>
      <c r="CK97" s="99">
        <v>0.7</v>
      </c>
      <c r="CL97" s="99">
        <v>0.31</v>
      </c>
      <c r="CM97" s="99">
        <v>0.47</v>
      </c>
      <c r="CN97" s="99">
        <v>0.45</v>
      </c>
      <c r="CO97" s="99">
        <v>0.4</v>
      </c>
      <c r="CP97" s="99">
        <v>0.39</v>
      </c>
      <c r="CQ97" s="99">
        <v>0.55000000000000004</v>
      </c>
      <c r="CR97" s="99">
        <v>0.56000000000000005</v>
      </c>
      <c r="CS97" s="16">
        <v>50</v>
      </c>
      <c r="CT97" s="16">
        <v>9</v>
      </c>
      <c r="CU97" s="96">
        <v>0.15</v>
      </c>
      <c r="CV97" s="96">
        <v>0.56000000000000005</v>
      </c>
      <c r="CW97" s="96">
        <v>0.28000000000000003</v>
      </c>
      <c r="CX97" s="96">
        <v>0.01</v>
      </c>
      <c r="CY97" s="96">
        <v>0.53</v>
      </c>
      <c r="CZ97" s="96">
        <v>0.33</v>
      </c>
      <c r="DA97" s="96">
        <v>0.61</v>
      </c>
      <c r="DB97" s="96">
        <v>0.37</v>
      </c>
      <c r="DC97" s="96">
        <v>0.43</v>
      </c>
      <c r="DD97" s="96">
        <v>0.69</v>
      </c>
      <c r="DE97" s="96">
        <v>0.45</v>
      </c>
      <c r="DF97" s="96">
        <v>0.59</v>
      </c>
      <c r="DG97" s="96">
        <v>0.38</v>
      </c>
      <c r="DH97" s="96">
        <v>0.39</v>
      </c>
      <c r="DI97" s="96">
        <v>0.51</v>
      </c>
      <c r="DJ97" s="96">
        <v>0.49</v>
      </c>
      <c r="DK97" s="96">
        <v>0.4</v>
      </c>
      <c r="DL97" s="96">
        <v>0.33</v>
      </c>
      <c r="DM97" s="96">
        <v>0.51</v>
      </c>
      <c r="DN97" s="96">
        <v>0.42</v>
      </c>
      <c r="DO97" s="96">
        <v>0.47</v>
      </c>
      <c r="DP97" s="96">
        <v>0.44</v>
      </c>
      <c r="DQ97" s="96">
        <v>0.51</v>
      </c>
      <c r="DR97" s="96">
        <v>0.18</v>
      </c>
      <c r="DS97" s="96">
        <v>0.38</v>
      </c>
      <c r="DT97" s="96">
        <v>0.6</v>
      </c>
      <c r="DU97" s="96">
        <v>0.5</v>
      </c>
      <c r="DV97" s="96">
        <v>0.62</v>
      </c>
      <c r="DW97" s="96">
        <v>0.38</v>
      </c>
      <c r="DX97" s="61">
        <v>49</v>
      </c>
      <c r="DY97" s="61">
        <v>9</v>
      </c>
      <c r="DZ97" s="66">
        <v>0.18</v>
      </c>
      <c r="EA97" s="66">
        <v>0.55000000000000004</v>
      </c>
      <c r="EB97" s="66">
        <v>0.27</v>
      </c>
      <c r="EC97" s="66">
        <v>0.01</v>
      </c>
      <c r="ED97" s="66">
        <v>0.52</v>
      </c>
      <c r="EE97" s="66">
        <v>0.45</v>
      </c>
      <c r="EF97" s="66">
        <v>0.55000000000000004</v>
      </c>
      <c r="EG97" s="66">
        <v>0.37</v>
      </c>
      <c r="EH97" s="66">
        <v>0.46</v>
      </c>
      <c r="EI97" s="66">
        <v>0.48</v>
      </c>
      <c r="EJ97" s="66">
        <v>0.57999999999999996</v>
      </c>
      <c r="EK97" s="66">
        <v>0.3</v>
      </c>
      <c r="EL97" s="66">
        <v>0.51</v>
      </c>
      <c r="EM97" s="66">
        <v>0.62</v>
      </c>
      <c r="EN97" s="66">
        <v>0.39</v>
      </c>
      <c r="EO97" s="66">
        <v>0.59</v>
      </c>
      <c r="EP97" s="66">
        <v>0.4</v>
      </c>
      <c r="EQ97" s="66">
        <v>0.32</v>
      </c>
      <c r="ER97" s="66">
        <v>0.6</v>
      </c>
      <c r="ES97" s="66">
        <v>0.47</v>
      </c>
      <c r="ET97" s="66">
        <v>0.37</v>
      </c>
      <c r="EU97" s="66">
        <v>0.56000000000000005</v>
      </c>
      <c r="EV97" s="66">
        <v>0.39</v>
      </c>
      <c r="EW97" s="66">
        <v>0.33</v>
      </c>
      <c r="EX97" s="66">
        <v>0.72</v>
      </c>
      <c r="EY97" s="66">
        <v>0.56000000000000005</v>
      </c>
      <c r="EZ97" s="66">
        <v>0.28000000000000003</v>
      </c>
      <c r="FA97" s="66">
        <v>0.63</v>
      </c>
      <c r="FB97" s="349">
        <v>49</v>
      </c>
      <c r="FC97" s="348" t="s">
        <v>910</v>
      </c>
      <c r="FD97" s="349">
        <v>8</v>
      </c>
      <c r="FE97" s="348" t="s">
        <v>910</v>
      </c>
      <c r="FF97" s="371">
        <v>0.14000000000000001</v>
      </c>
      <c r="FG97" s="371">
        <v>0.64</v>
      </c>
      <c r="FH97" s="371">
        <v>0.23</v>
      </c>
      <c r="FI97" s="371">
        <v>0</v>
      </c>
      <c r="FJ97" s="371">
        <v>0.48</v>
      </c>
      <c r="FK97" s="371">
        <v>0.7</v>
      </c>
      <c r="FL97" s="371">
        <v>0.47</v>
      </c>
      <c r="FM97" s="371">
        <v>0.45</v>
      </c>
      <c r="FN97" s="371">
        <v>0.32</v>
      </c>
      <c r="FO97" s="371">
        <v>0.37</v>
      </c>
      <c r="FP97" s="371">
        <v>0.41</v>
      </c>
      <c r="FQ97" s="371">
        <v>0.41</v>
      </c>
      <c r="FR97" s="371">
        <v>0.59</v>
      </c>
      <c r="FS97" s="371">
        <v>0.53</v>
      </c>
      <c r="FT97" s="371">
        <v>0.53</v>
      </c>
      <c r="FU97" s="371">
        <v>0.42</v>
      </c>
      <c r="FV97" s="371">
        <v>0.61</v>
      </c>
      <c r="FW97" s="371">
        <v>0.56999999999999995</v>
      </c>
      <c r="FX97" s="371">
        <v>0.49</v>
      </c>
      <c r="FY97" s="371">
        <v>0.4</v>
      </c>
      <c r="FZ97" s="371">
        <v>0.43</v>
      </c>
      <c r="GA97" s="371">
        <v>0.46</v>
      </c>
      <c r="GB97" s="371">
        <v>0.56999999999999995</v>
      </c>
      <c r="GC97" s="371">
        <v>0.45</v>
      </c>
      <c r="GD97" s="371">
        <v>0.59</v>
      </c>
      <c r="GE97" s="371">
        <v>0.56000000000000005</v>
      </c>
      <c r="GF97" s="371">
        <v>0.49</v>
      </c>
      <c r="GG97" s="371">
        <v>0.49</v>
      </c>
      <c r="GH97" s="371">
        <v>0.57999999999999996</v>
      </c>
      <c r="GI97" s="371">
        <v>0.3</v>
      </c>
      <c r="GJ97" s="469">
        <v>49</v>
      </c>
      <c r="GK97" s="471" t="s">
        <v>910</v>
      </c>
      <c r="GL97" s="469">
        <v>9</v>
      </c>
      <c r="GM97" s="471" t="s">
        <v>910</v>
      </c>
      <c r="GN97" s="501">
        <v>0.18</v>
      </c>
      <c r="GO97" s="501">
        <v>0.61</v>
      </c>
      <c r="GP97" s="501">
        <v>0.2</v>
      </c>
      <c r="GQ97" s="501">
        <v>0.01</v>
      </c>
      <c r="GR97" s="501">
        <v>0.55000000000000004</v>
      </c>
      <c r="GS97" s="501">
        <v>0.56999999999999995</v>
      </c>
      <c r="GT97" s="501">
        <v>0.64</v>
      </c>
      <c r="GU97" s="501">
        <v>0.25</v>
      </c>
      <c r="GV97" s="501">
        <v>0.59</v>
      </c>
      <c r="GW97" s="501">
        <v>0.52</v>
      </c>
      <c r="GX97" s="501">
        <v>0.48</v>
      </c>
      <c r="GY97" s="471" t="s">
        <v>287</v>
      </c>
      <c r="GZ97" s="501">
        <v>0.36</v>
      </c>
      <c r="HA97" s="501">
        <v>0.7</v>
      </c>
      <c r="HB97" s="501">
        <v>0.49</v>
      </c>
      <c r="HC97" s="501">
        <v>0.5</v>
      </c>
      <c r="HD97" s="501">
        <v>0.62</v>
      </c>
      <c r="HE97" s="501">
        <v>0.5</v>
      </c>
      <c r="HF97" s="501">
        <v>0.55000000000000004</v>
      </c>
      <c r="HG97" s="501">
        <v>0.65</v>
      </c>
      <c r="HH97" s="501">
        <v>0.44</v>
      </c>
      <c r="HI97" s="501">
        <v>0.53</v>
      </c>
      <c r="HJ97" s="501">
        <v>0.63</v>
      </c>
      <c r="HK97" s="501">
        <v>0.53</v>
      </c>
      <c r="HL97" s="501">
        <v>0.49</v>
      </c>
      <c r="HM97" s="501">
        <v>0.48</v>
      </c>
      <c r="HN97" s="501">
        <v>0.53</v>
      </c>
      <c r="HO97" s="501">
        <v>0.51</v>
      </c>
      <c r="HP97" s="471" t="s">
        <v>287</v>
      </c>
      <c r="HQ97" s="501">
        <v>0.42</v>
      </c>
      <c r="HR97" s="630">
        <v>49</v>
      </c>
      <c r="HS97" s="640" t="s">
        <v>910</v>
      </c>
      <c r="HT97" s="630">
        <v>8</v>
      </c>
      <c r="HU97" s="640" t="s">
        <v>910</v>
      </c>
      <c r="HV97" s="644">
        <v>0.2</v>
      </c>
      <c r="HW97" s="644">
        <v>0.63</v>
      </c>
      <c r="HX97" s="644">
        <v>0.16</v>
      </c>
      <c r="HY97" s="644">
        <v>0.01</v>
      </c>
      <c r="HZ97" s="644">
        <v>0.42</v>
      </c>
      <c r="IA97" s="644">
        <v>0.59</v>
      </c>
      <c r="IB97" s="644">
        <v>0.41</v>
      </c>
      <c r="IC97" s="644">
        <v>0.51</v>
      </c>
      <c r="ID97" s="644">
        <v>0.66</v>
      </c>
      <c r="IE97" s="644">
        <v>0.42</v>
      </c>
      <c r="IF97" s="644">
        <v>0.45</v>
      </c>
      <c r="IG97" s="644">
        <v>0.61</v>
      </c>
      <c r="IH97" s="644">
        <v>0.56000000000000005</v>
      </c>
      <c r="II97" s="644">
        <v>0.51</v>
      </c>
      <c r="IJ97" s="644">
        <v>0.35</v>
      </c>
      <c r="IK97" s="644">
        <v>0.62</v>
      </c>
      <c r="IL97" s="644">
        <v>0.33</v>
      </c>
      <c r="IM97" s="644">
        <v>0.59</v>
      </c>
      <c r="IN97" s="644">
        <v>0.51</v>
      </c>
      <c r="IO97" s="644">
        <v>0.57999999999999996</v>
      </c>
      <c r="IP97" s="644">
        <v>0.45</v>
      </c>
      <c r="IQ97" s="644">
        <v>0.64</v>
      </c>
      <c r="IR97" s="644">
        <v>0.66</v>
      </c>
      <c r="IS97" s="644">
        <v>0.56000000000000005</v>
      </c>
      <c r="IT97" s="644">
        <v>0.48</v>
      </c>
      <c r="IU97" s="640" t="s">
        <v>287</v>
      </c>
      <c r="IV97" s="644">
        <v>0.69</v>
      </c>
      <c r="IW97" s="644">
        <v>0.47</v>
      </c>
      <c r="IX97" s="644">
        <v>0.51</v>
      </c>
      <c r="IY97" s="644">
        <v>0.56999999999999995</v>
      </c>
    </row>
    <row r="98" spans="1:259" ht="24.9" customHeight="1" x14ac:dyDescent="0.25">
      <c r="A98" s="188" t="s">
        <v>27</v>
      </c>
      <c r="B98" s="1" t="s">
        <v>220</v>
      </c>
      <c r="C98" s="2">
        <v>6</v>
      </c>
      <c r="D98" s="16">
        <v>54</v>
      </c>
      <c r="E98" s="16">
        <v>7</v>
      </c>
      <c r="F98" s="99">
        <v>0.02</v>
      </c>
      <c r="G98" s="99">
        <v>0.62</v>
      </c>
      <c r="H98" s="99">
        <v>0.35</v>
      </c>
      <c r="I98" s="99">
        <v>0</v>
      </c>
      <c r="J98" s="99">
        <v>0.32</v>
      </c>
      <c r="K98" s="99">
        <v>0.39</v>
      </c>
      <c r="L98" s="99">
        <v>0.74</v>
      </c>
      <c r="M98" s="99">
        <v>0.22</v>
      </c>
      <c r="N98" s="99">
        <v>0.32</v>
      </c>
      <c r="O98" s="99">
        <v>0.68</v>
      </c>
      <c r="P98" s="99">
        <v>0.41</v>
      </c>
      <c r="Q98" s="99">
        <v>0.36</v>
      </c>
      <c r="R98" s="99">
        <v>0.51</v>
      </c>
      <c r="S98" s="99">
        <v>0.59</v>
      </c>
      <c r="T98" s="99">
        <v>0.48</v>
      </c>
      <c r="U98" s="99">
        <v>0.61</v>
      </c>
      <c r="V98" s="99">
        <v>0.04</v>
      </c>
      <c r="W98" s="99">
        <v>0.22</v>
      </c>
      <c r="X98" s="99">
        <v>0.43</v>
      </c>
      <c r="Y98" s="99">
        <v>0.52</v>
      </c>
      <c r="Z98" s="13" t="s">
        <v>287</v>
      </c>
      <c r="AA98" s="99">
        <v>0.11</v>
      </c>
      <c r="AB98" s="99">
        <v>0.34</v>
      </c>
      <c r="AC98" s="99">
        <v>0.25</v>
      </c>
      <c r="AD98" s="99">
        <v>0.44</v>
      </c>
      <c r="AE98" s="99">
        <v>0.47</v>
      </c>
      <c r="AF98" s="99">
        <v>0.5</v>
      </c>
      <c r="AG98" s="99">
        <v>0.53</v>
      </c>
      <c r="AH98" s="16">
        <v>51</v>
      </c>
      <c r="AI98" s="16">
        <v>7</v>
      </c>
      <c r="AJ98" s="66">
        <v>0.1</v>
      </c>
      <c r="AK98" s="66">
        <v>0.63</v>
      </c>
      <c r="AL98" s="66">
        <v>0.27</v>
      </c>
      <c r="AM98" s="66">
        <v>0</v>
      </c>
      <c r="AN98" s="66">
        <v>0.32</v>
      </c>
      <c r="AO98" s="66">
        <v>0.5</v>
      </c>
      <c r="AP98" s="66">
        <v>0.66</v>
      </c>
      <c r="AQ98" s="66">
        <v>0.43</v>
      </c>
      <c r="AR98" s="66">
        <v>0.61</v>
      </c>
      <c r="AS98" s="66">
        <v>0.51</v>
      </c>
      <c r="AT98" s="66">
        <v>0.56000000000000005</v>
      </c>
      <c r="AU98" s="66">
        <v>0.54</v>
      </c>
      <c r="AV98" s="66">
        <v>0.71</v>
      </c>
      <c r="AW98" s="66">
        <v>0.49</v>
      </c>
      <c r="AX98" s="66">
        <v>0.57999999999999996</v>
      </c>
      <c r="AY98" s="66">
        <v>0.3</v>
      </c>
      <c r="AZ98" s="66">
        <v>0.3</v>
      </c>
      <c r="BA98" s="66">
        <v>0.5</v>
      </c>
      <c r="BB98" s="66">
        <v>0.71</v>
      </c>
      <c r="BC98" s="66">
        <v>0.69</v>
      </c>
      <c r="BD98" s="66">
        <v>0.47</v>
      </c>
      <c r="BE98" s="66">
        <v>0.64</v>
      </c>
      <c r="BF98" s="66">
        <v>0.67</v>
      </c>
      <c r="BG98" s="66">
        <v>0.54</v>
      </c>
      <c r="BH98" s="66">
        <v>0.5</v>
      </c>
      <c r="BI98" s="66">
        <v>0.45</v>
      </c>
      <c r="BJ98" s="66">
        <v>0.42</v>
      </c>
      <c r="BK98" s="66">
        <v>0.5</v>
      </c>
      <c r="BL98" s="66">
        <v>0.51</v>
      </c>
      <c r="BM98" s="16">
        <v>49</v>
      </c>
      <c r="BN98" s="16">
        <v>7</v>
      </c>
      <c r="BO98" s="99">
        <v>0.13</v>
      </c>
      <c r="BP98" s="99">
        <v>0.71</v>
      </c>
      <c r="BQ98" s="99">
        <v>0.16</v>
      </c>
      <c r="BR98" s="99">
        <v>0</v>
      </c>
      <c r="BS98" s="99">
        <v>0.37</v>
      </c>
      <c r="BT98" s="99">
        <v>0.7</v>
      </c>
      <c r="BU98" s="99">
        <v>0.59</v>
      </c>
      <c r="BV98" s="99">
        <v>0.39</v>
      </c>
      <c r="BW98" s="99">
        <v>0.69</v>
      </c>
      <c r="BX98" s="99">
        <v>0.41</v>
      </c>
      <c r="BY98" s="99">
        <v>0.45</v>
      </c>
      <c r="BZ98" s="99">
        <v>0.59</v>
      </c>
      <c r="CA98" s="99">
        <v>0.56999999999999995</v>
      </c>
      <c r="CB98" s="99">
        <v>0.46</v>
      </c>
      <c r="CC98" s="99">
        <v>0.25</v>
      </c>
      <c r="CD98" s="99">
        <v>0.49</v>
      </c>
      <c r="CE98" s="99">
        <v>0.39</v>
      </c>
      <c r="CF98" s="99">
        <v>0.6</v>
      </c>
      <c r="CG98" s="99">
        <v>0.56000000000000005</v>
      </c>
      <c r="CH98" s="99">
        <v>0.47</v>
      </c>
      <c r="CI98" s="99">
        <v>0.56999999999999995</v>
      </c>
      <c r="CJ98" s="99">
        <v>0.39</v>
      </c>
      <c r="CK98" s="99">
        <v>0.71</v>
      </c>
      <c r="CL98" s="99">
        <v>0.33</v>
      </c>
      <c r="CM98" s="99">
        <v>0.5</v>
      </c>
      <c r="CN98" s="99">
        <v>0.54</v>
      </c>
      <c r="CO98" s="99">
        <v>0.43</v>
      </c>
      <c r="CP98" s="99">
        <v>0.45</v>
      </c>
      <c r="CQ98" s="99">
        <v>0.56000000000000005</v>
      </c>
      <c r="CR98" s="99">
        <v>0.62</v>
      </c>
      <c r="CS98" s="16">
        <v>48</v>
      </c>
      <c r="CT98" s="16">
        <v>8</v>
      </c>
      <c r="CU98" s="96">
        <v>0.14000000000000001</v>
      </c>
      <c r="CV98" s="96">
        <v>0.65</v>
      </c>
      <c r="CW98" s="96">
        <v>0.2</v>
      </c>
      <c r="CX98" s="96">
        <v>0.01</v>
      </c>
      <c r="CY98" s="96">
        <v>0.44</v>
      </c>
      <c r="CZ98" s="96">
        <v>0.32</v>
      </c>
      <c r="DA98" s="96">
        <v>0.57999999999999996</v>
      </c>
      <c r="DB98" s="96">
        <v>0.41</v>
      </c>
      <c r="DC98" s="96">
        <v>0.46</v>
      </c>
      <c r="DD98" s="96">
        <v>0.66</v>
      </c>
      <c r="DE98" s="96">
        <v>0.5</v>
      </c>
      <c r="DF98" s="96">
        <v>0.55000000000000004</v>
      </c>
      <c r="DG98" s="96">
        <v>0.48</v>
      </c>
      <c r="DH98" s="96">
        <v>0.35</v>
      </c>
      <c r="DI98" s="96">
        <v>0.57999999999999996</v>
      </c>
      <c r="DJ98" s="96">
        <v>0.55000000000000004</v>
      </c>
      <c r="DK98" s="96">
        <v>0.36</v>
      </c>
      <c r="DL98" s="96">
        <v>0.49</v>
      </c>
      <c r="DM98" s="96">
        <v>0.5</v>
      </c>
      <c r="DN98" s="96">
        <v>0.52</v>
      </c>
      <c r="DO98" s="96">
        <v>0.49</v>
      </c>
      <c r="DP98" s="96">
        <v>0.42</v>
      </c>
      <c r="DQ98" s="96">
        <v>0.6</v>
      </c>
      <c r="DR98" s="96">
        <v>0.21</v>
      </c>
      <c r="DS98" s="96">
        <v>0.4</v>
      </c>
      <c r="DT98" s="96">
        <v>0.6</v>
      </c>
      <c r="DU98" s="96">
        <v>0.7</v>
      </c>
      <c r="DV98" s="96">
        <v>0.62</v>
      </c>
      <c r="DW98" s="96">
        <v>0.4</v>
      </c>
      <c r="DX98" s="61">
        <v>48</v>
      </c>
      <c r="DY98" s="61">
        <v>9</v>
      </c>
      <c r="DZ98" s="66">
        <v>0.22</v>
      </c>
      <c r="EA98" s="66">
        <v>0.59</v>
      </c>
      <c r="EB98" s="66">
        <v>0.18</v>
      </c>
      <c r="EC98" s="66">
        <v>0.01</v>
      </c>
      <c r="ED98" s="66">
        <v>0.5</v>
      </c>
      <c r="EE98" s="66">
        <v>0.52</v>
      </c>
      <c r="EF98" s="66">
        <v>0.5</v>
      </c>
      <c r="EG98" s="66">
        <v>0.36</v>
      </c>
      <c r="EH98" s="66">
        <v>0.48</v>
      </c>
      <c r="EI98" s="66">
        <v>0.56000000000000005</v>
      </c>
      <c r="EJ98" s="66">
        <v>0.68</v>
      </c>
      <c r="EK98" s="66">
        <v>0.32</v>
      </c>
      <c r="EL98" s="66">
        <v>0.52</v>
      </c>
      <c r="EM98" s="66">
        <v>0.6</v>
      </c>
      <c r="EN98" s="66">
        <v>0.49</v>
      </c>
      <c r="EO98" s="66">
        <v>0.56000000000000005</v>
      </c>
      <c r="EP98" s="66">
        <v>0.39</v>
      </c>
      <c r="EQ98" s="66">
        <v>0.36</v>
      </c>
      <c r="ER98" s="66">
        <v>0.56000000000000005</v>
      </c>
      <c r="ES98" s="66">
        <v>0.55000000000000004</v>
      </c>
      <c r="ET98" s="66">
        <v>0.38</v>
      </c>
      <c r="EU98" s="66">
        <v>0.61</v>
      </c>
      <c r="EV98" s="66">
        <v>0.38</v>
      </c>
      <c r="EW98" s="66">
        <v>0.39</v>
      </c>
      <c r="EX98" s="66">
        <v>0.66</v>
      </c>
      <c r="EY98" s="66">
        <v>0.64</v>
      </c>
      <c r="EZ98" s="66">
        <v>0.31</v>
      </c>
      <c r="FA98" s="66">
        <v>0.59</v>
      </c>
      <c r="FB98" s="349">
        <v>47</v>
      </c>
      <c r="FC98" s="348" t="s">
        <v>910</v>
      </c>
      <c r="FD98" s="349">
        <v>8</v>
      </c>
      <c r="FE98" s="348" t="s">
        <v>910</v>
      </c>
      <c r="FF98" s="371">
        <v>0.19</v>
      </c>
      <c r="FG98" s="371">
        <v>0.65</v>
      </c>
      <c r="FH98" s="371">
        <v>0.16</v>
      </c>
      <c r="FI98" s="371">
        <v>0.01</v>
      </c>
      <c r="FJ98" s="371">
        <v>0.56000000000000005</v>
      </c>
      <c r="FK98" s="371">
        <v>0.66</v>
      </c>
      <c r="FL98" s="371">
        <v>0.55000000000000004</v>
      </c>
      <c r="FM98" s="371">
        <v>0.54</v>
      </c>
      <c r="FN98" s="371">
        <v>0.4</v>
      </c>
      <c r="FO98" s="371">
        <v>0.37</v>
      </c>
      <c r="FP98" s="371">
        <v>0.4</v>
      </c>
      <c r="FQ98" s="371">
        <v>0.45</v>
      </c>
      <c r="FR98" s="371">
        <v>0.59</v>
      </c>
      <c r="FS98" s="371">
        <v>0.53</v>
      </c>
      <c r="FT98" s="371">
        <v>0.57999999999999996</v>
      </c>
      <c r="FU98" s="371">
        <v>0.42</v>
      </c>
      <c r="FV98" s="371">
        <v>0.6</v>
      </c>
      <c r="FW98" s="371">
        <v>0.64</v>
      </c>
      <c r="FX98" s="371">
        <v>0.51</v>
      </c>
      <c r="FY98" s="371">
        <v>0.47</v>
      </c>
      <c r="FZ98" s="371">
        <v>0.46</v>
      </c>
      <c r="GA98" s="371">
        <v>0.57999999999999996</v>
      </c>
      <c r="GB98" s="371">
        <v>0.59</v>
      </c>
      <c r="GC98" s="371">
        <v>0.48</v>
      </c>
      <c r="GD98" s="371">
        <v>0.62</v>
      </c>
      <c r="GE98" s="371">
        <v>0.63</v>
      </c>
      <c r="GF98" s="371">
        <v>0.47</v>
      </c>
      <c r="GG98" s="371">
        <v>0.46</v>
      </c>
      <c r="GH98" s="371">
        <v>0.64</v>
      </c>
      <c r="GI98" s="371">
        <v>0.34</v>
      </c>
      <c r="GJ98" s="469">
        <v>49</v>
      </c>
      <c r="GK98" s="471" t="s">
        <v>910</v>
      </c>
      <c r="GL98" s="469">
        <v>8</v>
      </c>
      <c r="GM98" s="471" t="s">
        <v>910</v>
      </c>
      <c r="GN98" s="501">
        <v>0.17</v>
      </c>
      <c r="GO98" s="501">
        <v>0.57999999999999996</v>
      </c>
      <c r="GP98" s="501">
        <v>0.24</v>
      </c>
      <c r="GQ98" s="501">
        <v>0</v>
      </c>
      <c r="GR98" s="501">
        <v>0.46</v>
      </c>
      <c r="GS98" s="501">
        <v>0.57999999999999996</v>
      </c>
      <c r="GT98" s="501">
        <v>0.7</v>
      </c>
      <c r="GU98" s="501">
        <v>0.28999999999999998</v>
      </c>
      <c r="GV98" s="501">
        <v>0.61</v>
      </c>
      <c r="GW98" s="501">
        <v>0.51</v>
      </c>
      <c r="GX98" s="501">
        <v>0.54</v>
      </c>
      <c r="GY98" s="471" t="s">
        <v>287</v>
      </c>
      <c r="GZ98" s="501">
        <v>0.35</v>
      </c>
      <c r="HA98" s="501">
        <v>0.64</v>
      </c>
      <c r="HB98" s="501">
        <v>0.49</v>
      </c>
      <c r="HC98" s="501">
        <v>0.59</v>
      </c>
      <c r="HD98" s="501">
        <v>0.56000000000000005</v>
      </c>
      <c r="HE98" s="501">
        <v>0.51</v>
      </c>
      <c r="HF98" s="501">
        <v>0.53</v>
      </c>
      <c r="HG98" s="501">
        <v>0.69</v>
      </c>
      <c r="HH98" s="501">
        <v>0.43</v>
      </c>
      <c r="HI98" s="501">
        <v>0.5</v>
      </c>
      <c r="HJ98" s="501">
        <v>0.56999999999999995</v>
      </c>
      <c r="HK98" s="501">
        <v>0.54</v>
      </c>
      <c r="HL98" s="501">
        <v>0.44</v>
      </c>
      <c r="HM98" s="501">
        <v>0.49</v>
      </c>
      <c r="HN98" s="501">
        <v>0.49</v>
      </c>
      <c r="HO98" s="501">
        <v>0.42</v>
      </c>
      <c r="HP98" s="471" t="s">
        <v>287</v>
      </c>
      <c r="HQ98" s="501">
        <v>0.46</v>
      </c>
      <c r="HR98" s="630">
        <v>48</v>
      </c>
      <c r="HS98" s="640" t="s">
        <v>910</v>
      </c>
      <c r="HT98" s="630">
        <v>8</v>
      </c>
      <c r="HU98" s="640" t="s">
        <v>910</v>
      </c>
      <c r="HV98" s="644">
        <v>0.19</v>
      </c>
      <c r="HW98" s="644">
        <v>0.61</v>
      </c>
      <c r="HX98" s="644">
        <v>0.19</v>
      </c>
      <c r="HY98" s="644">
        <v>0</v>
      </c>
      <c r="HZ98" s="644">
        <v>0.46</v>
      </c>
      <c r="IA98" s="644">
        <v>0.54</v>
      </c>
      <c r="IB98" s="644">
        <v>0.4</v>
      </c>
      <c r="IC98" s="644">
        <v>0.51</v>
      </c>
      <c r="ID98" s="644">
        <v>0.69</v>
      </c>
      <c r="IE98" s="644">
        <v>0.41</v>
      </c>
      <c r="IF98" s="644">
        <v>0.45</v>
      </c>
      <c r="IG98" s="644">
        <v>0.61</v>
      </c>
      <c r="IH98" s="644">
        <v>0.56999999999999995</v>
      </c>
      <c r="II98" s="644">
        <v>0.46</v>
      </c>
      <c r="IJ98" s="644">
        <v>0.37</v>
      </c>
      <c r="IK98" s="644">
        <v>0.64</v>
      </c>
      <c r="IL98" s="644">
        <v>0.44</v>
      </c>
      <c r="IM98" s="644">
        <v>0.56999999999999995</v>
      </c>
      <c r="IN98" s="644">
        <v>0.47</v>
      </c>
      <c r="IO98" s="644">
        <v>0.6</v>
      </c>
      <c r="IP98" s="644">
        <v>0.43</v>
      </c>
      <c r="IQ98" s="644">
        <v>0.67</v>
      </c>
      <c r="IR98" s="644">
        <v>0.65</v>
      </c>
      <c r="IS98" s="644">
        <v>0.63</v>
      </c>
      <c r="IT98" s="644">
        <v>0.49</v>
      </c>
      <c r="IU98" s="640" t="s">
        <v>287</v>
      </c>
      <c r="IV98" s="644">
        <v>0.68</v>
      </c>
      <c r="IW98" s="644">
        <v>0.46</v>
      </c>
      <c r="IX98" s="644">
        <v>0.56000000000000005</v>
      </c>
      <c r="IY98" s="644">
        <v>0.56999999999999995</v>
      </c>
    </row>
    <row r="99" spans="1:259" s="53" customFormat="1" ht="24.9" customHeight="1" x14ac:dyDescent="0.25">
      <c r="A99" s="188" t="s">
        <v>147</v>
      </c>
      <c r="B99" s="1" t="s">
        <v>220</v>
      </c>
      <c r="C99" s="2">
        <v>5</v>
      </c>
      <c r="D99" s="16">
        <v>55</v>
      </c>
      <c r="E99" s="16">
        <v>7</v>
      </c>
      <c r="F99" s="99">
        <v>0.04</v>
      </c>
      <c r="G99" s="99">
        <v>0.53</v>
      </c>
      <c r="H99" s="99">
        <v>0.42</v>
      </c>
      <c r="I99" s="99">
        <v>0.01</v>
      </c>
      <c r="J99" s="99">
        <v>0.24</v>
      </c>
      <c r="K99" s="99">
        <v>0.38</v>
      </c>
      <c r="L99" s="99">
        <v>0.71</v>
      </c>
      <c r="M99" s="99">
        <v>0.17</v>
      </c>
      <c r="N99" s="99">
        <v>0.3</v>
      </c>
      <c r="O99" s="99">
        <v>0.6</v>
      </c>
      <c r="P99" s="99">
        <v>0.27</v>
      </c>
      <c r="Q99" s="99">
        <v>0.42</v>
      </c>
      <c r="R99" s="99">
        <v>0.56000000000000005</v>
      </c>
      <c r="S99" s="99">
        <v>0.59</v>
      </c>
      <c r="T99" s="99">
        <v>0.41</v>
      </c>
      <c r="U99" s="99">
        <v>0.6</v>
      </c>
      <c r="V99" s="99">
        <v>0.04</v>
      </c>
      <c r="W99" s="99">
        <v>0.12</v>
      </c>
      <c r="X99" s="99">
        <v>0.51</v>
      </c>
      <c r="Y99" s="99">
        <v>0.52</v>
      </c>
      <c r="Z99" s="99">
        <v>0.25</v>
      </c>
      <c r="AA99" s="99">
        <v>0.1</v>
      </c>
      <c r="AB99" s="99">
        <v>0.38</v>
      </c>
      <c r="AC99" s="99">
        <v>0.18</v>
      </c>
      <c r="AD99" s="99">
        <v>0.41</v>
      </c>
      <c r="AE99" s="99">
        <v>0.4</v>
      </c>
      <c r="AF99" s="99">
        <v>0.52</v>
      </c>
      <c r="AG99" s="99">
        <v>0.52</v>
      </c>
      <c r="AH99" s="16">
        <v>53</v>
      </c>
      <c r="AI99" s="16">
        <v>8</v>
      </c>
      <c r="AJ99" s="66">
        <v>7.0000000000000007E-2</v>
      </c>
      <c r="AK99" s="66">
        <v>0.53</v>
      </c>
      <c r="AL99" s="66">
        <v>0.39</v>
      </c>
      <c r="AM99" s="66">
        <v>0.01</v>
      </c>
      <c r="AN99" s="66">
        <v>0.28999999999999998</v>
      </c>
      <c r="AO99" s="66">
        <v>0.45</v>
      </c>
      <c r="AP99" s="66">
        <v>0.57999999999999996</v>
      </c>
      <c r="AQ99" s="66">
        <v>0.37</v>
      </c>
      <c r="AR99" s="66">
        <v>0.51</v>
      </c>
      <c r="AS99" s="66">
        <v>0.51</v>
      </c>
      <c r="AT99" s="66">
        <v>0.52</v>
      </c>
      <c r="AU99" s="66">
        <v>0.51</v>
      </c>
      <c r="AV99" s="66">
        <v>0.59</v>
      </c>
      <c r="AW99" s="66">
        <v>0.49</v>
      </c>
      <c r="AX99" s="66">
        <v>0.54</v>
      </c>
      <c r="AY99" s="66">
        <v>0.28999999999999998</v>
      </c>
      <c r="AZ99" s="66">
        <v>0.26</v>
      </c>
      <c r="BA99" s="66">
        <v>0.47</v>
      </c>
      <c r="BB99" s="66">
        <v>0.65</v>
      </c>
      <c r="BC99" s="66">
        <v>0.65</v>
      </c>
      <c r="BD99" s="66">
        <v>0.41</v>
      </c>
      <c r="BE99" s="66">
        <v>0.47</v>
      </c>
      <c r="BF99" s="66">
        <v>0.56999999999999995</v>
      </c>
      <c r="BG99" s="66">
        <v>0.48</v>
      </c>
      <c r="BH99" s="66">
        <v>0.39</v>
      </c>
      <c r="BI99" s="66">
        <v>0.4</v>
      </c>
      <c r="BJ99" s="66">
        <v>0.34</v>
      </c>
      <c r="BK99" s="66">
        <v>0.43</v>
      </c>
      <c r="BL99" s="66">
        <v>0.45</v>
      </c>
      <c r="BM99" s="16">
        <v>50</v>
      </c>
      <c r="BN99" s="16">
        <v>9</v>
      </c>
      <c r="BO99" s="99">
        <v>0.13</v>
      </c>
      <c r="BP99" s="99">
        <v>0.61</v>
      </c>
      <c r="BQ99" s="99">
        <v>0.26</v>
      </c>
      <c r="BR99" s="99">
        <v>0.01</v>
      </c>
      <c r="BS99" s="99">
        <v>0.37</v>
      </c>
      <c r="BT99" s="99">
        <v>0.64</v>
      </c>
      <c r="BU99" s="99">
        <v>0.7</v>
      </c>
      <c r="BV99" s="99">
        <v>0.34</v>
      </c>
      <c r="BW99" s="99">
        <v>0.65</v>
      </c>
      <c r="BX99" s="99">
        <v>0.35</v>
      </c>
      <c r="BY99" s="99">
        <v>0.46</v>
      </c>
      <c r="BZ99" s="99">
        <v>0.5</v>
      </c>
      <c r="CA99" s="99">
        <v>0.44</v>
      </c>
      <c r="CB99" s="99">
        <v>0.41</v>
      </c>
      <c r="CC99" s="99">
        <v>0.19</v>
      </c>
      <c r="CD99" s="99">
        <v>0.39</v>
      </c>
      <c r="CE99" s="99">
        <v>0.36</v>
      </c>
      <c r="CF99" s="99">
        <v>0.61</v>
      </c>
      <c r="CG99" s="99">
        <v>0.66</v>
      </c>
      <c r="CH99" s="99">
        <v>0.45</v>
      </c>
      <c r="CI99" s="99">
        <v>0.53</v>
      </c>
      <c r="CJ99" s="99">
        <v>0.28999999999999998</v>
      </c>
      <c r="CK99" s="99">
        <v>0.7</v>
      </c>
      <c r="CL99" s="99">
        <v>0.31</v>
      </c>
      <c r="CM99" s="99">
        <v>0.45</v>
      </c>
      <c r="CN99" s="99">
        <v>0.47</v>
      </c>
      <c r="CO99" s="99">
        <v>0.45</v>
      </c>
      <c r="CP99" s="99">
        <v>0.36</v>
      </c>
      <c r="CQ99" s="99">
        <v>0.53</v>
      </c>
      <c r="CR99" s="99">
        <v>0.59</v>
      </c>
      <c r="CS99" s="16">
        <v>50</v>
      </c>
      <c r="CT99" s="16">
        <v>9</v>
      </c>
      <c r="CU99" s="96">
        <v>0.14000000000000001</v>
      </c>
      <c r="CV99" s="96">
        <v>0.62</v>
      </c>
      <c r="CW99" s="96">
        <v>0.23</v>
      </c>
      <c r="CX99" s="96">
        <v>0</v>
      </c>
      <c r="CY99" s="96">
        <v>0.48</v>
      </c>
      <c r="CZ99" s="96">
        <v>0.3</v>
      </c>
      <c r="DA99" s="96">
        <v>0.56999999999999995</v>
      </c>
      <c r="DB99" s="96">
        <v>0.34</v>
      </c>
      <c r="DC99" s="96">
        <v>0.45</v>
      </c>
      <c r="DD99" s="96">
        <v>0.66</v>
      </c>
      <c r="DE99" s="96">
        <v>0.46</v>
      </c>
      <c r="DF99" s="96">
        <v>0.54</v>
      </c>
      <c r="DG99" s="96">
        <v>0.44</v>
      </c>
      <c r="DH99" s="96">
        <v>0.35</v>
      </c>
      <c r="DI99" s="96">
        <v>0.56000000000000005</v>
      </c>
      <c r="DJ99" s="96">
        <v>0.46</v>
      </c>
      <c r="DK99" s="96">
        <v>0.4</v>
      </c>
      <c r="DL99" s="96">
        <v>0.36</v>
      </c>
      <c r="DM99" s="96">
        <v>0.54</v>
      </c>
      <c r="DN99" s="96">
        <v>0.53</v>
      </c>
      <c r="DO99" s="96">
        <v>0.44</v>
      </c>
      <c r="DP99" s="96">
        <v>0.42</v>
      </c>
      <c r="DQ99" s="96">
        <v>0.55000000000000004</v>
      </c>
      <c r="DR99" s="96">
        <v>0.2</v>
      </c>
      <c r="DS99" s="96">
        <v>0.39</v>
      </c>
      <c r="DT99" s="96">
        <v>0.61</v>
      </c>
      <c r="DU99" s="96">
        <v>0.56000000000000005</v>
      </c>
      <c r="DV99" s="96">
        <v>0.57999999999999996</v>
      </c>
      <c r="DW99" s="96">
        <v>0.34</v>
      </c>
      <c r="DX99" s="61">
        <v>49</v>
      </c>
      <c r="DY99" s="61">
        <v>8</v>
      </c>
      <c r="DZ99" s="66">
        <v>0.14000000000000001</v>
      </c>
      <c r="EA99" s="66">
        <v>0.61</v>
      </c>
      <c r="EB99" s="66">
        <v>0.25</v>
      </c>
      <c r="EC99" s="66">
        <v>0</v>
      </c>
      <c r="ED99" s="66">
        <v>0.46</v>
      </c>
      <c r="EE99" s="66">
        <v>0.47</v>
      </c>
      <c r="EF99" s="66">
        <v>0.52</v>
      </c>
      <c r="EG99" s="66">
        <v>0.33</v>
      </c>
      <c r="EH99" s="66">
        <v>0.39</v>
      </c>
      <c r="EI99" s="66">
        <v>0.53</v>
      </c>
      <c r="EJ99" s="66">
        <v>0.56999999999999995</v>
      </c>
      <c r="EK99" s="66">
        <v>0.32</v>
      </c>
      <c r="EL99" s="66">
        <v>0.48</v>
      </c>
      <c r="EM99" s="66">
        <v>0.68</v>
      </c>
      <c r="EN99" s="66">
        <v>0.46</v>
      </c>
      <c r="EO99" s="66">
        <v>0.59</v>
      </c>
      <c r="EP99" s="66">
        <v>0.36</v>
      </c>
      <c r="EQ99" s="66">
        <v>0.27</v>
      </c>
      <c r="ER99" s="66">
        <v>0.64</v>
      </c>
      <c r="ES99" s="66">
        <v>0.41</v>
      </c>
      <c r="ET99" s="66">
        <v>0.33</v>
      </c>
      <c r="EU99" s="66">
        <v>0.63</v>
      </c>
      <c r="EV99" s="66">
        <v>0.45</v>
      </c>
      <c r="EW99" s="66">
        <v>0.32</v>
      </c>
      <c r="EX99" s="66">
        <v>0.62</v>
      </c>
      <c r="EY99" s="66">
        <v>0.63</v>
      </c>
      <c r="EZ99" s="66">
        <v>0.22</v>
      </c>
      <c r="FA99" s="66">
        <v>0.61</v>
      </c>
      <c r="FB99" s="349">
        <v>49</v>
      </c>
      <c r="FC99" s="348" t="s">
        <v>910</v>
      </c>
      <c r="FD99" s="349">
        <v>8</v>
      </c>
      <c r="FE99" s="348" t="s">
        <v>910</v>
      </c>
      <c r="FF99" s="371">
        <v>0.17</v>
      </c>
      <c r="FG99" s="371">
        <v>0.61</v>
      </c>
      <c r="FH99" s="371">
        <v>0.22</v>
      </c>
      <c r="FI99" s="371">
        <v>0</v>
      </c>
      <c r="FJ99" s="371">
        <v>0.5</v>
      </c>
      <c r="FK99" s="371">
        <v>0.66</v>
      </c>
      <c r="FL99" s="371">
        <v>0.49</v>
      </c>
      <c r="FM99" s="371">
        <v>0.39</v>
      </c>
      <c r="FN99" s="371">
        <v>0.28000000000000003</v>
      </c>
      <c r="FO99" s="371">
        <v>0.36</v>
      </c>
      <c r="FP99" s="371">
        <v>0.39</v>
      </c>
      <c r="FQ99" s="371">
        <v>0.43</v>
      </c>
      <c r="FR99" s="371">
        <v>0.57999999999999996</v>
      </c>
      <c r="FS99" s="371">
        <v>0.54</v>
      </c>
      <c r="FT99" s="371">
        <v>0.5</v>
      </c>
      <c r="FU99" s="371">
        <v>0.39</v>
      </c>
      <c r="FV99" s="371">
        <v>0.62</v>
      </c>
      <c r="FW99" s="371">
        <v>0.57999999999999996</v>
      </c>
      <c r="FX99" s="371">
        <v>0.51</v>
      </c>
      <c r="FY99" s="371">
        <v>0.37</v>
      </c>
      <c r="FZ99" s="371">
        <v>0.42</v>
      </c>
      <c r="GA99" s="371">
        <v>0.52</v>
      </c>
      <c r="GB99" s="371">
        <v>0.55000000000000004</v>
      </c>
      <c r="GC99" s="371">
        <v>0.48</v>
      </c>
      <c r="GD99" s="371">
        <v>0.6</v>
      </c>
      <c r="GE99" s="371">
        <v>0.53</v>
      </c>
      <c r="GF99" s="371">
        <v>0.46</v>
      </c>
      <c r="GG99" s="371">
        <v>0.46</v>
      </c>
      <c r="GH99" s="371">
        <v>0.53</v>
      </c>
      <c r="GI99" s="371">
        <v>0.31</v>
      </c>
      <c r="GJ99" s="469">
        <v>51</v>
      </c>
      <c r="GK99" s="471" t="s">
        <v>910</v>
      </c>
      <c r="GL99" s="469">
        <v>8</v>
      </c>
      <c r="GM99" s="471" t="s">
        <v>910</v>
      </c>
      <c r="GN99" s="501">
        <v>0.1</v>
      </c>
      <c r="GO99" s="501">
        <v>0.61</v>
      </c>
      <c r="GP99" s="501">
        <v>0.27</v>
      </c>
      <c r="GQ99" s="501">
        <v>0.02</v>
      </c>
      <c r="GR99" s="501">
        <v>0.42</v>
      </c>
      <c r="GS99" s="501">
        <v>0.51</v>
      </c>
      <c r="GT99" s="501">
        <v>0.63</v>
      </c>
      <c r="GU99" s="501">
        <v>0.21</v>
      </c>
      <c r="GV99" s="501">
        <v>0.54</v>
      </c>
      <c r="GW99" s="501">
        <v>0.42</v>
      </c>
      <c r="GX99" s="501">
        <v>0.47</v>
      </c>
      <c r="GY99" s="471" t="s">
        <v>287</v>
      </c>
      <c r="GZ99" s="501">
        <v>0.31</v>
      </c>
      <c r="HA99" s="501">
        <v>0.74</v>
      </c>
      <c r="HB99" s="501">
        <v>0.5</v>
      </c>
      <c r="HC99" s="501">
        <v>0.52</v>
      </c>
      <c r="HD99" s="501">
        <v>0.56999999999999995</v>
      </c>
      <c r="HE99" s="501">
        <v>0.44</v>
      </c>
      <c r="HF99" s="501">
        <v>0.47</v>
      </c>
      <c r="HG99" s="501">
        <v>0.69</v>
      </c>
      <c r="HH99" s="501">
        <v>0.39</v>
      </c>
      <c r="HI99" s="501">
        <v>0.54</v>
      </c>
      <c r="HJ99" s="501">
        <v>0.57999999999999996</v>
      </c>
      <c r="HK99" s="501">
        <v>0.54</v>
      </c>
      <c r="HL99" s="501">
        <v>0.46</v>
      </c>
      <c r="HM99" s="501">
        <v>0.47</v>
      </c>
      <c r="HN99" s="501">
        <v>0.53</v>
      </c>
      <c r="HO99" s="501">
        <v>0.43</v>
      </c>
      <c r="HP99" s="471" t="s">
        <v>287</v>
      </c>
      <c r="HQ99" s="501">
        <v>0.38</v>
      </c>
      <c r="HR99" s="630">
        <v>52</v>
      </c>
      <c r="HS99" s="640" t="s">
        <v>910</v>
      </c>
      <c r="HT99" s="630">
        <v>9</v>
      </c>
      <c r="HU99" s="640" t="s">
        <v>910</v>
      </c>
      <c r="HV99" s="644">
        <v>0.1</v>
      </c>
      <c r="HW99" s="644">
        <v>0.53</v>
      </c>
      <c r="HX99" s="644">
        <v>0.34</v>
      </c>
      <c r="HY99" s="644">
        <v>0.02</v>
      </c>
      <c r="HZ99" s="644">
        <v>0.4</v>
      </c>
      <c r="IA99" s="644">
        <v>0.56000000000000005</v>
      </c>
      <c r="IB99" s="644">
        <v>0.33</v>
      </c>
      <c r="IC99" s="644">
        <v>0.47</v>
      </c>
      <c r="ID99" s="644">
        <v>0.6</v>
      </c>
      <c r="IE99" s="644">
        <v>0.3</v>
      </c>
      <c r="IF99" s="644">
        <v>0.42</v>
      </c>
      <c r="IG99" s="644">
        <v>0.51</v>
      </c>
      <c r="IH99" s="644">
        <v>0.51</v>
      </c>
      <c r="II99" s="644">
        <v>0.25</v>
      </c>
      <c r="IJ99" s="644">
        <v>0.27</v>
      </c>
      <c r="IK99" s="644">
        <v>0.57999999999999996</v>
      </c>
      <c r="IL99" s="644">
        <v>0.31</v>
      </c>
      <c r="IM99" s="644">
        <v>0.55000000000000004</v>
      </c>
      <c r="IN99" s="644">
        <v>0.45</v>
      </c>
      <c r="IO99" s="644">
        <v>0.48</v>
      </c>
      <c r="IP99" s="644">
        <v>0.4</v>
      </c>
      <c r="IQ99" s="644">
        <v>0.62</v>
      </c>
      <c r="IR99" s="644">
        <v>0.48</v>
      </c>
      <c r="IS99" s="644">
        <v>0.44</v>
      </c>
      <c r="IT99" s="644">
        <v>0.41</v>
      </c>
      <c r="IU99" s="640" t="s">
        <v>287</v>
      </c>
      <c r="IV99" s="644">
        <v>0.6</v>
      </c>
      <c r="IW99" s="644">
        <v>0.39</v>
      </c>
      <c r="IX99" s="644">
        <v>0.47</v>
      </c>
      <c r="IY99" s="644">
        <v>0.46</v>
      </c>
    </row>
    <row r="100" spans="1:259" ht="24.9" customHeight="1" x14ac:dyDescent="0.25">
      <c r="A100" s="188" t="s">
        <v>112</v>
      </c>
      <c r="B100" s="1" t="s">
        <v>220</v>
      </c>
      <c r="C100" s="2">
        <v>4</v>
      </c>
      <c r="D100" s="16">
        <v>49</v>
      </c>
      <c r="E100" s="16">
        <v>7</v>
      </c>
      <c r="F100" s="99">
        <v>0.1</v>
      </c>
      <c r="G100" s="99">
        <v>0.69</v>
      </c>
      <c r="H100" s="99">
        <v>0.21</v>
      </c>
      <c r="I100" s="99">
        <v>0</v>
      </c>
      <c r="J100" s="99">
        <v>0.43</v>
      </c>
      <c r="K100" s="99">
        <v>0.52</v>
      </c>
      <c r="L100" s="99">
        <v>0.88</v>
      </c>
      <c r="M100" s="99">
        <v>0.3</v>
      </c>
      <c r="N100" s="99">
        <v>0.38</v>
      </c>
      <c r="O100" s="99">
        <v>0.81</v>
      </c>
      <c r="P100" s="99">
        <v>0.34</v>
      </c>
      <c r="Q100" s="99">
        <v>0.46</v>
      </c>
      <c r="R100" s="99">
        <v>0.68</v>
      </c>
      <c r="S100" s="99">
        <v>0.63</v>
      </c>
      <c r="T100" s="99">
        <v>0.53</v>
      </c>
      <c r="U100" s="99">
        <v>0.73</v>
      </c>
      <c r="V100" s="99">
        <v>0.15</v>
      </c>
      <c r="W100" s="99">
        <v>0.23</v>
      </c>
      <c r="X100" s="99">
        <v>0.56999999999999995</v>
      </c>
      <c r="Y100" s="99">
        <v>0.41</v>
      </c>
      <c r="Z100" s="99">
        <v>1</v>
      </c>
      <c r="AA100" s="99">
        <v>0.17</v>
      </c>
      <c r="AB100" s="99">
        <v>0.45</v>
      </c>
      <c r="AC100" s="99">
        <v>0.54</v>
      </c>
      <c r="AD100" s="99">
        <v>0.54</v>
      </c>
      <c r="AE100" s="99">
        <v>0.61</v>
      </c>
      <c r="AF100" s="99">
        <v>0.61</v>
      </c>
      <c r="AG100" s="99">
        <v>0.45</v>
      </c>
      <c r="AH100" s="16">
        <v>50</v>
      </c>
      <c r="AI100" s="16">
        <v>8</v>
      </c>
      <c r="AJ100" s="66">
        <v>0.13</v>
      </c>
      <c r="AK100" s="66">
        <v>0.61</v>
      </c>
      <c r="AL100" s="66">
        <v>0.24</v>
      </c>
      <c r="AM100" s="66">
        <v>0.02</v>
      </c>
      <c r="AN100" s="66">
        <v>0.38</v>
      </c>
      <c r="AO100" s="66">
        <v>0.49</v>
      </c>
      <c r="AP100" s="66">
        <v>0.56000000000000005</v>
      </c>
      <c r="AQ100" s="66">
        <v>0.49</v>
      </c>
      <c r="AR100" s="66">
        <v>0.53</v>
      </c>
      <c r="AS100" s="66">
        <v>0.55000000000000004</v>
      </c>
      <c r="AT100" s="66">
        <v>0.56999999999999995</v>
      </c>
      <c r="AU100" s="66">
        <v>0.47</v>
      </c>
      <c r="AV100" s="66">
        <v>0.62</v>
      </c>
      <c r="AW100" s="66">
        <v>0.44</v>
      </c>
      <c r="AX100" s="66">
        <v>0.53</v>
      </c>
      <c r="AY100" s="66">
        <v>0.33</v>
      </c>
      <c r="AZ100" s="66">
        <v>0.28000000000000003</v>
      </c>
      <c r="BA100" s="66">
        <v>0.56000000000000005</v>
      </c>
      <c r="BB100" s="66">
        <v>0.64</v>
      </c>
      <c r="BC100" s="66">
        <v>0.72</v>
      </c>
      <c r="BD100" s="66">
        <v>0.45</v>
      </c>
      <c r="BE100" s="66">
        <v>0.57999999999999996</v>
      </c>
      <c r="BF100" s="66">
        <v>0.61</v>
      </c>
      <c r="BG100" s="66">
        <v>0.54</v>
      </c>
      <c r="BH100" s="66">
        <v>0.47</v>
      </c>
      <c r="BI100" s="66">
        <v>0.47</v>
      </c>
      <c r="BJ100" s="66">
        <v>0.38</v>
      </c>
      <c r="BK100" s="66">
        <v>0.48</v>
      </c>
      <c r="BL100" s="66">
        <v>0.53</v>
      </c>
      <c r="BM100" s="16">
        <v>47</v>
      </c>
      <c r="BN100" s="16">
        <v>9</v>
      </c>
      <c r="BO100" s="99">
        <v>0.28999999999999998</v>
      </c>
      <c r="BP100" s="99">
        <v>0.54</v>
      </c>
      <c r="BQ100" s="99">
        <v>0.17</v>
      </c>
      <c r="BR100" s="99">
        <v>0.01</v>
      </c>
      <c r="BS100" s="99">
        <v>0.44</v>
      </c>
      <c r="BT100" s="99">
        <v>0.56000000000000005</v>
      </c>
      <c r="BU100" s="99">
        <v>0.68</v>
      </c>
      <c r="BV100" s="99">
        <v>0.38</v>
      </c>
      <c r="BW100" s="99">
        <v>0.72</v>
      </c>
      <c r="BX100" s="99">
        <v>0.5</v>
      </c>
      <c r="BY100" s="99">
        <v>0.53</v>
      </c>
      <c r="BZ100" s="99">
        <v>0.56999999999999995</v>
      </c>
      <c r="CA100" s="99">
        <v>0.52</v>
      </c>
      <c r="CB100" s="99">
        <v>0.42</v>
      </c>
      <c r="CC100" s="99">
        <v>0.28000000000000003</v>
      </c>
      <c r="CD100" s="99">
        <v>0.53</v>
      </c>
      <c r="CE100" s="99">
        <v>0.44</v>
      </c>
      <c r="CF100" s="99">
        <v>0.56000000000000005</v>
      </c>
      <c r="CG100" s="99">
        <v>0.64</v>
      </c>
      <c r="CH100" s="99">
        <v>0.5</v>
      </c>
      <c r="CI100" s="99">
        <v>0.63</v>
      </c>
      <c r="CJ100" s="99">
        <v>0.43</v>
      </c>
      <c r="CK100" s="99">
        <v>0.73</v>
      </c>
      <c r="CL100" s="99">
        <v>0.43</v>
      </c>
      <c r="CM100" s="99">
        <v>0.56000000000000005</v>
      </c>
      <c r="CN100" s="99">
        <v>0.51</v>
      </c>
      <c r="CO100" s="99">
        <v>0.56000000000000005</v>
      </c>
      <c r="CP100" s="99">
        <v>0.47</v>
      </c>
      <c r="CQ100" s="99">
        <v>0.6</v>
      </c>
      <c r="CR100" s="99">
        <v>0.59</v>
      </c>
      <c r="CS100" s="16">
        <v>45</v>
      </c>
      <c r="CT100" s="16">
        <v>9</v>
      </c>
      <c r="CU100" s="96">
        <v>0.3</v>
      </c>
      <c r="CV100" s="96">
        <v>0.6</v>
      </c>
      <c r="CW100" s="96">
        <v>0.1</v>
      </c>
      <c r="CX100" s="96">
        <v>0</v>
      </c>
      <c r="CY100" s="96">
        <v>0.59</v>
      </c>
      <c r="CZ100" s="96">
        <v>0.37</v>
      </c>
      <c r="DA100" s="96">
        <v>0.64</v>
      </c>
      <c r="DB100" s="96">
        <v>0.49</v>
      </c>
      <c r="DC100" s="96">
        <v>0.49</v>
      </c>
      <c r="DD100" s="96">
        <v>0.7</v>
      </c>
      <c r="DE100" s="96">
        <v>0.56999999999999995</v>
      </c>
      <c r="DF100" s="96">
        <v>0.65</v>
      </c>
      <c r="DG100" s="96">
        <v>0.52</v>
      </c>
      <c r="DH100" s="96">
        <v>0.39</v>
      </c>
      <c r="DI100" s="96">
        <v>0.68</v>
      </c>
      <c r="DJ100" s="96">
        <v>0.6</v>
      </c>
      <c r="DK100" s="96">
        <v>0.45</v>
      </c>
      <c r="DL100" s="96">
        <v>0.44</v>
      </c>
      <c r="DM100" s="96">
        <v>0.64</v>
      </c>
      <c r="DN100" s="96">
        <v>0.56000000000000005</v>
      </c>
      <c r="DO100" s="96">
        <v>0.56000000000000005</v>
      </c>
      <c r="DP100" s="96">
        <v>0.54</v>
      </c>
      <c r="DQ100" s="96">
        <v>0.56999999999999995</v>
      </c>
      <c r="DR100" s="96">
        <v>0.28999999999999998</v>
      </c>
      <c r="DS100" s="96">
        <v>0.46</v>
      </c>
      <c r="DT100" s="96">
        <v>0.61</v>
      </c>
      <c r="DU100" s="96">
        <v>0.56999999999999995</v>
      </c>
      <c r="DV100" s="96">
        <v>0.71</v>
      </c>
      <c r="DW100" s="96">
        <v>0.42</v>
      </c>
      <c r="DX100" s="61">
        <v>45</v>
      </c>
      <c r="DY100" s="61">
        <v>9</v>
      </c>
      <c r="DZ100" s="66">
        <v>0.31</v>
      </c>
      <c r="EA100" s="66">
        <v>0.53</v>
      </c>
      <c r="EB100" s="66">
        <v>0.15</v>
      </c>
      <c r="EC100" s="66">
        <v>0</v>
      </c>
      <c r="ED100" s="66">
        <v>0.54</v>
      </c>
      <c r="EE100" s="66">
        <v>0.52</v>
      </c>
      <c r="EF100" s="66">
        <v>0.53</v>
      </c>
      <c r="EG100" s="66">
        <v>0.48</v>
      </c>
      <c r="EH100" s="66">
        <v>0.49</v>
      </c>
      <c r="EI100" s="66">
        <v>0.59</v>
      </c>
      <c r="EJ100" s="66">
        <v>0.64</v>
      </c>
      <c r="EK100" s="66">
        <v>0.28000000000000003</v>
      </c>
      <c r="EL100" s="66">
        <v>0.53</v>
      </c>
      <c r="EM100" s="66">
        <v>0.68</v>
      </c>
      <c r="EN100" s="66">
        <v>0.6</v>
      </c>
      <c r="EO100" s="66">
        <v>0.59</v>
      </c>
      <c r="EP100" s="66">
        <v>0.49</v>
      </c>
      <c r="EQ100" s="66">
        <v>0.4</v>
      </c>
      <c r="ER100" s="66">
        <v>0.65</v>
      </c>
      <c r="ES100" s="66">
        <v>0.53</v>
      </c>
      <c r="ET100" s="66">
        <v>0.46</v>
      </c>
      <c r="EU100" s="66">
        <v>0.67</v>
      </c>
      <c r="EV100" s="66">
        <v>0.46</v>
      </c>
      <c r="EW100" s="66">
        <v>0.43</v>
      </c>
      <c r="EX100" s="66">
        <v>0.74</v>
      </c>
      <c r="EY100" s="66">
        <v>0.66</v>
      </c>
      <c r="EZ100" s="66">
        <v>0.27</v>
      </c>
      <c r="FA100" s="66">
        <v>0.66</v>
      </c>
      <c r="FB100" s="349">
        <v>45</v>
      </c>
      <c r="FC100" s="348" t="s">
        <v>910</v>
      </c>
      <c r="FD100" s="349">
        <v>8</v>
      </c>
      <c r="FE100" s="348" t="s">
        <v>910</v>
      </c>
      <c r="FF100" s="371">
        <v>0.27</v>
      </c>
      <c r="FG100" s="371">
        <v>0.63</v>
      </c>
      <c r="FH100" s="371">
        <v>0.1</v>
      </c>
      <c r="FI100" s="371">
        <v>0</v>
      </c>
      <c r="FJ100" s="371">
        <v>0.54</v>
      </c>
      <c r="FK100" s="371">
        <v>0.72</v>
      </c>
      <c r="FL100" s="371">
        <v>0.62</v>
      </c>
      <c r="FM100" s="371">
        <v>0.52</v>
      </c>
      <c r="FN100" s="371">
        <v>0.36</v>
      </c>
      <c r="FO100" s="371">
        <v>0.41</v>
      </c>
      <c r="FP100" s="371">
        <v>0.46</v>
      </c>
      <c r="FQ100" s="371">
        <v>0.47</v>
      </c>
      <c r="FR100" s="371">
        <v>0.65</v>
      </c>
      <c r="FS100" s="371">
        <v>0.53</v>
      </c>
      <c r="FT100" s="371">
        <v>0.55000000000000004</v>
      </c>
      <c r="FU100" s="371">
        <v>0.52</v>
      </c>
      <c r="FV100" s="371">
        <v>0.79</v>
      </c>
      <c r="FW100" s="371">
        <v>0.62</v>
      </c>
      <c r="FX100" s="371">
        <v>0.57999999999999996</v>
      </c>
      <c r="FY100" s="371">
        <v>0.46</v>
      </c>
      <c r="FZ100" s="371">
        <v>0.54</v>
      </c>
      <c r="GA100" s="371">
        <v>0.57999999999999996</v>
      </c>
      <c r="GB100" s="371">
        <v>0.65</v>
      </c>
      <c r="GC100" s="371">
        <v>0.57999999999999996</v>
      </c>
      <c r="GD100" s="371">
        <v>0.65</v>
      </c>
      <c r="GE100" s="371">
        <v>0.66</v>
      </c>
      <c r="GF100" s="371">
        <v>0.53</v>
      </c>
      <c r="GG100" s="371">
        <v>0.65</v>
      </c>
      <c r="GH100" s="371">
        <v>0.62</v>
      </c>
      <c r="GI100" s="371">
        <v>0.4</v>
      </c>
      <c r="GJ100" s="469">
        <v>45</v>
      </c>
      <c r="GK100" s="471" t="s">
        <v>910</v>
      </c>
      <c r="GL100" s="469">
        <v>9</v>
      </c>
      <c r="GM100" s="471" t="s">
        <v>910</v>
      </c>
      <c r="GN100" s="501">
        <v>0.32</v>
      </c>
      <c r="GO100" s="501">
        <v>0.55000000000000004</v>
      </c>
      <c r="GP100" s="501">
        <v>0.14000000000000001</v>
      </c>
      <c r="GQ100" s="501">
        <v>0</v>
      </c>
      <c r="GR100" s="501">
        <v>0.54</v>
      </c>
      <c r="GS100" s="501">
        <v>0.72</v>
      </c>
      <c r="GT100" s="501">
        <v>0.69</v>
      </c>
      <c r="GU100" s="501">
        <v>0.35</v>
      </c>
      <c r="GV100" s="501">
        <v>0.64</v>
      </c>
      <c r="GW100" s="501">
        <v>0.61</v>
      </c>
      <c r="GX100" s="501">
        <v>0.56000000000000005</v>
      </c>
      <c r="GY100" s="471" t="s">
        <v>287</v>
      </c>
      <c r="GZ100" s="501">
        <v>0.4</v>
      </c>
      <c r="HA100" s="501">
        <v>0.73</v>
      </c>
      <c r="HB100" s="501">
        <v>0.53</v>
      </c>
      <c r="HC100" s="501">
        <v>0.56000000000000005</v>
      </c>
      <c r="HD100" s="501">
        <v>0.67</v>
      </c>
      <c r="HE100" s="501">
        <v>0.56000000000000005</v>
      </c>
      <c r="HF100" s="501">
        <v>0.62</v>
      </c>
      <c r="HG100" s="501">
        <v>0.67</v>
      </c>
      <c r="HH100" s="501">
        <v>0.52</v>
      </c>
      <c r="HI100" s="501">
        <v>0.69</v>
      </c>
      <c r="HJ100" s="501">
        <v>0.68</v>
      </c>
      <c r="HK100" s="501">
        <v>0.56000000000000005</v>
      </c>
      <c r="HL100" s="501">
        <v>0.53</v>
      </c>
      <c r="HM100" s="501">
        <v>0.56999999999999995</v>
      </c>
      <c r="HN100" s="501">
        <v>0.57999999999999996</v>
      </c>
      <c r="HO100" s="501">
        <v>0.55000000000000004</v>
      </c>
      <c r="HP100" s="471" t="s">
        <v>287</v>
      </c>
      <c r="HQ100" s="501">
        <v>0.56999999999999995</v>
      </c>
      <c r="HR100" s="630">
        <v>44</v>
      </c>
      <c r="HS100" s="640" t="s">
        <v>910</v>
      </c>
      <c r="HT100" s="630">
        <v>8</v>
      </c>
      <c r="HU100" s="640" t="s">
        <v>910</v>
      </c>
      <c r="HV100" s="644">
        <v>0.34</v>
      </c>
      <c r="HW100" s="644">
        <v>0.57999999999999996</v>
      </c>
      <c r="HX100" s="644">
        <v>7.0000000000000007E-2</v>
      </c>
      <c r="HY100" s="644">
        <v>0</v>
      </c>
      <c r="HZ100" s="644">
        <v>0.56000000000000005</v>
      </c>
      <c r="IA100" s="644">
        <v>0.62</v>
      </c>
      <c r="IB100" s="644">
        <v>0.49</v>
      </c>
      <c r="IC100" s="644">
        <v>0.62</v>
      </c>
      <c r="ID100" s="644">
        <v>0.67</v>
      </c>
      <c r="IE100" s="644">
        <v>0.54</v>
      </c>
      <c r="IF100" s="644">
        <v>0.52</v>
      </c>
      <c r="IG100" s="644">
        <v>0.68</v>
      </c>
      <c r="IH100" s="644">
        <v>0.64</v>
      </c>
      <c r="II100" s="644">
        <v>0.53</v>
      </c>
      <c r="IJ100" s="644">
        <v>0.47</v>
      </c>
      <c r="IK100" s="644">
        <v>0.74</v>
      </c>
      <c r="IL100" s="644">
        <v>0.41</v>
      </c>
      <c r="IM100" s="644">
        <v>0.73</v>
      </c>
      <c r="IN100" s="644">
        <v>0.56999999999999995</v>
      </c>
      <c r="IO100" s="644">
        <v>0.62</v>
      </c>
      <c r="IP100" s="644">
        <v>0.53</v>
      </c>
      <c r="IQ100" s="644">
        <v>0.7</v>
      </c>
      <c r="IR100" s="644">
        <v>0.64</v>
      </c>
      <c r="IS100" s="644">
        <v>0.7</v>
      </c>
      <c r="IT100" s="644">
        <v>0.55000000000000004</v>
      </c>
      <c r="IU100" s="640" t="s">
        <v>287</v>
      </c>
      <c r="IV100" s="644">
        <v>0.66</v>
      </c>
      <c r="IW100" s="644">
        <v>0.56000000000000005</v>
      </c>
      <c r="IX100" s="644">
        <v>0.6</v>
      </c>
      <c r="IY100" s="644">
        <v>0.67</v>
      </c>
    </row>
    <row r="101" spans="1:259" ht="24.9" customHeight="1" x14ac:dyDescent="0.25">
      <c r="A101" s="188" t="s">
        <v>48</v>
      </c>
      <c r="B101" s="1" t="s">
        <v>220</v>
      </c>
      <c r="C101" s="2">
        <v>4</v>
      </c>
      <c r="D101" s="16">
        <v>52</v>
      </c>
      <c r="E101" s="16">
        <v>7</v>
      </c>
      <c r="F101" s="99">
        <v>0.08</v>
      </c>
      <c r="G101" s="99">
        <v>0.62</v>
      </c>
      <c r="H101" s="99">
        <v>0.31</v>
      </c>
      <c r="I101" s="99">
        <v>0</v>
      </c>
      <c r="J101" s="99">
        <v>0.46</v>
      </c>
      <c r="K101" s="99">
        <v>0.56999999999999995</v>
      </c>
      <c r="L101" s="99">
        <v>0.84</v>
      </c>
      <c r="M101" s="99">
        <v>0.37</v>
      </c>
      <c r="N101" s="99">
        <v>0.3</v>
      </c>
      <c r="O101" s="99">
        <v>0.57999999999999996</v>
      </c>
      <c r="P101" s="99">
        <v>0.35</v>
      </c>
      <c r="Q101" s="99">
        <v>0.56999999999999995</v>
      </c>
      <c r="R101" s="99">
        <v>0.59</v>
      </c>
      <c r="S101" s="99">
        <v>0.48</v>
      </c>
      <c r="T101" s="99">
        <v>0.59</v>
      </c>
      <c r="U101" s="99">
        <v>0.49</v>
      </c>
      <c r="V101" s="99">
        <v>0.03</v>
      </c>
      <c r="W101" s="99">
        <v>0.11</v>
      </c>
      <c r="X101" s="99">
        <v>0.53</v>
      </c>
      <c r="Y101" s="99">
        <v>0.43</v>
      </c>
      <c r="Z101" s="99">
        <v>1</v>
      </c>
      <c r="AA101" s="99">
        <v>0.2</v>
      </c>
      <c r="AB101" s="99">
        <v>0.52</v>
      </c>
      <c r="AC101" s="99">
        <v>0.28000000000000003</v>
      </c>
      <c r="AD101" s="99">
        <v>0.5</v>
      </c>
      <c r="AE101" s="99">
        <v>0.44</v>
      </c>
      <c r="AF101" s="99">
        <v>0.67</v>
      </c>
      <c r="AG101" s="99">
        <v>0.57999999999999996</v>
      </c>
      <c r="AH101" s="16">
        <v>50</v>
      </c>
      <c r="AI101" s="16">
        <v>8</v>
      </c>
      <c r="AJ101" s="66">
        <v>0.1</v>
      </c>
      <c r="AK101" s="66">
        <v>0.62</v>
      </c>
      <c r="AL101" s="66">
        <v>0.28000000000000003</v>
      </c>
      <c r="AM101" s="66">
        <v>0</v>
      </c>
      <c r="AN101" s="66">
        <v>0.43</v>
      </c>
      <c r="AO101" s="66">
        <v>0.49</v>
      </c>
      <c r="AP101" s="66">
        <v>0.66</v>
      </c>
      <c r="AQ101" s="66">
        <v>0.47</v>
      </c>
      <c r="AR101" s="66">
        <v>0.68</v>
      </c>
      <c r="AS101" s="66">
        <v>0.54</v>
      </c>
      <c r="AT101" s="66">
        <v>0.5</v>
      </c>
      <c r="AU101" s="66">
        <v>0.54</v>
      </c>
      <c r="AV101" s="66">
        <v>0.71</v>
      </c>
      <c r="AW101" s="66">
        <v>0.6</v>
      </c>
      <c r="AX101" s="66">
        <v>0.7</v>
      </c>
      <c r="AY101" s="66">
        <v>0.36</v>
      </c>
      <c r="AZ101" s="66">
        <v>0.37</v>
      </c>
      <c r="BA101" s="66">
        <v>0.41</v>
      </c>
      <c r="BB101" s="66">
        <v>0.7</v>
      </c>
      <c r="BC101" s="66">
        <v>0.64</v>
      </c>
      <c r="BD101" s="66">
        <v>0.56999999999999995</v>
      </c>
      <c r="BE101" s="66">
        <v>0.6</v>
      </c>
      <c r="BF101" s="66">
        <v>0.53</v>
      </c>
      <c r="BG101" s="66">
        <v>0.52</v>
      </c>
      <c r="BH101" s="66">
        <v>0.46</v>
      </c>
      <c r="BI101" s="66">
        <v>0.45</v>
      </c>
      <c r="BJ101" s="66">
        <v>0.32</v>
      </c>
      <c r="BK101" s="66">
        <v>0.46</v>
      </c>
      <c r="BL101" s="66">
        <v>0.73</v>
      </c>
      <c r="BM101" s="16">
        <v>49</v>
      </c>
      <c r="BN101" s="16">
        <v>8</v>
      </c>
      <c r="BO101" s="99">
        <v>0.17</v>
      </c>
      <c r="BP101" s="99">
        <v>0.66</v>
      </c>
      <c r="BQ101" s="99">
        <v>0.17</v>
      </c>
      <c r="BR101" s="99">
        <v>0</v>
      </c>
      <c r="BS101" s="99">
        <v>0.51</v>
      </c>
      <c r="BT101" s="99">
        <v>0.44</v>
      </c>
      <c r="BU101" s="99">
        <v>0.67</v>
      </c>
      <c r="BV101" s="99">
        <v>0.57999999999999996</v>
      </c>
      <c r="BW101" s="99">
        <v>0.56000000000000005</v>
      </c>
      <c r="BX101" s="99">
        <v>0.43</v>
      </c>
      <c r="BY101" s="99">
        <v>0.53</v>
      </c>
      <c r="BZ101" s="99">
        <v>0.54</v>
      </c>
      <c r="CA101" s="99">
        <v>0.52</v>
      </c>
      <c r="CB101" s="99">
        <v>0.44</v>
      </c>
      <c r="CC101" s="99">
        <v>0.28999999999999998</v>
      </c>
      <c r="CD101" s="99">
        <v>0.49</v>
      </c>
      <c r="CE101" s="99">
        <v>0.39</v>
      </c>
      <c r="CF101" s="99">
        <v>0.55000000000000004</v>
      </c>
      <c r="CG101" s="99">
        <v>0.63</v>
      </c>
      <c r="CH101" s="99">
        <v>0.52</v>
      </c>
      <c r="CI101" s="99">
        <v>0.68</v>
      </c>
      <c r="CJ101" s="99">
        <v>0.28000000000000003</v>
      </c>
      <c r="CK101" s="99">
        <v>0.76</v>
      </c>
      <c r="CL101" s="99">
        <v>0.38</v>
      </c>
      <c r="CM101" s="99">
        <v>0.51</v>
      </c>
      <c r="CN101" s="99">
        <v>0.44</v>
      </c>
      <c r="CO101" s="99">
        <v>0.49</v>
      </c>
      <c r="CP101" s="99">
        <v>0.36</v>
      </c>
      <c r="CQ101" s="99">
        <v>0.52</v>
      </c>
      <c r="CR101" s="99">
        <v>0.53</v>
      </c>
      <c r="CS101" s="16">
        <v>48</v>
      </c>
      <c r="CT101" s="16">
        <v>8</v>
      </c>
      <c r="CU101" s="96">
        <v>0.1</v>
      </c>
      <c r="CV101" s="96">
        <v>0.77</v>
      </c>
      <c r="CW101" s="96">
        <v>0.13</v>
      </c>
      <c r="CX101" s="96">
        <v>0</v>
      </c>
      <c r="CY101" s="96">
        <v>0.62</v>
      </c>
      <c r="CZ101" s="96">
        <v>0.32</v>
      </c>
      <c r="DA101" s="96">
        <v>0.64</v>
      </c>
      <c r="DB101" s="96">
        <v>0.36</v>
      </c>
      <c r="DC101" s="96">
        <v>0.44</v>
      </c>
      <c r="DD101" s="96">
        <v>0.63</v>
      </c>
      <c r="DE101" s="96">
        <v>0.49</v>
      </c>
      <c r="DF101" s="96">
        <v>0.6</v>
      </c>
      <c r="DG101" s="96">
        <v>0.43</v>
      </c>
      <c r="DH101" s="96">
        <v>0.55000000000000004</v>
      </c>
      <c r="DI101" s="96">
        <v>0.56000000000000005</v>
      </c>
      <c r="DJ101" s="96">
        <v>0.48</v>
      </c>
      <c r="DK101" s="96">
        <v>0.33</v>
      </c>
      <c r="DL101" s="96">
        <v>0.63</v>
      </c>
      <c r="DM101" s="96">
        <v>0.49</v>
      </c>
      <c r="DN101" s="96">
        <v>0.51</v>
      </c>
      <c r="DO101" s="96">
        <v>0.46</v>
      </c>
      <c r="DP101" s="96">
        <v>0.53</v>
      </c>
      <c r="DQ101" s="96">
        <v>0.56000000000000005</v>
      </c>
      <c r="DR101" s="96">
        <v>0.13</v>
      </c>
      <c r="DS101" s="96">
        <v>0.37</v>
      </c>
      <c r="DT101" s="96">
        <v>0.68</v>
      </c>
      <c r="DU101" s="96">
        <v>0.63</v>
      </c>
      <c r="DV101" s="96">
        <v>0.54</v>
      </c>
      <c r="DW101" s="96">
        <v>0.37</v>
      </c>
      <c r="DX101" s="61">
        <v>43</v>
      </c>
      <c r="DY101" s="61">
        <v>9</v>
      </c>
      <c r="DZ101" s="66">
        <v>0.36</v>
      </c>
      <c r="EA101" s="66">
        <v>0.57999999999999996</v>
      </c>
      <c r="EB101" s="66">
        <v>0.06</v>
      </c>
      <c r="EC101" s="66">
        <v>0</v>
      </c>
      <c r="ED101" s="66">
        <v>0.57999999999999996</v>
      </c>
      <c r="EE101" s="66">
        <v>0.44</v>
      </c>
      <c r="EF101" s="66">
        <v>0.5</v>
      </c>
      <c r="EG101" s="66">
        <v>0.59</v>
      </c>
      <c r="EH101" s="66">
        <v>0.64</v>
      </c>
      <c r="EI101" s="66">
        <v>0.75</v>
      </c>
      <c r="EJ101" s="66">
        <v>0.67</v>
      </c>
      <c r="EK101" s="66">
        <v>0.39</v>
      </c>
      <c r="EL101" s="66">
        <v>0.55000000000000004</v>
      </c>
      <c r="EM101" s="66">
        <v>0.73</v>
      </c>
      <c r="EN101" s="66">
        <v>0.65</v>
      </c>
      <c r="EO101" s="66">
        <v>0.66</v>
      </c>
      <c r="EP101" s="66">
        <v>0.53</v>
      </c>
      <c r="EQ101" s="66">
        <v>0.4</v>
      </c>
      <c r="ER101" s="66">
        <v>0.7</v>
      </c>
      <c r="ES101" s="66">
        <v>0.57999999999999996</v>
      </c>
      <c r="ET101" s="66">
        <v>0.4</v>
      </c>
      <c r="EU101" s="66">
        <v>0.89</v>
      </c>
      <c r="EV101" s="66">
        <v>0.5</v>
      </c>
      <c r="EW101" s="66">
        <v>0.43</v>
      </c>
      <c r="EX101" s="66">
        <v>0.73</v>
      </c>
      <c r="EY101" s="66">
        <v>0.69</v>
      </c>
      <c r="EZ101" s="66">
        <v>0.47</v>
      </c>
      <c r="FA101" s="66">
        <v>0.64</v>
      </c>
      <c r="FB101" s="349">
        <v>46</v>
      </c>
      <c r="FC101" s="348" t="s">
        <v>910</v>
      </c>
      <c r="FD101" s="349">
        <v>7</v>
      </c>
      <c r="FE101" s="348" t="s">
        <v>910</v>
      </c>
      <c r="FF101" s="371">
        <v>0.28999999999999998</v>
      </c>
      <c r="FG101" s="371">
        <v>0.59</v>
      </c>
      <c r="FH101" s="371">
        <v>0.12</v>
      </c>
      <c r="FI101" s="371">
        <v>0</v>
      </c>
      <c r="FJ101" s="371">
        <v>0.52</v>
      </c>
      <c r="FK101" s="371">
        <v>0.66</v>
      </c>
      <c r="FL101" s="371">
        <v>0.53</v>
      </c>
      <c r="FM101" s="371">
        <v>0.56000000000000005</v>
      </c>
      <c r="FN101" s="371">
        <v>0.28999999999999998</v>
      </c>
      <c r="FO101" s="371">
        <v>0.43</v>
      </c>
      <c r="FP101" s="371">
        <v>0.44</v>
      </c>
      <c r="FQ101" s="371">
        <v>0.4</v>
      </c>
      <c r="FR101" s="371">
        <v>0.59</v>
      </c>
      <c r="FS101" s="371">
        <v>0.71</v>
      </c>
      <c r="FT101" s="371">
        <v>0.63</v>
      </c>
      <c r="FU101" s="371">
        <v>0.69</v>
      </c>
      <c r="FV101" s="371">
        <v>0.74</v>
      </c>
      <c r="FW101" s="371">
        <v>0.68</v>
      </c>
      <c r="FX101" s="371">
        <v>0.6</v>
      </c>
      <c r="FY101" s="371">
        <v>0.42</v>
      </c>
      <c r="FZ101" s="371">
        <v>0.52</v>
      </c>
      <c r="GA101" s="371">
        <v>0.53</v>
      </c>
      <c r="GB101" s="371">
        <v>0.55000000000000004</v>
      </c>
      <c r="GC101" s="371">
        <v>0.52</v>
      </c>
      <c r="GD101" s="371">
        <v>0.68</v>
      </c>
      <c r="GE101" s="371">
        <v>0.68</v>
      </c>
      <c r="GF101" s="371">
        <v>0.73</v>
      </c>
      <c r="GG101" s="371">
        <v>0.56999999999999995</v>
      </c>
      <c r="GH101" s="371">
        <v>0.64</v>
      </c>
      <c r="GI101" s="371">
        <v>0.32</v>
      </c>
      <c r="GJ101" s="469">
        <v>47</v>
      </c>
      <c r="GK101" s="471" t="s">
        <v>910</v>
      </c>
      <c r="GL101" s="469">
        <v>8</v>
      </c>
      <c r="GM101" s="471" t="s">
        <v>910</v>
      </c>
      <c r="GN101" s="501">
        <v>0.24</v>
      </c>
      <c r="GO101" s="501">
        <v>0.61</v>
      </c>
      <c r="GP101" s="501">
        <v>0.15</v>
      </c>
      <c r="GQ101" s="501">
        <v>0</v>
      </c>
      <c r="GR101" s="501">
        <v>0.45</v>
      </c>
      <c r="GS101" s="501">
        <v>0.56999999999999995</v>
      </c>
      <c r="GT101" s="501">
        <v>0.72</v>
      </c>
      <c r="GU101" s="501">
        <v>0.36</v>
      </c>
      <c r="GV101" s="501">
        <v>0.56000000000000005</v>
      </c>
      <c r="GW101" s="501">
        <v>0.63</v>
      </c>
      <c r="GX101" s="501">
        <v>0.55000000000000004</v>
      </c>
      <c r="GY101" s="471" t="s">
        <v>287</v>
      </c>
      <c r="GZ101" s="501">
        <v>0.52</v>
      </c>
      <c r="HA101" s="501">
        <v>0.52</v>
      </c>
      <c r="HB101" s="501">
        <v>0.55000000000000004</v>
      </c>
      <c r="HC101" s="501">
        <v>0.53</v>
      </c>
      <c r="HD101" s="501">
        <v>0.65</v>
      </c>
      <c r="HE101" s="501">
        <v>0.55000000000000004</v>
      </c>
      <c r="HF101" s="501">
        <v>0.53</v>
      </c>
      <c r="HG101" s="501">
        <v>0.66</v>
      </c>
      <c r="HH101" s="501">
        <v>0.49</v>
      </c>
      <c r="HI101" s="501">
        <v>0.67</v>
      </c>
      <c r="HJ101" s="501">
        <v>0.68</v>
      </c>
      <c r="HK101" s="501">
        <v>0.62</v>
      </c>
      <c r="HL101" s="501">
        <v>0.51</v>
      </c>
      <c r="HM101" s="501">
        <v>0.57999999999999996</v>
      </c>
      <c r="HN101" s="501">
        <v>0.55000000000000004</v>
      </c>
      <c r="HO101" s="501">
        <v>0.52</v>
      </c>
      <c r="HP101" s="471" t="s">
        <v>287</v>
      </c>
      <c r="HQ101" s="501">
        <v>0.45</v>
      </c>
      <c r="HR101" s="630">
        <v>48</v>
      </c>
      <c r="HS101" s="640" t="s">
        <v>910</v>
      </c>
      <c r="HT101" s="630">
        <v>9</v>
      </c>
      <c r="HU101" s="640" t="s">
        <v>910</v>
      </c>
      <c r="HV101" s="644">
        <v>0.21</v>
      </c>
      <c r="HW101" s="644">
        <v>0.61</v>
      </c>
      <c r="HX101" s="644">
        <v>0.18</v>
      </c>
      <c r="HY101" s="644">
        <v>0</v>
      </c>
      <c r="HZ101" s="644">
        <v>0.47</v>
      </c>
      <c r="IA101" s="644">
        <v>0.63</v>
      </c>
      <c r="IB101" s="644">
        <v>0.41</v>
      </c>
      <c r="IC101" s="644">
        <v>0.49</v>
      </c>
      <c r="ID101" s="644">
        <v>0.64</v>
      </c>
      <c r="IE101" s="644">
        <v>0.44</v>
      </c>
      <c r="IF101" s="644">
        <v>0.47</v>
      </c>
      <c r="IG101" s="644">
        <v>0.61</v>
      </c>
      <c r="IH101" s="644">
        <v>0.61</v>
      </c>
      <c r="II101" s="644">
        <v>0.64</v>
      </c>
      <c r="IJ101" s="644">
        <v>0.41</v>
      </c>
      <c r="IK101" s="644">
        <v>0.51</v>
      </c>
      <c r="IL101" s="644">
        <v>0.25</v>
      </c>
      <c r="IM101" s="644">
        <v>0.62</v>
      </c>
      <c r="IN101" s="644">
        <v>0.56999999999999995</v>
      </c>
      <c r="IO101" s="644">
        <v>0.68</v>
      </c>
      <c r="IP101" s="644">
        <v>0.56999999999999995</v>
      </c>
      <c r="IQ101" s="644">
        <v>0.62</v>
      </c>
      <c r="IR101" s="644">
        <v>0.63</v>
      </c>
      <c r="IS101" s="644">
        <v>0.66</v>
      </c>
      <c r="IT101" s="644">
        <v>0.49</v>
      </c>
      <c r="IU101" s="640" t="s">
        <v>287</v>
      </c>
      <c r="IV101" s="644">
        <v>0.6</v>
      </c>
      <c r="IW101" s="644">
        <v>0.48</v>
      </c>
      <c r="IX101" s="644">
        <v>0.4</v>
      </c>
      <c r="IY101" s="644">
        <v>0.55000000000000004</v>
      </c>
    </row>
    <row r="102" spans="1:259" s="134" customFormat="1" ht="24.9" customHeight="1" x14ac:dyDescent="0.25">
      <c r="A102" s="188" t="s">
        <v>926</v>
      </c>
      <c r="B102" s="1" t="s">
        <v>220</v>
      </c>
      <c r="C102" s="2">
        <v>3</v>
      </c>
      <c r="D102" s="16">
        <v>53</v>
      </c>
      <c r="E102" s="16"/>
      <c r="F102" s="99">
        <v>7.0000000000000007E-2</v>
      </c>
      <c r="G102" s="99">
        <v>0.55000000000000004</v>
      </c>
      <c r="H102" s="99">
        <v>0.38</v>
      </c>
      <c r="I102" s="99">
        <v>0</v>
      </c>
      <c r="J102" s="99">
        <v>0.54</v>
      </c>
      <c r="K102" s="99">
        <v>0.37</v>
      </c>
      <c r="L102" s="99">
        <v>0.84</v>
      </c>
      <c r="M102" s="99">
        <v>0.22</v>
      </c>
      <c r="N102" s="99">
        <v>0.28999999999999998</v>
      </c>
      <c r="O102" s="99">
        <v>0.76</v>
      </c>
      <c r="P102" s="99">
        <v>0.41</v>
      </c>
      <c r="Q102" s="99">
        <v>0.4</v>
      </c>
      <c r="R102" s="99">
        <v>0.52</v>
      </c>
      <c r="S102" s="99">
        <v>0.61</v>
      </c>
      <c r="T102" s="99">
        <v>0.44</v>
      </c>
      <c r="U102" s="99">
        <v>0.62</v>
      </c>
      <c r="V102" s="99">
        <v>7.0000000000000007E-2</v>
      </c>
      <c r="W102" s="99">
        <v>0.31</v>
      </c>
      <c r="X102" s="99">
        <v>0.56000000000000005</v>
      </c>
      <c r="Y102" s="99">
        <v>0.46</v>
      </c>
      <c r="Z102" s="99">
        <v>1</v>
      </c>
      <c r="AA102" s="99">
        <v>0.27</v>
      </c>
      <c r="AB102" s="99">
        <v>0.49</v>
      </c>
      <c r="AC102" s="99">
        <v>0.2</v>
      </c>
      <c r="AD102" s="99">
        <v>0.41</v>
      </c>
      <c r="AE102" s="99">
        <v>0.56000000000000005</v>
      </c>
      <c r="AF102" s="99">
        <v>0.52</v>
      </c>
      <c r="AG102" s="99">
        <v>0.43</v>
      </c>
      <c r="AH102" s="16">
        <v>52</v>
      </c>
      <c r="AI102" s="16"/>
      <c r="AJ102" s="66">
        <v>0.08</v>
      </c>
      <c r="AK102" s="66">
        <v>0.47</v>
      </c>
      <c r="AL102" s="66">
        <v>0.45</v>
      </c>
      <c r="AM102" s="66">
        <v>0</v>
      </c>
      <c r="AN102" s="66">
        <v>0.28000000000000003</v>
      </c>
      <c r="AO102" s="66">
        <v>0.47</v>
      </c>
      <c r="AP102" s="66">
        <v>0.59</v>
      </c>
      <c r="AQ102" s="66">
        <v>0.41</v>
      </c>
      <c r="AR102" s="66">
        <v>0.56000000000000005</v>
      </c>
      <c r="AS102" s="66">
        <v>0.52</v>
      </c>
      <c r="AT102" s="66">
        <v>0.53</v>
      </c>
      <c r="AU102" s="66">
        <v>0.52</v>
      </c>
      <c r="AV102" s="66">
        <v>0.62</v>
      </c>
      <c r="AW102" s="66">
        <v>0.47</v>
      </c>
      <c r="AX102" s="66">
        <v>0.56999999999999995</v>
      </c>
      <c r="AY102" s="66">
        <v>0.35</v>
      </c>
      <c r="AZ102" s="66">
        <v>0.32</v>
      </c>
      <c r="BA102" s="66">
        <v>0.53</v>
      </c>
      <c r="BB102" s="66">
        <v>0.68</v>
      </c>
      <c r="BC102" s="66">
        <v>0.62</v>
      </c>
      <c r="BD102" s="66">
        <v>0.42</v>
      </c>
      <c r="BE102" s="66">
        <v>0.53</v>
      </c>
      <c r="BF102" s="66">
        <v>0.56000000000000005</v>
      </c>
      <c r="BG102" s="66">
        <v>0.51</v>
      </c>
      <c r="BH102" s="66">
        <v>0.46</v>
      </c>
      <c r="BI102" s="66">
        <v>0.43</v>
      </c>
      <c r="BJ102" s="66">
        <v>0.36</v>
      </c>
      <c r="BK102" s="66">
        <v>0.45</v>
      </c>
      <c r="BL102" s="66">
        <v>0.44</v>
      </c>
      <c r="BM102" s="16">
        <v>51</v>
      </c>
      <c r="BN102" s="16"/>
      <c r="BO102" s="99">
        <v>0.12</v>
      </c>
      <c r="BP102" s="99">
        <v>0.55000000000000004</v>
      </c>
      <c r="BQ102" s="99">
        <v>0.33</v>
      </c>
      <c r="BR102" s="99">
        <v>0</v>
      </c>
      <c r="BS102" s="99">
        <v>0.37</v>
      </c>
      <c r="BT102" s="99">
        <v>0.56999999999999995</v>
      </c>
      <c r="BU102" s="99">
        <v>0.63</v>
      </c>
      <c r="BV102" s="99">
        <v>0.37</v>
      </c>
      <c r="BW102" s="99">
        <v>0.63</v>
      </c>
      <c r="BX102" s="99">
        <v>0.43</v>
      </c>
      <c r="BY102" s="99">
        <v>0.39</v>
      </c>
      <c r="BZ102" s="99">
        <v>0.53</v>
      </c>
      <c r="CA102" s="99">
        <v>0.47</v>
      </c>
      <c r="CB102" s="99">
        <v>0.39</v>
      </c>
      <c r="CC102" s="99">
        <v>0.21</v>
      </c>
      <c r="CD102" s="99">
        <v>0.42</v>
      </c>
      <c r="CE102" s="99">
        <v>0.35</v>
      </c>
      <c r="CF102" s="99">
        <v>0.64</v>
      </c>
      <c r="CG102" s="99">
        <v>0.62</v>
      </c>
      <c r="CH102" s="99">
        <v>0.46</v>
      </c>
      <c r="CI102" s="99">
        <v>0.6</v>
      </c>
      <c r="CJ102" s="99">
        <v>0.4</v>
      </c>
      <c r="CK102" s="99">
        <v>0.72</v>
      </c>
      <c r="CL102" s="99">
        <v>0.31</v>
      </c>
      <c r="CM102" s="99">
        <v>0.47</v>
      </c>
      <c r="CN102" s="99">
        <v>0.49</v>
      </c>
      <c r="CO102" s="99">
        <v>0.46</v>
      </c>
      <c r="CP102" s="99">
        <v>0.36</v>
      </c>
      <c r="CQ102" s="99">
        <v>0.54</v>
      </c>
      <c r="CR102" s="99">
        <v>0.57999999999999996</v>
      </c>
      <c r="CS102" s="16">
        <v>49</v>
      </c>
      <c r="CT102" s="16"/>
      <c r="CU102" s="96">
        <v>0.18</v>
      </c>
      <c r="CV102" s="96">
        <v>0.56000000000000005</v>
      </c>
      <c r="CW102" s="96">
        <v>0.26</v>
      </c>
      <c r="CX102" s="96">
        <v>0</v>
      </c>
      <c r="CY102" s="96">
        <v>0.51</v>
      </c>
      <c r="CZ102" s="96">
        <v>0.31</v>
      </c>
      <c r="DA102" s="96">
        <v>0.61</v>
      </c>
      <c r="DB102" s="96">
        <v>0.35</v>
      </c>
      <c r="DC102" s="96">
        <v>0.48</v>
      </c>
      <c r="DD102" s="96">
        <v>0.67</v>
      </c>
      <c r="DE102" s="96">
        <v>0.48</v>
      </c>
      <c r="DF102" s="96">
        <v>0.57999999999999996</v>
      </c>
      <c r="DG102" s="96">
        <v>0.49</v>
      </c>
      <c r="DH102" s="96">
        <v>0.37</v>
      </c>
      <c r="DI102" s="96">
        <v>0.56000000000000005</v>
      </c>
      <c r="DJ102" s="96">
        <v>0.53</v>
      </c>
      <c r="DK102" s="96">
        <v>0.4</v>
      </c>
      <c r="DL102" s="96">
        <v>0.36</v>
      </c>
      <c r="DM102" s="96">
        <v>0.49</v>
      </c>
      <c r="DN102" s="96">
        <v>0.53</v>
      </c>
      <c r="DO102" s="96">
        <v>0.46</v>
      </c>
      <c r="DP102" s="96">
        <v>0.45</v>
      </c>
      <c r="DQ102" s="96">
        <v>0.62</v>
      </c>
      <c r="DR102" s="96">
        <v>0.19</v>
      </c>
      <c r="DS102" s="96">
        <v>0.42</v>
      </c>
      <c r="DT102" s="96">
        <v>0.62</v>
      </c>
      <c r="DU102" s="96">
        <v>0.57999999999999996</v>
      </c>
      <c r="DV102" s="96">
        <v>0.6</v>
      </c>
      <c r="DW102" s="96">
        <v>0.38</v>
      </c>
      <c r="DX102" s="61">
        <v>51</v>
      </c>
      <c r="DY102" s="61">
        <v>9</v>
      </c>
      <c r="DZ102" s="66">
        <v>0.12</v>
      </c>
      <c r="EA102" s="66">
        <v>0.55000000000000004</v>
      </c>
      <c r="EB102" s="66">
        <v>0.33</v>
      </c>
      <c r="EC102" s="66">
        <v>0</v>
      </c>
      <c r="ED102" s="66">
        <v>0.47</v>
      </c>
      <c r="EE102" s="66">
        <v>0.44</v>
      </c>
      <c r="EF102" s="66">
        <v>0.5</v>
      </c>
      <c r="EG102" s="66">
        <v>0.3</v>
      </c>
      <c r="EH102" s="66">
        <v>0.4</v>
      </c>
      <c r="EI102" s="66">
        <v>0.47</v>
      </c>
      <c r="EJ102" s="66">
        <v>0.54</v>
      </c>
      <c r="EK102" s="66">
        <v>0.26</v>
      </c>
      <c r="EL102" s="66">
        <v>0.44</v>
      </c>
      <c r="EM102" s="66">
        <v>0.61</v>
      </c>
      <c r="EN102" s="66">
        <v>0.48</v>
      </c>
      <c r="EO102" s="66">
        <v>0.6</v>
      </c>
      <c r="EP102" s="66">
        <v>0.37</v>
      </c>
      <c r="EQ102" s="66">
        <v>0.3</v>
      </c>
      <c r="ER102" s="66">
        <v>0.62</v>
      </c>
      <c r="ES102" s="66">
        <v>0.42</v>
      </c>
      <c r="ET102" s="66">
        <v>0.33</v>
      </c>
      <c r="EU102" s="66">
        <v>0.64</v>
      </c>
      <c r="EV102" s="66">
        <v>0.45</v>
      </c>
      <c r="EW102" s="66">
        <v>0.33</v>
      </c>
      <c r="EX102" s="66">
        <v>0.66</v>
      </c>
      <c r="EY102" s="66">
        <v>0.57999999999999996</v>
      </c>
      <c r="EZ102" s="66">
        <v>0.28999999999999998</v>
      </c>
      <c r="FA102" s="66">
        <v>0.62</v>
      </c>
      <c r="FB102" s="349">
        <v>49</v>
      </c>
      <c r="FC102" s="348" t="s">
        <v>910</v>
      </c>
      <c r="FD102" s="349">
        <v>8</v>
      </c>
      <c r="FE102" s="348" t="s">
        <v>910</v>
      </c>
      <c r="FF102" s="371">
        <v>0.15</v>
      </c>
      <c r="FG102" s="371">
        <v>0.64</v>
      </c>
      <c r="FH102" s="371">
        <v>0.2</v>
      </c>
      <c r="FI102" s="371">
        <v>0.01</v>
      </c>
      <c r="FJ102" s="371">
        <v>0.48</v>
      </c>
      <c r="FK102" s="371">
        <v>0.65</v>
      </c>
      <c r="FL102" s="371">
        <v>0.53</v>
      </c>
      <c r="FM102" s="371">
        <v>0.42</v>
      </c>
      <c r="FN102" s="371">
        <v>0.28999999999999998</v>
      </c>
      <c r="FO102" s="371">
        <v>0.34</v>
      </c>
      <c r="FP102" s="371">
        <v>0.43</v>
      </c>
      <c r="FQ102" s="371">
        <v>0.42</v>
      </c>
      <c r="FR102" s="371">
        <v>0.61</v>
      </c>
      <c r="FS102" s="371">
        <v>0.47</v>
      </c>
      <c r="FT102" s="371">
        <v>0.55000000000000004</v>
      </c>
      <c r="FU102" s="371">
        <v>0.38</v>
      </c>
      <c r="FV102" s="371">
        <v>0.65</v>
      </c>
      <c r="FW102" s="371">
        <v>0.55000000000000004</v>
      </c>
      <c r="FX102" s="371">
        <v>0.46</v>
      </c>
      <c r="FY102" s="371">
        <v>0.38</v>
      </c>
      <c r="FZ102" s="371">
        <v>0.46</v>
      </c>
      <c r="GA102" s="371">
        <v>0.5</v>
      </c>
      <c r="GB102" s="371">
        <v>0.56000000000000005</v>
      </c>
      <c r="GC102" s="371">
        <v>0.49</v>
      </c>
      <c r="GD102" s="371">
        <v>0.63</v>
      </c>
      <c r="GE102" s="371">
        <v>0.56000000000000005</v>
      </c>
      <c r="GF102" s="371">
        <v>0.5</v>
      </c>
      <c r="GG102" s="371">
        <v>0.5</v>
      </c>
      <c r="GH102" s="371">
        <v>0.56000000000000005</v>
      </c>
      <c r="GI102" s="371">
        <v>0.26</v>
      </c>
      <c r="GJ102" s="469">
        <v>51</v>
      </c>
      <c r="GK102" s="471" t="s">
        <v>910</v>
      </c>
      <c r="GL102" s="469">
        <v>9</v>
      </c>
      <c r="GM102" s="471" t="s">
        <v>910</v>
      </c>
      <c r="GN102" s="501">
        <v>0.13</v>
      </c>
      <c r="GO102" s="501">
        <v>0.54</v>
      </c>
      <c r="GP102" s="501">
        <v>0.31</v>
      </c>
      <c r="GQ102" s="501">
        <v>0.01</v>
      </c>
      <c r="GR102" s="501">
        <v>0.45</v>
      </c>
      <c r="GS102" s="501">
        <v>0.55000000000000004</v>
      </c>
      <c r="GT102" s="501">
        <v>0.57999999999999996</v>
      </c>
      <c r="GU102" s="501">
        <v>0.21</v>
      </c>
      <c r="GV102" s="501">
        <v>0.55000000000000004</v>
      </c>
      <c r="GW102" s="501">
        <v>0.5</v>
      </c>
      <c r="GX102" s="501">
        <v>0.47</v>
      </c>
      <c r="GY102" s="471" t="s">
        <v>287</v>
      </c>
      <c r="GZ102" s="501">
        <v>0.34</v>
      </c>
      <c r="HA102" s="501">
        <v>0.69</v>
      </c>
      <c r="HB102" s="501">
        <v>0.43</v>
      </c>
      <c r="HC102" s="501">
        <v>0.52</v>
      </c>
      <c r="HD102" s="501">
        <v>0.61</v>
      </c>
      <c r="HE102" s="501">
        <v>0.42</v>
      </c>
      <c r="HF102" s="501">
        <v>0.48</v>
      </c>
      <c r="HG102" s="501">
        <v>0.66</v>
      </c>
      <c r="HH102" s="501">
        <v>0.38</v>
      </c>
      <c r="HI102" s="501">
        <v>0.49</v>
      </c>
      <c r="HJ102" s="501">
        <v>0.6</v>
      </c>
      <c r="HK102" s="501">
        <v>0.53</v>
      </c>
      <c r="HL102" s="501">
        <v>0.41</v>
      </c>
      <c r="HM102" s="501">
        <v>0.49</v>
      </c>
      <c r="HN102" s="501">
        <v>0.48</v>
      </c>
      <c r="HO102" s="501">
        <v>0.44</v>
      </c>
      <c r="HP102" s="471" t="s">
        <v>287</v>
      </c>
      <c r="HQ102" s="501">
        <v>0.36</v>
      </c>
      <c r="HR102" s="630">
        <v>53</v>
      </c>
      <c r="HS102" s="640" t="s">
        <v>910</v>
      </c>
      <c r="HT102" s="630">
        <v>9</v>
      </c>
      <c r="HU102" s="640" t="s">
        <v>910</v>
      </c>
      <c r="HV102" s="644">
        <v>7.0000000000000007E-2</v>
      </c>
      <c r="HW102" s="644">
        <v>0.52</v>
      </c>
      <c r="HX102" s="644">
        <v>0.38</v>
      </c>
      <c r="HY102" s="644">
        <v>0.02</v>
      </c>
      <c r="HZ102" s="644">
        <v>0.34</v>
      </c>
      <c r="IA102" s="644">
        <v>0.49</v>
      </c>
      <c r="IB102" s="644">
        <v>0.32</v>
      </c>
      <c r="IC102" s="644">
        <v>0.45</v>
      </c>
      <c r="ID102" s="644">
        <v>0.62</v>
      </c>
      <c r="IE102" s="644">
        <v>0.3</v>
      </c>
      <c r="IF102" s="644">
        <v>0.37</v>
      </c>
      <c r="IG102" s="644">
        <v>0.49</v>
      </c>
      <c r="IH102" s="644">
        <v>0.46</v>
      </c>
      <c r="II102" s="644">
        <v>0.35</v>
      </c>
      <c r="IJ102" s="644">
        <v>0.24</v>
      </c>
      <c r="IK102" s="644">
        <v>0.55000000000000004</v>
      </c>
      <c r="IL102" s="644">
        <v>0.3</v>
      </c>
      <c r="IM102" s="644">
        <v>0.55000000000000004</v>
      </c>
      <c r="IN102" s="644">
        <v>0.43</v>
      </c>
      <c r="IO102" s="644">
        <v>0.47</v>
      </c>
      <c r="IP102" s="644">
        <v>0.37</v>
      </c>
      <c r="IQ102" s="644">
        <v>0.66</v>
      </c>
      <c r="IR102" s="644">
        <v>0.44</v>
      </c>
      <c r="IS102" s="644">
        <v>0.47</v>
      </c>
      <c r="IT102" s="644">
        <v>0.41</v>
      </c>
      <c r="IU102" s="640" t="s">
        <v>287</v>
      </c>
      <c r="IV102" s="644">
        <v>0.6</v>
      </c>
      <c r="IW102" s="644">
        <v>0.36</v>
      </c>
      <c r="IX102" s="644">
        <v>0.49</v>
      </c>
      <c r="IY102" s="644">
        <v>0.47</v>
      </c>
    </row>
    <row r="103" spans="1:259" ht="24.9" customHeight="1" x14ac:dyDescent="0.25">
      <c r="A103" s="188" t="s">
        <v>138</v>
      </c>
      <c r="B103" s="1" t="s">
        <v>220</v>
      </c>
      <c r="C103" s="2">
        <v>1</v>
      </c>
      <c r="D103" s="16">
        <v>53</v>
      </c>
      <c r="E103" s="16">
        <v>7</v>
      </c>
      <c r="F103" s="99">
        <v>7.0000000000000007E-2</v>
      </c>
      <c r="G103" s="99">
        <v>0.56000000000000005</v>
      </c>
      <c r="H103" s="99">
        <v>0.37</v>
      </c>
      <c r="I103" s="99">
        <v>0</v>
      </c>
      <c r="J103" s="99">
        <v>0.53</v>
      </c>
      <c r="K103" s="99">
        <v>0.41</v>
      </c>
      <c r="L103" s="99">
        <v>0.82</v>
      </c>
      <c r="M103" s="99">
        <v>0.32</v>
      </c>
      <c r="N103" s="99">
        <v>0.3</v>
      </c>
      <c r="O103" s="99">
        <v>0.67</v>
      </c>
      <c r="P103" s="99">
        <v>0.4</v>
      </c>
      <c r="Q103" s="99">
        <v>0.48</v>
      </c>
      <c r="R103" s="99">
        <v>0.56999999999999995</v>
      </c>
      <c r="S103" s="99">
        <v>0.72</v>
      </c>
      <c r="T103" s="99">
        <v>0.48</v>
      </c>
      <c r="U103" s="99">
        <v>0.59</v>
      </c>
      <c r="V103" s="99">
        <v>0.11</v>
      </c>
      <c r="W103" s="99">
        <v>0.23</v>
      </c>
      <c r="X103" s="99">
        <v>0.5</v>
      </c>
      <c r="Y103" s="99">
        <v>0.52</v>
      </c>
      <c r="Z103" s="99">
        <v>0.5</v>
      </c>
      <c r="AA103" s="99">
        <v>0.18</v>
      </c>
      <c r="AB103" s="99">
        <v>0.52</v>
      </c>
      <c r="AC103" s="99">
        <v>0.26</v>
      </c>
      <c r="AD103" s="99">
        <v>0.53</v>
      </c>
      <c r="AE103" s="99">
        <v>0.43</v>
      </c>
      <c r="AF103" s="99">
        <v>0.59</v>
      </c>
      <c r="AG103" s="99">
        <v>0.54</v>
      </c>
      <c r="AH103" s="37">
        <v>52</v>
      </c>
      <c r="AI103" s="37">
        <v>7</v>
      </c>
      <c r="AJ103" s="66">
        <v>0.06</v>
      </c>
      <c r="AK103" s="66">
        <v>0.59</v>
      </c>
      <c r="AL103" s="66">
        <v>0.36</v>
      </c>
      <c r="AM103" s="66">
        <v>0</v>
      </c>
      <c r="AN103" s="66">
        <v>0.22</v>
      </c>
      <c r="AO103" s="66">
        <v>0.44</v>
      </c>
      <c r="AP103" s="66">
        <v>0.6</v>
      </c>
      <c r="AQ103" s="66">
        <v>0.39</v>
      </c>
      <c r="AR103" s="66">
        <v>0.56999999999999995</v>
      </c>
      <c r="AS103" s="66">
        <v>0.56999999999999995</v>
      </c>
      <c r="AT103" s="66">
        <v>0.46</v>
      </c>
      <c r="AU103" s="66">
        <v>0.5</v>
      </c>
      <c r="AV103" s="66">
        <v>0.66</v>
      </c>
      <c r="AW103" s="66">
        <v>0.52</v>
      </c>
      <c r="AX103" s="66">
        <v>0.55000000000000004</v>
      </c>
      <c r="AY103" s="66">
        <v>0.28999999999999998</v>
      </c>
      <c r="AZ103" s="66">
        <v>0.24</v>
      </c>
      <c r="BA103" s="66">
        <v>0.53</v>
      </c>
      <c r="BB103" s="66">
        <v>0.68</v>
      </c>
      <c r="BC103" s="66">
        <v>0.69</v>
      </c>
      <c r="BD103" s="66">
        <v>0.36</v>
      </c>
      <c r="BE103" s="66">
        <v>0.4</v>
      </c>
      <c r="BF103" s="66">
        <v>0.57999999999999996</v>
      </c>
      <c r="BG103" s="66">
        <v>0.52</v>
      </c>
      <c r="BH103" s="66">
        <v>0.45</v>
      </c>
      <c r="BI103" s="66">
        <v>0.37</v>
      </c>
      <c r="BJ103" s="66">
        <v>0.37</v>
      </c>
      <c r="BK103" s="66">
        <v>0.47</v>
      </c>
      <c r="BL103" s="66">
        <v>0.55000000000000004</v>
      </c>
      <c r="BM103" s="16">
        <v>49</v>
      </c>
      <c r="BN103" s="16">
        <v>7</v>
      </c>
      <c r="BO103" s="99">
        <v>0.13</v>
      </c>
      <c r="BP103" s="99">
        <v>0.63</v>
      </c>
      <c r="BQ103" s="99">
        <v>0.24</v>
      </c>
      <c r="BR103" s="99">
        <v>0</v>
      </c>
      <c r="BS103" s="99">
        <v>0.36</v>
      </c>
      <c r="BT103" s="99">
        <v>0.6</v>
      </c>
      <c r="BU103" s="99">
        <v>0.73</v>
      </c>
      <c r="BV103" s="99">
        <v>0.35</v>
      </c>
      <c r="BW103" s="99">
        <v>0.66</v>
      </c>
      <c r="BX103" s="99">
        <v>0.42</v>
      </c>
      <c r="BY103" s="99">
        <v>0.46</v>
      </c>
      <c r="BZ103" s="99">
        <v>0.5</v>
      </c>
      <c r="CA103" s="99">
        <v>0.47</v>
      </c>
      <c r="CB103" s="99">
        <v>0.33</v>
      </c>
      <c r="CC103" s="99">
        <v>0.26</v>
      </c>
      <c r="CD103" s="99">
        <v>0.47</v>
      </c>
      <c r="CE103" s="99">
        <v>0.42</v>
      </c>
      <c r="CF103" s="99">
        <v>0.59</v>
      </c>
      <c r="CG103" s="99">
        <v>0.6</v>
      </c>
      <c r="CH103" s="99">
        <v>0.51</v>
      </c>
      <c r="CI103" s="99">
        <v>0.56999999999999995</v>
      </c>
      <c r="CJ103" s="99">
        <v>0.38</v>
      </c>
      <c r="CK103" s="99">
        <v>0.69</v>
      </c>
      <c r="CL103" s="99">
        <v>0.34</v>
      </c>
      <c r="CM103" s="99">
        <v>0.49</v>
      </c>
      <c r="CN103" s="99">
        <v>0.51</v>
      </c>
      <c r="CO103" s="99">
        <v>0.55000000000000004</v>
      </c>
      <c r="CP103" s="99">
        <v>0.37</v>
      </c>
      <c r="CQ103" s="99">
        <v>0.55000000000000004</v>
      </c>
      <c r="CR103" s="99">
        <v>0.56999999999999995</v>
      </c>
      <c r="CS103" s="16">
        <v>48</v>
      </c>
      <c r="CT103" s="16">
        <v>8</v>
      </c>
      <c r="CU103" s="96">
        <v>0.21</v>
      </c>
      <c r="CV103" s="96">
        <v>0.57999999999999996</v>
      </c>
      <c r="CW103" s="96">
        <v>0.21</v>
      </c>
      <c r="CX103" s="96">
        <v>0</v>
      </c>
      <c r="CY103" s="96">
        <v>0.53</v>
      </c>
      <c r="CZ103" s="96">
        <v>0.35</v>
      </c>
      <c r="DA103" s="96">
        <v>0.56000000000000005</v>
      </c>
      <c r="DB103" s="96">
        <v>0.4</v>
      </c>
      <c r="DC103" s="96">
        <v>0.46</v>
      </c>
      <c r="DD103" s="96">
        <v>0.68</v>
      </c>
      <c r="DE103" s="96">
        <v>0.5</v>
      </c>
      <c r="DF103" s="96">
        <v>0.59</v>
      </c>
      <c r="DG103" s="96">
        <v>0.52</v>
      </c>
      <c r="DH103" s="96">
        <v>0.42</v>
      </c>
      <c r="DI103" s="96">
        <v>0.53</v>
      </c>
      <c r="DJ103" s="96">
        <v>0.56999999999999995</v>
      </c>
      <c r="DK103" s="96">
        <v>0.35</v>
      </c>
      <c r="DL103" s="96">
        <v>0.41</v>
      </c>
      <c r="DM103" s="96">
        <v>0.56999999999999995</v>
      </c>
      <c r="DN103" s="96">
        <v>0.49</v>
      </c>
      <c r="DO103" s="96">
        <v>0.46</v>
      </c>
      <c r="DP103" s="96">
        <v>0.39</v>
      </c>
      <c r="DQ103" s="96">
        <v>0.62</v>
      </c>
      <c r="DR103" s="96">
        <v>0.26</v>
      </c>
      <c r="DS103" s="96">
        <v>0.41</v>
      </c>
      <c r="DT103" s="96">
        <v>0.56000000000000005</v>
      </c>
      <c r="DU103" s="96">
        <v>0.49</v>
      </c>
      <c r="DV103" s="96">
        <v>0.59</v>
      </c>
      <c r="DW103" s="96">
        <v>0.4</v>
      </c>
      <c r="DX103" s="61">
        <v>49</v>
      </c>
      <c r="DY103" s="61">
        <v>8</v>
      </c>
      <c r="DZ103" s="66">
        <v>0.15</v>
      </c>
      <c r="EA103" s="66">
        <v>0.61</v>
      </c>
      <c r="EB103" s="66">
        <v>0.24</v>
      </c>
      <c r="EC103" s="66">
        <v>0</v>
      </c>
      <c r="ED103" s="66">
        <v>0.56000000000000005</v>
      </c>
      <c r="EE103" s="66">
        <v>0.47</v>
      </c>
      <c r="EF103" s="66">
        <v>0.43</v>
      </c>
      <c r="EG103" s="66">
        <v>0.32</v>
      </c>
      <c r="EH103" s="66">
        <v>0.38</v>
      </c>
      <c r="EI103" s="66">
        <v>0.52</v>
      </c>
      <c r="EJ103" s="66">
        <v>0.52</v>
      </c>
      <c r="EK103" s="66">
        <v>0.28999999999999998</v>
      </c>
      <c r="EL103" s="66">
        <v>0.45</v>
      </c>
      <c r="EM103" s="66">
        <v>0.7</v>
      </c>
      <c r="EN103" s="66">
        <v>0.52</v>
      </c>
      <c r="EO103" s="66">
        <v>0.51</v>
      </c>
      <c r="EP103" s="66">
        <v>0.36</v>
      </c>
      <c r="EQ103" s="66">
        <v>0.38</v>
      </c>
      <c r="ER103" s="66">
        <v>0.55000000000000004</v>
      </c>
      <c r="ES103" s="66">
        <v>0.45</v>
      </c>
      <c r="ET103" s="66">
        <v>0.33</v>
      </c>
      <c r="EU103" s="66">
        <v>0.61</v>
      </c>
      <c r="EV103" s="66">
        <v>0.53</v>
      </c>
      <c r="EW103" s="66">
        <v>0.35</v>
      </c>
      <c r="EX103" s="66">
        <v>0.68</v>
      </c>
      <c r="EY103" s="66">
        <v>0.64</v>
      </c>
      <c r="EZ103" s="66">
        <v>0.22</v>
      </c>
      <c r="FA103" s="66">
        <v>0.63</v>
      </c>
      <c r="FB103" s="349">
        <v>49</v>
      </c>
      <c r="FC103" s="348" t="s">
        <v>910</v>
      </c>
      <c r="FD103" s="349">
        <v>7</v>
      </c>
      <c r="FE103" s="348" t="s">
        <v>910</v>
      </c>
      <c r="FF103" s="371">
        <v>0.17</v>
      </c>
      <c r="FG103" s="371">
        <v>0.65</v>
      </c>
      <c r="FH103" s="371">
        <v>0.18</v>
      </c>
      <c r="FI103" s="371">
        <v>0</v>
      </c>
      <c r="FJ103" s="371">
        <v>0.44</v>
      </c>
      <c r="FK103" s="371">
        <v>0.66</v>
      </c>
      <c r="FL103" s="371">
        <v>0.49</v>
      </c>
      <c r="FM103" s="371">
        <v>0.51</v>
      </c>
      <c r="FN103" s="371">
        <v>0.32</v>
      </c>
      <c r="FO103" s="371">
        <v>0.35</v>
      </c>
      <c r="FP103" s="371">
        <v>0.47</v>
      </c>
      <c r="FQ103" s="371">
        <v>0.42</v>
      </c>
      <c r="FR103" s="371">
        <v>0.65</v>
      </c>
      <c r="FS103" s="371">
        <v>0.52</v>
      </c>
      <c r="FT103" s="371">
        <v>0.51</v>
      </c>
      <c r="FU103" s="371">
        <v>0.42</v>
      </c>
      <c r="FV103" s="371">
        <v>0.65</v>
      </c>
      <c r="FW103" s="371">
        <v>0.6</v>
      </c>
      <c r="FX103" s="371">
        <v>0.53</v>
      </c>
      <c r="FY103" s="371">
        <v>0.33</v>
      </c>
      <c r="FZ103" s="371">
        <v>0.43</v>
      </c>
      <c r="GA103" s="371">
        <v>0.51</v>
      </c>
      <c r="GB103" s="371">
        <v>0.5</v>
      </c>
      <c r="GC103" s="371">
        <v>0.43</v>
      </c>
      <c r="GD103" s="371">
        <v>0.62</v>
      </c>
      <c r="GE103" s="371">
        <v>0.56999999999999995</v>
      </c>
      <c r="GF103" s="371">
        <v>0.52</v>
      </c>
      <c r="GG103" s="371">
        <v>0.52</v>
      </c>
      <c r="GH103" s="371">
        <v>0.66</v>
      </c>
      <c r="GI103" s="371">
        <v>0.31</v>
      </c>
      <c r="GJ103" s="469">
        <v>49</v>
      </c>
      <c r="GK103" s="471" t="s">
        <v>910</v>
      </c>
      <c r="GL103" s="469">
        <v>8</v>
      </c>
      <c r="GM103" s="471" t="s">
        <v>910</v>
      </c>
      <c r="GN103" s="501">
        <v>0.15</v>
      </c>
      <c r="GO103" s="501">
        <v>0.6</v>
      </c>
      <c r="GP103" s="501">
        <v>0.25</v>
      </c>
      <c r="GQ103" s="501">
        <v>0</v>
      </c>
      <c r="GR103" s="501">
        <v>0.56000000000000005</v>
      </c>
      <c r="GS103" s="501">
        <v>0.57999999999999996</v>
      </c>
      <c r="GT103" s="501">
        <v>0.61</v>
      </c>
      <c r="GU103" s="501">
        <v>0.31</v>
      </c>
      <c r="GV103" s="501">
        <v>0.55000000000000004</v>
      </c>
      <c r="GW103" s="501">
        <v>0.47</v>
      </c>
      <c r="GX103" s="501">
        <v>0.49</v>
      </c>
      <c r="GY103" s="471" t="s">
        <v>287</v>
      </c>
      <c r="GZ103" s="501">
        <v>0.36</v>
      </c>
      <c r="HA103" s="501">
        <v>0.66</v>
      </c>
      <c r="HB103" s="501">
        <v>0.48</v>
      </c>
      <c r="HC103" s="501">
        <v>0.6</v>
      </c>
      <c r="HD103" s="501">
        <v>0.64</v>
      </c>
      <c r="HE103" s="501">
        <v>0.57999999999999996</v>
      </c>
      <c r="HF103" s="501">
        <v>0.51</v>
      </c>
      <c r="HG103" s="501">
        <v>0.67</v>
      </c>
      <c r="HH103" s="501">
        <v>0.43</v>
      </c>
      <c r="HI103" s="501">
        <v>0.5</v>
      </c>
      <c r="HJ103" s="501">
        <v>0.62</v>
      </c>
      <c r="HK103" s="501">
        <v>0.56000000000000005</v>
      </c>
      <c r="HL103" s="501">
        <v>0.48</v>
      </c>
      <c r="HM103" s="501">
        <v>0.56000000000000005</v>
      </c>
      <c r="HN103" s="501">
        <v>0.5</v>
      </c>
      <c r="HO103" s="501">
        <v>0.48</v>
      </c>
      <c r="HP103" s="471" t="s">
        <v>287</v>
      </c>
      <c r="HQ103" s="501">
        <v>0.43</v>
      </c>
      <c r="HR103" s="630">
        <v>48</v>
      </c>
      <c r="HS103" s="640" t="s">
        <v>910</v>
      </c>
      <c r="HT103" s="630">
        <v>8</v>
      </c>
      <c r="HU103" s="640" t="s">
        <v>910</v>
      </c>
      <c r="HV103" s="644">
        <v>0.18</v>
      </c>
      <c r="HW103" s="644">
        <v>0.64</v>
      </c>
      <c r="HX103" s="644">
        <v>0.18</v>
      </c>
      <c r="HY103" s="644">
        <v>0</v>
      </c>
      <c r="HZ103" s="644">
        <v>0.44</v>
      </c>
      <c r="IA103" s="644">
        <v>0.54</v>
      </c>
      <c r="IB103" s="644">
        <v>0.35</v>
      </c>
      <c r="IC103" s="644">
        <v>0.55000000000000004</v>
      </c>
      <c r="ID103" s="644">
        <v>0.67</v>
      </c>
      <c r="IE103" s="644">
        <v>0.43</v>
      </c>
      <c r="IF103" s="644">
        <v>0.45</v>
      </c>
      <c r="IG103" s="644">
        <v>0.57999999999999996</v>
      </c>
      <c r="IH103" s="644">
        <v>0.54</v>
      </c>
      <c r="II103" s="644">
        <v>0.35</v>
      </c>
      <c r="IJ103" s="644">
        <v>0.32</v>
      </c>
      <c r="IK103" s="644">
        <v>0.66</v>
      </c>
      <c r="IL103" s="644">
        <v>0.38</v>
      </c>
      <c r="IM103" s="644">
        <v>0.67</v>
      </c>
      <c r="IN103" s="644">
        <v>0.5</v>
      </c>
      <c r="IO103" s="644">
        <v>0.62</v>
      </c>
      <c r="IP103" s="644">
        <v>0.51</v>
      </c>
      <c r="IQ103" s="644">
        <v>0.67</v>
      </c>
      <c r="IR103" s="644">
        <v>0.59</v>
      </c>
      <c r="IS103" s="644">
        <v>0.51</v>
      </c>
      <c r="IT103" s="644">
        <v>0.43</v>
      </c>
      <c r="IU103" s="640" t="s">
        <v>287</v>
      </c>
      <c r="IV103" s="644">
        <v>0.63</v>
      </c>
      <c r="IW103" s="644">
        <v>0.41</v>
      </c>
      <c r="IX103" s="644">
        <v>0.69</v>
      </c>
      <c r="IY103" s="644">
        <v>0.55000000000000004</v>
      </c>
    </row>
    <row r="104" spans="1:259" ht="24.9" customHeight="1" x14ac:dyDescent="0.25">
      <c r="A104" s="189" t="s">
        <v>291</v>
      </c>
      <c r="B104" s="69" t="s">
        <v>220</v>
      </c>
      <c r="C104" s="71">
        <v>3</v>
      </c>
      <c r="D104" s="16">
        <v>53</v>
      </c>
      <c r="E104" s="16">
        <v>7</v>
      </c>
      <c r="F104" s="99">
        <v>0.04</v>
      </c>
      <c r="G104" s="99">
        <v>0.67</v>
      </c>
      <c r="H104" s="99">
        <v>0.28000000000000003</v>
      </c>
      <c r="I104" s="99">
        <v>0.01</v>
      </c>
      <c r="J104" s="99">
        <v>0.47</v>
      </c>
      <c r="K104" s="99">
        <v>0.47</v>
      </c>
      <c r="L104" s="99">
        <v>0.65</v>
      </c>
      <c r="M104" s="99">
        <v>0.32</v>
      </c>
      <c r="N104" s="99">
        <v>0.34</v>
      </c>
      <c r="O104" s="99">
        <v>0.71</v>
      </c>
      <c r="P104" s="99">
        <v>0.3</v>
      </c>
      <c r="Q104" s="99">
        <v>0.42</v>
      </c>
      <c r="R104" s="99">
        <v>0.52</v>
      </c>
      <c r="S104" s="99">
        <v>0.62</v>
      </c>
      <c r="T104" s="99">
        <v>0.46</v>
      </c>
      <c r="U104" s="99">
        <v>0.56999999999999995</v>
      </c>
      <c r="V104" s="99">
        <v>0.08</v>
      </c>
      <c r="W104" s="99">
        <v>0.13</v>
      </c>
      <c r="X104" s="99">
        <v>0.52</v>
      </c>
      <c r="Y104" s="99">
        <v>0.5</v>
      </c>
      <c r="Z104" s="99">
        <v>0.72</v>
      </c>
      <c r="AA104" s="99">
        <v>0.12</v>
      </c>
      <c r="AB104" s="99">
        <v>0.52</v>
      </c>
      <c r="AC104" s="99">
        <v>0.35</v>
      </c>
      <c r="AD104" s="99">
        <v>0.46</v>
      </c>
      <c r="AE104" s="99">
        <v>0.39</v>
      </c>
      <c r="AF104" s="99">
        <v>0.61</v>
      </c>
      <c r="AG104" s="99">
        <v>0.48</v>
      </c>
      <c r="AH104" s="16">
        <v>53</v>
      </c>
      <c r="AI104" s="16">
        <v>8</v>
      </c>
      <c r="AJ104" s="66">
        <v>0.08</v>
      </c>
      <c r="AK104" s="66">
        <v>0.54</v>
      </c>
      <c r="AL104" s="66">
        <v>0.38</v>
      </c>
      <c r="AM104" s="66">
        <v>0.01</v>
      </c>
      <c r="AN104" s="66">
        <v>0.34</v>
      </c>
      <c r="AO104" s="66">
        <v>0.47</v>
      </c>
      <c r="AP104" s="66">
        <v>0.61</v>
      </c>
      <c r="AQ104" s="66">
        <v>0.43</v>
      </c>
      <c r="AR104" s="66">
        <v>0.54</v>
      </c>
      <c r="AS104" s="66">
        <v>0.55000000000000004</v>
      </c>
      <c r="AT104" s="66">
        <v>0.51</v>
      </c>
      <c r="AU104" s="66">
        <v>0.55000000000000004</v>
      </c>
      <c r="AV104" s="66">
        <v>0.63</v>
      </c>
      <c r="AW104" s="66">
        <v>0.53</v>
      </c>
      <c r="AX104" s="66">
        <v>0.62</v>
      </c>
      <c r="AY104" s="66">
        <v>0.32</v>
      </c>
      <c r="AZ104" s="66">
        <v>0.27</v>
      </c>
      <c r="BA104" s="66">
        <v>0.49</v>
      </c>
      <c r="BB104" s="66">
        <v>0.66</v>
      </c>
      <c r="BC104" s="66">
        <v>0.66</v>
      </c>
      <c r="BD104" s="66">
        <v>0.43</v>
      </c>
      <c r="BE104" s="66">
        <v>0.6</v>
      </c>
      <c r="BF104" s="66">
        <v>0.56999999999999995</v>
      </c>
      <c r="BG104" s="66">
        <v>0.5</v>
      </c>
      <c r="BH104" s="66">
        <v>0.45</v>
      </c>
      <c r="BI104" s="66">
        <v>0.39</v>
      </c>
      <c r="BJ104" s="66">
        <v>0.34</v>
      </c>
      <c r="BK104" s="66">
        <v>0.47</v>
      </c>
      <c r="BL104" s="66">
        <v>0.5</v>
      </c>
      <c r="BM104" s="16">
        <v>51</v>
      </c>
      <c r="BN104" s="16">
        <v>8</v>
      </c>
      <c r="BO104" s="99">
        <v>0.11</v>
      </c>
      <c r="BP104" s="99">
        <v>0.57999999999999996</v>
      </c>
      <c r="BQ104" s="99">
        <v>0.3</v>
      </c>
      <c r="BR104" s="99">
        <v>0.01</v>
      </c>
      <c r="BS104" s="99">
        <v>0.33</v>
      </c>
      <c r="BT104" s="99">
        <v>0.51</v>
      </c>
      <c r="BU104" s="99">
        <v>0.67</v>
      </c>
      <c r="BV104" s="99">
        <v>0.34</v>
      </c>
      <c r="BW104" s="99">
        <v>0.63</v>
      </c>
      <c r="BX104" s="99">
        <v>0.36</v>
      </c>
      <c r="BY104" s="99">
        <v>0.43</v>
      </c>
      <c r="BZ104" s="99">
        <v>0.52</v>
      </c>
      <c r="CA104" s="99">
        <v>0.45</v>
      </c>
      <c r="CB104" s="99">
        <v>0.36</v>
      </c>
      <c r="CC104" s="99">
        <v>0.21</v>
      </c>
      <c r="CD104" s="99">
        <v>0.45</v>
      </c>
      <c r="CE104" s="99">
        <v>0.35</v>
      </c>
      <c r="CF104" s="99">
        <v>0.55000000000000004</v>
      </c>
      <c r="CG104" s="99">
        <v>0.61</v>
      </c>
      <c r="CH104" s="99">
        <v>0.45</v>
      </c>
      <c r="CI104" s="99">
        <v>0.52</v>
      </c>
      <c r="CJ104" s="99">
        <v>0.36</v>
      </c>
      <c r="CK104" s="99">
        <v>0.68</v>
      </c>
      <c r="CL104" s="99">
        <v>0.34</v>
      </c>
      <c r="CM104" s="99">
        <v>0.47</v>
      </c>
      <c r="CN104" s="99">
        <v>0.49</v>
      </c>
      <c r="CO104" s="99">
        <v>0.47</v>
      </c>
      <c r="CP104" s="99">
        <v>0.36</v>
      </c>
      <c r="CQ104" s="99">
        <v>0.5</v>
      </c>
      <c r="CR104" s="99">
        <v>0.57999999999999996</v>
      </c>
      <c r="CS104" s="16">
        <v>50</v>
      </c>
      <c r="CT104" s="16">
        <v>8</v>
      </c>
      <c r="CU104" s="96">
        <v>0.15</v>
      </c>
      <c r="CV104" s="96">
        <v>0.59</v>
      </c>
      <c r="CW104" s="96">
        <v>0.26</v>
      </c>
      <c r="CX104" s="96">
        <v>0</v>
      </c>
      <c r="CY104" s="96">
        <v>0.51</v>
      </c>
      <c r="CZ104" s="96">
        <v>0.31</v>
      </c>
      <c r="DA104" s="96">
        <v>0.61</v>
      </c>
      <c r="DB104" s="96">
        <v>0.4</v>
      </c>
      <c r="DC104" s="96">
        <v>0.46</v>
      </c>
      <c r="DD104" s="96">
        <v>0.62</v>
      </c>
      <c r="DE104" s="96">
        <v>0.46</v>
      </c>
      <c r="DF104" s="96">
        <v>0.54</v>
      </c>
      <c r="DG104" s="96">
        <v>0.48</v>
      </c>
      <c r="DH104" s="96">
        <v>0.39</v>
      </c>
      <c r="DI104" s="96">
        <v>0.54</v>
      </c>
      <c r="DJ104" s="96">
        <v>0.53</v>
      </c>
      <c r="DK104" s="96">
        <v>0.4</v>
      </c>
      <c r="DL104" s="96">
        <v>0.41</v>
      </c>
      <c r="DM104" s="96">
        <v>0.51</v>
      </c>
      <c r="DN104" s="96">
        <v>0.49</v>
      </c>
      <c r="DO104" s="96">
        <v>0.43</v>
      </c>
      <c r="DP104" s="96">
        <v>0.47</v>
      </c>
      <c r="DQ104" s="96">
        <v>0.56999999999999995</v>
      </c>
      <c r="DR104" s="96">
        <v>0.22</v>
      </c>
      <c r="DS104" s="96">
        <v>0.43</v>
      </c>
      <c r="DT104" s="96">
        <v>0.57999999999999996</v>
      </c>
      <c r="DU104" s="96">
        <v>0.49</v>
      </c>
      <c r="DV104" s="96">
        <v>0.63</v>
      </c>
      <c r="DW104" s="96">
        <v>0.4</v>
      </c>
      <c r="DX104" s="61">
        <v>52</v>
      </c>
      <c r="DY104" s="61">
        <v>9</v>
      </c>
      <c r="DZ104" s="66">
        <v>0.11</v>
      </c>
      <c r="EA104" s="66">
        <v>0.56000000000000005</v>
      </c>
      <c r="EB104" s="66">
        <v>0.32</v>
      </c>
      <c r="EC104" s="66">
        <v>0.01</v>
      </c>
      <c r="ED104" s="66">
        <v>0.46</v>
      </c>
      <c r="EE104" s="66">
        <v>0.43</v>
      </c>
      <c r="EF104" s="66">
        <v>0.46</v>
      </c>
      <c r="EG104" s="66">
        <v>0.2</v>
      </c>
      <c r="EH104" s="66">
        <v>0.38</v>
      </c>
      <c r="EI104" s="66">
        <v>0.51</v>
      </c>
      <c r="EJ104" s="66">
        <v>0.56000000000000005</v>
      </c>
      <c r="EK104" s="66">
        <v>0.21</v>
      </c>
      <c r="EL104" s="66">
        <v>0.44</v>
      </c>
      <c r="EM104" s="66">
        <v>0.61</v>
      </c>
      <c r="EN104" s="66">
        <v>0.34</v>
      </c>
      <c r="EO104" s="66">
        <v>0.55000000000000004</v>
      </c>
      <c r="EP104" s="66">
        <v>0.3</v>
      </c>
      <c r="EQ104" s="66">
        <v>0.21</v>
      </c>
      <c r="ER104" s="66">
        <v>0.62</v>
      </c>
      <c r="ES104" s="66">
        <v>0.41</v>
      </c>
      <c r="ET104" s="66">
        <v>0.34</v>
      </c>
      <c r="EU104" s="66">
        <v>0.46</v>
      </c>
      <c r="EV104" s="66">
        <v>0.39</v>
      </c>
      <c r="EW104" s="66">
        <v>0.31</v>
      </c>
      <c r="EX104" s="66">
        <v>0.57999999999999996</v>
      </c>
      <c r="EY104" s="66">
        <v>0.51</v>
      </c>
      <c r="EZ104" s="66">
        <v>0.22</v>
      </c>
      <c r="FA104" s="66">
        <v>0.57999999999999996</v>
      </c>
      <c r="FB104" s="349">
        <v>51</v>
      </c>
      <c r="FC104" s="348" t="s">
        <v>910</v>
      </c>
      <c r="FD104" s="349">
        <v>8</v>
      </c>
      <c r="FE104" s="348" t="s">
        <v>910</v>
      </c>
      <c r="FF104" s="371">
        <v>0.1</v>
      </c>
      <c r="FG104" s="371">
        <v>0.6</v>
      </c>
      <c r="FH104" s="371">
        <v>0.28999999999999998</v>
      </c>
      <c r="FI104" s="371">
        <v>0.01</v>
      </c>
      <c r="FJ104" s="371">
        <v>0.42</v>
      </c>
      <c r="FK104" s="371">
        <v>0.67</v>
      </c>
      <c r="FL104" s="371">
        <v>0.49</v>
      </c>
      <c r="FM104" s="371">
        <v>0.39</v>
      </c>
      <c r="FN104" s="371">
        <v>0.24</v>
      </c>
      <c r="FO104" s="371">
        <v>0.31</v>
      </c>
      <c r="FP104" s="371">
        <v>0.38</v>
      </c>
      <c r="FQ104" s="371">
        <v>0.38</v>
      </c>
      <c r="FR104" s="371">
        <v>0.55000000000000004</v>
      </c>
      <c r="FS104" s="371">
        <v>0.55000000000000004</v>
      </c>
      <c r="FT104" s="371">
        <v>0.49</v>
      </c>
      <c r="FU104" s="371">
        <v>0.39</v>
      </c>
      <c r="FV104" s="371">
        <v>0.52</v>
      </c>
      <c r="FW104" s="371">
        <v>0.53</v>
      </c>
      <c r="FX104" s="371">
        <v>0.41</v>
      </c>
      <c r="FY104" s="371">
        <v>0.36</v>
      </c>
      <c r="FZ104" s="371">
        <v>0.41</v>
      </c>
      <c r="GA104" s="371">
        <v>0.45</v>
      </c>
      <c r="GB104" s="371">
        <v>0.53</v>
      </c>
      <c r="GC104" s="371">
        <v>0.42</v>
      </c>
      <c r="GD104" s="371">
        <v>0.56999999999999995</v>
      </c>
      <c r="GE104" s="371">
        <v>0.51</v>
      </c>
      <c r="GF104" s="371">
        <v>0.48</v>
      </c>
      <c r="GG104" s="371">
        <v>0.44</v>
      </c>
      <c r="GH104" s="371">
        <v>0.54</v>
      </c>
      <c r="GI104" s="371">
        <v>0.26</v>
      </c>
      <c r="GJ104" s="469">
        <v>51</v>
      </c>
      <c r="GK104" s="471" t="s">
        <v>910</v>
      </c>
      <c r="GL104" s="469">
        <v>9</v>
      </c>
      <c r="GM104" s="471" t="s">
        <v>910</v>
      </c>
      <c r="GN104" s="501">
        <v>0.12</v>
      </c>
      <c r="GO104" s="501">
        <v>0.56000000000000005</v>
      </c>
      <c r="GP104" s="501">
        <v>0.31</v>
      </c>
      <c r="GQ104" s="501">
        <v>0.01</v>
      </c>
      <c r="GR104" s="501">
        <v>0.45</v>
      </c>
      <c r="GS104" s="501">
        <v>0.51</v>
      </c>
      <c r="GT104" s="501">
        <v>0.62</v>
      </c>
      <c r="GU104" s="501">
        <v>0.19</v>
      </c>
      <c r="GV104" s="501">
        <v>0.54</v>
      </c>
      <c r="GW104" s="501">
        <v>0.5</v>
      </c>
      <c r="GX104" s="501">
        <v>0.42</v>
      </c>
      <c r="GY104" s="471" t="s">
        <v>287</v>
      </c>
      <c r="GZ104" s="501">
        <v>0.34</v>
      </c>
      <c r="HA104" s="501">
        <v>0.66</v>
      </c>
      <c r="HB104" s="501">
        <v>0.45</v>
      </c>
      <c r="HC104" s="501">
        <v>0.49</v>
      </c>
      <c r="HD104" s="501">
        <v>0.56999999999999995</v>
      </c>
      <c r="HE104" s="501">
        <v>0.46</v>
      </c>
      <c r="HF104" s="501">
        <v>0.48</v>
      </c>
      <c r="HG104" s="501">
        <v>0.64</v>
      </c>
      <c r="HH104" s="501">
        <v>0.36</v>
      </c>
      <c r="HI104" s="501">
        <v>0.49</v>
      </c>
      <c r="HJ104" s="501">
        <v>0.56000000000000005</v>
      </c>
      <c r="HK104" s="501">
        <v>0.44</v>
      </c>
      <c r="HL104" s="501">
        <v>0.44</v>
      </c>
      <c r="HM104" s="501">
        <v>0.44</v>
      </c>
      <c r="HN104" s="501">
        <v>0.45</v>
      </c>
      <c r="HO104" s="501">
        <v>0.41</v>
      </c>
      <c r="HP104" s="471" t="s">
        <v>287</v>
      </c>
      <c r="HQ104" s="501">
        <v>0.43</v>
      </c>
      <c r="HR104" s="630">
        <v>52</v>
      </c>
      <c r="HS104" s="640" t="s">
        <v>910</v>
      </c>
      <c r="HT104" s="630">
        <v>9</v>
      </c>
      <c r="HU104" s="640" t="s">
        <v>910</v>
      </c>
      <c r="HV104" s="644">
        <v>0.12</v>
      </c>
      <c r="HW104" s="644">
        <v>0.51</v>
      </c>
      <c r="HX104" s="644">
        <v>0.36</v>
      </c>
      <c r="HY104" s="644">
        <v>0.02</v>
      </c>
      <c r="HZ104" s="644">
        <v>0.36</v>
      </c>
      <c r="IA104" s="644">
        <v>0.49</v>
      </c>
      <c r="IB104" s="644">
        <v>0.3</v>
      </c>
      <c r="IC104" s="644">
        <v>0.47</v>
      </c>
      <c r="ID104" s="644">
        <v>0.61</v>
      </c>
      <c r="IE104" s="644">
        <v>0.34</v>
      </c>
      <c r="IF104" s="644">
        <v>0.4</v>
      </c>
      <c r="IG104" s="644">
        <v>0.52</v>
      </c>
      <c r="IH104" s="644">
        <v>0.45</v>
      </c>
      <c r="II104" s="644">
        <v>0.26</v>
      </c>
      <c r="IJ104" s="644">
        <v>0.25</v>
      </c>
      <c r="IK104" s="644">
        <v>0.57999999999999996</v>
      </c>
      <c r="IL104" s="644">
        <v>0.33</v>
      </c>
      <c r="IM104" s="644">
        <v>0.55000000000000004</v>
      </c>
      <c r="IN104" s="644">
        <v>0.45</v>
      </c>
      <c r="IO104" s="644">
        <v>0.56999999999999995</v>
      </c>
      <c r="IP104" s="644">
        <v>0.38</v>
      </c>
      <c r="IQ104" s="644">
        <v>0.64</v>
      </c>
      <c r="IR104" s="644">
        <v>0.56000000000000005</v>
      </c>
      <c r="IS104" s="644">
        <v>0.5</v>
      </c>
      <c r="IT104" s="644">
        <v>0.41</v>
      </c>
      <c r="IU104" s="640" t="s">
        <v>287</v>
      </c>
      <c r="IV104" s="644">
        <v>0.64</v>
      </c>
      <c r="IW104" s="644">
        <v>0.41</v>
      </c>
      <c r="IX104" s="644">
        <v>0.5</v>
      </c>
      <c r="IY104" s="644">
        <v>0.51</v>
      </c>
    </row>
    <row r="105" spans="1:259" ht="24.9" customHeight="1" x14ac:dyDescent="0.25">
      <c r="A105" s="188" t="s">
        <v>103</v>
      </c>
      <c r="B105" s="1" t="s">
        <v>220</v>
      </c>
      <c r="C105" s="2">
        <v>4</v>
      </c>
      <c r="D105" s="16">
        <v>50</v>
      </c>
      <c r="E105" s="16">
        <v>7</v>
      </c>
      <c r="F105" s="99">
        <v>0.1</v>
      </c>
      <c r="G105" s="99">
        <v>0.7</v>
      </c>
      <c r="H105" s="99">
        <v>0.19</v>
      </c>
      <c r="I105" s="99">
        <v>0</v>
      </c>
      <c r="J105" s="99">
        <v>0.49</v>
      </c>
      <c r="K105" s="99">
        <v>0.43</v>
      </c>
      <c r="L105" s="99">
        <v>0.8</v>
      </c>
      <c r="M105" s="99">
        <v>0.35</v>
      </c>
      <c r="N105" s="99">
        <v>0.36</v>
      </c>
      <c r="O105" s="99">
        <v>0.7</v>
      </c>
      <c r="P105" s="99">
        <v>0.4</v>
      </c>
      <c r="Q105" s="99">
        <v>0.43</v>
      </c>
      <c r="R105" s="99">
        <v>0.61</v>
      </c>
      <c r="S105" s="99">
        <v>0.65</v>
      </c>
      <c r="T105" s="99">
        <v>0.56999999999999995</v>
      </c>
      <c r="U105" s="99">
        <v>0.69</v>
      </c>
      <c r="V105" s="99">
        <v>0.16</v>
      </c>
      <c r="W105" s="99">
        <v>0.27</v>
      </c>
      <c r="X105" s="99">
        <v>0.56000000000000005</v>
      </c>
      <c r="Y105" s="99">
        <v>0.61</v>
      </c>
      <c r="Z105" s="13" t="s">
        <v>287</v>
      </c>
      <c r="AA105" s="99">
        <v>0.12</v>
      </c>
      <c r="AB105" s="99">
        <v>0.5</v>
      </c>
      <c r="AC105" s="99">
        <v>0.42</v>
      </c>
      <c r="AD105" s="99">
        <v>0.48</v>
      </c>
      <c r="AE105" s="99">
        <v>0.43</v>
      </c>
      <c r="AF105" s="99">
        <v>0.51</v>
      </c>
      <c r="AG105" s="99">
        <v>0.63</v>
      </c>
      <c r="AH105" s="16">
        <v>49</v>
      </c>
      <c r="AI105" s="16">
        <v>8</v>
      </c>
      <c r="AJ105" s="66">
        <v>0.15</v>
      </c>
      <c r="AK105" s="66">
        <v>0.68</v>
      </c>
      <c r="AL105" s="66">
        <v>0.16</v>
      </c>
      <c r="AM105" s="66">
        <v>0.02</v>
      </c>
      <c r="AN105" s="66">
        <v>0.32</v>
      </c>
      <c r="AO105" s="66">
        <v>0.53</v>
      </c>
      <c r="AP105" s="66">
        <v>0.54</v>
      </c>
      <c r="AQ105" s="66">
        <v>0.5</v>
      </c>
      <c r="AR105" s="66">
        <v>0.59</v>
      </c>
      <c r="AS105" s="66">
        <v>0.54</v>
      </c>
      <c r="AT105" s="66">
        <v>0.53</v>
      </c>
      <c r="AU105" s="66">
        <v>0.6</v>
      </c>
      <c r="AV105" s="66">
        <v>0.66</v>
      </c>
      <c r="AW105" s="66">
        <v>0.56999999999999995</v>
      </c>
      <c r="AX105" s="66">
        <v>0.63</v>
      </c>
      <c r="AY105" s="66">
        <v>0.39</v>
      </c>
      <c r="AZ105" s="66">
        <v>0.32</v>
      </c>
      <c r="BA105" s="66">
        <v>0.5</v>
      </c>
      <c r="BB105" s="66">
        <v>0.66</v>
      </c>
      <c r="BC105" s="66">
        <v>0.7</v>
      </c>
      <c r="BD105" s="66">
        <v>0.46</v>
      </c>
      <c r="BE105" s="66">
        <v>0.55000000000000004</v>
      </c>
      <c r="BF105" s="66">
        <v>0.6</v>
      </c>
      <c r="BG105" s="66">
        <v>0.5</v>
      </c>
      <c r="BH105" s="66">
        <v>0.52</v>
      </c>
      <c r="BI105" s="66">
        <v>0.44</v>
      </c>
      <c r="BJ105" s="66">
        <v>0.45</v>
      </c>
      <c r="BK105" s="66">
        <v>0.53</v>
      </c>
      <c r="BL105" s="66">
        <v>0.53</v>
      </c>
      <c r="BM105" s="16">
        <v>47</v>
      </c>
      <c r="BN105" s="16">
        <v>8</v>
      </c>
      <c r="BO105" s="99">
        <v>0.22</v>
      </c>
      <c r="BP105" s="99">
        <v>0.59</v>
      </c>
      <c r="BQ105" s="99">
        <v>0.19</v>
      </c>
      <c r="BR105" s="99">
        <v>0</v>
      </c>
      <c r="BS105" s="99">
        <v>0.32</v>
      </c>
      <c r="BT105" s="99">
        <v>0.57999999999999996</v>
      </c>
      <c r="BU105" s="99">
        <v>0.66</v>
      </c>
      <c r="BV105" s="99">
        <v>0.51</v>
      </c>
      <c r="BW105" s="99">
        <v>0.66</v>
      </c>
      <c r="BX105" s="99">
        <v>0.43</v>
      </c>
      <c r="BY105" s="99">
        <v>0.51</v>
      </c>
      <c r="BZ105" s="99">
        <v>0.6</v>
      </c>
      <c r="CA105" s="99">
        <v>0.53</v>
      </c>
      <c r="CB105" s="99">
        <v>0.43</v>
      </c>
      <c r="CC105" s="99">
        <v>0.31</v>
      </c>
      <c r="CD105" s="99">
        <v>0.5</v>
      </c>
      <c r="CE105" s="99">
        <v>0.46</v>
      </c>
      <c r="CF105" s="99">
        <v>0.61</v>
      </c>
      <c r="CG105" s="99">
        <v>0.63</v>
      </c>
      <c r="CH105" s="99">
        <v>0.49</v>
      </c>
      <c r="CI105" s="99">
        <v>0.62</v>
      </c>
      <c r="CJ105" s="99">
        <v>0.43</v>
      </c>
      <c r="CK105" s="99">
        <v>0.71</v>
      </c>
      <c r="CL105" s="99">
        <v>0.4</v>
      </c>
      <c r="CM105" s="99">
        <v>0.56000000000000005</v>
      </c>
      <c r="CN105" s="99">
        <v>0.54</v>
      </c>
      <c r="CO105" s="99">
        <v>0.46</v>
      </c>
      <c r="CP105" s="99">
        <v>0.44</v>
      </c>
      <c r="CQ105" s="99">
        <v>0.55000000000000004</v>
      </c>
      <c r="CR105" s="99">
        <v>0.55000000000000004</v>
      </c>
      <c r="CS105" s="16">
        <v>44</v>
      </c>
      <c r="CT105" s="16">
        <v>8</v>
      </c>
      <c r="CU105" s="96">
        <v>0.36</v>
      </c>
      <c r="CV105" s="96">
        <v>0.56000000000000005</v>
      </c>
      <c r="CW105" s="96">
        <v>0.09</v>
      </c>
      <c r="CX105" s="96">
        <v>0</v>
      </c>
      <c r="CY105" s="96">
        <v>0.62</v>
      </c>
      <c r="CZ105" s="96">
        <v>0.38</v>
      </c>
      <c r="DA105" s="96">
        <v>0.65</v>
      </c>
      <c r="DB105" s="96">
        <v>0.44</v>
      </c>
      <c r="DC105" s="96">
        <v>0.52</v>
      </c>
      <c r="DD105" s="96">
        <v>0.63</v>
      </c>
      <c r="DE105" s="96">
        <v>0.57999999999999996</v>
      </c>
      <c r="DF105" s="96">
        <v>0.63</v>
      </c>
      <c r="DG105" s="96">
        <v>0.52</v>
      </c>
      <c r="DH105" s="96">
        <v>0.45</v>
      </c>
      <c r="DI105" s="96">
        <v>0.69</v>
      </c>
      <c r="DJ105" s="96">
        <v>0.65</v>
      </c>
      <c r="DK105" s="96">
        <v>0.52</v>
      </c>
      <c r="DL105" s="96">
        <v>0.45</v>
      </c>
      <c r="DM105" s="96">
        <v>0.6</v>
      </c>
      <c r="DN105" s="96">
        <v>0.56999999999999995</v>
      </c>
      <c r="DO105" s="96">
        <v>0.54</v>
      </c>
      <c r="DP105" s="96">
        <v>0.5</v>
      </c>
      <c r="DQ105" s="96">
        <v>0.61</v>
      </c>
      <c r="DR105" s="96">
        <v>0.31</v>
      </c>
      <c r="DS105" s="96">
        <v>0.42</v>
      </c>
      <c r="DT105" s="96">
        <v>0.63</v>
      </c>
      <c r="DU105" s="96">
        <v>0.7</v>
      </c>
      <c r="DV105" s="96">
        <v>0.73</v>
      </c>
      <c r="DW105" s="96">
        <v>0.43</v>
      </c>
      <c r="DX105" s="61">
        <v>46</v>
      </c>
      <c r="DY105" s="61">
        <v>9</v>
      </c>
      <c r="DZ105" s="66">
        <v>0.25</v>
      </c>
      <c r="EA105" s="66">
        <v>0.64</v>
      </c>
      <c r="EB105" s="66">
        <v>0.1</v>
      </c>
      <c r="EC105" s="66">
        <v>0.01</v>
      </c>
      <c r="ED105" s="66">
        <v>0.54</v>
      </c>
      <c r="EE105" s="66">
        <v>0.51</v>
      </c>
      <c r="EF105" s="66">
        <v>0.52</v>
      </c>
      <c r="EG105" s="66">
        <v>0.48</v>
      </c>
      <c r="EH105" s="66">
        <v>0.5</v>
      </c>
      <c r="EI105" s="66">
        <v>0.57999999999999996</v>
      </c>
      <c r="EJ105" s="66">
        <v>0.65</v>
      </c>
      <c r="EK105" s="66">
        <v>0.35</v>
      </c>
      <c r="EL105" s="66">
        <v>0.53</v>
      </c>
      <c r="EM105" s="66">
        <v>0.72</v>
      </c>
      <c r="EN105" s="66">
        <v>0.55000000000000004</v>
      </c>
      <c r="EO105" s="66">
        <v>0.64</v>
      </c>
      <c r="EP105" s="66">
        <v>0.46</v>
      </c>
      <c r="EQ105" s="66">
        <v>0.35</v>
      </c>
      <c r="ER105" s="66">
        <v>0.59</v>
      </c>
      <c r="ES105" s="66">
        <v>0.57999999999999996</v>
      </c>
      <c r="ET105" s="66">
        <v>0.45</v>
      </c>
      <c r="EU105" s="66">
        <v>0.63</v>
      </c>
      <c r="EV105" s="66">
        <v>0.43</v>
      </c>
      <c r="EW105" s="66">
        <v>0.37</v>
      </c>
      <c r="EX105" s="66">
        <v>0.68</v>
      </c>
      <c r="EY105" s="66">
        <v>0.63</v>
      </c>
      <c r="EZ105" s="66">
        <v>0.27</v>
      </c>
      <c r="FA105" s="66">
        <v>0.7</v>
      </c>
      <c r="FB105" s="349">
        <v>45</v>
      </c>
      <c r="FC105" s="348" t="s">
        <v>910</v>
      </c>
      <c r="FD105" s="349">
        <v>7</v>
      </c>
      <c r="FE105" s="348" t="s">
        <v>910</v>
      </c>
      <c r="FF105" s="371">
        <v>0.35</v>
      </c>
      <c r="FG105" s="371">
        <v>0.56000000000000005</v>
      </c>
      <c r="FH105" s="371">
        <v>0.08</v>
      </c>
      <c r="FI105" s="371">
        <v>0</v>
      </c>
      <c r="FJ105" s="371">
        <v>0.57999999999999996</v>
      </c>
      <c r="FK105" s="371">
        <v>0.71</v>
      </c>
      <c r="FL105" s="371">
        <v>0.57999999999999996</v>
      </c>
      <c r="FM105" s="371">
        <v>0.51</v>
      </c>
      <c r="FN105" s="371">
        <v>0.44</v>
      </c>
      <c r="FO105" s="371">
        <v>0.47</v>
      </c>
      <c r="FP105" s="371">
        <v>0.48</v>
      </c>
      <c r="FQ105" s="371">
        <v>0.52</v>
      </c>
      <c r="FR105" s="371">
        <v>0.65</v>
      </c>
      <c r="FS105" s="371">
        <v>0.53</v>
      </c>
      <c r="FT105" s="371">
        <v>0.6</v>
      </c>
      <c r="FU105" s="371">
        <v>0.49</v>
      </c>
      <c r="FV105" s="371">
        <v>0.7</v>
      </c>
      <c r="FW105" s="371">
        <v>0.62</v>
      </c>
      <c r="FX105" s="371">
        <v>0.6</v>
      </c>
      <c r="FY105" s="371">
        <v>0.49</v>
      </c>
      <c r="FZ105" s="371">
        <v>0.46</v>
      </c>
      <c r="GA105" s="371">
        <v>0.62</v>
      </c>
      <c r="GB105" s="371">
        <v>0.56000000000000005</v>
      </c>
      <c r="GC105" s="371">
        <v>0.56999999999999995</v>
      </c>
      <c r="GD105" s="371">
        <v>0.67</v>
      </c>
      <c r="GE105" s="371">
        <v>0.6</v>
      </c>
      <c r="GF105" s="371">
        <v>0.57999999999999996</v>
      </c>
      <c r="GG105" s="371">
        <v>0.56999999999999995</v>
      </c>
      <c r="GH105" s="371">
        <v>0.68</v>
      </c>
      <c r="GI105" s="371">
        <v>0.4</v>
      </c>
      <c r="GJ105" s="469">
        <v>46</v>
      </c>
      <c r="GK105" s="471" t="s">
        <v>910</v>
      </c>
      <c r="GL105" s="469">
        <v>9</v>
      </c>
      <c r="GM105" s="471" t="s">
        <v>910</v>
      </c>
      <c r="GN105" s="501">
        <v>0.25</v>
      </c>
      <c r="GO105" s="501">
        <v>0.59</v>
      </c>
      <c r="GP105" s="501">
        <v>0.16</v>
      </c>
      <c r="GQ105" s="501">
        <v>0</v>
      </c>
      <c r="GR105" s="501">
        <v>0.51</v>
      </c>
      <c r="GS105" s="501">
        <v>0.63</v>
      </c>
      <c r="GT105" s="501">
        <v>0.68</v>
      </c>
      <c r="GU105" s="501">
        <v>0.42</v>
      </c>
      <c r="GV105" s="501">
        <v>0.62</v>
      </c>
      <c r="GW105" s="501">
        <v>0.55000000000000004</v>
      </c>
      <c r="GX105" s="501">
        <v>0.56000000000000005</v>
      </c>
      <c r="GY105" s="471" t="s">
        <v>287</v>
      </c>
      <c r="GZ105" s="501">
        <v>0.37</v>
      </c>
      <c r="HA105" s="501">
        <v>0.66</v>
      </c>
      <c r="HB105" s="501">
        <v>0.57999999999999996</v>
      </c>
      <c r="HC105" s="501">
        <v>0.61</v>
      </c>
      <c r="HD105" s="501">
        <v>0.66</v>
      </c>
      <c r="HE105" s="501">
        <v>0.49</v>
      </c>
      <c r="HF105" s="501">
        <v>0.54</v>
      </c>
      <c r="HG105" s="501">
        <v>0.71</v>
      </c>
      <c r="HH105" s="501">
        <v>0.48</v>
      </c>
      <c r="HI105" s="501">
        <v>0.65</v>
      </c>
      <c r="HJ105" s="501">
        <v>0.61</v>
      </c>
      <c r="HK105" s="501">
        <v>0.56000000000000005</v>
      </c>
      <c r="HL105" s="501">
        <v>0.48</v>
      </c>
      <c r="HM105" s="501">
        <v>0.56999999999999995</v>
      </c>
      <c r="HN105" s="501">
        <v>0.57999999999999996</v>
      </c>
      <c r="HO105" s="501">
        <v>0.52</v>
      </c>
      <c r="HP105" s="471" t="s">
        <v>287</v>
      </c>
      <c r="HQ105" s="501">
        <v>0.47</v>
      </c>
      <c r="HR105" s="630">
        <v>45</v>
      </c>
      <c r="HS105" s="640" t="s">
        <v>910</v>
      </c>
      <c r="HT105" s="630">
        <v>9</v>
      </c>
      <c r="HU105" s="640" t="s">
        <v>910</v>
      </c>
      <c r="HV105" s="644">
        <v>0.37</v>
      </c>
      <c r="HW105" s="644">
        <v>0.5</v>
      </c>
      <c r="HX105" s="644">
        <v>0.12</v>
      </c>
      <c r="HY105" s="644">
        <v>0.01</v>
      </c>
      <c r="HZ105" s="644">
        <v>0.55000000000000004</v>
      </c>
      <c r="IA105" s="644">
        <v>0.65</v>
      </c>
      <c r="IB105" s="644">
        <v>0.47</v>
      </c>
      <c r="IC105" s="644">
        <v>0.56999999999999995</v>
      </c>
      <c r="ID105" s="644">
        <v>0.68</v>
      </c>
      <c r="IE105" s="644">
        <v>0.53</v>
      </c>
      <c r="IF105" s="644">
        <v>0.54</v>
      </c>
      <c r="IG105" s="644">
        <v>0.65</v>
      </c>
      <c r="IH105" s="644">
        <v>0.63</v>
      </c>
      <c r="II105" s="644">
        <v>0.44</v>
      </c>
      <c r="IJ105" s="644">
        <v>0.39</v>
      </c>
      <c r="IK105" s="644">
        <v>0.64</v>
      </c>
      <c r="IL105" s="644">
        <v>0.48</v>
      </c>
      <c r="IM105" s="644">
        <v>0.61</v>
      </c>
      <c r="IN105" s="644">
        <v>0.57999999999999996</v>
      </c>
      <c r="IO105" s="644">
        <v>0.61</v>
      </c>
      <c r="IP105" s="644">
        <v>0.55000000000000004</v>
      </c>
      <c r="IQ105" s="644">
        <v>0.7</v>
      </c>
      <c r="IR105" s="644">
        <v>0.66</v>
      </c>
      <c r="IS105" s="644">
        <v>0.57999999999999996</v>
      </c>
      <c r="IT105" s="644">
        <v>0.54</v>
      </c>
      <c r="IU105" s="640" t="s">
        <v>287</v>
      </c>
      <c r="IV105" s="644">
        <v>0.7</v>
      </c>
      <c r="IW105" s="644">
        <v>0.54</v>
      </c>
      <c r="IX105" s="644">
        <v>0.63</v>
      </c>
      <c r="IY105" s="644">
        <v>0.62</v>
      </c>
    </row>
    <row r="106" spans="1:259" ht="24.9" customHeight="1" x14ac:dyDescent="0.25">
      <c r="A106" s="188" t="s">
        <v>86</v>
      </c>
      <c r="B106" s="1" t="s">
        <v>220</v>
      </c>
      <c r="C106" s="2">
        <v>1</v>
      </c>
      <c r="D106" s="16">
        <v>53</v>
      </c>
      <c r="E106" s="16">
        <v>7</v>
      </c>
      <c r="F106" s="99">
        <v>0.05</v>
      </c>
      <c r="G106" s="99">
        <v>0.62</v>
      </c>
      <c r="H106" s="99">
        <v>0.32</v>
      </c>
      <c r="I106" s="99">
        <v>0.01</v>
      </c>
      <c r="J106" s="99">
        <v>0.49</v>
      </c>
      <c r="K106" s="99">
        <v>0.4</v>
      </c>
      <c r="L106" s="99">
        <v>0.77</v>
      </c>
      <c r="M106" s="99">
        <v>0.22</v>
      </c>
      <c r="N106" s="99">
        <v>0.26</v>
      </c>
      <c r="O106" s="99">
        <v>0.66</v>
      </c>
      <c r="P106" s="99">
        <v>0.32</v>
      </c>
      <c r="Q106" s="99">
        <v>0.45</v>
      </c>
      <c r="R106" s="99">
        <v>0.53</v>
      </c>
      <c r="S106" s="99">
        <v>0.6</v>
      </c>
      <c r="T106" s="99">
        <v>0.49</v>
      </c>
      <c r="U106" s="99">
        <v>0.62</v>
      </c>
      <c r="V106" s="99">
        <v>7.0000000000000007E-2</v>
      </c>
      <c r="W106" s="99">
        <v>0.14000000000000001</v>
      </c>
      <c r="X106" s="99">
        <v>0.47</v>
      </c>
      <c r="Y106" s="99">
        <v>0.57999999999999996</v>
      </c>
      <c r="Z106" s="99">
        <v>1</v>
      </c>
      <c r="AA106" s="99">
        <v>0.15</v>
      </c>
      <c r="AB106" s="99">
        <v>0.51</v>
      </c>
      <c r="AC106" s="99">
        <v>0.26</v>
      </c>
      <c r="AD106" s="99">
        <v>0.47</v>
      </c>
      <c r="AE106" s="99">
        <v>0.44</v>
      </c>
      <c r="AF106" s="99">
        <v>0.53</v>
      </c>
      <c r="AG106" s="99">
        <v>0.5</v>
      </c>
      <c r="AH106" s="16">
        <v>51</v>
      </c>
      <c r="AI106" s="16">
        <v>7</v>
      </c>
      <c r="AJ106" s="66">
        <v>0.1</v>
      </c>
      <c r="AK106" s="66">
        <v>0.62</v>
      </c>
      <c r="AL106" s="66">
        <v>0.27</v>
      </c>
      <c r="AM106" s="66">
        <v>0</v>
      </c>
      <c r="AN106" s="66">
        <v>0.27</v>
      </c>
      <c r="AO106" s="66">
        <v>0.46</v>
      </c>
      <c r="AP106" s="66">
        <v>0.62</v>
      </c>
      <c r="AQ106" s="66">
        <v>0.42</v>
      </c>
      <c r="AR106" s="66">
        <v>0.6</v>
      </c>
      <c r="AS106" s="66">
        <v>0.56000000000000005</v>
      </c>
      <c r="AT106" s="66">
        <v>0.54</v>
      </c>
      <c r="AU106" s="66">
        <v>0.54</v>
      </c>
      <c r="AV106" s="66">
        <v>0.64</v>
      </c>
      <c r="AW106" s="66">
        <v>0.45</v>
      </c>
      <c r="AX106" s="66">
        <v>0.57999999999999996</v>
      </c>
      <c r="AY106" s="66">
        <v>0.3</v>
      </c>
      <c r="AZ106" s="66">
        <v>0.31</v>
      </c>
      <c r="BA106" s="66">
        <v>0.51</v>
      </c>
      <c r="BB106" s="66">
        <v>0.71</v>
      </c>
      <c r="BC106" s="66">
        <v>0.67</v>
      </c>
      <c r="BD106" s="66">
        <v>0.44</v>
      </c>
      <c r="BE106" s="66">
        <v>0.46</v>
      </c>
      <c r="BF106" s="66">
        <v>0.63</v>
      </c>
      <c r="BG106" s="66">
        <v>0.54</v>
      </c>
      <c r="BH106" s="66">
        <v>0.44</v>
      </c>
      <c r="BI106" s="66">
        <v>0.42</v>
      </c>
      <c r="BJ106" s="66">
        <v>0.36</v>
      </c>
      <c r="BK106" s="66">
        <v>0.49</v>
      </c>
      <c r="BL106" s="66">
        <v>0.46</v>
      </c>
      <c r="BM106" s="16">
        <v>50</v>
      </c>
      <c r="BN106" s="16">
        <v>9</v>
      </c>
      <c r="BO106" s="99">
        <v>0.11</v>
      </c>
      <c r="BP106" s="99">
        <v>0.62</v>
      </c>
      <c r="BQ106" s="99">
        <v>0.24</v>
      </c>
      <c r="BR106" s="99">
        <v>0.02</v>
      </c>
      <c r="BS106" s="99">
        <v>0.31</v>
      </c>
      <c r="BT106" s="99">
        <v>0.52</v>
      </c>
      <c r="BU106" s="99">
        <v>0.67</v>
      </c>
      <c r="BV106" s="99">
        <v>0.37</v>
      </c>
      <c r="BW106" s="99">
        <v>0.61</v>
      </c>
      <c r="BX106" s="99">
        <v>0.34</v>
      </c>
      <c r="BY106" s="99">
        <v>0.5</v>
      </c>
      <c r="BZ106" s="99">
        <v>0.53</v>
      </c>
      <c r="CA106" s="99">
        <v>0.4</v>
      </c>
      <c r="CB106" s="99">
        <v>0.4</v>
      </c>
      <c r="CC106" s="99">
        <v>0.21</v>
      </c>
      <c r="CD106" s="99">
        <v>0.43</v>
      </c>
      <c r="CE106" s="99">
        <v>0.35</v>
      </c>
      <c r="CF106" s="99">
        <v>0.56000000000000005</v>
      </c>
      <c r="CG106" s="99">
        <v>0.6</v>
      </c>
      <c r="CH106" s="99">
        <v>0.48</v>
      </c>
      <c r="CI106" s="99">
        <v>0.56999999999999995</v>
      </c>
      <c r="CJ106" s="99">
        <v>0.33</v>
      </c>
      <c r="CK106" s="99">
        <v>0.67</v>
      </c>
      <c r="CL106" s="99">
        <v>0.34</v>
      </c>
      <c r="CM106" s="99">
        <v>0.45</v>
      </c>
      <c r="CN106" s="99">
        <v>0.47</v>
      </c>
      <c r="CO106" s="99">
        <v>0.45</v>
      </c>
      <c r="CP106" s="99">
        <v>0.38</v>
      </c>
      <c r="CQ106" s="99">
        <v>0.55000000000000004</v>
      </c>
      <c r="CR106" s="99">
        <v>0.56999999999999995</v>
      </c>
      <c r="CS106" s="16">
        <v>48</v>
      </c>
      <c r="CT106" s="16">
        <v>9</v>
      </c>
      <c r="CU106" s="96">
        <v>0.22</v>
      </c>
      <c r="CV106" s="96">
        <v>0.56999999999999995</v>
      </c>
      <c r="CW106" s="96">
        <v>0.2</v>
      </c>
      <c r="CX106" s="96">
        <v>0.01</v>
      </c>
      <c r="CY106" s="96">
        <v>0.51</v>
      </c>
      <c r="CZ106" s="96">
        <v>0.34</v>
      </c>
      <c r="DA106" s="96">
        <v>0.6</v>
      </c>
      <c r="DB106" s="96">
        <v>0.34</v>
      </c>
      <c r="DC106" s="96">
        <v>0.51</v>
      </c>
      <c r="DD106" s="96">
        <v>0.61</v>
      </c>
      <c r="DE106" s="96">
        <v>0.52</v>
      </c>
      <c r="DF106" s="96">
        <v>0.56999999999999995</v>
      </c>
      <c r="DG106" s="96">
        <v>0.5</v>
      </c>
      <c r="DH106" s="96">
        <v>0.4</v>
      </c>
      <c r="DI106" s="96">
        <v>0.57999999999999996</v>
      </c>
      <c r="DJ106" s="96">
        <v>0.53</v>
      </c>
      <c r="DK106" s="96">
        <v>0.38</v>
      </c>
      <c r="DL106" s="96">
        <v>0.31</v>
      </c>
      <c r="DM106" s="96">
        <v>0.6</v>
      </c>
      <c r="DN106" s="96">
        <v>0.52</v>
      </c>
      <c r="DO106" s="96">
        <v>0.51</v>
      </c>
      <c r="DP106" s="96">
        <v>0.47</v>
      </c>
      <c r="DQ106" s="96">
        <v>0.56999999999999995</v>
      </c>
      <c r="DR106" s="96">
        <v>0.25</v>
      </c>
      <c r="DS106" s="96">
        <v>0.42</v>
      </c>
      <c r="DT106" s="96">
        <v>0.61</v>
      </c>
      <c r="DU106" s="96">
        <v>0.46</v>
      </c>
      <c r="DV106" s="96">
        <v>0.6</v>
      </c>
      <c r="DW106" s="96">
        <v>0.39</v>
      </c>
      <c r="DX106" s="61">
        <v>47</v>
      </c>
      <c r="DY106" s="61">
        <v>8</v>
      </c>
      <c r="DZ106" s="66">
        <v>0.2</v>
      </c>
      <c r="EA106" s="66">
        <v>0.62</v>
      </c>
      <c r="EB106" s="66">
        <v>0.18</v>
      </c>
      <c r="EC106" s="66">
        <v>0</v>
      </c>
      <c r="ED106" s="66">
        <v>0.49</v>
      </c>
      <c r="EE106" s="66">
        <v>0.5</v>
      </c>
      <c r="EF106" s="66">
        <v>0.54</v>
      </c>
      <c r="EG106" s="66">
        <v>0.42</v>
      </c>
      <c r="EH106" s="66">
        <v>0.46</v>
      </c>
      <c r="EI106" s="66">
        <v>0.55000000000000004</v>
      </c>
      <c r="EJ106" s="66">
        <v>0.64</v>
      </c>
      <c r="EK106" s="66">
        <v>0.28000000000000003</v>
      </c>
      <c r="EL106" s="66">
        <v>0.49</v>
      </c>
      <c r="EM106" s="66">
        <v>0.69</v>
      </c>
      <c r="EN106" s="66">
        <v>0.5</v>
      </c>
      <c r="EO106" s="66">
        <v>0.59</v>
      </c>
      <c r="EP106" s="66">
        <v>0.45</v>
      </c>
      <c r="EQ106" s="66">
        <v>0.31</v>
      </c>
      <c r="ER106" s="66">
        <v>0.61</v>
      </c>
      <c r="ES106" s="66">
        <v>0.51</v>
      </c>
      <c r="ET106" s="66">
        <v>0.42</v>
      </c>
      <c r="EU106" s="66">
        <v>0.61</v>
      </c>
      <c r="EV106" s="66">
        <v>0.45</v>
      </c>
      <c r="EW106" s="66">
        <v>0.36</v>
      </c>
      <c r="EX106" s="66">
        <v>0.78</v>
      </c>
      <c r="EY106" s="66">
        <v>0.64</v>
      </c>
      <c r="EZ106" s="66">
        <v>0.26</v>
      </c>
      <c r="FA106" s="66">
        <v>0.65</v>
      </c>
      <c r="FB106" s="349">
        <v>47</v>
      </c>
      <c r="FC106" s="348" t="s">
        <v>910</v>
      </c>
      <c r="FD106" s="349">
        <v>8</v>
      </c>
      <c r="FE106" s="348" t="s">
        <v>910</v>
      </c>
      <c r="FF106" s="371">
        <v>0.21</v>
      </c>
      <c r="FG106" s="371">
        <v>0.63</v>
      </c>
      <c r="FH106" s="371">
        <v>0.15</v>
      </c>
      <c r="FI106" s="371">
        <v>0.01</v>
      </c>
      <c r="FJ106" s="371">
        <v>0.5</v>
      </c>
      <c r="FK106" s="371">
        <v>0.71</v>
      </c>
      <c r="FL106" s="371">
        <v>0.55000000000000004</v>
      </c>
      <c r="FM106" s="371">
        <v>0.45</v>
      </c>
      <c r="FN106" s="371">
        <v>0.34</v>
      </c>
      <c r="FO106" s="371">
        <v>0.45</v>
      </c>
      <c r="FP106" s="371">
        <v>0.44</v>
      </c>
      <c r="FQ106" s="371">
        <v>0.44</v>
      </c>
      <c r="FR106" s="371">
        <v>0.57999999999999996</v>
      </c>
      <c r="FS106" s="371">
        <v>0.54</v>
      </c>
      <c r="FT106" s="371">
        <v>0.54</v>
      </c>
      <c r="FU106" s="371">
        <v>0.45</v>
      </c>
      <c r="FV106" s="371">
        <v>0.64</v>
      </c>
      <c r="FW106" s="371">
        <v>0.68</v>
      </c>
      <c r="FX106" s="371">
        <v>0.53</v>
      </c>
      <c r="FY106" s="371">
        <v>0.47</v>
      </c>
      <c r="FZ106" s="371">
        <v>0.48</v>
      </c>
      <c r="GA106" s="371">
        <v>0.51</v>
      </c>
      <c r="GB106" s="371">
        <v>0.53</v>
      </c>
      <c r="GC106" s="371">
        <v>0.48</v>
      </c>
      <c r="GD106" s="371">
        <v>0.66</v>
      </c>
      <c r="GE106" s="371">
        <v>0.61</v>
      </c>
      <c r="GF106" s="371">
        <v>0.54</v>
      </c>
      <c r="GG106" s="371">
        <v>0.51</v>
      </c>
      <c r="GH106" s="371">
        <v>0.59</v>
      </c>
      <c r="GI106" s="371">
        <v>0.31</v>
      </c>
      <c r="GJ106" s="469">
        <v>49</v>
      </c>
      <c r="GK106" s="471" t="s">
        <v>910</v>
      </c>
      <c r="GL106" s="469">
        <v>9</v>
      </c>
      <c r="GM106" s="471" t="s">
        <v>910</v>
      </c>
      <c r="GN106" s="501">
        <v>0.15</v>
      </c>
      <c r="GO106" s="501">
        <v>0.63</v>
      </c>
      <c r="GP106" s="501">
        <v>0.22</v>
      </c>
      <c r="GQ106" s="501">
        <v>0</v>
      </c>
      <c r="GR106" s="501">
        <v>0.5</v>
      </c>
      <c r="GS106" s="501">
        <v>0.59</v>
      </c>
      <c r="GT106" s="501">
        <v>0.63</v>
      </c>
      <c r="GU106" s="501">
        <v>0.25</v>
      </c>
      <c r="GV106" s="501">
        <v>0.57999999999999996</v>
      </c>
      <c r="GW106" s="501">
        <v>0.51</v>
      </c>
      <c r="GX106" s="501">
        <v>0.48</v>
      </c>
      <c r="GY106" s="471" t="s">
        <v>287</v>
      </c>
      <c r="GZ106" s="501">
        <v>0.38</v>
      </c>
      <c r="HA106" s="501">
        <v>0.71</v>
      </c>
      <c r="HB106" s="501">
        <v>0.48</v>
      </c>
      <c r="HC106" s="501">
        <v>0.52</v>
      </c>
      <c r="HD106" s="501">
        <v>0.63</v>
      </c>
      <c r="HE106" s="501">
        <v>0.46</v>
      </c>
      <c r="HF106" s="501">
        <v>0.52</v>
      </c>
      <c r="HG106" s="501">
        <v>0.69</v>
      </c>
      <c r="HH106" s="501">
        <v>0.39</v>
      </c>
      <c r="HI106" s="501">
        <v>0.54</v>
      </c>
      <c r="HJ106" s="501">
        <v>0.62</v>
      </c>
      <c r="HK106" s="501">
        <v>0.54</v>
      </c>
      <c r="HL106" s="501">
        <v>0.44</v>
      </c>
      <c r="HM106" s="501">
        <v>0.53</v>
      </c>
      <c r="HN106" s="501">
        <v>0.53</v>
      </c>
      <c r="HO106" s="501">
        <v>0.46</v>
      </c>
      <c r="HP106" s="471" t="s">
        <v>287</v>
      </c>
      <c r="HQ106" s="501">
        <v>0.45</v>
      </c>
      <c r="HR106" s="630">
        <v>50</v>
      </c>
      <c r="HS106" s="640" t="s">
        <v>910</v>
      </c>
      <c r="HT106" s="630">
        <v>8</v>
      </c>
      <c r="HU106" s="640" t="s">
        <v>910</v>
      </c>
      <c r="HV106" s="644">
        <v>0.11</v>
      </c>
      <c r="HW106" s="644">
        <v>0.63</v>
      </c>
      <c r="HX106" s="644">
        <v>0.24</v>
      </c>
      <c r="HY106" s="644">
        <v>0.01</v>
      </c>
      <c r="HZ106" s="644">
        <v>0.44</v>
      </c>
      <c r="IA106" s="644">
        <v>0.56000000000000005</v>
      </c>
      <c r="IB106" s="644">
        <v>0.34</v>
      </c>
      <c r="IC106" s="644">
        <v>0.52</v>
      </c>
      <c r="ID106" s="644">
        <v>0.63</v>
      </c>
      <c r="IE106" s="644">
        <v>0.39</v>
      </c>
      <c r="IF106" s="644">
        <v>0.42</v>
      </c>
      <c r="IG106" s="644">
        <v>0.54</v>
      </c>
      <c r="IH106" s="644">
        <v>0.52</v>
      </c>
      <c r="II106" s="644">
        <v>0.36</v>
      </c>
      <c r="IJ106" s="644">
        <v>0.28999999999999998</v>
      </c>
      <c r="IK106" s="644">
        <v>0.6</v>
      </c>
      <c r="IL106" s="644">
        <v>0.36</v>
      </c>
      <c r="IM106" s="644">
        <v>0.61</v>
      </c>
      <c r="IN106" s="644">
        <v>0.48</v>
      </c>
      <c r="IO106" s="644">
        <v>0.54</v>
      </c>
      <c r="IP106" s="644">
        <v>0.47</v>
      </c>
      <c r="IQ106" s="644">
        <v>0.67</v>
      </c>
      <c r="IR106" s="644">
        <v>0.65</v>
      </c>
      <c r="IS106" s="644">
        <v>0.55000000000000004</v>
      </c>
      <c r="IT106" s="644">
        <v>0.48</v>
      </c>
      <c r="IU106" s="640" t="s">
        <v>287</v>
      </c>
      <c r="IV106" s="644">
        <v>0.63</v>
      </c>
      <c r="IW106" s="644">
        <v>0.45</v>
      </c>
      <c r="IX106" s="644">
        <v>0.49</v>
      </c>
      <c r="IY106" s="644">
        <v>0.54</v>
      </c>
    </row>
    <row r="107" spans="1:259" ht="24.9" customHeight="1" x14ac:dyDescent="0.25">
      <c r="A107" s="188" t="s">
        <v>46</v>
      </c>
      <c r="B107" s="1" t="s">
        <v>222</v>
      </c>
      <c r="C107" s="2">
        <v>5</v>
      </c>
      <c r="D107" s="16">
        <v>56</v>
      </c>
      <c r="E107" s="16">
        <v>8</v>
      </c>
      <c r="F107" s="99">
        <v>0.03</v>
      </c>
      <c r="G107" s="99">
        <v>0.5</v>
      </c>
      <c r="H107" s="99">
        <v>0.44</v>
      </c>
      <c r="I107" s="99">
        <v>0.03</v>
      </c>
      <c r="J107" s="99">
        <v>0.25</v>
      </c>
      <c r="K107" s="99">
        <v>0.44</v>
      </c>
      <c r="L107" s="99">
        <v>0.75</v>
      </c>
      <c r="M107" s="99">
        <v>0.28000000000000003</v>
      </c>
      <c r="N107" s="99">
        <v>0.26</v>
      </c>
      <c r="O107" s="99">
        <v>0.62</v>
      </c>
      <c r="P107" s="99">
        <v>0.28999999999999998</v>
      </c>
      <c r="Q107" s="99">
        <v>0.28999999999999998</v>
      </c>
      <c r="R107" s="99">
        <v>0.41</v>
      </c>
      <c r="S107" s="99">
        <v>0.55000000000000004</v>
      </c>
      <c r="T107" s="99">
        <v>0.47</v>
      </c>
      <c r="U107" s="99">
        <v>0.61</v>
      </c>
      <c r="V107" s="99">
        <v>0.06</v>
      </c>
      <c r="W107" s="99">
        <v>0.12</v>
      </c>
      <c r="X107" s="99">
        <v>0.49</v>
      </c>
      <c r="Y107" s="99">
        <v>0.5</v>
      </c>
      <c r="Z107" s="13" t="s">
        <v>287</v>
      </c>
      <c r="AA107" s="99">
        <v>0.08</v>
      </c>
      <c r="AB107" s="99">
        <v>0.42</v>
      </c>
      <c r="AC107" s="99">
        <v>0.24</v>
      </c>
      <c r="AD107" s="99">
        <v>0.54</v>
      </c>
      <c r="AE107" s="99">
        <v>0.28999999999999998</v>
      </c>
      <c r="AF107" s="99">
        <v>0.43</v>
      </c>
      <c r="AG107" s="99">
        <v>0.46</v>
      </c>
      <c r="AH107" s="16">
        <v>50</v>
      </c>
      <c r="AI107" s="16">
        <v>8</v>
      </c>
      <c r="AJ107" s="66">
        <v>0.1</v>
      </c>
      <c r="AK107" s="66">
        <v>0.63</v>
      </c>
      <c r="AL107" s="66">
        <v>0.27</v>
      </c>
      <c r="AM107" s="66">
        <v>0</v>
      </c>
      <c r="AN107" s="66">
        <v>0.37</v>
      </c>
      <c r="AO107" s="66">
        <v>0.52</v>
      </c>
      <c r="AP107" s="66">
        <v>0.57999999999999996</v>
      </c>
      <c r="AQ107" s="66">
        <v>0.4</v>
      </c>
      <c r="AR107" s="66">
        <v>0.5</v>
      </c>
      <c r="AS107" s="66">
        <v>0.56000000000000005</v>
      </c>
      <c r="AT107" s="66">
        <v>0.59</v>
      </c>
      <c r="AU107" s="66">
        <v>0.49</v>
      </c>
      <c r="AV107" s="66">
        <v>0.68</v>
      </c>
      <c r="AW107" s="66">
        <v>0.62</v>
      </c>
      <c r="AX107" s="66">
        <v>0.7</v>
      </c>
      <c r="AY107" s="66">
        <v>0.36</v>
      </c>
      <c r="AZ107" s="66">
        <v>0.34</v>
      </c>
      <c r="BA107" s="66">
        <v>0.52</v>
      </c>
      <c r="BB107" s="66">
        <v>0.72</v>
      </c>
      <c r="BC107" s="66">
        <v>0.75</v>
      </c>
      <c r="BD107" s="66">
        <v>0.4</v>
      </c>
      <c r="BE107" s="66">
        <v>0.56999999999999995</v>
      </c>
      <c r="BF107" s="66">
        <v>0.56999999999999995</v>
      </c>
      <c r="BG107" s="66">
        <v>0.53</v>
      </c>
      <c r="BH107" s="66">
        <v>0.48</v>
      </c>
      <c r="BI107" s="66">
        <v>0.47</v>
      </c>
      <c r="BJ107" s="66">
        <v>0.34</v>
      </c>
      <c r="BK107" s="66">
        <v>0.48</v>
      </c>
      <c r="BL107" s="66">
        <v>0.65</v>
      </c>
      <c r="BM107" s="16">
        <v>48</v>
      </c>
      <c r="BN107" s="16">
        <v>10</v>
      </c>
      <c r="BO107" s="99">
        <v>0.24</v>
      </c>
      <c r="BP107" s="99">
        <v>0.56999999999999995</v>
      </c>
      <c r="BQ107" s="99">
        <v>0.19</v>
      </c>
      <c r="BR107" s="99">
        <v>0</v>
      </c>
      <c r="BS107" s="99">
        <v>0.36</v>
      </c>
      <c r="BT107" s="99">
        <v>0.69</v>
      </c>
      <c r="BU107" s="99">
        <v>0.81</v>
      </c>
      <c r="BV107" s="99">
        <v>0.75</v>
      </c>
      <c r="BW107" s="99">
        <v>0.56000000000000005</v>
      </c>
      <c r="BX107" s="99">
        <v>0.43</v>
      </c>
      <c r="BY107" s="99">
        <v>0.46</v>
      </c>
      <c r="BZ107" s="99">
        <v>0.53</v>
      </c>
      <c r="CA107" s="99">
        <v>0.45</v>
      </c>
      <c r="CB107" s="99">
        <v>0.54</v>
      </c>
      <c r="CC107" s="99">
        <v>0.32</v>
      </c>
      <c r="CD107" s="99">
        <v>0.4</v>
      </c>
      <c r="CE107" s="99">
        <v>0.37</v>
      </c>
      <c r="CF107" s="99">
        <v>0.55000000000000004</v>
      </c>
      <c r="CG107" s="99">
        <v>0.6</v>
      </c>
      <c r="CH107" s="99">
        <v>0.43</v>
      </c>
      <c r="CI107" s="99">
        <v>0.55000000000000004</v>
      </c>
      <c r="CJ107" s="99">
        <v>0.5</v>
      </c>
      <c r="CK107" s="99">
        <v>0.78</v>
      </c>
      <c r="CL107" s="99">
        <v>0.33</v>
      </c>
      <c r="CM107" s="99">
        <v>0.56999999999999995</v>
      </c>
      <c r="CN107" s="99">
        <v>0.45</v>
      </c>
      <c r="CO107" s="99">
        <v>0.53</v>
      </c>
      <c r="CP107" s="99">
        <v>0.36</v>
      </c>
      <c r="CQ107" s="99">
        <v>0.54</v>
      </c>
      <c r="CR107" s="99">
        <v>0.6</v>
      </c>
      <c r="CS107" s="16">
        <v>49</v>
      </c>
      <c r="CT107" s="16">
        <v>8</v>
      </c>
      <c r="CU107" s="96">
        <v>0.09</v>
      </c>
      <c r="CV107" s="96">
        <v>0.74</v>
      </c>
      <c r="CW107" s="96">
        <v>0.17</v>
      </c>
      <c r="CX107" s="96">
        <v>0</v>
      </c>
      <c r="CY107" s="96">
        <v>0.5</v>
      </c>
      <c r="CZ107" s="96">
        <v>0.28000000000000003</v>
      </c>
      <c r="DA107" s="96">
        <v>0.64</v>
      </c>
      <c r="DB107" s="96">
        <v>0.49</v>
      </c>
      <c r="DC107" s="96">
        <v>0.56000000000000005</v>
      </c>
      <c r="DD107" s="96">
        <v>0.53</v>
      </c>
      <c r="DE107" s="96">
        <v>0.4</v>
      </c>
      <c r="DF107" s="96">
        <v>0.63</v>
      </c>
      <c r="DG107" s="96">
        <v>0.43</v>
      </c>
      <c r="DH107" s="96">
        <v>0.39</v>
      </c>
      <c r="DI107" s="96">
        <v>0.48</v>
      </c>
      <c r="DJ107" s="96">
        <v>0.51</v>
      </c>
      <c r="DK107" s="96">
        <v>0.28000000000000003</v>
      </c>
      <c r="DL107" s="96">
        <v>0.44</v>
      </c>
      <c r="DM107" s="96">
        <v>0.48</v>
      </c>
      <c r="DN107" s="96">
        <v>0.5</v>
      </c>
      <c r="DO107" s="96">
        <v>0.31</v>
      </c>
      <c r="DP107" s="96">
        <v>0.51</v>
      </c>
      <c r="DQ107" s="96">
        <v>0.51</v>
      </c>
      <c r="DR107" s="96">
        <v>0.23</v>
      </c>
      <c r="DS107" s="96">
        <v>0.38</v>
      </c>
      <c r="DT107" s="96">
        <v>0.63</v>
      </c>
      <c r="DU107" s="96">
        <v>0.6</v>
      </c>
      <c r="DV107" s="96">
        <v>0.68</v>
      </c>
      <c r="DW107" s="96">
        <v>0.36</v>
      </c>
      <c r="DX107" s="61">
        <v>50</v>
      </c>
      <c r="DY107" s="61">
        <v>8</v>
      </c>
      <c r="DZ107" s="66">
        <v>0.15</v>
      </c>
      <c r="EA107" s="66">
        <v>0.59</v>
      </c>
      <c r="EB107" s="66">
        <v>0.26</v>
      </c>
      <c r="EC107" s="66">
        <v>0</v>
      </c>
      <c r="ED107" s="66">
        <v>0.34</v>
      </c>
      <c r="EE107" s="66">
        <v>0.37</v>
      </c>
      <c r="EF107" s="66">
        <v>0.5</v>
      </c>
      <c r="EG107" s="66">
        <v>0.27</v>
      </c>
      <c r="EH107" s="66">
        <v>0.51</v>
      </c>
      <c r="EI107" s="66">
        <v>0.49</v>
      </c>
      <c r="EJ107" s="66">
        <v>0.56999999999999995</v>
      </c>
      <c r="EK107" s="66">
        <v>0.35</v>
      </c>
      <c r="EL107" s="66">
        <v>0.47</v>
      </c>
      <c r="EM107" s="66">
        <v>0.81</v>
      </c>
      <c r="EN107" s="66">
        <v>0.53</v>
      </c>
      <c r="EO107" s="66">
        <v>0.67</v>
      </c>
      <c r="EP107" s="66">
        <v>0.34</v>
      </c>
      <c r="EQ107" s="66">
        <v>0.23</v>
      </c>
      <c r="ER107" s="66">
        <v>0.67</v>
      </c>
      <c r="ES107" s="66">
        <v>0.38</v>
      </c>
      <c r="ET107" s="66">
        <v>0.28999999999999998</v>
      </c>
      <c r="EU107" s="66">
        <v>0.57999999999999996</v>
      </c>
      <c r="EV107" s="66">
        <v>0.47</v>
      </c>
      <c r="EW107" s="66">
        <v>0.22</v>
      </c>
      <c r="EX107" s="66">
        <v>0.82</v>
      </c>
      <c r="EY107" s="66">
        <v>0.56999999999999995</v>
      </c>
      <c r="EZ107" s="66">
        <v>0.15</v>
      </c>
      <c r="FA107" s="66">
        <v>0.68</v>
      </c>
      <c r="FB107" s="349">
        <v>53</v>
      </c>
      <c r="FC107" s="348" t="s">
        <v>910</v>
      </c>
      <c r="FD107" s="349">
        <v>7</v>
      </c>
      <c r="FE107" s="348" t="s">
        <v>910</v>
      </c>
      <c r="FF107" s="371">
        <v>0</v>
      </c>
      <c r="FG107" s="371">
        <v>0.72</v>
      </c>
      <c r="FH107" s="371">
        <v>0.28000000000000003</v>
      </c>
      <c r="FI107" s="371">
        <v>0</v>
      </c>
      <c r="FJ107" s="371">
        <v>0.43</v>
      </c>
      <c r="FK107" s="371">
        <v>0.59</v>
      </c>
      <c r="FL107" s="371">
        <v>0.46</v>
      </c>
      <c r="FM107" s="371">
        <v>0.44</v>
      </c>
      <c r="FN107" s="371">
        <v>0.14000000000000001</v>
      </c>
      <c r="FO107" s="371">
        <v>0.17</v>
      </c>
      <c r="FP107" s="371">
        <v>0.33</v>
      </c>
      <c r="FQ107" s="371">
        <v>0.28999999999999998</v>
      </c>
      <c r="FR107" s="371">
        <v>0.56999999999999995</v>
      </c>
      <c r="FS107" s="371">
        <v>0.31</v>
      </c>
      <c r="FT107" s="371">
        <v>0.4</v>
      </c>
      <c r="FU107" s="371">
        <v>0.28000000000000003</v>
      </c>
      <c r="FV107" s="371">
        <v>0.62</v>
      </c>
      <c r="FW107" s="371">
        <v>0.59</v>
      </c>
      <c r="FX107" s="371">
        <v>0.43</v>
      </c>
      <c r="FY107" s="371">
        <v>0.18</v>
      </c>
      <c r="FZ107" s="371">
        <v>0.39</v>
      </c>
      <c r="GA107" s="371">
        <v>0.52</v>
      </c>
      <c r="GB107" s="371">
        <v>0.52</v>
      </c>
      <c r="GC107" s="371">
        <v>0.41</v>
      </c>
      <c r="GD107" s="371">
        <v>0.5</v>
      </c>
      <c r="GE107" s="371">
        <v>0.45</v>
      </c>
      <c r="GF107" s="371">
        <v>0.35</v>
      </c>
      <c r="GG107" s="371">
        <v>0.41</v>
      </c>
      <c r="GH107" s="371">
        <v>0.52</v>
      </c>
      <c r="GI107" s="371">
        <v>0.3</v>
      </c>
    </row>
    <row r="108" spans="1:259" ht="24.9" customHeight="1" x14ac:dyDescent="0.25">
      <c r="A108" s="188" t="s">
        <v>61</v>
      </c>
      <c r="B108" s="1" t="s">
        <v>220</v>
      </c>
      <c r="C108" s="2">
        <v>6</v>
      </c>
      <c r="D108" s="16">
        <v>54</v>
      </c>
      <c r="E108" s="16">
        <v>7</v>
      </c>
      <c r="F108" s="99">
        <v>0.03</v>
      </c>
      <c r="G108" s="99">
        <v>0.57999999999999996</v>
      </c>
      <c r="H108" s="99">
        <v>0.39</v>
      </c>
      <c r="I108" s="99">
        <v>0</v>
      </c>
      <c r="J108" s="99">
        <v>0.34</v>
      </c>
      <c r="K108" s="99">
        <v>0.28999999999999998</v>
      </c>
      <c r="L108" s="99">
        <v>0.66</v>
      </c>
      <c r="M108" s="99">
        <v>0.21</v>
      </c>
      <c r="N108" s="99">
        <v>0.32</v>
      </c>
      <c r="O108" s="99">
        <v>0.56000000000000005</v>
      </c>
      <c r="P108" s="99">
        <v>0.28999999999999998</v>
      </c>
      <c r="Q108" s="99">
        <v>0.41</v>
      </c>
      <c r="R108" s="99">
        <v>0.55000000000000004</v>
      </c>
      <c r="S108" s="99">
        <v>0.52</v>
      </c>
      <c r="T108" s="99">
        <v>0.41</v>
      </c>
      <c r="U108" s="99">
        <v>0.61</v>
      </c>
      <c r="V108" s="99">
        <v>7.0000000000000007E-2</v>
      </c>
      <c r="W108" s="99">
        <v>0.08</v>
      </c>
      <c r="X108" s="99">
        <v>0.53</v>
      </c>
      <c r="Y108" s="99">
        <v>0.49</v>
      </c>
      <c r="Z108" s="99">
        <v>1</v>
      </c>
      <c r="AA108" s="99">
        <v>7.0000000000000007E-2</v>
      </c>
      <c r="AB108" s="99">
        <v>0.42</v>
      </c>
      <c r="AC108" s="99">
        <v>0.16</v>
      </c>
      <c r="AD108" s="99">
        <v>0.4</v>
      </c>
      <c r="AE108" s="99">
        <v>0.38</v>
      </c>
      <c r="AF108" s="99">
        <v>0.6</v>
      </c>
      <c r="AG108" s="99">
        <v>0.41</v>
      </c>
      <c r="AH108" s="16">
        <v>52</v>
      </c>
      <c r="AI108" s="16">
        <v>8</v>
      </c>
      <c r="AJ108" s="66">
        <v>0.09</v>
      </c>
      <c r="AK108" s="66">
        <v>0.53</v>
      </c>
      <c r="AL108" s="66">
        <v>0.38</v>
      </c>
      <c r="AM108" s="66">
        <v>0</v>
      </c>
      <c r="AN108" s="66">
        <v>0.3</v>
      </c>
      <c r="AO108" s="66">
        <v>0.52</v>
      </c>
      <c r="AP108" s="66">
        <v>0.55000000000000004</v>
      </c>
      <c r="AQ108" s="66">
        <v>0.43</v>
      </c>
      <c r="AR108" s="66">
        <v>0.53</v>
      </c>
      <c r="AS108" s="66">
        <v>0.5</v>
      </c>
      <c r="AT108" s="66">
        <v>0.48</v>
      </c>
      <c r="AU108" s="66">
        <v>0.56999999999999995</v>
      </c>
      <c r="AV108" s="66">
        <v>0.64</v>
      </c>
      <c r="AW108" s="66">
        <v>0.36</v>
      </c>
      <c r="AX108" s="66">
        <v>0.57999999999999996</v>
      </c>
      <c r="AY108" s="66">
        <v>0.28000000000000003</v>
      </c>
      <c r="AZ108" s="66">
        <v>0.24</v>
      </c>
      <c r="BA108" s="66">
        <v>0.46</v>
      </c>
      <c r="BB108" s="66">
        <v>0.66</v>
      </c>
      <c r="BC108" s="66">
        <v>0.65</v>
      </c>
      <c r="BD108" s="66">
        <v>0.38</v>
      </c>
      <c r="BE108" s="66">
        <v>0.54</v>
      </c>
      <c r="BF108" s="66">
        <v>0.53</v>
      </c>
      <c r="BG108" s="66">
        <v>0.53</v>
      </c>
      <c r="BH108" s="66">
        <v>0.4</v>
      </c>
      <c r="BI108" s="66">
        <v>0.43</v>
      </c>
      <c r="BJ108" s="66">
        <v>0.38</v>
      </c>
      <c r="BK108" s="66">
        <v>0.43</v>
      </c>
      <c r="BL108" s="66">
        <v>0.46</v>
      </c>
      <c r="BM108" s="16">
        <v>49</v>
      </c>
      <c r="BN108" s="16">
        <v>8</v>
      </c>
      <c r="BO108" s="99">
        <v>0.16</v>
      </c>
      <c r="BP108" s="99">
        <v>0.61</v>
      </c>
      <c r="BQ108" s="99">
        <v>0.23</v>
      </c>
      <c r="BR108" s="99">
        <v>0</v>
      </c>
      <c r="BS108" s="99">
        <v>0.36</v>
      </c>
      <c r="BT108" s="99">
        <v>0.64</v>
      </c>
      <c r="BU108" s="99">
        <v>0.75</v>
      </c>
      <c r="BV108" s="99">
        <v>0.43</v>
      </c>
      <c r="BW108" s="99">
        <v>0.64</v>
      </c>
      <c r="BX108" s="99">
        <v>0.34</v>
      </c>
      <c r="BY108" s="99">
        <v>0.46</v>
      </c>
      <c r="BZ108" s="99">
        <v>0.55000000000000004</v>
      </c>
      <c r="CA108" s="99">
        <v>0.47</v>
      </c>
      <c r="CB108" s="99">
        <v>0.33</v>
      </c>
      <c r="CC108" s="99">
        <v>0.18</v>
      </c>
      <c r="CD108" s="99">
        <v>0.45</v>
      </c>
      <c r="CE108" s="99">
        <v>0.4</v>
      </c>
      <c r="CF108" s="99">
        <v>0.67</v>
      </c>
      <c r="CG108" s="99">
        <v>0.61</v>
      </c>
      <c r="CH108" s="99">
        <v>0.48</v>
      </c>
      <c r="CI108" s="99">
        <v>0.6</v>
      </c>
      <c r="CJ108" s="99">
        <v>0.4</v>
      </c>
      <c r="CK108" s="99">
        <v>0.72</v>
      </c>
      <c r="CL108" s="99">
        <v>0.32</v>
      </c>
      <c r="CM108" s="99">
        <v>0.52</v>
      </c>
      <c r="CN108" s="99">
        <v>0.54</v>
      </c>
      <c r="CO108" s="99">
        <v>0.49</v>
      </c>
      <c r="CP108" s="99">
        <v>0.38</v>
      </c>
      <c r="CQ108" s="99">
        <v>0.59</v>
      </c>
      <c r="CR108" s="99">
        <v>0.62</v>
      </c>
      <c r="CS108" s="16">
        <v>48</v>
      </c>
      <c r="CT108" s="16">
        <v>8</v>
      </c>
      <c r="CU108" s="96">
        <v>0.14000000000000001</v>
      </c>
      <c r="CV108" s="96">
        <v>0.7</v>
      </c>
      <c r="CW108" s="96">
        <v>0.17</v>
      </c>
      <c r="CX108" s="96">
        <v>0</v>
      </c>
      <c r="CY108" s="96">
        <v>0.52</v>
      </c>
      <c r="CZ108" s="96">
        <v>0.3</v>
      </c>
      <c r="DA108" s="96">
        <v>0.57999999999999996</v>
      </c>
      <c r="DB108" s="96">
        <v>0.31</v>
      </c>
      <c r="DC108" s="96">
        <v>0.48</v>
      </c>
      <c r="DD108" s="96">
        <v>0.63</v>
      </c>
      <c r="DE108" s="96">
        <v>0.52</v>
      </c>
      <c r="DF108" s="96">
        <v>0.54</v>
      </c>
      <c r="DG108" s="96">
        <v>0.46</v>
      </c>
      <c r="DH108" s="96">
        <v>0.44</v>
      </c>
      <c r="DI108" s="96">
        <v>0.56999999999999995</v>
      </c>
      <c r="DJ108" s="96">
        <v>0.56999999999999995</v>
      </c>
      <c r="DK108" s="96">
        <v>0.37</v>
      </c>
      <c r="DL108" s="96">
        <v>0.42</v>
      </c>
      <c r="DM108" s="96">
        <v>0.57999999999999996</v>
      </c>
      <c r="DN108" s="96">
        <v>0.49</v>
      </c>
      <c r="DO108" s="96">
        <v>0.54</v>
      </c>
      <c r="DP108" s="96">
        <v>0.5</v>
      </c>
      <c r="DQ108" s="96">
        <v>0.64</v>
      </c>
      <c r="DR108" s="96">
        <v>0.21</v>
      </c>
      <c r="DS108" s="96">
        <v>0.4</v>
      </c>
      <c r="DT108" s="96">
        <v>0.62</v>
      </c>
      <c r="DU108" s="96">
        <v>0.53</v>
      </c>
      <c r="DV108" s="96">
        <v>0.6</v>
      </c>
      <c r="DW108" s="96">
        <v>0.3</v>
      </c>
      <c r="DX108" s="61">
        <v>48</v>
      </c>
      <c r="DY108" s="61">
        <v>8</v>
      </c>
      <c r="DZ108" s="66">
        <v>0.21</v>
      </c>
      <c r="EA108" s="66">
        <v>0.65</v>
      </c>
      <c r="EB108" s="66">
        <v>0.13</v>
      </c>
      <c r="EC108" s="66">
        <v>0.01</v>
      </c>
      <c r="ED108" s="66">
        <v>0.5</v>
      </c>
      <c r="EE108" s="66">
        <v>0.49</v>
      </c>
      <c r="EF108" s="66">
        <v>0.57999999999999996</v>
      </c>
      <c r="EG108" s="66">
        <v>0.46</v>
      </c>
      <c r="EH108" s="66">
        <v>0.49</v>
      </c>
      <c r="EI108" s="66">
        <v>0.54</v>
      </c>
      <c r="EJ108" s="66">
        <v>0.59</v>
      </c>
      <c r="EK108" s="66">
        <v>0.31</v>
      </c>
      <c r="EL108" s="66">
        <v>0.49</v>
      </c>
      <c r="EM108" s="66">
        <v>0.65</v>
      </c>
      <c r="EN108" s="66">
        <v>0.54</v>
      </c>
      <c r="EO108" s="66">
        <v>0.56999999999999995</v>
      </c>
      <c r="EP108" s="66">
        <v>0.42</v>
      </c>
      <c r="EQ108" s="66">
        <v>0.4</v>
      </c>
      <c r="ER108" s="66">
        <v>0.64</v>
      </c>
      <c r="ES108" s="66">
        <v>0.52</v>
      </c>
      <c r="ET108" s="66">
        <v>0.31</v>
      </c>
      <c r="EU108" s="66">
        <v>0.56999999999999995</v>
      </c>
      <c r="EV108" s="66">
        <v>0.46</v>
      </c>
      <c r="EW108" s="66">
        <v>0.32</v>
      </c>
      <c r="EX108" s="66">
        <v>0.67</v>
      </c>
      <c r="EY108" s="66">
        <v>0.61</v>
      </c>
      <c r="EZ108" s="66">
        <v>0.2</v>
      </c>
      <c r="FA108" s="66">
        <v>0.68</v>
      </c>
      <c r="FB108" s="349">
        <v>48</v>
      </c>
      <c r="FC108" s="348" t="s">
        <v>910</v>
      </c>
      <c r="FD108" s="349">
        <v>8</v>
      </c>
      <c r="FE108" s="348" t="s">
        <v>910</v>
      </c>
      <c r="FF108" s="371">
        <v>0.17</v>
      </c>
      <c r="FG108" s="371">
        <v>0.69</v>
      </c>
      <c r="FH108" s="371">
        <v>0.14000000000000001</v>
      </c>
      <c r="FI108" s="371">
        <v>0</v>
      </c>
      <c r="FJ108" s="371">
        <v>0.56999999999999995</v>
      </c>
      <c r="FK108" s="371">
        <v>0.68</v>
      </c>
      <c r="FL108" s="371">
        <v>0.5</v>
      </c>
      <c r="FM108" s="371">
        <v>0.48</v>
      </c>
      <c r="FN108" s="371">
        <v>0.28000000000000003</v>
      </c>
      <c r="FO108" s="371">
        <v>0.36</v>
      </c>
      <c r="FP108" s="371">
        <v>0.46</v>
      </c>
      <c r="FQ108" s="371">
        <v>0.43</v>
      </c>
      <c r="FR108" s="371">
        <v>0.57999999999999996</v>
      </c>
      <c r="FS108" s="371">
        <v>0.53</v>
      </c>
      <c r="FT108" s="371">
        <v>0.52</v>
      </c>
      <c r="FU108" s="371">
        <v>0.36</v>
      </c>
      <c r="FV108" s="371">
        <v>0.67</v>
      </c>
      <c r="FW108" s="371">
        <v>0.56999999999999995</v>
      </c>
      <c r="FX108" s="371">
        <v>0.56000000000000005</v>
      </c>
      <c r="FY108" s="371">
        <v>0.41</v>
      </c>
      <c r="FZ108" s="371">
        <v>0.44</v>
      </c>
      <c r="GA108" s="371">
        <v>0.52</v>
      </c>
      <c r="GB108" s="371">
        <v>0.62</v>
      </c>
      <c r="GC108" s="371">
        <v>0.5</v>
      </c>
      <c r="GD108" s="371">
        <v>0.65</v>
      </c>
      <c r="GE108" s="371">
        <v>0.62</v>
      </c>
      <c r="GF108" s="371">
        <v>0.46</v>
      </c>
      <c r="GG108" s="371">
        <v>0.51</v>
      </c>
      <c r="GH108" s="371">
        <v>0.61</v>
      </c>
      <c r="GI108" s="371">
        <v>0.34</v>
      </c>
      <c r="GJ108" s="469">
        <v>49</v>
      </c>
      <c r="GK108" s="471" t="s">
        <v>910</v>
      </c>
      <c r="GL108" s="469">
        <v>9</v>
      </c>
      <c r="GM108" s="471" t="s">
        <v>910</v>
      </c>
      <c r="GN108" s="501">
        <v>0.14000000000000001</v>
      </c>
      <c r="GO108" s="501">
        <v>0.63</v>
      </c>
      <c r="GP108" s="501">
        <v>0.23</v>
      </c>
      <c r="GQ108" s="501">
        <v>0.01</v>
      </c>
      <c r="GR108" s="501">
        <v>0.5</v>
      </c>
      <c r="GS108" s="501">
        <v>0.54</v>
      </c>
      <c r="GT108" s="501">
        <v>0.65</v>
      </c>
      <c r="GU108" s="501">
        <v>0.31</v>
      </c>
      <c r="GV108" s="501">
        <v>0.59</v>
      </c>
      <c r="GW108" s="501">
        <v>0.52</v>
      </c>
      <c r="GX108" s="501">
        <v>0.49</v>
      </c>
      <c r="GY108" s="471" t="s">
        <v>287</v>
      </c>
      <c r="GZ108" s="501">
        <v>0.45</v>
      </c>
      <c r="HA108" s="501">
        <v>0.51</v>
      </c>
      <c r="HB108" s="501">
        <v>0.51</v>
      </c>
      <c r="HC108" s="501">
        <v>0.59</v>
      </c>
      <c r="HD108" s="501">
        <v>0.61</v>
      </c>
      <c r="HE108" s="501">
        <v>0.52</v>
      </c>
      <c r="HF108" s="501">
        <v>0.48</v>
      </c>
      <c r="HG108" s="501">
        <v>0.7</v>
      </c>
      <c r="HH108" s="501">
        <v>0.44</v>
      </c>
      <c r="HI108" s="501">
        <v>0.66</v>
      </c>
      <c r="HJ108" s="501">
        <v>0.64</v>
      </c>
      <c r="HK108" s="501">
        <v>0.56999999999999995</v>
      </c>
      <c r="HL108" s="501">
        <v>0.47</v>
      </c>
      <c r="HM108" s="501">
        <v>0.47</v>
      </c>
      <c r="HN108" s="501">
        <v>0.5</v>
      </c>
      <c r="HO108" s="501">
        <v>0.38</v>
      </c>
      <c r="HP108" s="471" t="s">
        <v>287</v>
      </c>
      <c r="HQ108" s="501">
        <v>0.46</v>
      </c>
      <c r="HR108" s="630">
        <v>49</v>
      </c>
      <c r="HS108" s="640" t="s">
        <v>910</v>
      </c>
      <c r="HT108" s="630">
        <v>8</v>
      </c>
      <c r="HU108" s="640" t="s">
        <v>910</v>
      </c>
      <c r="HV108" s="644">
        <v>0.17</v>
      </c>
      <c r="HW108" s="644">
        <v>0.61</v>
      </c>
      <c r="HX108" s="644">
        <v>0.21</v>
      </c>
      <c r="HY108" s="644">
        <v>0.01</v>
      </c>
      <c r="HZ108" s="644">
        <v>0.46</v>
      </c>
      <c r="IA108" s="644">
        <v>0.6</v>
      </c>
      <c r="IB108" s="644">
        <v>0.37</v>
      </c>
      <c r="IC108" s="644">
        <v>0.54</v>
      </c>
      <c r="ID108" s="644">
        <v>0.69</v>
      </c>
      <c r="IE108" s="644">
        <v>0.38</v>
      </c>
      <c r="IF108" s="644">
        <v>0.42</v>
      </c>
      <c r="IG108" s="644">
        <v>0.54</v>
      </c>
      <c r="IH108" s="644">
        <v>0.55000000000000004</v>
      </c>
      <c r="II108" s="644">
        <v>0.31</v>
      </c>
      <c r="IJ108" s="644">
        <v>0.31</v>
      </c>
      <c r="IK108" s="644">
        <v>0.7</v>
      </c>
      <c r="IL108" s="644">
        <v>0.33</v>
      </c>
      <c r="IM108" s="644">
        <v>0.61</v>
      </c>
      <c r="IN108" s="644">
        <v>0.42</v>
      </c>
      <c r="IO108" s="644">
        <v>0.57999999999999996</v>
      </c>
      <c r="IP108" s="644">
        <v>0.45</v>
      </c>
      <c r="IQ108" s="644">
        <v>0.68</v>
      </c>
      <c r="IR108" s="644">
        <v>0.56999999999999995</v>
      </c>
      <c r="IS108" s="644">
        <v>0.56000000000000005</v>
      </c>
      <c r="IT108" s="644">
        <v>0.47</v>
      </c>
      <c r="IU108" s="640" t="s">
        <v>287</v>
      </c>
      <c r="IV108" s="644">
        <v>0.67</v>
      </c>
      <c r="IW108" s="644">
        <v>0.48</v>
      </c>
      <c r="IX108" s="644">
        <v>0.56000000000000005</v>
      </c>
      <c r="IY108" s="644">
        <v>0.62</v>
      </c>
    </row>
    <row r="109" spans="1:259" ht="24.9" customHeight="1" x14ac:dyDescent="0.25">
      <c r="A109" s="188" t="s">
        <v>21</v>
      </c>
      <c r="B109" s="1" t="s">
        <v>220</v>
      </c>
      <c r="C109" s="2">
        <v>5</v>
      </c>
      <c r="D109" s="16">
        <v>53</v>
      </c>
      <c r="E109" s="16">
        <v>7</v>
      </c>
      <c r="F109" s="99">
        <v>0.04</v>
      </c>
      <c r="G109" s="99">
        <v>0.6</v>
      </c>
      <c r="H109" s="99">
        <v>0.35</v>
      </c>
      <c r="I109" s="99">
        <v>0</v>
      </c>
      <c r="J109" s="99">
        <v>0.32</v>
      </c>
      <c r="K109" s="99">
        <v>0.47</v>
      </c>
      <c r="L109" s="99">
        <v>0.7</v>
      </c>
      <c r="M109" s="99">
        <v>0.22</v>
      </c>
      <c r="N109" s="99">
        <v>0.24</v>
      </c>
      <c r="O109" s="99">
        <v>0.53</v>
      </c>
      <c r="P109" s="99">
        <v>0.3</v>
      </c>
      <c r="Q109" s="99">
        <v>0.4</v>
      </c>
      <c r="R109" s="99">
        <v>0.53</v>
      </c>
      <c r="S109" s="99">
        <v>0.66</v>
      </c>
      <c r="T109" s="99">
        <v>0.51</v>
      </c>
      <c r="U109" s="99">
        <v>0.56999999999999995</v>
      </c>
      <c r="V109" s="99">
        <v>0.04</v>
      </c>
      <c r="W109" s="99">
        <v>0.12</v>
      </c>
      <c r="X109" s="99">
        <v>0.51</v>
      </c>
      <c r="Y109" s="99">
        <v>0.46</v>
      </c>
      <c r="Z109" s="99">
        <v>1</v>
      </c>
      <c r="AA109" s="99">
        <v>0.09</v>
      </c>
      <c r="AB109" s="99">
        <v>0.45</v>
      </c>
      <c r="AC109" s="99">
        <v>0.21</v>
      </c>
      <c r="AD109" s="99">
        <v>0.41</v>
      </c>
      <c r="AE109" s="99">
        <v>0.39</v>
      </c>
      <c r="AF109" s="99">
        <v>0.56999999999999995</v>
      </c>
      <c r="AG109" s="99">
        <v>0.56000000000000005</v>
      </c>
      <c r="AH109" s="16">
        <v>50</v>
      </c>
      <c r="AI109" s="16">
        <v>8</v>
      </c>
      <c r="AJ109" s="66">
        <v>0.13</v>
      </c>
      <c r="AK109" s="66">
        <v>0.6</v>
      </c>
      <c r="AL109" s="66">
        <v>0.27</v>
      </c>
      <c r="AM109" s="66">
        <v>0</v>
      </c>
      <c r="AN109" s="66">
        <v>0.31</v>
      </c>
      <c r="AO109" s="66">
        <v>0.53</v>
      </c>
      <c r="AP109" s="66">
        <v>0.59</v>
      </c>
      <c r="AQ109" s="66">
        <v>0.42</v>
      </c>
      <c r="AR109" s="66">
        <v>0.6</v>
      </c>
      <c r="AS109" s="66">
        <v>0.54</v>
      </c>
      <c r="AT109" s="66">
        <v>0.57999999999999996</v>
      </c>
      <c r="AU109" s="66">
        <v>0.6</v>
      </c>
      <c r="AV109" s="66">
        <v>0.61</v>
      </c>
      <c r="AW109" s="66">
        <v>0.6</v>
      </c>
      <c r="AX109" s="66">
        <v>0.64</v>
      </c>
      <c r="AY109" s="66">
        <v>0.35</v>
      </c>
      <c r="AZ109" s="66">
        <v>0.38</v>
      </c>
      <c r="BA109" s="66">
        <v>0.52</v>
      </c>
      <c r="BB109" s="66">
        <v>0.71</v>
      </c>
      <c r="BC109" s="66">
        <v>0.71</v>
      </c>
      <c r="BD109" s="66">
        <v>0.44</v>
      </c>
      <c r="BE109" s="66">
        <v>0.64</v>
      </c>
      <c r="BF109" s="66">
        <v>0.55000000000000004</v>
      </c>
      <c r="BG109" s="66">
        <v>0.53</v>
      </c>
      <c r="BH109" s="66">
        <v>0.45</v>
      </c>
      <c r="BI109" s="66">
        <v>0.44</v>
      </c>
      <c r="BJ109" s="66">
        <v>0.43</v>
      </c>
      <c r="BK109" s="66">
        <v>0.5</v>
      </c>
      <c r="BL109" s="66">
        <v>0.44</v>
      </c>
      <c r="BM109" s="16">
        <v>49</v>
      </c>
      <c r="BN109" s="16">
        <v>8</v>
      </c>
      <c r="BO109" s="99">
        <v>0.15</v>
      </c>
      <c r="BP109" s="99">
        <v>0.68</v>
      </c>
      <c r="BQ109" s="99">
        <v>0.17</v>
      </c>
      <c r="BR109" s="99">
        <v>0.01</v>
      </c>
      <c r="BS109" s="99">
        <v>0.38</v>
      </c>
      <c r="BT109" s="99">
        <v>0.56000000000000005</v>
      </c>
      <c r="BU109" s="99">
        <v>0.66</v>
      </c>
      <c r="BV109" s="99">
        <v>0.4</v>
      </c>
      <c r="BW109" s="99">
        <v>0.63</v>
      </c>
      <c r="BX109" s="99">
        <v>0.36</v>
      </c>
      <c r="BY109" s="99">
        <v>0.45</v>
      </c>
      <c r="BZ109" s="99">
        <v>0.53</v>
      </c>
      <c r="CA109" s="99">
        <v>0.49</v>
      </c>
      <c r="CB109" s="99">
        <v>0.38</v>
      </c>
      <c r="CC109" s="99">
        <v>0.22</v>
      </c>
      <c r="CD109" s="99">
        <v>0.49</v>
      </c>
      <c r="CE109" s="99">
        <v>0.4</v>
      </c>
      <c r="CF109" s="99">
        <v>0.67</v>
      </c>
      <c r="CG109" s="99">
        <v>0.66</v>
      </c>
      <c r="CH109" s="99">
        <v>0.47</v>
      </c>
      <c r="CI109" s="99">
        <v>0.64</v>
      </c>
      <c r="CJ109" s="99">
        <v>0.41</v>
      </c>
      <c r="CK109" s="99">
        <v>0.73</v>
      </c>
      <c r="CL109" s="99">
        <v>0.34</v>
      </c>
      <c r="CM109" s="99">
        <v>0.47</v>
      </c>
      <c r="CN109" s="99">
        <v>0.52</v>
      </c>
      <c r="CO109" s="99">
        <v>0.55000000000000004</v>
      </c>
      <c r="CP109" s="99">
        <v>0.42</v>
      </c>
      <c r="CQ109" s="99">
        <v>0.61</v>
      </c>
      <c r="CR109" s="99">
        <v>0.62</v>
      </c>
      <c r="CS109" s="16">
        <v>49</v>
      </c>
      <c r="CT109" s="16">
        <v>8</v>
      </c>
      <c r="CU109" s="96">
        <v>0.16</v>
      </c>
      <c r="CV109" s="96">
        <v>0.66</v>
      </c>
      <c r="CW109" s="96">
        <v>0.18</v>
      </c>
      <c r="CX109" s="96">
        <v>0.01</v>
      </c>
      <c r="CY109" s="96">
        <v>0.51</v>
      </c>
      <c r="CZ109" s="96">
        <v>0.3</v>
      </c>
      <c r="DA109" s="96">
        <v>0.59</v>
      </c>
      <c r="DB109" s="96">
        <v>0.37</v>
      </c>
      <c r="DC109" s="96">
        <v>0.44</v>
      </c>
      <c r="DD109" s="96">
        <v>0.66</v>
      </c>
      <c r="DE109" s="96">
        <v>0.5</v>
      </c>
      <c r="DF109" s="96">
        <v>0.56999999999999995</v>
      </c>
      <c r="DG109" s="96">
        <v>0.49</v>
      </c>
      <c r="DH109" s="96">
        <v>0.37</v>
      </c>
      <c r="DI109" s="96">
        <v>0.52</v>
      </c>
      <c r="DJ109" s="96">
        <v>0.55000000000000004</v>
      </c>
      <c r="DK109" s="96">
        <v>0.38</v>
      </c>
      <c r="DL109" s="96">
        <v>0.33</v>
      </c>
      <c r="DM109" s="96">
        <v>0.5</v>
      </c>
      <c r="DN109" s="96">
        <v>0.49</v>
      </c>
      <c r="DO109" s="96">
        <v>0.48</v>
      </c>
      <c r="DP109" s="96">
        <v>0.47</v>
      </c>
      <c r="DQ109" s="96">
        <v>0.62</v>
      </c>
      <c r="DR109" s="96">
        <v>0.21</v>
      </c>
      <c r="DS109" s="96">
        <v>0.39</v>
      </c>
      <c r="DT109" s="96">
        <v>0.62</v>
      </c>
      <c r="DU109" s="96">
        <v>0.49</v>
      </c>
      <c r="DV109" s="96">
        <v>0.6</v>
      </c>
      <c r="DW109" s="96">
        <v>0.38</v>
      </c>
      <c r="DX109" s="61">
        <v>49</v>
      </c>
      <c r="DY109" s="61">
        <v>8</v>
      </c>
      <c r="DZ109" s="66">
        <v>0.19</v>
      </c>
      <c r="EA109" s="66">
        <v>0.56999999999999995</v>
      </c>
      <c r="EB109" s="66">
        <v>0.23</v>
      </c>
      <c r="EC109" s="66">
        <v>0.01</v>
      </c>
      <c r="ED109" s="66">
        <v>0.47</v>
      </c>
      <c r="EE109" s="66">
        <v>0.44</v>
      </c>
      <c r="EF109" s="66">
        <v>0.56999999999999995</v>
      </c>
      <c r="EG109" s="66">
        <v>0.45</v>
      </c>
      <c r="EH109" s="66">
        <v>0.45</v>
      </c>
      <c r="EI109" s="66">
        <v>0.55000000000000004</v>
      </c>
      <c r="EJ109" s="66">
        <v>0.61</v>
      </c>
      <c r="EK109" s="66">
        <v>0.3</v>
      </c>
      <c r="EL109" s="66">
        <v>0.44</v>
      </c>
      <c r="EM109" s="66">
        <v>0.57999999999999996</v>
      </c>
      <c r="EN109" s="66">
        <v>0.5</v>
      </c>
      <c r="EO109" s="66">
        <v>0.61</v>
      </c>
      <c r="EP109" s="66">
        <v>0.36</v>
      </c>
      <c r="EQ109" s="66">
        <v>0.23</v>
      </c>
      <c r="ER109" s="66">
        <v>0.64</v>
      </c>
      <c r="ES109" s="66">
        <v>0.51</v>
      </c>
      <c r="ET109" s="66">
        <v>0.35</v>
      </c>
      <c r="EU109" s="66">
        <v>0.57999999999999996</v>
      </c>
      <c r="EV109" s="66">
        <v>0.39</v>
      </c>
      <c r="EW109" s="66">
        <v>0.31</v>
      </c>
      <c r="EX109" s="66">
        <v>0.71</v>
      </c>
      <c r="EY109" s="66">
        <v>0.64</v>
      </c>
      <c r="EZ109" s="66">
        <v>0.22</v>
      </c>
      <c r="FA109" s="66">
        <v>0.62</v>
      </c>
      <c r="FB109" s="349">
        <v>48</v>
      </c>
      <c r="FC109" s="348" t="s">
        <v>910</v>
      </c>
      <c r="FD109" s="349">
        <v>8</v>
      </c>
      <c r="FE109" s="348" t="s">
        <v>910</v>
      </c>
      <c r="FF109" s="371">
        <v>0.18</v>
      </c>
      <c r="FG109" s="371">
        <v>0.64</v>
      </c>
      <c r="FH109" s="371">
        <v>0.19</v>
      </c>
      <c r="FI109" s="371">
        <v>0</v>
      </c>
      <c r="FJ109" s="371">
        <v>0.48</v>
      </c>
      <c r="FK109" s="371">
        <v>0.69</v>
      </c>
      <c r="FL109" s="371">
        <v>0.53</v>
      </c>
      <c r="FM109" s="371">
        <v>0.47</v>
      </c>
      <c r="FN109" s="371">
        <v>0.35</v>
      </c>
      <c r="FO109" s="371">
        <v>0.34</v>
      </c>
      <c r="FP109" s="371">
        <v>0.42</v>
      </c>
      <c r="FQ109" s="371">
        <v>0.48</v>
      </c>
      <c r="FR109" s="371">
        <v>0.64</v>
      </c>
      <c r="FS109" s="371">
        <v>0.49</v>
      </c>
      <c r="FT109" s="371">
        <v>0.56000000000000005</v>
      </c>
      <c r="FU109" s="371">
        <v>0.4</v>
      </c>
      <c r="FV109" s="371">
        <v>0.66</v>
      </c>
      <c r="FW109" s="371">
        <v>0.6</v>
      </c>
      <c r="FX109" s="371">
        <v>0.48</v>
      </c>
      <c r="FY109" s="371">
        <v>0.4</v>
      </c>
      <c r="FZ109" s="371">
        <v>0.48</v>
      </c>
      <c r="GA109" s="371">
        <v>0.49</v>
      </c>
      <c r="GB109" s="371">
        <v>0.61</v>
      </c>
      <c r="GC109" s="371">
        <v>0.47</v>
      </c>
      <c r="GD109" s="371">
        <v>0.66</v>
      </c>
      <c r="GE109" s="371">
        <v>0.62</v>
      </c>
      <c r="GF109" s="371">
        <v>0.54</v>
      </c>
      <c r="GG109" s="371">
        <v>0.48</v>
      </c>
      <c r="GH109" s="371">
        <v>0.59</v>
      </c>
      <c r="GI109" s="371">
        <v>0.3</v>
      </c>
      <c r="GJ109" s="469">
        <v>50</v>
      </c>
      <c r="GK109" s="471" t="s">
        <v>910</v>
      </c>
      <c r="GL109" s="469">
        <v>9</v>
      </c>
      <c r="GM109" s="471" t="s">
        <v>910</v>
      </c>
      <c r="GN109" s="501">
        <v>0.14000000000000001</v>
      </c>
      <c r="GO109" s="501">
        <v>0.59</v>
      </c>
      <c r="GP109" s="501">
        <v>0.25</v>
      </c>
      <c r="GQ109" s="501">
        <v>0.02</v>
      </c>
      <c r="GR109" s="501">
        <v>0.5</v>
      </c>
      <c r="GS109" s="501">
        <v>0.56000000000000005</v>
      </c>
      <c r="GT109" s="501">
        <v>0.6</v>
      </c>
      <c r="GU109" s="501">
        <v>0.23</v>
      </c>
      <c r="GV109" s="501">
        <v>0.6</v>
      </c>
      <c r="GW109" s="501">
        <v>0.52</v>
      </c>
      <c r="GX109" s="501">
        <v>0.47</v>
      </c>
      <c r="GY109" s="471" t="s">
        <v>287</v>
      </c>
      <c r="GZ109" s="501">
        <v>0.37</v>
      </c>
      <c r="HA109" s="501">
        <v>0.65</v>
      </c>
      <c r="HB109" s="501">
        <v>0.46</v>
      </c>
      <c r="HC109" s="501">
        <v>0.51</v>
      </c>
      <c r="HD109" s="501">
        <v>0.56999999999999995</v>
      </c>
      <c r="HE109" s="501">
        <v>0.47</v>
      </c>
      <c r="HF109" s="501">
        <v>0.47</v>
      </c>
      <c r="HG109" s="501">
        <v>0.68</v>
      </c>
      <c r="HH109" s="501">
        <v>0.44</v>
      </c>
      <c r="HI109" s="501">
        <v>0.51</v>
      </c>
      <c r="HJ109" s="501">
        <v>0.56999999999999995</v>
      </c>
      <c r="HK109" s="501">
        <v>0.5</v>
      </c>
      <c r="HL109" s="501">
        <v>0.4</v>
      </c>
      <c r="HM109" s="501">
        <v>0.5</v>
      </c>
      <c r="HN109" s="501">
        <v>0.52</v>
      </c>
      <c r="HO109" s="501">
        <v>0.47</v>
      </c>
      <c r="HP109" s="471" t="s">
        <v>287</v>
      </c>
      <c r="HQ109" s="501">
        <v>0.42</v>
      </c>
      <c r="HR109" s="630">
        <v>49</v>
      </c>
      <c r="HS109" s="640" t="s">
        <v>910</v>
      </c>
      <c r="HT109" s="630">
        <v>8</v>
      </c>
      <c r="HU109" s="640" t="s">
        <v>910</v>
      </c>
      <c r="HV109" s="644">
        <v>0.17</v>
      </c>
      <c r="HW109" s="644">
        <v>0.64</v>
      </c>
      <c r="HX109" s="644">
        <v>0.18</v>
      </c>
      <c r="HY109" s="644">
        <v>0.01</v>
      </c>
      <c r="HZ109" s="644">
        <v>0.42</v>
      </c>
      <c r="IA109" s="644">
        <v>0.56000000000000005</v>
      </c>
      <c r="IB109" s="644">
        <v>0.38</v>
      </c>
      <c r="IC109" s="644">
        <v>0.56999999999999995</v>
      </c>
      <c r="ID109" s="644">
        <v>0.71</v>
      </c>
      <c r="IE109" s="644">
        <v>0.41</v>
      </c>
      <c r="IF109" s="644">
        <v>0.43</v>
      </c>
      <c r="IG109" s="644">
        <v>0.61</v>
      </c>
      <c r="IH109" s="644">
        <v>0.57999999999999996</v>
      </c>
      <c r="II109" s="644">
        <v>0.45</v>
      </c>
      <c r="IJ109" s="644">
        <v>0.33</v>
      </c>
      <c r="IK109" s="644">
        <v>0.62</v>
      </c>
      <c r="IL109" s="644">
        <v>0.36</v>
      </c>
      <c r="IM109" s="644">
        <v>0.61</v>
      </c>
      <c r="IN109" s="644">
        <v>0.51</v>
      </c>
      <c r="IO109" s="644">
        <v>0.62</v>
      </c>
      <c r="IP109" s="644">
        <v>0.44</v>
      </c>
      <c r="IQ109" s="644">
        <v>0.67</v>
      </c>
      <c r="IR109" s="644">
        <v>0.6</v>
      </c>
      <c r="IS109" s="644">
        <v>0.55000000000000004</v>
      </c>
      <c r="IT109" s="644">
        <v>0.49</v>
      </c>
      <c r="IU109" s="640" t="s">
        <v>287</v>
      </c>
      <c r="IV109" s="644">
        <v>0.68</v>
      </c>
      <c r="IW109" s="644">
        <v>0.48</v>
      </c>
      <c r="IX109" s="644">
        <v>0.48</v>
      </c>
      <c r="IY109" s="644">
        <v>0.56999999999999995</v>
      </c>
    </row>
    <row r="110" spans="1:259" ht="24.9" customHeight="1" x14ac:dyDescent="0.25">
      <c r="A110" s="188" t="s">
        <v>124</v>
      </c>
      <c r="B110" s="1" t="s">
        <v>220</v>
      </c>
      <c r="C110" s="2">
        <v>4</v>
      </c>
      <c r="D110" s="16">
        <v>48</v>
      </c>
      <c r="E110" s="16">
        <v>7</v>
      </c>
      <c r="F110" s="99">
        <v>0.14000000000000001</v>
      </c>
      <c r="G110" s="99">
        <v>0.8</v>
      </c>
      <c r="H110" s="99">
        <v>0.06</v>
      </c>
      <c r="I110" s="99">
        <v>0</v>
      </c>
      <c r="J110" s="99">
        <v>0.44</v>
      </c>
      <c r="K110" s="99">
        <v>0.53</v>
      </c>
      <c r="L110" s="99">
        <v>0.91</v>
      </c>
      <c r="M110" s="99">
        <v>0.46</v>
      </c>
      <c r="N110" s="99">
        <v>0.4</v>
      </c>
      <c r="O110" s="99">
        <v>0.71</v>
      </c>
      <c r="P110" s="99">
        <v>0.36</v>
      </c>
      <c r="Q110" s="99">
        <v>0.62</v>
      </c>
      <c r="R110" s="99">
        <v>0.59</v>
      </c>
      <c r="S110" s="99">
        <v>0.69</v>
      </c>
      <c r="T110" s="99">
        <v>0.53</v>
      </c>
      <c r="U110" s="99">
        <v>0.69</v>
      </c>
      <c r="V110" s="99">
        <v>0.16</v>
      </c>
      <c r="W110" s="99">
        <v>0.2</v>
      </c>
      <c r="X110" s="99">
        <v>0.56999999999999995</v>
      </c>
      <c r="Y110" s="99">
        <v>0.6</v>
      </c>
      <c r="Z110" s="99">
        <v>1</v>
      </c>
      <c r="AA110" s="99">
        <v>0.06</v>
      </c>
      <c r="AB110" s="99">
        <v>0.48</v>
      </c>
      <c r="AC110" s="99">
        <v>0.31</v>
      </c>
      <c r="AD110" s="99">
        <v>0.56999999999999995</v>
      </c>
      <c r="AE110" s="99">
        <v>0.54</v>
      </c>
      <c r="AF110" s="99">
        <v>0.59</v>
      </c>
      <c r="AG110" s="99">
        <v>0.57999999999999996</v>
      </c>
      <c r="AH110" s="16">
        <v>47</v>
      </c>
      <c r="AI110" s="16">
        <v>7</v>
      </c>
      <c r="AJ110" s="66">
        <v>0.17</v>
      </c>
      <c r="AK110" s="66">
        <v>0.73</v>
      </c>
      <c r="AL110" s="66">
        <v>0.1</v>
      </c>
      <c r="AM110" s="66">
        <v>0</v>
      </c>
      <c r="AN110" s="66">
        <v>0.38</v>
      </c>
      <c r="AO110" s="66">
        <v>0.52</v>
      </c>
      <c r="AP110" s="66">
        <v>0.7</v>
      </c>
      <c r="AQ110" s="66">
        <v>0.51</v>
      </c>
      <c r="AR110" s="66">
        <v>0.65</v>
      </c>
      <c r="AS110" s="66">
        <v>0.59</v>
      </c>
      <c r="AT110" s="66">
        <v>0.66</v>
      </c>
      <c r="AU110" s="66">
        <v>0.57999999999999996</v>
      </c>
      <c r="AV110" s="66">
        <v>0.56999999999999995</v>
      </c>
      <c r="AW110" s="66">
        <v>0.66</v>
      </c>
      <c r="AX110" s="66">
        <v>0.62</v>
      </c>
      <c r="AY110" s="66">
        <v>0.41</v>
      </c>
      <c r="AZ110" s="66">
        <v>0.35</v>
      </c>
      <c r="BA110" s="66">
        <v>0.61</v>
      </c>
      <c r="BB110" s="66">
        <v>0.7</v>
      </c>
      <c r="BC110" s="66">
        <v>0.67</v>
      </c>
      <c r="BD110" s="66">
        <v>0.56000000000000005</v>
      </c>
      <c r="BE110" s="66">
        <v>0.67</v>
      </c>
      <c r="BF110" s="66">
        <v>0.68</v>
      </c>
      <c r="BG110" s="66">
        <v>0.69</v>
      </c>
      <c r="BH110" s="66">
        <v>0.56000000000000005</v>
      </c>
      <c r="BI110" s="66">
        <v>0.48</v>
      </c>
      <c r="BJ110" s="66">
        <v>0.49</v>
      </c>
      <c r="BK110" s="66">
        <v>0.56999999999999995</v>
      </c>
      <c r="BL110" s="66">
        <v>0.71</v>
      </c>
      <c r="BM110" s="16">
        <v>44</v>
      </c>
      <c r="BN110" s="16">
        <v>8</v>
      </c>
      <c r="BO110" s="99">
        <v>0.28000000000000003</v>
      </c>
      <c r="BP110" s="99">
        <v>0.6</v>
      </c>
      <c r="BQ110" s="99">
        <v>0.13</v>
      </c>
      <c r="BR110" s="99">
        <v>0</v>
      </c>
      <c r="BS110" s="99">
        <v>0.32</v>
      </c>
      <c r="BT110" s="99">
        <v>0.7</v>
      </c>
      <c r="BU110" s="99">
        <v>0.79</v>
      </c>
      <c r="BV110" s="99">
        <v>0.52</v>
      </c>
      <c r="BW110" s="99">
        <v>0.73</v>
      </c>
      <c r="BX110" s="99">
        <v>0.5</v>
      </c>
      <c r="BY110" s="99">
        <v>0.53</v>
      </c>
      <c r="BZ110" s="99">
        <v>0.63</v>
      </c>
      <c r="CA110" s="99">
        <v>0.49</v>
      </c>
      <c r="CB110" s="99">
        <v>0.6</v>
      </c>
      <c r="CC110" s="99">
        <v>0.35</v>
      </c>
      <c r="CD110" s="99">
        <v>0.54</v>
      </c>
      <c r="CE110" s="99">
        <v>0.52</v>
      </c>
      <c r="CF110" s="99">
        <v>0.64</v>
      </c>
      <c r="CG110" s="99">
        <v>0.7</v>
      </c>
      <c r="CH110" s="99">
        <v>0.52</v>
      </c>
      <c r="CI110" s="99">
        <v>0.74</v>
      </c>
      <c r="CJ110" s="99">
        <v>0.51</v>
      </c>
      <c r="CK110" s="99">
        <v>0.78</v>
      </c>
      <c r="CL110" s="99">
        <v>0.59</v>
      </c>
      <c r="CM110" s="99">
        <v>0.57999999999999996</v>
      </c>
      <c r="CN110" s="99">
        <v>0.6</v>
      </c>
      <c r="CO110" s="99">
        <v>0.51</v>
      </c>
      <c r="CP110" s="99">
        <v>0.52</v>
      </c>
      <c r="CQ110" s="99">
        <v>0.66</v>
      </c>
      <c r="CR110" s="99">
        <v>0.71</v>
      </c>
      <c r="CS110" s="16">
        <v>43</v>
      </c>
      <c r="CT110" s="16">
        <v>8</v>
      </c>
      <c r="CU110" s="96">
        <v>0.39</v>
      </c>
      <c r="CV110" s="96">
        <v>0.54</v>
      </c>
      <c r="CW110" s="96">
        <v>7.0000000000000007E-2</v>
      </c>
      <c r="CX110" s="96">
        <v>0</v>
      </c>
      <c r="CY110" s="96">
        <v>0.56000000000000005</v>
      </c>
      <c r="CZ110" s="96">
        <v>0.4</v>
      </c>
      <c r="DA110" s="96">
        <v>0.63</v>
      </c>
      <c r="DB110" s="96">
        <v>0.55000000000000004</v>
      </c>
      <c r="DC110" s="96">
        <v>0.54</v>
      </c>
      <c r="DD110" s="96">
        <v>0.66</v>
      </c>
      <c r="DE110" s="96">
        <v>0.59</v>
      </c>
      <c r="DF110" s="96">
        <v>0.6</v>
      </c>
      <c r="DG110" s="96">
        <v>0.64</v>
      </c>
      <c r="DH110" s="96">
        <v>0.47</v>
      </c>
      <c r="DI110" s="96">
        <v>0.64</v>
      </c>
      <c r="DJ110" s="96">
        <v>0.63</v>
      </c>
      <c r="DK110" s="96">
        <v>0.51</v>
      </c>
      <c r="DL110" s="96">
        <v>0.48</v>
      </c>
      <c r="DM110" s="96">
        <v>0.61</v>
      </c>
      <c r="DN110" s="96">
        <v>0.56000000000000005</v>
      </c>
      <c r="DO110" s="96">
        <v>0.61</v>
      </c>
      <c r="DP110" s="96">
        <v>0.53</v>
      </c>
      <c r="DQ110" s="96">
        <v>0.65</v>
      </c>
      <c r="DR110" s="96">
        <v>0.26</v>
      </c>
      <c r="DS110" s="96">
        <v>0.52</v>
      </c>
      <c r="DT110" s="96">
        <v>0.57999999999999996</v>
      </c>
      <c r="DU110" s="96">
        <v>0.53</v>
      </c>
      <c r="DV110" s="96">
        <v>0.64</v>
      </c>
      <c r="DW110" s="96">
        <v>0.37</v>
      </c>
      <c r="DX110" s="61">
        <v>45</v>
      </c>
      <c r="DY110" s="61">
        <v>7</v>
      </c>
      <c r="DZ110" s="66">
        <v>0.27</v>
      </c>
      <c r="EA110" s="66">
        <v>0.66</v>
      </c>
      <c r="EB110" s="66">
        <v>7.0000000000000007E-2</v>
      </c>
      <c r="EC110" s="66">
        <v>0</v>
      </c>
      <c r="ED110" s="66">
        <v>0.59</v>
      </c>
      <c r="EE110" s="66">
        <v>0.52</v>
      </c>
      <c r="EF110" s="66">
        <v>0.47</v>
      </c>
      <c r="EG110" s="66">
        <v>0.42</v>
      </c>
      <c r="EH110" s="66">
        <v>0.63</v>
      </c>
      <c r="EI110" s="66">
        <v>0.57999999999999996</v>
      </c>
      <c r="EJ110" s="66">
        <v>0.52</v>
      </c>
      <c r="EK110" s="66">
        <v>0.43</v>
      </c>
      <c r="EL110" s="66">
        <v>0.49</v>
      </c>
      <c r="EM110" s="66">
        <v>0.74</v>
      </c>
      <c r="EN110" s="66">
        <v>0.55000000000000004</v>
      </c>
      <c r="EO110" s="66">
        <v>0.57999999999999996</v>
      </c>
      <c r="EP110" s="66">
        <v>0.53</v>
      </c>
      <c r="EQ110" s="66">
        <v>0.53</v>
      </c>
      <c r="ER110" s="66">
        <v>0.68</v>
      </c>
      <c r="ES110" s="66">
        <v>0.64</v>
      </c>
      <c r="ET110" s="66">
        <v>0.42</v>
      </c>
      <c r="EU110" s="66">
        <v>0.69</v>
      </c>
      <c r="EV110" s="66">
        <v>0.67</v>
      </c>
      <c r="EW110" s="66">
        <v>0.34</v>
      </c>
      <c r="EX110" s="66">
        <v>0.61</v>
      </c>
      <c r="EY110" s="66">
        <v>0.63</v>
      </c>
      <c r="EZ110" s="66">
        <v>0.33</v>
      </c>
      <c r="FA110" s="66">
        <v>0.67</v>
      </c>
      <c r="FB110" s="349">
        <v>46</v>
      </c>
      <c r="FC110" s="348" t="s">
        <v>910</v>
      </c>
      <c r="FD110" s="349">
        <v>6</v>
      </c>
      <c r="FE110" s="348" t="s">
        <v>910</v>
      </c>
      <c r="FF110" s="371">
        <v>0.18</v>
      </c>
      <c r="FG110" s="371">
        <v>0.78</v>
      </c>
      <c r="FH110" s="371">
        <v>0.04</v>
      </c>
      <c r="FI110" s="371">
        <v>0</v>
      </c>
      <c r="FJ110" s="371">
        <v>0.54</v>
      </c>
      <c r="FK110" s="371">
        <v>0.72</v>
      </c>
      <c r="FL110" s="371">
        <v>0.55000000000000004</v>
      </c>
      <c r="FM110" s="371">
        <v>0.61</v>
      </c>
      <c r="FN110" s="371">
        <v>0.37</v>
      </c>
      <c r="FO110" s="371">
        <v>0.42</v>
      </c>
      <c r="FP110" s="371">
        <v>0.53</v>
      </c>
      <c r="FQ110" s="371">
        <v>0.44</v>
      </c>
      <c r="FR110" s="371">
        <v>0.73</v>
      </c>
      <c r="FS110" s="371">
        <v>0.63</v>
      </c>
      <c r="FT110" s="371">
        <v>0.67</v>
      </c>
      <c r="FU110" s="371">
        <v>0.5</v>
      </c>
      <c r="FV110" s="371">
        <v>0.69</v>
      </c>
      <c r="FW110" s="371">
        <v>0.64</v>
      </c>
      <c r="FX110" s="371">
        <v>0.57999999999999996</v>
      </c>
      <c r="FY110" s="371">
        <v>0.44</v>
      </c>
      <c r="FZ110" s="371">
        <v>0.39</v>
      </c>
      <c r="GA110" s="371">
        <v>0.52</v>
      </c>
      <c r="GB110" s="371">
        <v>0.56000000000000005</v>
      </c>
      <c r="GC110" s="371">
        <v>0.53</v>
      </c>
      <c r="GD110" s="371">
        <v>0.6</v>
      </c>
      <c r="GE110" s="371">
        <v>0.61</v>
      </c>
      <c r="GF110" s="371">
        <v>0.57999999999999996</v>
      </c>
      <c r="GG110" s="371">
        <v>0.53</v>
      </c>
      <c r="GH110" s="371">
        <v>0.67</v>
      </c>
      <c r="GI110" s="371">
        <v>0.42</v>
      </c>
      <c r="GJ110" s="469">
        <v>46</v>
      </c>
      <c r="GK110" s="471" t="s">
        <v>910</v>
      </c>
      <c r="GL110" s="469">
        <v>10</v>
      </c>
      <c r="GM110" s="471" t="s">
        <v>910</v>
      </c>
      <c r="GN110" s="501">
        <v>0.36</v>
      </c>
      <c r="GO110" s="501">
        <v>0.45</v>
      </c>
      <c r="GP110" s="501">
        <v>0.17</v>
      </c>
      <c r="GQ110" s="501">
        <v>0.02</v>
      </c>
      <c r="GR110" s="501">
        <v>0.59</v>
      </c>
      <c r="GS110" s="501">
        <v>0.65</v>
      </c>
      <c r="GT110" s="501">
        <v>0.63</v>
      </c>
      <c r="GU110" s="501">
        <v>0.37</v>
      </c>
      <c r="GV110" s="501">
        <v>0.57999999999999996</v>
      </c>
      <c r="GW110" s="501">
        <v>0.49</v>
      </c>
      <c r="GX110" s="501">
        <v>0.54</v>
      </c>
      <c r="GY110" s="471" t="s">
        <v>287</v>
      </c>
      <c r="GZ110" s="501">
        <v>0.43</v>
      </c>
      <c r="HA110" s="501">
        <v>0.72</v>
      </c>
      <c r="HB110" s="501">
        <v>0.56000000000000005</v>
      </c>
      <c r="HC110" s="501">
        <v>0.56000000000000005</v>
      </c>
      <c r="HD110" s="501">
        <v>0.68</v>
      </c>
      <c r="HE110" s="501">
        <v>0.62</v>
      </c>
      <c r="HF110" s="501">
        <v>0.56999999999999995</v>
      </c>
      <c r="HG110" s="501">
        <v>0.73</v>
      </c>
      <c r="HH110" s="501">
        <v>0.57999999999999996</v>
      </c>
      <c r="HI110" s="501">
        <v>0.64</v>
      </c>
      <c r="HJ110" s="501">
        <v>0.64</v>
      </c>
      <c r="HK110" s="501">
        <v>0.54</v>
      </c>
      <c r="HL110" s="501">
        <v>0.54</v>
      </c>
      <c r="HM110" s="501">
        <v>0.51</v>
      </c>
      <c r="HN110" s="501">
        <v>0.56999999999999995</v>
      </c>
      <c r="HO110" s="501">
        <v>0.53</v>
      </c>
      <c r="HP110" s="471" t="s">
        <v>287</v>
      </c>
      <c r="HQ110" s="501">
        <v>0.53</v>
      </c>
      <c r="HR110" s="630">
        <v>47</v>
      </c>
      <c r="HS110" s="640" t="s">
        <v>910</v>
      </c>
      <c r="HT110" s="630">
        <v>10</v>
      </c>
      <c r="HU110" s="640" t="s">
        <v>910</v>
      </c>
      <c r="HV110" s="644">
        <v>0.31</v>
      </c>
      <c r="HW110" s="644">
        <v>0.47</v>
      </c>
      <c r="HX110" s="644">
        <v>0.21</v>
      </c>
      <c r="HY110" s="644">
        <v>0.02</v>
      </c>
      <c r="HZ110" s="644">
        <v>0.51</v>
      </c>
      <c r="IA110" s="644">
        <v>0.6</v>
      </c>
      <c r="IB110" s="644">
        <v>0.44</v>
      </c>
      <c r="IC110" s="644">
        <v>0.57999999999999996</v>
      </c>
      <c r="ID110" s="644">
        <v>0.59</v>
      </c>
      <c r="IE110" s="644">
        <v>0.48</v>
      </c>
      <c r="IF110" s="644">
        <v>0.52</v>
      </c>
      <c r="IG110" s="644">
        <v>0.56999999999999995</v>
      </c>
      <c r="IH110" s="644">
        <v>0.56000000000000005</v>
      </c>
      <c r="II110" s="644">
        <v>0.48</v>
      </c>
      <c r="IJ110" s="644">
        <v>0.32</v>
      </c>
      <c r="IK110" s="644">
        <v>0.65</v>
      </c>
      <c r="IL110" s="644">
        <v>0.45</v>
      </c>
      <c r="IM110" s="644">
        <v>0.59</v>
      </c>
      <c r="IN110" s="644">
        <v>0.56999999999999995</v>
      </c>
      <c r="IO110" s="644">
        <v>0.66</v>
      </c>
      <c r="IP110" s="644">
        <v>0.57999999999999996</v>
      </c>
      <c r="IQ110" s="644">
        <v>0.69</v>
      </c>
      <c r="IR110" s="644">
        <v>0.66</v>
      </c>
      <c r="IS110" s="644">
        <v>0.56000000000000005</v>
      </c>
      <c r="IT110" s="644">
        <v>0.54</v>
      </c>
      <c r="IU110" s="640" t="s">
        <v>287</v>
      </c>
      <c r="IV110" s="644">
        <v>0.75</v>
      </c>
      <c r="IW110" s="644">
        <v>0.54</v>
      </c>
      <c r="IX110" s="644">
        <v>0.5</v>
      </c>
      <c r="IY110" s="644">
        <v>0.55000000000000004</v>
      </c>
    </row>
    <row r="111" spans="1:259" ht="24.9" customHeight="1" x14ac:dyDescent="0.25">
      <c r="A111" s="188" t="s">
        <v>23</v>
      </c>
      <c r="B111" s="1" t="s">
        <v>220</v>
      </c>
      <c r="C111" s="2">
        <v>2</v>
      </c>
      <c r="D111" s="16">
        <v>55</v>
      </c>
      <c r="E111" s="16">
        <v>8</v>
      </c>
      <c r="F111" s="99">
        <v>0.04</v>
      </c>
      <c r="G111" s="99">
        <v>0.52</v>
      </c>
      <c r="H111" s="99">
        <v>0.43</v>
      </c>
      <c r="I111" s="99">
        <v>0.01</v>
      </c>
      <c r="J111" s="99">
        <v>0.36</v>
      </c>
      <c r="K111" s="99">
        <v>0.35</v>
      </c>
      <c r="L111" s="99">
        <v>0.68</v>
      </c>
      <c r="M111" s="99">
        <v>0.17</v>
      </c>
      <c r="N111" s="99">
        <v>0.26</v>
      </c>
      <c r="O111" s="99">
        <v>0.53</v>
      </c>
      <c r="P111" s="99">
        <v>0.27</v>
      </c>
      <c r="Q111" s="99">
        <v>0.33</v>
      </c>
      <c r="R111" s="99">
        <v>0.49</v>
      </c>
      <c r="S111" s="99">
        <v>0.5</v>
      </c>
      <c r="T111" s="99">
        <v>0.41</v>
      </c>
      <c r="U111" s="99">
        <v>0.56999999999999995</v>
      </c>
      <c r="V111" s="99">
        <v>0.08</v>
      </c>
      <c r="W111" s="99">
        <v>0.2</v>
      </c>
      <c r="X111" s="99">
        <v>0.49</v>
      </c>
      <c r="Y111" s="99">
        <v>0.45</v>
      </c>
      <c r="Z111" s="99">
        <v>1</v>
      </c>
      <c r="AA111" s="99">
        <v>0.05</v>
      </c>
      <c r="AB111" s="99">
        <v>0.39</v>
      </c>
      <c r="AC111" s="99">
        <v>0.2</v>
      </c>
      <c r="AD111" s="99">
        <v>0.38</v>
      </c>
      <c r="AE111" s="99">
        <v>0.44</v>
      </c>
      <c r="AF111" s="99">
        <v>0.54</v>
      </c>
      <c r="AG111" s="99">
        <v>0.4</v>
      </c>
      <c r="AH111" s="16">
        <v>54</v>
      </c>
      <c r="AI111" s="16">
        <v>8</v>
      </c>
      <c r="AJ111" s="66">
        <v>0.05</v>
      </c>
      <c r="AK111" s="66">
        <v>0.54</v>
      </c>
      <c r="AL111" s="66">
        <v>0.4</v>
      </c>
      <c r="AM111" s="66">
        <v>0.01</v>
      </c>
      <c r="AN111" s="66">
        <v>0.23</v>
      </c>
      <c r="AO111" s="66">
        <v>0.45</v>
      </c>
      <c r="AP111" s="66">
        <v>0.56000000000000005</v>
      </c>
      <c r="AQ111" s="66">
        <v>0.38</v>
      </c>
      <c r="AR111" s="66">
        <v>0.55000000000000004</v>
      </c>
      <c r="AS111" s="66">
        <v>0.48</v>
      </c>
      <c r="AT111" s="66">
        <v>0.48</v>
      </c>
      <c r="AU111" s="66">
        <v>0.48</v>
      </c>
      <c r="AV111" s="66">
        <v>0.56999999999999995</v>
      </c>
      <c r="AW111" s="66">
        <v>0.4</v>
      </c>
      <c r="AX111" s="66">
        <v>0.49</v>
      </c>
      <c r="AY111" s="66">
        <v>0.27</v>
      </c>
      <c r="AZ111" s="66">
        <v>0.23</v>
      </c>
      <c r="BA111" s="66">
        <v>0.49</v>
      </c>
      <c r="BB111" s="66">
        <v>0.65</v>
      </c>
      <c r="BC111" s="66">
        <v>0.57999999999999996</v>
      </c>
      <c r="BD111" s="66">
        <v>0.37</v>
      </c>
      <c r="BE111" s="66">
        <v>0.52</v>
      </c>
      <c r="BF111" s="66">
        <v>0.64</v>
      </c>
      <c r="BG111" s="66">
        <v>0.45</v>
      </c>
      <c r="BH111" s="66">
        <v>0.4</v>
      </c>
      <c r="BI111" s="66">
        <v>0.38</v>
      </c>
      <c r="BJ111" s="66">
        <v>0.38</v>
      </c>
      <c r="BK111" s="66">
        <v>0.42</v>
      </c>
      <c r="BL111" s="66">
        <v>0.44</v>
      </c>
      <c r="BM111" s="16">
        <v>52</v>
      </c>
      <c r="BN111" s="16">
        <v>9</v>
      </c>
      <c r="BO111" s="99">
        <v>0.13</v>
      </c>
      <c r="BP111" s="99">
        <v>0.53</v>
      </c>
      <c r="BQ111" s="99">
        <v>0.34</v>
      </c>
      <c r="BR111" s="99">
        <v>0</v>
      </c>
      <c r="BS111" s="99">
        <v>0.35</v>
      </c>
      <c r="BT111" s="99">
        <v>0.43</v>
      </c>
      <c r="BU111" s="99">
        <v>0.65</v>
      </c>
      <c r="BV111" s="99">
        <v>0.27</v>
      </c>
      <c r="BW111" s="99">
        <v>0.63</v>
      </c>
      <c r="BX111" s="99">
        <v>0.33</v>
      </c>
      <c r="BY111" s="99">
        <v>0.47</v>
      </c>
      <c r="BZ111" s="99">
        <v>0.53</v>
      </c>
      <c r="CA111" s="99">
        <v>0.48</v>
      </c>
      <c r="CB111" s="99">
        <v>0.35</v>
      </c>
      <c r="CC111" s="99">
        <v>0.2</v>
      </c>
      <c r="CD111" s="99">
        <v>0.4</v>
      </c>
      <c r="CE111" s="99">
        <v>0.3</v>
      </c>
      <c r="CF111" s="99">
        <v>0.6</v>
      </c>
      <c r="CG111" s="99">
        <v>0.6</v>
      </c>
      <c r="CH111" s="99">
        <v>0.43</v>
      </c>
      <c r="CI111" s="99">
        <v>0.56000000000000005</v>
      </c>
      <c r="CJ111" s="99">
        <v>0.31</v>
      </c>
      <c r="CK111" s="99">
        <v>0.64</v>
      </c>
      <c r="CL111" s="99">
        <v>0.3</v>
      </c>
      <c r="CM111" s="99">
        <v>0.42</v>
      </c>
      <c r="CN111" s="99">
        <v>0.41</v>
      </c>
      <c r="CO111" s="99">
        <v>0.43</v>
      </c>
      <c r="CP111" s="99">
        <v>0.35</v>
      </c>
      <c r="CQ111" s="99">
        <v>0.54</v>
      </c>
      <c r="CR111" s="99">
        <v>0.55000000000000004</v>
      </c>
      <c r="CS111" s="16">
        <v>50</v>
      </c>
      <c r="CT111" s="16">
        <v>9</v>
      </c>
      <c r="CU111" s="96">
        <v>0.12</v>
      </c>
      <c r="CV111" s="96">
        <v>0.61</v>
      </c>
      <c r="CW111" s="96">
        <v>0.26</v>
      </c>
      <c r="CX111" s="96">
        <v>0.01</v>
      </c>
      <c r="CY111" s="96">
        <v>0.51</v>
      </c>
      <c r="CZ111" s="96">
        <v>0.3</v>
      </c>
      <c r="DA111" s="96">
        <v>0.55000000000000004</v>
      </c>
      <c r="DB111" s="96">
        <v>0.34</v>
      </c>
      <c r="DC111" s="96">
        <v>0.45</v>
      </c>
      <c r="DD111" s="96">
        <v>0.65</v>
      </c>
      <c r="DE111" s="96">
        <v>0.46</v>
      </c>
      <c r="DF111" s="96">
        <v>0.53</v>
      </c>
      <c r="DG111" s="96">
        <v>0.44</v>
      </c>
      <c r="DH111" s="96">
        <v>0.37</v>
      </c>
      <c r="DI111" s="96">
        <v>0.49</v>
      </c>
      <c r="DJ111" s="96">
        <v>0.5</v>
      </c>
      <c r="DK111" s="96">
        <v>0.32</v>
      </c>
      <c r="DL111" s="96">
        <v>0.31</v>
      </c>
      <c r="DM111" s="96">
        <v>0.53</v>
      </c>
      <c r="DN111" s="96">
        <v>0.5</v>
      </c>
      <c r="DO111" s="96">
        <v>0.45</v>
      </c>
      <c r="DP111" s="96">
        <v>0.47</v>
      </c>
      <c r="DQ111" s="96">
        <v>0.53</v>
      </c>
      <c r="DR111" s="96">
        <v>0.19</v>
      </c>
      <c r="DS111" s="96">
        <v>0.38</v>
      </c>
      <c r="DT111" s="96">
        <v>0.6</v>
      </c>
      <c r="DU111" s="96">
        <v>0.46</v>
      </c>
      <c r="DV111" s="96">
        <v>0.56999999999999995</v>
      </c>
      <c r="DW111" s="96">
        <v>0.36</v>
      </c>
      <c r="DX111" s="61">
        <v>49</v>
      </c>
      <c r="DY111" s="61">
        <v>9</v>
      </c>
      <c r="DZ111" s="66">
        <v>0.16</v>
      </c>
      <c r="EA111" s="66">
        <v>0.56000000000000005</v>
      </c>
      <c r="EB111" s="66">
        <v>0.26</v>
      </c>
      <c r="EC111" s="66">
        <v>0.02</v>
      </c>
      <c r="ED111" s="66">
        <v>0.49</v>
      </c>
      <c r="EE111" s="66">
        <v>0.44</v>
      </c>
      <c r="EF111" s="66">
        <v>0.49</v>
      </c>
      <c r="EG111" s="66">
        <v>0.28000000000000003</v>
      </c>
      <c r="EH111" s="66">
        <v>0.43</v>
      </c>
      <c r="EI111" s="66">
        <v>0.51</v>
      </c>
      <c r="EJ111" s="66">
        <v>0.56000000000000005</v>
      </c>
      <c r="EK111" s="66">
        <v>0.28000000000000003</v>
      </c>
      <c r="EL111" s="66">
        <v>0.44</v>
      </c>
      <c r="EM111" s="66">
        <v>0.62</v>
      </c>
      <c r="EN111" s="66">
        <v>0.46</v>
      </c>
      <c r="EO111" s="66">
        <v>0.56999999999999995</v>
      </c>
      <c r="EP111" s="66">
        <v>0.44</v>
      </c>
      <c r="EQ111" s="66">
        <v>0.25</v>
      </c>
      <c r="ER111" s="66">
        <v>0.6</v>
      </c>
      <c r="ES111" s="66">
        <v>0.46</v>
      </c>
      <c r="ET111" s="66">
        <v>0.36</v>
      </c>
      <c r="EU111" s="66">
        <v>0.63</v>
      </c>
      <c r="EV111" s="66">
        <v>0.43</v>
      </c>
      <c r="EW111" s="66">
        <v>0.34</v>
      </c>
      <c r="EX111" s="66">
        <v>0.78</v>
      </c>
      <c r="EY111" s="66">
        <v>0.59</v>
      </c>
      <c r="EZ111" s="66">
        <v>0.25</v>
      </c>
      <c r="FA111" s="66">
        <v>0.6</v>
      </c>
      <c r="FB111" s="349">
        <v>50</v>
      </c>
      <c r="FC111" s="348" t="s">
        <v>910</v>
      </c>
      <c r="FD111" s="349">
        <v>8</v>
      </c>
      <c r="FE111" s="348" t="s">
        <v>910</v>
      </c>
      <c r="FF111" s="371">
        <v>0.13</v>
      </c>
      <c r="FG111" s="371">
        <v>0.63</v>
      </c>
      <c r="FH111" s="371">
        <v>0.24</v>
      </c>
      <c r="FI111" s="371">
        <v>0</v>
      </c>
      <c r="FJ111" s="371">
        <v>0.47</v>
      </c>
      <c r="FK111" s="371">
        <v>0.67</v>
      </c>
      <c r="FL111" s="371">
        <v>0.48</v>
      </c>
      <c r="FM111" s="371">
        <v>0.46</v>
      </c>
      <c r="FN111" s="371">
        <v>0.23</v>
      </c>
      <c r="FO111" s="371">
        <v>0.35</v>
      </c>
      <c r="FP111" s="371">
        <v>0.41</v>
      </c>
      <c r="FQ111" s="371">
        <v>0.39</v>
      </c>
      <c r="FR111" s="371">
        <v>0.62</v>
      </c>
      <c r="FS111" s="371">
        <v>0.49</v>
      </c>
      <c r="FT111" s="371">
        <v>0.5</v>
      </c>
      <c r="FU111" s="371">
        <v>0.41</v>
      </c>
      <c r="FV111" s="371">
        <v>0.6</v>
      </c>
      <c r="FW111" s="371">
        <v>0.59</v>
      </c>
      <c r="FX111" s="371">
        <v>0.47</v>
      </c>
      <c r="FY111" s="371">
        <v>0.32</v>
      </c>
      <c r="FZ111" s="371">
        <v>0.42</v>
      </c>
      <c r="GA111" s="371">
        <v>0.53</v>
      </c>
      <c r="GB111" s="371">
        <v>0.53</v>
      </c>
      <c r="GC111" s="371">
        <v>0.46</v>
      </c>
      <c r="GD111" s="371">
        <v>0.6</v>
      </c>
      <c r="GE111" s="371">
        <v>0.57999999999999996</v>
      </c>
      <c r="GF111" s="371">
        <v>0.47</v>
      </c>
      <c r="GG111" s="371">
        <v>0.44</v>
      </c>
      <c r="GH111" s="371">
        <v>0.56999999999999995</v>
      </c>
      <c r="GI111" s="371">
        <v>0.28000000000000003</v>
      </c>
      <c r="GJ111" s="469">
        <v>52</v>
      </c>
      <c r="GK111" s="471" t="s">
        <v>910</v>
      </c>
      <c r="GL111" s="469">
        <v>9</v>
      </c>
      <c r="GM111" s="471" t="s">
        <v>910</v>
      </c>
      <c r="GN111" s="501">
        <v>0.11</v>
      </c>
      <c r="GO111" s="501">
        <v>0.56000000000000005</v>
      </c>
      <c r="GP111" s="501">
        <v>0.32</v>
      </c>
      <c r="GQ111" s="501">
        <v>0.01</v>
      </c>
      <c r="GR111" s="501">
        <v>0.48</v>
      </c>
      <c r="GS111" s="501">
        <v>0.56000000000000005</v>
      </c>
      <c r="GT111" s="501">
        <v>0.6</v>
      </c>
      <c r="GU111" s="501">
        <v>0.18</v>
      </c>
      <c r="GV111" s="501">
        <v>0.55000000000000004</v>
      </c>
      <c r="GW111" s="501">
        <v>0.43</v>
      </c>
      <c r="GX111" s="501">
        <v>0.44</v>
      </c>
      <c r="GY111" s="471" t="s">
        <v>287</v>
      </c>
      <c r="GZ111" s="501">
        <v>0.28999999999999998</v>
      </c>
      <c r="HA111" s="501">
        <v>0.62</v>
      </c>
      <c r="HB111" s="501">
        <v>0.45</v>
      </c>
      <c r="HC111" s="501">
        <v>0.51</v>
      </c>
      <c r="HD111" s="501">
        <v>0.55000000000000004</v>
      </c>
      <c r="HE111" s="501">
        <v>0.42</v>
      </c>
      <c r="HF111" s="501">
        <v>0.47</v>
      </c>
      <c r="HG111" s="501">
        <v>0.68</v>
      </c>
      <c r="HH111" s="501">
        <v>0.37</v>
      </c>
      <c r="HI111" s="501">
        <v>0.51</v>
      </c>
      <c r="HJ111" s="501">
        <v>0.59</v>
      </c>
      <c r="HK111" s="501">
        <v>0.47</v>
      </c>
      <c r="HL111" s="501">
        <v>0.41</v>
      </c>
      <c r="HM111" s="501">
        <v>0.47</v>
      </c>
      <c r="HN111" s="501">
        <v>0.47</v>
      </c>
      <c r="HO111" s="501">
        <v>0.42</v>
      </c>
      <c r="HP111" s="471" t="s">
        <v>287</v>
      </c>
      <c r="HQ111" s="501">
        <v>0.42</v>
      </c>
      <c r="HR111" s="630">
        <v>51</v>
      </c>
      <c r="HS111" s="640" t="s">
        <v>910</v>
      </c>
      <c r="HT111" s="630">
        <v>9</v>
      </c>
      <c r="HU111" s="640" t="s">
        <v>910</v>
      </c>
      <c r="HV111" s="644">
        <v>0.12</v>
      </c>
      <c r="HW111" s="644">
        <v>0.57999999999999996</v>
      </c>
      <c r="HX111" s="644">
        <v>0.28999999999999998</v>
      </c>
      <c r="HY111" s="644">
        <v>0.02</v>
      </c>
      <c r="HZ111" s="644">
        <v>0.39</v>
      </c>
      <c r="IA111" s="644">
        <v>0.52</v>
      </c>
      <c r="IB111" s="644">
        <v>0.39</v>
      </c>
      <c r="IC111" s="644">
        <v>0.51</v>
      </c>
      <c r="ID111" s="644">
        <v>0.62</v>
      </c>
      <c r="IE111" s="644">
        <v>0.35</v>
      </c>
      <c r="IF111" s="644">
        <v>0.41</v>
      </c>
      <c r="IG111" s="644">
        <v>0.52</v>
      </c>
      <c r="IH111" s="644">
        <v>0.55000000000000004</v>
      </c>
      <c r="II111" s="644">
        <v>0.42</v>
      </c>
      <c r="IJ111" s="644">
        <v>0.3</v>
      </c>
      <c r="IK111" s="644">
        <v>0.56000000000000005</v>
      </c>
      <c r="IL111" s="644">
        <v>0.39</v>
      </c>
      <c r="IM111" s="644">
        <v>0.6</v>
      </c>
      <c r="IN111" s="644">
        <v>0.47</v>
      </c>
      <c r="IO111" s="644">
        <v>0.49</v>
      </c>
      <c r="IP111" s="644">
        <v>0.43</v>
      </c>
      <c r="IQ111" s="644">
        <v>0.63</v>
      </c>
      <c r="IR111" s="644">
        <v>0.56000000000000005</v>
      </c>
      <c r="IS111" s="644">
        <v>0.5</v>
      </c>
      <c r="IT111" s="644">
        <v>0.44</v>
      </c>
      <c r="IU111" s="640" t="s">
        <v>287</v>
      </c>
      <c r="IV111" s="644">
        <v>0.62</v>
      </c>
      <c r="IW111" s="644">
        <v>0.42</v>
      </c>
      <c r="IX111" s="644">
        <v>0.49</v>
      </c>
      <c r="IY111" s="644">
        <v>0.52</v>
      </c>
    </row>
    <row r="112" spans="1:259" ht="24.9" customHeight="1" x14ac:dyDescent="0.25">
      <c r="A112" s="188" t="s">
        <v>224</v>
      </c>
      <c r="B112" s="1" t="s">
        <v>222</v>
      </c>
      <c r="C112" s="2">
        <v>1</v>
      </c>
      <c r="D112" s="16">
        <v>51</v>
      </c>
      <c r="E112" s="16">
        <v>8</v>
      </c>
      <c r="F112" s="99">
        <v>7.0000000000000007E-2</v>
      </c>
      <c r="G112" s="99">
        <v>0.76</v>
      </c>
      <c r="H112" s="99">
        <v>0.17</v>
      </c>
      <c r="I112" s="99">
        <v>0</v>
      </c>
      <c r="J112" s="99">
        <v>0.39</v>
      </c>
      <c r="K112" s="99">
        <v>0.6</v>
      </c>
      <c r="L112" s="99">
        <v>0.86</v>
      </c>
      <c r="M112" s="99">
        <v>0.28999999999999998</v>
      </c>
      <c r="N112" s="99">
        <v>0.32</v>
      </c>
      <c r="O112" s="99">
        <v>0.57999999999999996</v>
      </c>
      <c r="P112" s="99">
        <v>0.34</v>
      </c>
      <c r="Q112" s="99">
        <v>0.5</v>
      </c>
      <c r="R112" s="99">
        <v>0.64</v>
      </c>
      <c r="S112" s="99">
        <v>0.56000000000000005</v>
      </c>
      <c r="T112" s="99">
        <v>0.42</v>
      </c>
      <c r="U112" s="99">
        <v>0.73</v>
      </c>
      <c r="V112" s="99">
        <v>0.14000000000000001</v>
      </c>
      <c r="W112" s="99">
        <v>0.24</v>
      </c>
      <c r="X112" s="99">
        <v>0.5</v>
      </c>
      <c r="Y112" s="99">
        <v>0.47</v>
      </c>
      <c r="Z112" s="99">
        <v>1</v>
      </c>
      <c r="AA112" s="99">
        <v>0.31</v>
      </c>
      <c r="AB112" s="99">
        <v>0.39</v>
      </c>
      <c r="AC112" s="99">
        <v>0.19</v>
      </c>
      <c r="AD112" s="99">
        <v>0.63</v>
      </c>
      <c r="AE112" s="99">
        <v>0.48</v>
      </c>
      <c r="AF112" s="99">
        <v>0.52</v>
      </c>
      <c r="AG112" s="99">
        <v>0.51</v>
      </c>
      <c r="AH112" s="16">
        <v>54</v>
      </c>
      <c r="AI112" s="16">
        <v>9</v>
      </c>
      <c r="AJ112" s="66">
        <v>0.05</v>
      </c>
      <c r="AK112" s="66">
        <v>0.46</v>
      </c>
      <c r="AL112" s="66">
        <v>0.44</v>
      </c>
      <c r="AM112" s="66">
        <v>0.05</v>
      </c>
      <c r="AN112" s="66">
        <v>0.21</v>
      </c>
      <c r="AO112" s="66">
        <v>0.4</v>
      </c>
      <c r="AP112" s="66">
        <v>0.51</v>
      </c>
      <c r="AQ112" s="66">
        <v>0.35</v>
      </c>
      <c r="AR112" s="66">
        <v>0.45</v>
      </c>
      <c r="AS112" s="66">
        <v>0.45</v>
      </c>
      <c r="AT112" s="66">
        <v>0.46</v>
      </c>
      <c r="AU112" s="66">
        <v>0.45</v>
      </c>
      <c r="AV112" s="66">
        <v>0.49</v>
      </c>
      <c r="AW112" s="66">
        <v>0.47</v>
      </c>
      <c r="AX112" s="66">
        <v>0.61</v>
      </c>
      <c r="AY112" s="66">
        <v>0.28000000000000003</v>
      </c>
      <c r="AZ112" s="66">
        <v>0.16</v>
      </c>
      <c r="BA112" s="66">
        <v>0.45</v>
      </c>
      <c r="BB112" s="66">
        <v>0.57999999999999996</v>
      </c>
      <c r="BC112" s="66">
        <v>0.59</v>
      </c>
      <c r="BD112" s="66">
        <v>0.38</v>
      </c>
      <c r="BE112" s="66">
        <v>0.45</v>
      </c>
      <c r="BF112" s="66">
        <v>0.5</v>
      </c>
      <c r="BG112" s="66">
        <v>0.53</v>
      </c>
      <c r="BH112" s="66">
        <v>0.36</v>
      </c>
      <c r="BI112" s="66">
        <v>0.4</v>
      </c>
      <c r="BJ112" s="66">
        <v>0.3</v>
      </c>
      <c r="BK112" s="66">
        <v>0.43</v>
      </c>
      <c r="BL112" s="66">
        <v>0.37</v>
      </c>
      <c r="BM112" s="16">
        <v>54</v>
      </c>
      <c r="BN112" s="16">
        <v>8</v>
      </c>
      <c r="BO112" s="99">
        <v>0.03</v>
      </c>
      <c r="BP112" s="99">
        <v>0.55000000000000004</v>
      </c>
      <c r="BQ112" s="99">
        <v>0.39</v>
      </c>
      <c r="BR112" s="99">
        <v>0.03</v>
      </c>
      <c r="BS112" s="99">
        <v>0.22</v>
      </c>
      <c r="BT112" s="99">
        <v>0.33</v>
      </c>
      <c r="BU112" s="99">
        <v>0.52</v>
      </c>
      <c r="BV112" s="99">
        <v>0.14000000000000001</v>
      </c>
      <c r="BW112" s="99">
        <v>0.65</v>
      </c>
      <c r="BX112" s="99">
        <v>0.28999999999999998</v>
      </c>
      <c r="BY112" s="99">
        <v>0.35</v>
      </c>
      <c r="BZ112" s="99">
        <v>0.44</v>
      </c>
      <c r="CA112" s="99">
        <v>0.31</v>
      </c>
      <c r="CB112" s="99">
        <v>0.27</v>
      </c>
      <c r="CC112" s="99">
        <v>0.1</v>
      </c>
      <c r="CD112" s="99">
        <v>0.26</v>
      </c>
      <c r="CE112" s="99">
        <v>0.28999999999999998</v>
      </c>
      <c r="CF112" s="99">
        <v>0.69</v>
      </c>
      <c r="CG112" s="99">
        <v>0.52</v>
      </c>
      <c r="CH112" s="99">
        <v>0.44</v>
      </c>
      <c r="CI112" s="99">
        <v>0.42</v>
      </c>
      <c r="CJ112" s="99">
        <v>0.35</v>
      </c>
      <c r="CK112" s="99">
        <v>0.6</v>
      </c>
      <c r="CL112" s="99">
        <v>0.28000000000000003</v>
      </c>
      <c r="CM112" s="99">
        <v>0.41</v>
      </c>
      <c r="CN112" s="99">
        <v>0.37</v>
      </c>
      <c r="CO112" s="99">
        <v>0.42</v>
      </c>
      <c r="CP112" s="99">
        <v>0.28999999999999998</v>
      </c>
      <c r="CQ112" s="99">
        <v>0.51</v>
      </c>
      <c r="CR112" s="99">
        <v>0.44</v>
      </c>
      <c r="CS112" s="16">
        <v>53</v>
      </c>
      <c r="CT112" s="16">
        <v>7</v>
      </c>
      <c r="CU112" s="96">
        <v>0</v>
      </c>
      <c r="CV112" s="96">
        <v>0.7</v>
      </c>
      <c r="CW112" s="96">
        <v>0.24</v>
      </c>
      <c r="CX112" s="96">
        <v>0.05</v>
      </c>
      <c r="CY112" s="96">
        <v>0.43</v>
      </c>
      <c r="CZ112" s="96">
        <v>0.23</v>
      </c>
      <c r="DA112" s="96">
        <v>0.5</v>
      </c>
      <c r="DB112" s="96">
        <v>0.28999999999999998</v>
      </c>
      <c r="DC112" s="96">
        <v>0.38</v>
      </c>
      <c r="DD112" s="96">
        <v>0.56000000000000005</v>
      </c>
      <c r="DE112" s="96">
        <v>0.43</v>
      </c>
      <c r="DF112" s="96">
        <v>0.42</v>
      </c>
      <c r="DG112" s="96">
        <v>0.39</v>
      </c>
      <c r="DH112" s="96">
        <v>0.26</v>
      </c>
      <c r="DI112" s="96">
        <v>0.45</v>
      </c>
      <c r="DJ112" s="96">
        <v>0.47</v>
      </c>
      <c r="DK112" s="96">
        <v>0.35</v>
      </c>
      <c r="DL112" s="96">
        <v>0.15</v>
      </c>
      <c r="DM112" s="96">
        <v>0.44</v>
      </c>
      <c r="DN112" s="96">
        <v>0.51</v>
      </c>
      <c r="DO112" s="96">
        <v>0.43</v>
      </c>
      <c r="DP112" s="96">
        <v>0.33</v>
      </c>
      <c r="DQ112" s="96">
        <v>0.55000000000000004</v>
      </c>
      <c r="DR112" s="96">
        <v>0.14000000000000001</v>
      </c>
      <c r="DS112" s="96">
        <v>0.4</v>
      </c>
      <c r="DT112" s="96">
        <v>0.39</v>
      </c>
      <c r="DU112" s="96">
        <v>0.47</v>
      </c>
      <c r="DV112" s="96">
        <v>0.61</v>
      </c>
      <c r="DW112" s="96">
        <v>0.24</v>
      </c>
      <c r="DX112" s="61">
        <v>53</v>
      </c>
      <c r="DY112" s="61">
        <v>9</v>
      </c>
      <c r="DZ112" s="66">
        <v>7.0000000000000007E-2</v>
      </c>
      <c r="EA112" s="66">
        <v>0.56000000000000005</v>
      </c>
      <c r="EB112" s="66">
        <v>0.33</v>
      </c>
      <c r="EC112" s="66">
        <v>0.04</v>
      </c>
      <c r="ED112" s="66">
        <v>0.47</v>
      </c>
      <c r="EE112" s="66">
        <v>0.45</v>
      </c>
      <c r="EF112" s="66">
        <v>0.47</v>
      </c>
      <c r="EG112" s="66">
        <v>0.52</v>
      </c>
      <c r="EH112" s="66">
        <v>0.38</v>
      </c>
      <c r="EI112" s="66">
        <v>0.37</v>
      </c>
      <c r="EJ112" s="66">
        <v>0.43</v>
      </c>
      <c r="EK112" s="66">
        <v>0.15</v>
      </c>
      <c r="EL112" s="66">
        <v>0.41</v>
      </c>
      <c r="EM112" s="66">
        <v>0.59</v>
      </c>
      <c r="EN112" s="66">
        <v>0.32</v>
      </c>
      <c r="EO112" s="66">
        <v>0.56000000000000005</v>
      </c>
      <c r="EP112" s="66">
        <v>0.27</v>
      </c>
      <c r="EQ112" s="66">
        <v>0.2</v>
      </c>
      <c r="ER112" s="66">
        <v>0.47</v>
      </c>
      <c r="ES112" s="66">
        <v>0.46</v>
      </c>
      <c r="ET112" s="66">
        <v>0.35</v>
      </c>
      <c r="EU112" s="66">
        <v>0.61</v>
      </c>
      <c r="EV112" s="66">
        <v>0.39</v>
      </c>
      <c r="EW112" s="66">
        <v>0.28000000000000003</v>
      </c>
      <c r="EX112" s="66">
        <v>0.62</v>
      </c>
      <c r="EY112" s="66">
        <v>0.53</v>
      </c>
      <c r="EZ112" s="66">
        <v>0.05</v>
      </c>
      <c r="FA112" s="66">
        <v>0.56000000000000005</v>
      </c>
      <c r="FB112" s="349">
        <v>52</v>
      </c>
      <c r="FC112" s="348" t="s">
        <v>910</v>
      </c>
      <c r="FD112" s="349">
        <v>8</v>
      </c>
      <c r="FE112" s="348" t="s">
        <v>910</v>
      </c>
      <c r="FF112" s="371">
        <v>7.0000000000000007E-2</v>
      </c>
      <c r="FG112" s="371">
        <v>0.56999999999999995</v>
      </c>
      <c r="FH112" s="371">
        <v>0.36</v>
      </c>
      <c r="FI112" s="371">
        <v>0</v>
      </c>
      <c r="FJ112" s="371">
        <v>0.41</v>
      </c>
      <c r="FK112" s="371">
        <v>0.59</v>
      </c>
      <c r="FL112" s="371">
        <v>0.46</v>
      </c>
      <c r="FM112" s="371">
        <v>0.36</v>
      </c>
      <c r="FN112" s="371">
        <v>0.2</v>
      </c>
      <c r="FO112" s="371">
        <v>0.25</v>
      </c>
      <c r="FP112" s="371">
        <v>0.3</v>
      </c>
      <c r="FQ112" s="371">
        <v>0.37</v>
      </c>
      <c r="FR112" s="371">
        <v>0.57999999999999996</v>
      </c>
      <c r="FS112" s="371">
        <v>0.38</v>
      </c>
      <c r="FT112" s="371">
        <v>0.51</v>
      </c>
      <c r="FU112" s="371">
        <v>0.35</v>
      </c>
      <c r="FV112" s="371">
        <v>0.5</v>
      </c>
      <c r="FW112" s="371">
        <v>0.45</v>
      </c>
      <c r="FX112" s="371">
        <v>0.46</v>
      </c>
      <c r="FY112" s="371">
        <v>0.26</v>
      </c>
      <c r="FZ112" s="371">
        <v>0.36</v>
      </c>
      <c r="GA112" s="371">
        <v>0.42</v>
      </c>
      <c r="GB112" s="371">
        <v>0.59</v>
      </c>
      <c r="GC112" s="371">
        <v>0.46</v>
      </c>
      <c r="GD112" s="371">
        <v>0.57999999999999996</v>
      </c>
      <c r="GE112" s="371">
        <v>0.47</v>
      </c>
      <c r="GF112" s="371">
        <v>0.46</v>
      </c>
      <c r="GG112" s="371">
        <v>0.41</v>
      </c>
      <c r="GH112" s="371">
        <v>0.46</v>
      </c>
      <c r="GI112" s="371">
        <v>0.25</v>
      </c>
      <c r="GJ112" s="469">
        <v>52</v>
      </c>
      <c r="GK112" s="471" t="s">
        <v>910</v>
      </c>
      <c r="GL112" s="469">
        <v>9</v>
      </c>
      <c r="GM112" s="471" t="s">
        <v>910</v>
      </c>
      <c r="GN112" s="501">
        <v>0.15</v>
      </c>
      <c r="GO112" s="501">
        <v>0.46</v>
      </c>
      <c r="GP112" s="501">
        <v>0.37</v>
      </c>
      <c r="GQ112" s="501">
        <v>0.03</v>
      </c>
      <c r="GR112" s="501">
        <v>0.48</v>
      </c>
      <c r="GS112" s="501">
        <v>0.54</v>
      </c>
      <c r="GT112" s="501">
        <v>0.56999999999999995</v>
      </c>
      <c r="GU112" s="501">
        <v>0.1</v>
      </c>
      <c r="GV112" s="501">
        <v>0.56000000000000005</v>
      </c>
      <c r="GW112" s="501">
        <v>0.48</v>
      </c>
      <c r="GX112" s="501">
        <v>0.53</v>
      </c>
      <c r="GY112" s="471" t="s">
        <v>287</v>
      </c>
      <c r="GZ112" s="501">
        <v>0.31</v>
      </c>
      <c r="HA112" s="501">
        <v>0.68</v>
      </c>
      <c r="HB112" s="501">
        <v>0.48</v>
      </c>
      <c r="HC112" s="501">
        <v>0.55000000000000004</v>
      </c>
      <c r="HD112" s="501">
        <v>0.55000000000000004</v>
      </c>
      <c r="HE112" s="501">
        <v>0.44</v>
      </c>
      <c r="HF112" s="501">
        <v>0.42</v>
      </c>
      <c r="HG112" s="501">
        <v>0.64</v>
      </c>
      <c r="HH112" s="501">
        <v>0.38</v>
      </c>
      <c r="HI112" s="501">
        <v>0.5</v>
      </c>
      <c r="HJ112" s="501">
        <v>0.54</v>
      </c>
      <c r="HK112" s="501">
        <v>0.46</v>
      </c>
      <c r="HL112" s="501">
        <v>0.38</v>
      </c>
      <c r="HM112" s="501">
        <v>0.45</v>
      </c>
      <c r="HN112" s="501">
        <v>0.46</v>
      </c>
      <c r="HO112" s="501">
        <v>0.4</v>
      </c>
      <c r="HP112" s="471" t="s">
        <v>287</v>
      </c>
      <c r="HQ112" s="501">
        <v>0.44</v>
      </c>
      <c r="HR112" s="630">
        <v>56</v>
      </c>
      <c r="HS112" s="640" t="s">
        <v>910</v>
      </c>
      <c r="HT112" s="630">
        <v>8</v>
      </c>
      <c r="HU112" s="640" t="s">
        <v>910</v>
      </c>
      <c r="HV112" s="644">
        <v>0.04</v>
      </c>
      <c r="HW112" s="644">
        <v>0.5</v>
      </c>
      <c r="HX112" s="644">
        <v>0.41</v>
      </c>
      <c r="HY112" s="644">
        <v>0.06</v>
      </c>
      <c r="HZ112" s="644">
        <v>0.38</v>
      </c>
      <c r="IA112" s="644">
        <v>0.42</v>
      </c>
      <c r="IB112" s="644">
        <v>0.22</v>
      </c>
      <c r="IC112" s="644">
        <v>0.39</v>
      </c>
      <c r="ID112" s="644">
        <v>0.51</v>
      </c>
      <c r="IE112" s="644">
        <v>0.25</v>
      </c>
      <c r="IF112" s="644">
        <v>0.35</v>
      </c>
      <c r="IG112" s="644">
        <v>0.47</v>
      </c>
      <c r="IH112" s="644">
        <v>0.48</v>
      </c>
      <c r="II112" s="644">
        <v>0.19</v>
      </c>
      <c r="IJ112" s="644">
        <v>0.24</v>
      </c>
      <c r="IK112" s="644">
        <v>0.54</v>
      </c>
      <c r="IL112" s="644">
        <v>0.37</v>
      </c>
      <c r="IM112" s="644">
        <v>0.48</v>
      </c>
      <c r="IN112" s="644">
        <v>0.3</v>
      </c>
      <c r="IO112" s="644">
        <v>0.46</v>
      </c>
      <c r="IP112" s="644">
        <v>0.42</v>
      </c>
      <c r="IQ112" s="644">
        <v>0.61</v>
      </c>
      <c r="IR112" s="644">
        <v>0.56000000000000005</v>
      </c>
      <c r="IS112" s="644">
        <v>0.47</v>
      </c>
      <c r="IT112" s="644">
        <v>0.28999999999999998</v>
      </c>
      <c r="IU112" s="640" t="s">
        <v>287</v>
      </c>
      <c r="IV112" s="644">
        <v>0.49</v>
      </c>
      <c r="IW112" s="644">
        <v>0.32</v>
      </c>
      <c r="IX112" s="644">
        <v>0.39</v>
      </c>
      <c r="IY112" s="644">
        <v>0.41</v>
      </c>
    </row>
    <row r="113" spans="1:259" ht="24.9" customHeight="1" x14ac:dyDescent="0.25">
      <c r="A113" s="188" t="s">
        <v>88</v>
      </c>
      <c r="B113" s="1" t="s">
        <v>220</v>
      </c>
      <c r="C113" s="2">
        <v>2</v>
      </c>
      <c r="D113" s="16">
        <v>53</v>
      </c>
      <c r="E113" s="16">
        <v>7</v>
      </c>
      <c r="F113" s="99">
        <v>0.06</v>
      </c>
      <c r="G113" s="99">
        <v>0.61</v>
      </c>
      <c r="H113" s="99">
        <v>0.33</v>
      </c>
      <c r="I113" s="99">
        <v>0</v>
      </c>
      <c r="J113" s="99">
        <v>0.46</v>
      </c>
      <c r="K113" s="99">
        <v>0.44</v>
      </c>
      <c r="L113" s="99">
        <v>0.71</v>
      </c>
      <c r="M113" s="99">
        <v>0.23</v>
      </c>
      <c r="N113" s="99">
        <v>0.28999999999999998</v>
      </c>
      <c r="O113" s="99">
        <v>0.66</v>
      </c>
      <c r="P113" s="99">
        <v>0.35</v>
      </c>
      <c r="Q113" s="99">
        <v>0.4</v>
      </c>
      <c r="R113" s="99">
        <v>0.62</v>
      </c>
      <c r="S113" s="99">
        <v>0.61</v>
      </c>
      <c r="T113" s="99">
        <v>0.46</v>
      </c>
      <c r="U113" s="99">
        <v>0.56999999999999995</v>
      </c>
      <c r="V113" s="99">
        <v>0.06</v>
      </c>
      <c r="W113" s="99">
        <v>0.12</v>
      </c>
      <c r="X113" s="99">
        <v>0.47</v>
      </c>
      <c r="Y113" s="99">
        <v>0.54</v>
      </c>
      <c r="Z113" s="99">
        <v>0.75</v>
      </c>
      <c r="AA113" s="99">
        <v>0.1</v>
      </c>
      <c r="AB113" s="99">
        <v>0.45</v>
      </c>
      <c r="AC113" s="99">
        <v>0.21</v>
      </c>
      <c r="AD113" s="99">
        <v>0.45</v>
      </c>
      <c r="AE113" s="99">
        <v>0.5</v>
      </c>
      <c r="AF113" s="99">
        <v>0.57999999999999996</v>
      </c>
      <c r="AG113" s="99">
        <v>0.51</v>
      </c>
      <c r="AH113" s="16">
        <v>53</v>
      </c>
      <c r="AI113" s="16">
        <v>8</v>
      </c>
      <c r="AJ113" s="66">
        <v>7.0000000000000007E-2</v>
      </c>
      <c r="AK113" s="66">
        <v>0.54</v>
      </c>
      <c r="AL113" s="66">
        <v>0.38</v>
      </c>
      <c r="AM113" s="66">
        <v>0.01</v>
      </c>
      <c r="AN113" s="66">
        <v>0.28000000000000003</v>
      </c>
      <c r="AO113" s="66">
        <v>0.45</v>
      </c>
      <c r="AP113" s="66">
        <v>0.56999999999999995</v>
      </c>
      <c r="AQ113" s="66">
        <v>0.36</v>
      </c>
      <c r="AR113" s="66">
        <v>0.53</v>
      </c>
      <c r="AS113" s="66">
        <v>0.49</v>
      </c>
      <c r="AT113" s="66">
        <v>0.52</v>
      </c>
      <c r="AU113" s="66">
        <v>0.51</v>
      </c>
      <c r="AV113" s="66">
        <v>0.56999999999999995</v>
      </c>
      <c r="AW113" s="66">
        <v>0.46</v>
      </c>
      <c r="AX113" s="66">
        <v>0.6</v>
      </c>
      <c r="AY113" s="66">
        <v>0.28000000000000003</v>
      </c>
      <c r="AZ113" s="66">
        <v>0.3</v>
      </c>
      <c r="BA113" s="66">
        <v>0.5</v>
      </c>
      <c r="BB113" s="66">
        <v>0.6</v>
      </c>
      <c r="BC113" s="66">
        <v>0.64</v>
      </c>
      <c r="BD113" s="66">
        <v>0.38</v>
      </c>
      <c r="BE113" s="66">
        <v>0.48</v>
      </c>
      <c r="BF113" s="66">
        <v>0.61</v>
      </c>
      <c r="BG113" s="66">
        <v>0.48</v>
      </c>
      <c r="BH113" s="66">
        <v>0.43</v>
      </c>
      <c r="BI113" s="66">
        <v>0.36</v>
      </c>
      <c r="BJ113" s="66">
        <v>0.35</v>
      </c>
      <c r="BK113" s="66">
        <v>0.41</v>
      </c>
      <c r="BL113" s="66">
        <v>0.43</v>
      </c>
      <c r="BM113" s="16">
        <v>50</v>
      </c>
      <c r="BN113" s="16">
        <v>9</v>
      </c>
      <c r="BO113" s="99">
        <v>0.17</v>
      </c>
      <c r="BP113" s="99">
        <v>0.56999999999999995</v>
      </c>
      <c r="BQ113" s="99">
        <v>0.26</v>
      </c>
      <c r="BR113" s="99">
        <v>0</v>
      </c>
      <c r="BS113" s="99">
        <v>0.42</v>
      </c>
      <c r="BT113" s="99">
        <v>0.5</v>
      </c>
      <c r="BU113" s="99">
        <v>0.63</v>
      </c>
      <c r="BV113" s="99">
        <v>0.36</v>
      </c>
      <c r="BW113" s="99">
        <v>0.66</v>
      </c>
      <c r="BX113" s="99">
        <v>0.41</v>
      </c>
      <c r="BY113" s="99">
        <v>0.44</v>
      </c>
      <c r="BZ113" s="99">
        <v>0.53</v>
      </c>
      <c r="CA113" s="99">
        <v>0.46</v>
      </c>
      <c r="CB113" s="99">
        <v>0.32</v>
      </c>
      <c r="CC113" s="99">
        <v>0.27</v>
      </c>
      <c r="CD113" s="99">
        <v>0.42</v>
      </c>
      <c r="CE113" s="99">
        <v>0.35</v>
      </c>
      <c r="CF113" s="99">
        <v>0.6</v>
      </c>
      <c r="CG113" s="99">
        <v>0.56999999999999995</v>
      </c>
      <c r="CH113" s="99">
        <v>0.44</v>
      </c>
      <c r="CI113" s="99">
        <v>0.57999999999999996</v>
      </c>
      <c r="CJ113" s="99">
        <v>0.38</v>
      </c>
      <c r="CK113" s="99">
        <v>0.66</v>
      </c>
      <c r="CL113" s="99">
        <v>0.33</v>
      </c>
      <c r="CM113" s="99">
        <v>0.49</v>
      </c>
      <c r="CN113" s="99">
        <v>0.46</v>
      </c>
      <c r="CO113" s="99">
        <v>0.46</v>
      </c>
      <c r="CP113" s="99">
        <v>0.4</v>
      </c>
      <c r="CQ113" s="99">
        <v>0.56999999999999995</v>
      </c>
      <c r="CR113" s="99">
        <v>0.55000000000000004</v>
      </c>
      <c r="CS113" s="16">
        <v>48</v>
      </c>
      <c r="CT113" s="16">
        <v>9</v>
      </c>
      <c r="CU113" s="96">
        <v>0.19</v>
      </c>
      <c r="CV113" s="96">
        <v>0.6</v>
      </c>
      <c r="CW113" s="96">
        <v>0.21</v>
      </c>
      <c r="CX113" s="96">
        <v>0</v>
      </c>
      <c r="CY113" s="96">
        <v>0.55000000000000004</v>
      </c>
      <c r="CZ113" s="96">
        <v>0.34</v>
      </c>
      <c r="DA113" s="96">
        <v>0.56999999999999995</v>
      </c>
      <c r="DB113" s="96">
        <v>0.37</v>
      </c>
      <c r="DC113" s="96">
        <v>0.52</v>
      </c>
      <c r="DD113" s="96">
        <v>0.61</v>
      </c>
      <c r="DE113" s="96">
        <v>0.51</v>
      </c>
      <c r="DF113" s="96">
        <v>0.55000000000000004</v>
      </c>
      <c r="DG113" s="96">
        <v>0.47</v>
      </c>
      <c r="DH113" s="96">
        <v>0.39</v>
      </c>
      <c r="DI113" s="96">
        <v>0.56999999999999995</v>
      </c>
      <c r="DJ113" s="96">
        <v>0.56000000000000005</v>
      </c>
      <c r="DK113" s="96">
        <v>0.37</v>
      </c>
      <c r="DL113" s="96">
        <v>0.38</v>
      </c>
      <c r="DM113" s="96">
        <v>0.52</v>
      </c>
      <c r="DN113" s="96">
        <v>0.54</v>
      </c>
      <c r="DO113" s="96">
        <v>0.42</v>
      </c>
      <c r="DP113" s="96">
        <v>0.46</v>
      </c>
      <c r="DQ113" s="96">
        <v>0.59</v>
      </c>
      <c r="DR113" s="96">
        <v>0.22</v>
      </c>
      <c r="DS113" s="96">
        <v>0.4</v>
      </c>
      <c r="DT113" s="96">
        <v>0.51</v>
      </c>
      <c r="DU113" s="96">
        <v>0.56000000000000005</v>
      </c>
      <c r="DV113" s="96">
        <v>0.65</v>
      </c>
      <c r="DW113" s="96">
        <v>0.33</v>
      </c>
      <c r="DX113" s="61">
        <v>49</v>
      </c>
      <c r="DY113" s="61">
        <v>8</v>
      </c>
      <c r="DZ113" s="66">
        <v>0.18</v>
      </c>
      <c r="EA113" s="66">
        <v>0.57999999999999996</v>
      </c>
      <c r="EB113" s="66">
        <v>0.23</v>
      </c>
      <c r="EC113" s="66">
        <v>0.01</v>
      </c>
      <c r="ED113" s="66">
        <v>0.52</v>
      </c>
      <c r="EE113" s="66">
        <v>0.46</v>
      </c>
      <c r="EF113" s="66">
        <v>0.57999999999999996</v>
      </c>
      <c r="EG113" s="66">
        <v>0.33</v>
      </c>
      <c r="EH113" s="66">
        <v>0.47</v>
      </c>
      <c r="EI113" s="66">
        <v>0.49</v>
      </c>
      <c r="EJ113" s="66">
        <v>0.59</v>
      </c>
      <c r="EK113" s="66">
        <v>0.32</v>
      </c>
      <c r="EL113" s="66">
        <v>0.49</v>
      </c>
      <c r="EM113" s="66">
        <v>0.66</v>
      </c>
      <c r="EN113" s="66">
        <v>0.47</v>
      </c>
      <c r="EO113" s="66">
        <v>0.59</v>
      </c>
      <c r="EP113" s="66">
        <v>0.39</v>
      </c>
      <c r="EQ113" s="66">
        <v>0.27</v>
      </c>
      <c r="ER113" s="66">
        <v>0.63</v>
      </c>
      <c r="ES113" s="66">
        <v>0.49</v>
      </c>
      <c r="ET113" s="66">
        <v>0.33</v>
      </c>
      <c r="EU113" s="66">
        <v>0.6</v>
      </c>
      <c r="EV113" s="66">
        <v>0.37</v>
      </c>
      <c r="EW113" s="66">
        <v>0.32</v>
      </c>
      <c r="EX113" s="66">
        <v>0.71</v>
      </c>
      <c r="EY113" s="66">
        <v>0.59</v>
      </c>
      <c r="EZ113" s="66">
        <v>0.25</v>
      </c>
      <c r="FA113" s="66">
        <v>0.59</v>
      </c>
      <c r="FB113" s="349">
        <v>48</v>
      </c>
      <c r="FC113" s="348" t="s">
        <v>910</v>
      </c>
      <c r="FD113" s="349">
        <v>7</v>
      </c>
      <c r="FE113" s="348" t="s">
        <v>910</v>
      </c>
      <c r="FF113" s="371">
        <v>0.18</v>
      </c>
      <c r="FG113" s="371">
        <v>0.64</v>
      </c>
      <c r="FH113" s="371">
        <v>0.19</v>
      </c>
      <c r="FI113" s="371">
        <v>0</v>
      </c>
      <c r="FJ113" s="371">
        <v>0.49</v>
      </c>
      <c r="FK113" s="371">
        <v>0.67</v>
      </c>
      <c r="FL113" s="371">
        <v>0.51</v>
      </c>
      <c r="FM113" s="371">
        <v>0.47</v>
      </c>
      <c r="FN113" s="371">
        <v>0.28999999999999998</v>
      </c>
      <c r="FO113" s="371">
        <v>0.37</v>
      </c>
      <c r="FP113" s="371">
        <v>0.43</v>
      </c>
      <c r="FQ113" s="371">
        <v>0.42</v>
      </c>
      <c r="FR113" s="371">
        <v>0.61</v>
      </c>
      <c r="FS113" s="371">
        <v>0.55000000000000004</v>
      </c>
      <c r="FT113" s="371">
        <v>0.51</v>
      </c>
      <c r="FU113" s="371">
        <v>0.45</v>
      </c>
      <c r="FV113" s="371">
        <v>0.7</v>
      </c>
      <c r="FW113" s="371">
        <v>0.56999999999999995</v>
      </c>
      <c r="FX113" s="371">
        <v>0.52</v>
      </c>
      <c r="FY113" s="371">
        <v>0.43</v>
      </c>
      <c r="FZ113" s="371">
        <v>0.41</v>
      </c>
      <c r="GA113" s="371">
        <v>0.52</v>
      </c>
      <c r="GB113" s="371">
        <v>0.57999999999999996</v>
      </c>
      <c r="GC113" s="371">
        <v>0.51</v>
      </c>
      <c r="GD113" s="371">
        <v>0.65</v>
      </c>
      <c r="GE113" s="371">
        <v>0.6</v>
      </c>
      <c r="GF113" s="371">
        <v>0.53</v>
      </c>
      <c r="GG113" s="371">
        <v>0.46</v>
      </c>
      <c r="GH113" s="371">
        <v>0.62</v>
      </c>
      <c r="GI113" s="371">
        <v>0.33</v>
      </c>
      <c r="GJ113" s="469">
        <v>48</v>
      </c>
      <c r="GK113" s="471" t="s">
        <v>910</v>
      </c>
      <c r="GL113" s="469">
        <v>9</v>
      </c>
      <c r="GM113" s="471" t="s">
        <v>910</v>
      </c>
      <c r="GN113" s="501">
        <v>0.19</v>
      </c>
      <c r="GO113" s="501">
        <v>0.61</v>
      </c>
      <c r="GP113" s="501">
        <v>0.2</v>
      </c>
      <c r="GQ113" s="501">
        <v>0</v>
      </c>
      <c r="GR113" s="501">
        <v>0.54</v>
      </c>
      <c r="GS113" s="501">
        <v>0.57999999999999996</v>
      </c>
      <c r="GT113" s="501">
        <v>0.64</v>
      </c>
      <c r="GU113" s="501">
        <v>0.28999999999999998</v>
      </c>
      <c r="GV113" s="501">
        <v>0.61</v>
      </c>
      <c r="GW113" s="501">
        <v>0.54</v>
      </c>
      <c r="GX113" s="501">
        <v>0.5</v>
      </c>
      <c r="GY113" s="471" t="s">
        <v>287</v>
      </c>
      <c r="GZ113" s="501">
        <v>0.36</v>
      </c>
      <c r="HA113" s="501">
        <v>0.72</v>
      </c>
      <c r="HB113" s="501">
        <v>0.54</v>
      </c>
      <c r="HC113" s="501">
        <v>0.59</v>
      </c>
      <c r="HD113" s="501">
        <v>0.63</v>
      </c>
      <c r="HE113" s="501">
        <v>0.53</v>
      </c>
      <c r="HF113" s="501">
        <v>0.53</v>
      </c>
      <c r="HG113" s="501">
        <v>0.69</v>
      </c>
      <c r="HH113" s="501">
        <v>0.47</v>
      </c>
      <c r="HI113" s="501">
        <v>0.54</v>
      </c>
      <c r="HJ113" s="501">
        <v>0.64</v>
      </c>
      <c r="HK113" s="501">
        <v>0.54</v>
      </c>
      <c r="HL113" s="501">
        <v>0.44</v>
      </c>
      <c r="HM113" s="501">
        <v>0.47</v>
      </c>
      <c r="HN113" s="501">
        <v>0.52</v>
      </c>
      <c r="HO113" s="501">
        <v>0.49</v>
      </c>
      <c r="HP113" s="471" t="s">
        <v>287</v>
      </c>
      <c r="HQ113" s="501">
        <v>0.49</v>
      </c>
      <c r="HR113" s="630">
        <v>50</v>
      </c>
      <c r="HS113" s="640" t="s">
        <v>910</v>
      </c>
      <c r="HT113" s="630">
        <v>8</v>
      </c>
      <c r="HU113" s="640" t="s">
        <v>910</v>
      </c>
      <c r="HV113" s="644">
        <v>0.11</v>
      </c>
      <c r="HW113" s="644">
        <v>0.63</v>
      </c>
      <c r="HX113" s="644">
        <v>0.25</v>
      </c>
      <c r="HY113" s="644">
        <v>0.01</v>
      </c>
      <c r="HZ113" s="644">
        <v>0.44</v>
      </c>
      <c r="IA113" s="644">
        <v>0.54</v>
      </c>
      <c r="IB113" s="644">
        <v>0.4</v>
      </c>
      <c r="IC113" s="644">
        <v>0.54</v>
      </c>
      <c r="ID113" s="644">
        <v>0.64</v>
      </c>
      <c r="IE113" s="644">
        <v>0.37</v>
      </c>
      <c r="IF113" s="644">
        <v>0.45</v>
      </c>
      <c r="IG113" s="644">
        <v>0.57999999999999996</v>
      </c>
      <c r="IH113" s="644">
        <v>0.54</v>
      </c>
      <c r="II113" s="644">
        <v>0.32</v>
      </c>
      <c r="IJ113" s="644">
        <v>0.28999999999999998</v>
      </c>
      <c r="IK113" s="644">
        <v>0.61</v>
      </c>
      <c r="IL113" s="644">
        <v>0.35</v>
      </c>
      <c r="IM113" s="644">
        <v>0.57999999999999996</v>
      </c>
      <c r="IN113" s="644">
        <v>0.46</v>
      </c>
      <c r="IO113" s="644">
        <v>0.55000000000000004</v>
      </c>
      <c r="IP113" s="644">
        <v>0.41</v>
      </c>
      <c r="IQ113" s="644">
        <v>0.66</v>
      </c>
      <c r="IR113" s="644">
        <v>0.57999999999999996</v>
      </c>
      <c r="IS113" s="644">
        <v>0.56000000000000005</v>
      </c>
      <c r="IT113" s="644">
        <v>0.46</v>
      </c>
      <c r="IU113" s="640" t="s">
        <v>287</v>
      </c>
      <c r="IV113" s="644">
        <v>0.64</v>
      </c>
      <c r="IW113" s="644">
        <v>0.41</v>
      </c>
      <c r="IX113" s="644">
        <v>0.46</v>
      </c>
      <c r="IY113" s="644">
        <v>0.53</v>
      </c>
    </row>
    <row r="114" spans="1:259" ht="24.9" customHeight="1" x14ac:dyDescent="0.25">
      <c r="A114" s="188" t="s">
        <v>281</v>
      </c>
      <c r="B114" s="1" t="s">
        <v>220</v>
      </c>
      <c r="C114" s="2">
        <v>4</v>
      </c>
      <c r="D114" s="16">
        <v>54</v>
      </c>
      <c r="E114" s="16">
        <v>8</v>
      </c>
      <c r="F114" s="99">
        <v>0.06</v>
      </c>
      <c r="G114" s="99">
        <v>0.5</v>
      </c>
      <c r="H114" s="99">
        <v>0.42</v>
      </c>
      <c r="I114" s="99">
        <v>0.02</v>
      </c>
      <c r="J114" s="99">
        <v>0.31</v>
      </c>
      <c r="K114" s="99">
        <v>0.34</v>
      </c>
      <c r="L114" s="99">
        <v>0.61</v>
      </c>
      <c r="M114" s="99">
        <v>0.19</v>
      </c>
      <c r="N114" s="99">
        <v>0.3</v>
      </c>
      <c r="O114" s="99">
        <v>0.63</v>
      </c>
      <c r="P114" s="99">
        <v>0.36</v>
      </c>
      <c r="Q114" s="99">
        <v>0.45</v>
      </c>
      <c r="R114" s="99">
        <v>0.52</v>
      </c>
      <c r="S114" s="99">
        <v>0.59</v>
      </c>
      <c r="T114" s="99">
        <v>0.42</v>
      </c>
      <c r="U114" s="99">
        <v>0.66</v>
      </c>
      <c r="V114" s="99">
        <v>0.08</v>
      </c>
      <c r="W114" s="99">
        <v>0.14000000000000001</v>
      </c>
      <c r="X114" s="99">
        <v>0.48</v>
      </c>
      <c r="Y114" s="99">
        <v>0.44</v>
      </c>
      <c r="Z114" s="99">
        <v>0.6</v>
      </c>
      <c r="AA114" s="99">
        <v>0.08</v>
      </c>
      <c r="AB114" s="99">
        <v>0.4</v>
      </c>
      <c r="AC114" s="99">
        <v>0.24</v>
      </c>
      <c r="AD114" s="99">
        <v>0.42</v>
      </c>
      <c r="AE114" s="99">
        <v>0.34</v>
      </c>
      <c r="AF114" s="99">
        <v>0.49</v>
      </c>
      <c r="AG114" s="99">
        <v>0.52</v>
      </c>
      <c r="AH114" s="16">
        <v>54</v>
      </c>
      <c r="AI114" s="16">
        <v>9</v>
      </c>
      <c r="AJ114" s="66">
        <v>0.1</v>
      </c>
      <c r="AK114" s="66">
        <v>0.54</v>
      </c>
      <c r="AL114" s="66">
        <v>0.34</v>
      </c>
      <c r="AM114" s="66">
        <v>0.02</v>
      </c>
      <c r="AN114" s="66">
        <v>0.25</v>
      </c>
      <c r="AO114" s="66">
        <v>0.43</v>
      </c>
      <c r="AP114" s="66">
        <v>0.51</v>
      </c>
      <c r="AQ114" s="66">
        <v>0.36</v>
      </c>
      <c r="AR114" s="66">
        <v>0.56000000000000005</v>
      </c>
      <c r="AS114" s="66">
        <v>0.48</v>
      </c>
      <c r="AT114" s="66">
        <v>0.46</v>
      </c>
      <c r="AU114" s="66">
        <v>0.52</v>
      </c>
      <c r="AV114" s="66">
        <v>0.59</v>
      </c>
      <c r="AW114" s="66">
        <v>0.38</v>
      </c>
      <c r="AX114" s="66">
        <v>0.57999999999999996</v>
      </c>
      <c r="AY114" s="66">
        <v>0.28000000000000003</v>
      </c>
      <c r="AZ114" s="66">
        <v>0.24</v>
      </c>
      <c r="BA114" s="66">
        <v>0.49</v>
      </c>
      <c r="BB114" s="66">
        <v>0.64</v>
      </c>
      <c r="BC114" s="66">
        <v>0.64</v>
      </c>
      <c r="BD114" s="66">
        <v>0.37</v>
      </c>
      <c r="BE114" s="66">
        <v>0.53</v>
      </c>
      <c r="BF114" s="66">
        <v>0.63</v>
      </c>
      <c r="BG114" s="66">
        <v>0.43</v>
      </c>
      <c r="BH114" s="66">
        <v>0.37</v>
      </c>
      <c r="BI114" s="66">
        <v>0.38</v>
      </c>
      <c r="BJ114" s="66">
        <v>0.28999999999999998</v>
      </c>
      <c r="BK114" s="66">
        <v>0.41</v>
      </c>
      <c r="BL114" s="66">
        <v>0.47</v>
      </c>
      <c r="BM114" s="16">
        <v>47</v>
      </c>
      <c r="BN114" s="16">
        <v>8</v>
      </c>
      <c r="BO114" s="99">
        <v>0.22</v>
      </c>
      <c r="BP114" s="99">
        <v>0.62</v>
      </c>
      <c r="BQ114" s="99">
        <v>0.16</v>
      </c>
      <c r="BR114" s="99">
        <v>0</v>
      </c>
      <c r="BS114" s="99">
        <v>0.43</v>
      </c>
      <c r="BT114" s="99">
        <v>0.68</v>
      </c>
      <c r="BU114" s="99">
        <v>0.69</v>
      </c>
      <c r="BV114" s="99">
        <v>0.37</v>
      </c>
      <c r="BW114" s="99">
        <v>0.71</v>
      </c>
      <c r="BX114" s="99">
        <v>0.43</v>
      </c>
      <c r="BY114" s="99">
        <v>0.41</v>
      </c>
      <c r="BZ114" s="99">
        <v>0.59</v>
      </c>
      <c r="CA114" s="99">
        <v>0.54</v>
      </c>
      <c r="CB114" s="99">
        <v>0.47</v>
      </c>
      <c r="CC114" s="99">
        <v>0.26</v>
      </c>
      <c r="CD114" s="99">
        <v>0.5</v>
      </c>
      <c r="CE114" s="99">
        <v>0.44</v>
      </c>
      <c r="CF114" s="99">
        <v>0.73</v>
      </c>
      <c r="CG114" s="99">
        <v>0.63</v>
      </c>
      <c r="CH114" s="99">
        <v>0.51</v>
      </c>
      <c r="CI114" s="99">
        <v>0.64</v>
      </c>
      <c r="CJ114" s="99">
        <v>0.44</v>
      </c>
      <c r="CK114" s="99">
        <v>0.71</v>
      </c>
      <c r="CL114" s="99">
        <v>0.4</v>
      </c>
      <c r="CM114" s="99">
        <v>0.49</v>
      </c>
      <c r="CN114" s="99">
        <v>0.56999999999999995</v>
      </c>
      <c r="CO114" s="99">
        <v>0.45</v>
      </c>
      <c r="CP114" s="99">
        <v>0.44</v>
      </c>
      <c r="CQ114" s="99">
        <v>0.57999999999999996</v>
      </c>
      <c r="CR114" s="99">
        <v>0.63</v>
      </c>
      <c r="CS114" s="16">
        <v>48</v>
      </c>
      <c r="CT114" s="16">
        <v>9</v>
      </c>
      <c r="CU114" s="96">
        <v>0.19</v>
      </c>
      <c r="CV114" s="96">
        <v>0.61</v>
      </c>
      <c r="CW114" s="96">
        <v>0.2</v>
      </c>
      <c r="CX114" s="96">
        <v>0.01</v>
      </c>
      <c r="CY114" s="96">
        <v>0.54</v>
      </c>
      <c r="CZ114" s="96">
        <v>0.3</v>
      </c>
      <c r="DA114" s="96">
        <v>0.54</v>
      </c>
      <c r="DB114" s="96">
        <v>0.38</v>
      </c>
      <c r="DC114" s="96">
        <v>0.51</v>
      </c>
      <c r="DD114" s="96">
        <v>0.62</v>
      </c>
      <c r="DE114" s="96">
        <v>0.49</v>
      </c>
      <c r="DF114" s="96">
        <v>0.57999999999999996</v>
      </c>
      <c r="DG114" s="96">
        <v>0.5</v>
      </c>
      <c r="DH114" s="96">
        <v>0.35</v>
      </c>
      <c r="DI114" s="96">
        <v>0.55000000000000004</v>
      </c>
      <c r="DJ114" s="96">
        <v>0.53</v>
      </c>
      <c r="DK114" s="96">
        <v>0.42</v>
      </c>
      <c r="DL114" s="96">
        <v>0.42</v>
      </c>
      <c r="DM114" s="96">
        <v>0.53</v>
      </c>
      <c r="DN114" s="96">
        <v>0.53</v>
      </c>
      <c r="DO114" s="96">
        <v>0.46</v>
      </c>
      <c r="DP114" s="96">
        <v>0.51</v>
      </c>
      <c r="DQ114" s="96">
        <v>0.61</v>
      </c>
      <c r="DR114" s="96">
        <v>0.19</v>
      </c>
      <c r="DS114" s="96">
        <v>0.42</v>
      </c>
      <c r="DT114" s="96">
        <v>0.56999999999999995</v>
      </c>
      <c r="DU114" s="96">
        <v>0.5</v>
      </c>
      <c r="DV114" s="96">
        <v>0.61</v>
      </c>
      <c r="DW114" s="96">
        <v>0.34</v>
      </c>
      <c r="DX114" s="61">
        <v>47</v>
      </c>
      <c r="DY114" s="61">
        <v>8</v>
      </c>
      <c r="DZ114" s="66">
        <v>0.24</v>
      </c>
      <c r="EA114" s="66">
        <v>0.6</v>
      </c>
      <c r="EB114" s="66">
        <v>0.16</v>
      </c>
      <c r="EC114" s="66">
        <v>0</v>
      </c>
      <c r="ED114" s="66">
        <v>0.49</v>
      </c>
      <c r="EE114" s="66">
        <v>0.47</v>
      </c>
      <c r="EF114" s="66">
        <v>0.57999999999999996</v>
      </c>
      <c r="EG114" s="66">
        <v>0.4</v>
      </c>
      <c r="EH114" s="66">
        <v>0.51</v>
      </c>
      <c r="EI114" s="66">
        <v>0.51</v>
      </c>
      <c r="EJ114" s="66">
        <v>0.56999999999999995</v>
      </c>
      <c r="EK114" s="66">
        <v>0.37</v>
      </c>
      <c r="EL114" s="66">
        <v>0.5</v>
      </c>
      <c r="EM114" s="66">
        <v>0.7</v>
      </c>
      <c r="EN114" s="66">
        <v>0.52</v>
      </c>
      <c r="EO114" s="66">
        <v>0.63</v>
      </c>
      <c r="EP114" s="66">
        <v>0.46</v>
      </c>
      <c r="EQ114" s="66">
        <v>0.38</v>
      </c>
      <c r="ER114" s="66">
        <v>0.65</v>
      </c>
      <c r="ES114" s="66">
        <v>0.53</v>
      </c>
      <c r="ET114" s="66">
        <v>0.41</v>
      </c>
      <c r="EU114" s="66">
        <v>0.67</v>
      </c>
      <c r="EV114" s="66">
        <v>0.41</v>
      </c>
      <c r="EW114" s="66">
        <v>0.3</v>
      </c>
      <c r="EX114" s="66">
        <v>0.63</v>
      </c>
      <c r="EY114" s="66">
        <v>0.64</v>
      </c>
      <c r="EZ114" s="66">
        <v>0.24</v>
      </c>
      <c r="FA114" s="66">
        <v>0.69</v>
      </c>
      <c r="FB114" s="349">
        <v>47</v>
      </c>
      <c r="FC114" s="348" t="s">
        <v>910</v>
      </c>
      <c r="FD114" s="349">
        <v>8</v>
      </c>
      <c r="FE114" s="348" t="s">
        <v>910</v>
      </c>
      <c r="FF114" s="371">
        <v>0.22</v>
      </c>
      <c r="FG114" s="371">
        <v>0.66</v>
      </c>
      <c r="FH114" s="371">
        <v>0.1</v>
      </c>
      <c r="FI114" s="371">
        <v>0.01</v>
      </c>
      <c r="FJ114" s="371">
        <v>0.6</v>
      </c>
      <c r="FK114" s="371">
        <v>0.71</v>
      </c>
      <c r="FL114" s="371">
        <v>0.55000000000000004</v>
      </c>
      <c r="FM114" s="371">
        <v>0.49</v>
      </c>
      <c r="FN114" s="371">
        <v>0.37</v>
      </c>
      <c r="FO114" s="371">
        <v>0.35</v>
      </c>
      <c r="FP114" s="371">
        <v>0.44</v>
      </c>
      <c r="FQ114" s="371">
        <v>0.46</v>
      </c>
      <c r="FR114" s="371">
        <v>0.66</v>
      </c>
      <c r="FS114" s="371">
        <v>0.54</v>
      </c>
      <c r="FT114" s="371">
        <v>0.51</v>
      </c>
      <c r="FU114" s="371">
        <v>0.42</v>
      </c>
      <c r="FV114" s="371">
        <v>0.62</v>
      </c>
      <c r="FW114" s="371">
        <v>0.61</v>
      </c>
      <c r="FX114" s="371">
        <v>0.51</v>
      </c>
      <c r="FY114" s="371">
        <v>0.43</v>
      </c>
      <c r="FZ114" s="371">
        <v>0.46</v>
      </c>
      <c r="GA114" s="371">
        <v>0.53</v>
      </c>
      <c r="GB114" s="371">
        <v>0.6</v>
      </c>
      <c r="GC114" s="371">
        <v>0.56999999999999995</v>
      </c>
      <c r="GD114" s="371">
        <v>0.64</v>
      </c>
      <c r="GE114" s="371">
        <v>0.54</v>
      </c>
      <c r="GF114" s="371">
        <v>0.55000000000000004</v>
      </c>
      <c r="GG114" s="371">
        <v>0.54</v>
      </c>
      <c r="GH114" s="371">
        <v>0.64</v>
      </c>
      <c r="GI114" s="371">
        <v>0.3</v>
      </c>
      <c r="GJ114" s="469">
        <v>47</v>
      </c>
      <c r="GK114" s="471" t="s">
        <v>910</v>
      </c>
      <c r="GL114" s="469">
        <v>8</v>
      </c>
      <c r="GM114" s="471" t="s">
        <v>910</v>
      </c>
      <c r="GN114" s="501">
        <v>0.23</v>
      </c>
      <c r="GO114" s="501">
        <v>0.61</v>
      </c>
      <c r="GP114" s="501">
        <v>0.16</v>
      </c>
      <c r="GQ114" s="501">
        <v>0</v>
      </c>
      <c r="GR114" s="501">
        <v>0.57999999999999996</v>
      </c>
      <c r="GS114" s="501">
        <v>0.57999999999999996</v>
      </c>
      <c r="GT114" s="501">
        <v>0.69</v>
      </c>
      <c r="GU114" s="501">
        <v>0.27</v>
      </c>
      <c r="GV114" s="501">
        <v>0.6</v>
      </c>
      <c r="GW114" s="501">
        <v>0.54</v>
      </c>
      <c r="GX114" s="501">
        <v>0.57999999999999996</v>
      </c>
      <c r="GY114" s="471" t="s">
        <v>287</v>
      </c>
      <c r="GZ114" s="501">
        <v>0.37</v>
      </c>
      <c r="HA114" s="501">
        <v>0.61</v>
      </c>
      <c r="HB114" s="501">
        <v>0.52</v>
      </c>
      <c r="HC114" s="501">
        <v>0.63</v>
      </c>
      <c r="HD114" s="501">
        <v>0.64</v>
      </c>
      <c r="HE114" s="501">
        <v>0.56000000000000005</v>
      </c>
      <c r="HF114" s="501">
        <v>0.56000000000000005</v>
      </c>
      <c r="HG114" s="501">
        <v>0.75</v>
      </c>
      <c r="HH114" s="501">
        <v>0.42</v>
      </c>
      <c r="HI114" s="501">
        <v>0.6</v>
      </c>
      <c r="HJ114" s="501">
        <v>0.62</v>
      </c>
      <c r="HK114" s="501">
        <v>0.59</v>
      </c>
      <c r="HL114" s="501">
        <v>0.52</v>
      </c>
      <c r="HM114" s="501">
        <v>0.54</v>
      </c>
      <c r="HN114" s="501">
        <v>0.5</v>
      </c>
      <c r="HO114" s="501">
        <v>0.48</v>
      </c>
      <c r="HP114" s="471" t="s">
        <v>287</v>
      </c>
      <c r="HQ114" s="501">
        <v>0.48</v>
      </c>
      <c r="HR114" s="630">
        <v>49</v>
      </c>
      <c r="HS114" s="640" t="s">
        <v>910</v>
      </c>
      <c r="HT114" s="630">
        <v>9</v>
      </c>
      <c r="HU114" s="640" t="s">
        <v>910</v>
      </c>
      <c r="HV114" s="644">
        <v>0.16</v>
      </c>
      <c r="HW114" s="644">
        <v>0.62</v>
      </c>
      <c r="HX114" s="644">
        <v>0.21</v>
      </c>
      <c r="HY114" s="644">
        <v>0.01</v>
      </c>
      <c r="HZ114" s="644">
        <v>0.45</v>
      </c>
      <c r="IA114" s="644">
        <v>0.57999999999999996</v>
      </c>
      <c r="IB114" s="644">
        <v>0.37</v>
      </c>
      <c r="IC114" s="644">
        <v>0.48</v>
      </c>
      <c r="ID114" s="644">
        <v>0.63</v>
      </c>
      <c r="IE114" s="644">
        <v>0.35</v>
      </c>
      <c r="IF114" s="644">
        <v>0.42</v>
      </c>
      <c r="IG114" s="644">
        <v>0.6</v>
      </c>
      <c r="IH114" s="644">
        <v>0.57999999999999996</v>
      </c>
      <c r="II114" s="644">
        <v>0.4</v>
      </c>
      <c r="IJ114" s="644">
        <v>0.34</v>
      </c>
      <c r="IK114" s="644">
        <v>0.59</v>
      </c>
      <c r="IL114" s="644">
        <v>0.41</v>
      </c>
      <c r="IM114" s="644">
        <v>0.62</v>
      </c>
      <c r="IN114" s="644">
        <v>0.46</v>
      </c>
      <c r="IO114" s="644">
        <v>0.56999999999999995</v>
      </c>
      <c r="IP114" s="644">
        <v>0.43</v>
      </c>
      <c r="IQ114" s="644">
        <v>0.67</v>
      </c>
      <c r="IR114" s="644">
        <v>0.53</v>
      </c>
      <c r="IS114" s="644">
        <v>0.56999999999999995</v>
      </c>
      <c r="IT114" s="644">
        <v>0.49</v>
      </c>
      <c r="IU114" s="640" t="s">
        <v>287</v>
      </c>
      <c r="IV114" s="644">
        <v>0.64</v>
      </c>
      <c r="IW114" s="644">
        <v>0.47</v>
      </c>
      <c r="IX114" s="644">
        <v>0.54</v>
      </c>
      <c r="IY114" s="644">
        <v>0.55000000000000004</v>
      </c>
    </row>
    <row r="115" spans="1:259" ht="24.9" customHeight="1" x14ac:dyDescent="0.25">
      <c r="A115" s="189" t="s">
        <v>292</v>
      </c>
      <c r="B115" s="1" t="s">
        <v>222</v>
      </c>
      <c r="C115" s="2">
        <v>1</v>
      </c>
      <c r="D115" s="16">
        <v>50</v>
      </c>
      <c r="E115" s="16">
        <v>7</v>
      </c>
      <c r="F115" s="99">
        <v>0.05</v>
      </c>
      <c r="G115" s="99">
        <v>0.76</v>
      </c>
      <c r="H115" s="99">
        <v>0.19</v>
      </c>
      <c r="I115" s="99">
        <v>0</v>
      </c>
      <c r="J115" s="99">
        <v>0.53</v>
      </c>
      <c r="K115" s="99">
        <v>0.4</v>
      </c>
      <c r="L115" s="99">
        <v>0.77</v>
      </c>
      <c r="M115" s="99">
        <v>0.33</v>
      </c>
      <c r="N115" s="99">
        <v>0.36</v>
      </c>
      <c r="O115" s="99">
        <v>0.63</v>
      </c>
      <c r="P115" s="99">
        <v>0.42</v>
      </c>
      <c r="Q115" s="99">
        <v>0.44</v>
      </c>
      <c r="R115" s="99">
        <v>0.66</v>
      </c>
      <c r="S115" s="99">
        <v>0.64</v>
      </c>
      <c r="T115" s="99">
        <v>0.36</v>
      </c>
      <c r="U115" s="99">
        <v>0.68</v>
      </c>
      <c r="V115" s="99">
        <v>0.12</v>
      </c>
      <c r="W115" s="99">
        <v>0.15</v>
      </c>
      <c r="X115" s="99">
        <v>0.6</v>
      </c>
      <c r="Y115" s="99">
        <v>0.46</v>
      </c>
      <c r="Z115" s="99">
        <v>1</v>
      </c>
      <c r="AA115" s="99">
        <v>0.13</v>
      </c>
      <c r="AB115" s="99">
        <v>0.48</v>
      </c>
      <c r="AC115" s="99">
        <v>0.28999999999999998</v>
      </c>
      <c r="AD115" s="99">
        <v>0.47</v>
      </c>
      <c r="AE115" s="99">
        <v>0.41</v>
      </c>
      <c r="AF115" s="99">
        <v>0.55000000000000004</v>
      </c>
      <c r="AG115" s="99">
        <v>0.44</v>
      </c>
      <c r="AH115" s="16">
        <v>48</v>
      </c>
      <c r="AI115" s="16">
        <v>9</v>
      </c>
      <c r="AJ115" s="66">
        <v>0.28999999999999998</v>
      </c>
      <c r="AK115" s="66">
        <v>0.47</v>
      </c>
      <c r="AL115" s="66">
        <v>0.24</v>
      </c>
      <c r="AM115" s="66">
        <v>0</v>
      </c>
      <c r="AN115" s="66">
        <v>0.31</v>
      </c>
      <c r="AO115" s="66">
        <v>0.52</v>
      </c>
      <c r="AP115" s="66">
        <v>0.59</v>
      </c>
      <c r="AQ115" s="66">
        <v>0.67</v>
      </c>
      <c r="AR115" s="66">
        <v>0.79</v>
      </c>
      <c r="AS115" s="66">
        <v>0.71</v>
      </c>
      <c r="AT115" s="66">
        <v>0.69</v>
      </c>
      <c r="AU115" s="66">
        <v>0.61</v>
      </c>
      <c r="AV115" s="66">
        <v>0.69</v>
      </c>
      <c r="AW115" s="66">
        <v>0.55000000000000004</v>
      </c>
      <c r="AX115" s="66">
        <v>0.61</v>
      </c>
      <c r="AY115" s="66">
        <v>0.41</v>
      </c>
      <c r="AZ115" s="66">
        <v>0.44</v>
      </c>
      <c r="BA115" s="66">
        <v>0.5</v>
      </c>
      <c r="BB115" s="66">
        <v>0.78</v>
      </c>
      <c r="BC115" s="66">
        <v>0.56999999999999995</v>
      </c>
      <c r="BD115" s="66">
        <v>0.39</v>
      </c>
      <c r="BE115" s="66">
        <v>0.86</v>
      </c>
      <c r="BF115" s="66">
        <v>0.8</v>
      </c>
      <c r="BG115" s="66">
        <v>0.6</v>
      </c>
      <c r="BH115" s="66">
        <v>0.57999999999999996</v>
      </c>
      <c r="BI115" s="66">
        <v>0.35</v>
      </c>
      <c r="BJ115" s="66">
        <v>0.4</v>
      </c>
      <c r="BK115" s="66">
        <v>0.57999999999999996</v>
      </c>
      <c r="BL115" s="66">
        <v>0.22</v>
      </c>
      <c r="BM115" s="16">
        <v>46</v>
      </c>
      <c r="BN115" s="16">
        <v>5</v>
      </c>
      <c r="BO115" s="99">
        <v>0.28999999999999998</v>
      </c>
      <c r="BP115" s="99">
        <v>0.71</v>
      </c>
      <c r="BQ115" s="99">
        <v>0</v>
      </c>
      <c r="BR115" s="99">
        <v>0</v>
      </c>
      <c r="BS115" s="99">
        <v>0.41</v>
      </c>
      <c r="BT115" s="99">
        <v>0.63</v>
      </c>
      <c r="BU115" s="99">
        <v>0.65</v>
      </c>
      <c r="BV115" s="99">
        <v>0.5</v>
      </c>
      <c r="BW115" s="99">
        <v>0.81</v>
      </c>
      <c r="BX115" s="99">
        <v>0.56000000000000005</v>
      </c>
      <c r="BY115" s="99">
        <v>0.56000000000000005</v>
      </c>
      <c r="BZ115" s="99">
        <v>0.46</v>
      </c>
      <c r="CA115" s="99">
        <v>0.39</v>
      </c>
      <c r="CB115" s="99">
        <v>0.43</v>
      </c>
      <c r="CC115" s="99">
        <v>0.2</v>
      </c>
      <c r="CD115" s="99">
        <v>0.33</v>
      </c>
      <c r="CE115" s="99">
        <v>0.44</v>
      </c>
      <c r="CF115" s="99">
        <v>0.78</v>
      </c>
      <c r="CG115" s="99">
        <v>0.81</v>
      </c>
      <c r="CH115" s="99">
        <v>0.5</v>
      </c>
      <c r="CI115" s="99">
        <v>0.62</v>
      </c>
      <c r="CJ115" s="99">
        <v>0.44</v>
      </c>
      <c r="CK115" s="99">
        <v>0.79</v>
      </c>
      <c r="CL115" s="99">
        <v>0.51</v>
      </c>
      <c r="CM115" s="99">
        <v>0.59</v>
      </c>
      <c r="CN115" s="99">
        <v>0.73</v>
      </c>
      <c r="CO115" s="99">
        <v>0.5</v>
      </c>
      <c r="CP115" s="99">
        <v>0.55000000000000004</v>
      </c>
      <c r="CQ115" s="99">
        <v>0.61</v>
      </c>
      <c r="CR115" s="99">
        <v>0.67</v>
      </c>
      <c r="CS115" s="16">
        <v>47</v>
      </c>
      <c r="CT115" s="16">
        <v>7</v>
      </c>
      <c r="CU115" s="96">
        <v>0.22</v>
      </c>
      <c r="CV115" s="96">
        <v>0.65</v>
      </c>
      <c r="CW115" s="96">
        <v>0.13</v>
      </c>
      <c r="CX115" s="96">
        <v>0</v>
      </c>
      <c r="CY115" s="96">
        <v>0.55000000000000004</v>
      </c>
      <c r="CZ115" s="96">
        <v>0.33</v>
      </c>
      <c r="DA115" s="96">
        <v>0.48</v>
      </c>
      <c r="DB115" s="96">
        <v>0.43</v>
      </c>
      <c r="DC115" s="96">
        <v>0.47</v>
      </c>
      <c r="DD115" s="96">
        <v>0.56000000000000005</v>
      </c>
      <c r="DE115" s="96">
        <v>0.68</v>
      </c>
      <c r="DF115" s="96">
        <v>0.5</v>
      </c>
      <c r="DG115" s="96">
        <v>0.44</v>
      </c>
      <c r="DH115" s="96">
        <v>0.27</v>
      </c>
      <c r="DI115" s="96">
        <v>0.59</v>
      </c>
      <c r="DJ115" s="96">
        <v>0.59</v>
      </c>
      <c r="DK115" s="96">
        <v>0.46</v>
      </c>
      <c r="DL115" s="96">
        <v>0.46</v>
      </c>
      <c r="DM115" s="96">
        <v>0.57999999999999996</v>
      </c>
      <c r="DN115" s="96">
        <v>0.57999999999999996</v>
      </c>
      <c r="DO115" s="96">
        <v>0.55000000000000004</v>
      </c>
      <c r="DP115" s="96">
        <v>0.54</v>
      </c>
      <c r="DQ115" s="96">
        <v>0.65</v>
      </c>
      <c r="DR115" s="96">
        <v>0.26</v>
      </c>
      <c r="DS115" s="96">
        <v>0.31</v>
      </c>
      <c r="DT115" s="96">
        <v>0.54</v>
      </c>
      <c r="DU115" s="96">
        <v>0.7</v>
      </c>
      <c r="DV115" s="96">
        <v>0.67</v>
      </c>
      <c r="DW115" s="96">
        <v>0.44</v>
      </c>
      <c r="DX115" s="61">
        <v>48</v>
      </c>
      <c r="DY115" s="61">
        <v>9</v>
      </c>
      <c r="DZ115" s="66">
        <v>0.19</v>
      </c>
      <c r="EA115" s="66">
        <v>0.62</v>
      </c>
      <c r="EB115" s="66">
        <v>0.19</v>
      </c>
      <c r="EC115" s="66">
        <v>0</v>
      </c>
      <c r="ED115" s="66">
        <v>0.46</v>
      </c>
      <c r="EE115" s="66">
        <v>0.52</v>
      </c>
      <c r="EF115" s="66">
        <v>0.5</v>
      </c>
      <c r="EG115" s="66">
        <v>0.38</v>
      </c>
      <c r="EH115" s="66">
        <v>0.65</v>
      </c>
      <c r="EI115" s="66">
        <v>0.46</v>
      </c>
      <c r="EJ115" s="66">
        <v>0.6</v>
      </c>
      <c r="EK115" s="66">
        <v>0.33</v>
      </c>
      <c r="EL115" s="66">
        <v>0.4</v>
      </c>
      <c r="EM115" s="66">
        <v>0.75</v>
      </c>
      <c r="EN115" s="66">
        <v>0.47</v>
      </c>
      <c r="EO115" s="66">
        <v>0.62</v>
      </c>
      <c r="EP115" s="66">
        <v>0.48</v>
      </c>
      <c r="EQ115" s="66">
        <v>0.28000000000000003</v>
      </c>
      <c r="ER115" s="66">
        <v>0.68</v>
      </c>
      <c r="ES115" s="66">
        <v>0.66</v>
      </c>
      <c r="ET115" s="66">
        <v>0.31</v>
      </c>
      <c r="EU115" s="66">
        <v>0.56999999999999995</v>
      </c>
      <c r="EV115" s="66">
        <v>0.57999999999999996</v>
      </c>
      <c r="EW115" s="66">
        <v>0.38</v>
      </c>
      <c r="EX115" s="66">
        <v>0.83</v>
      </c>
      <c r="EY115" s="66">
        <v>0.62</v>
      </c>
      <c r="EZ115" s="66">
        <v>0.25</v>
      </c>
      <c r="FA115" s="66">
        <v>0.67</v>
      </c>
      <c r="FB115" s="349">
        <v>49</v>
      </c>
      <c r="FC115" s="348" t="s">
        <v>910</v>
      </c>
      <c r="FD115" s="349">
        <v>10</v>
      </c>
      <c r="FE115" s="348" t="s">
        <v>910</v>
      </c>
      <c r="FF115" s="371">
        <v>0.24</v>
      </c>
      <c r="FG115" s="371">
        <v>0.43</v>
      </c>
      <c r="FH115" s="371">
        <v>0.33</v>
      </c>
      <c r="FI115" s="371">
        <v>0</v>
      </c>
      <c r="FJ115" s="371">
        <v>0.52</v>
      </c>
      <c r="FK115" s="371">
        <v>0.71</v>
      </c>
      <c r="FL115" s="371">
        <v>0.56999999999999995</v>
      </c>
      <c r="FM115" s="371">
        <v>0.42</v>
      </c>
      <c r="FN115" s="371">
        <v>0.22</v>
      </c>
      <c r="FO115" s="371">
        <v>0.34</v>
      </c>
      <c r="FP115" s="371">
        <v>0.35</v>
      </c>
      <c r="FQ115" s="371">
        <v>0.4</v>
      </c>
      <c r="FR115" s="371">
        <v>0.6</v>
      </c>
      <c r="FS115" s="371">
        <v>0.53</v>
      </c>
      <c r="FT115" s="371">
        <v>0.51</v>
      </c>
      <c r="FU115" s="371">
        <v>0.28999999999999998</v>
      </c>
      <c r="FV115" s="371">
        <v>0.43</v>
      </c>
      <c r="FW115" s="371">
        <v>0.6</v>
      </c>
      <c r="FX115" s="371">
        <v>0.42</v>
      </c>
      <c r="FY115" s="371">
        <v>0.4</v>
      </c>
      <c r="FZ115" s="371">
        <v>0.56999999999999995</v>
      </c>
      <c r="GA115" s="371">
        <v>0.56000000000000005</v>
      </c>
      <c r="GB115" s="371">
        <v>0.52</v>
      </c>
      <c r="GC115" s="371">
        <v>0.5</v>
      </c>
      <c r="GD115" s="371">
        <v>0.61</v>
      </c>
      <c r="GE115" s="371">
        <v>0.56999999999999995</v>
      </c>
      <c r="GF115" s="371">
        <v>0.44</v>
      </c>
      <c r="GG115" s="371">
        <v>0.46</v>
      </c>
      <c r="GH115" s="371">
        <v>0.48</v>
      </c>
      <c r="GI115" s="371">
        <v>0.34</v>
      </c>
      <c r="GJ115" s="469">
        <v>49</v>
      </c>
      <c r="GK115" s="471" t="s">
        <v>910</v>
      </c>
      <c r="GL115" s="469">
        <v>9</v>
      </c>
      <c r="GM115" s="471" t="s">
        <v>910</v>
      </c>
      <c r="GN115" s="501">
        <v>0.14000000000000001</v>
      </c>
      <c r="GO115" s="501">
        <v>0.62</v>
      </c>
      <c r="GP115" s="501">
        <v>0.24</v>
      </c>
      <c r="GQ115" s="501">
        <v>0</v>
      </c>
      <c r="GR115" s="501">
        <v>0.44</v>
      </c>
      <c r="GS115" s="501">
        <v>0.65</v>
      </c>
      <c r="GT115" s="501">
        <v>0.68</v>
      </c>
      <c r="GU115" s="501">
        <v>0.31</v>
      </c>
      <c r="GV115" s="501">
        <v>0.55000000000000004</v>
      </c>
      <c r="GW115" s="501">
        <v>0.55000000000000004</v>
      </c>
      <c r="GX115" s="501">
        <v>0.49</v>
      </c>
      <c r="GY115" s="471" t="s">
        <v>287</v>
      </c>
      <c r="GZ115" s="501">
        <v>0.18</v>
      </c>
      <c r="HA115" s="501">
        <v>0.67</v>
      </c>
      <c r="HB115" s="501">
        <v>0.46</v>
      </c>
      <c r="HC115" s="501">
        <v>0.71</v>
      </c>
      <c r="HD115" s="501">
        <v>0.62</v>
      </c>
      <c r="HE115" s="501">
        <v>0.38</v>
      </c>
      <c r="HF115" s="501">
        <v>0.5</v>
      </c>
      <c r="HG115" s="501">
        <v>0.78</v>
      </c>
      <c r="HH115" s="501">
        <v>0.36</v>
      </c>
      <c r="HI115" s="501">
        <v>0.45</v>
      </c>
      <c r="HJ115" s="501">
        <v>0.62</v>
      </c>
      <c r="HK115" s="501">
        <v>0.7</v>
      </c>
      <c r="HL115" s="501">
        <v>0.31</v>
      </c>
      <c r="HM115" s="501">
        <v>0.61</v>
      </c>
      <c r="HN115" s="501">
        <v>0.43</v>
      </c>
      <c r="HO115" s="501">
        <v>0.46</v>
      </c>
      <c r="HP115" s="471" t="s">
        <v>287</v>
      </c>
      <c r="HQ115" s="501">
        <v>0.39</v>
      </c>
      <c r="HR115" s="630">
        <v>49</v>
      </c>
      <c r="HS115" s="640" t="s">
        <v>910</v>
      </c>
      <c r="HT115" s="630">
        <v>9</v>
      </c>
      <c r="HU115" s="640" t="s">
        <v>910</v>
      </c>
      <c r="HV115" s="644">
        <v>0.16</v>
      </c>
      <c r="HW115" s="644">
        <v>0.52</v>
      </c>
      <c r="HX115" s="644">
        <v>0.32</v>
      </c>
      <c r="HY115" s="644">
        <v>0</v>
      </c>
      <c r="HZ115" s="644">
        <v>0.37</v>
      </c>
      <c r="IA115" s="644">
        <v>0.49</v>
      </c>
      <c r="IB115" s="644">
        <v>0.33</v>
      </c>
      <c r="IC115" s="644">
        <v>0.48</v>
      </c>
      <c r="ID115" s="644">
        <v>0.57999999999999996</v>
      </c>
      <c r="IE115" s="644">
        <v>0.37</v>
      </c>
      <c r="IF115" s="644">
        <v>0.41</v>
      </c>
      <c r="IG115" s="644">
        <v>0.67</v>
      </c>
      <c r="IH115" s="644">
        <v>0.47</v>
      </c>
      <c r="II115" s="644">
        <v>0.27</v>
      </c>
      <c r="IJ115" s="644">
        <v>0.35</v>
      </c>
      <c r="IK115" s="644">
        <v>0.64</v>
      </c>
      <c r="IL115" s="644">
        <v>0.48</v>
      </c>
      <c r="IM115" s="644">
        <v>0.55000000000000004</v>
      </c>
      <c r="IN115" s="644">
        <v>0.45</v>
      </c>
      <c r="IO115" s="644">
        <v>0.63</v>
      </c>
      <c r="IP115" s="644">
        <v>0.51</v>
      </c>
      <c r="IQ115" s="644">
        <v>0.77</v>
      </c>
      <c r="IR115" s="644">
        <v>0.59</v>
      </c>
      <c r="IS115" s="644">
        <v>0.62</v>
      </c>
      <c r="IT115" s="644">
        <v>0.46</v>
      </c>
      <c r="IU115" s="640" t="s">
        <v>287</v>
      </c>
      <c r="IV115" s="644">
        <v>0.7</v>
      </c>
      <c r="IW115" s="644">
        <v>0.42</v>
      </c>
      <c r="IX115" s="644">
        <v>0.5</v>
      </c>
      <c r="IY115" s="644">
        <v>0.5</v>
      </c>
    </row>
    <row r="116" spans="1:259" ht="24.9" customHeight="1" x14ac:dyDescent="0.25">
      <c r="A116" s="188" t="s">
        <v>173</v>
      </c>
      <c r="B116" s="1" t="s">
        <v>220</v>
      </c>
      <c r="C116" s="2">
        <v>3</v>
      </c>
      <c r="D116" s="16">
        <v>53</v>
      </c>
      <c r="E116" s="16">
        <v>7</v>
      </c>
      <c r="F116" s="99">
        <v>0.06</v>
      </c>
      <c r="G116" s="99">
        <v>0.64</v>
      </c>
      <c r="H116" s="99">
        <v>0.3</v>
      </c>
      <c r="I116" s="99">
        <v>0</v>
      </c>
      <c r="J116" s="99">
        <v>0.47</v>
      </c>
      <c r="K116" s="99">
        <v>0.47</v>
      </c>
      <c r="L116" s="99">
        <v>0.65</v>
      </c>
      <c r="M116" s="99">
        <v>0.32</v>
      </c>
      <c r="N116" s="99">
        <v>0.34</v>
      </c>
      <c r="O116" s="99">
        <v>0.71</v>
      </c>
      <c r="P116" s="99">
        <v>0.3</v>
      </c>
      <c r="Q116" s="99">
        <v>0.42</v>
      </c>
      <c r="R116" s="99">
        <v>0.52</v>
      </c>
      <c r="S116" s="99">
        <v>0.62</v>
      </c>
      <c r="T116" s="99">
        <v>0.46</v>
      </c>
      <c r="U116" s="99">
        <v>0.56999999999999995</v>
      </c>
      <c r="V116" s="99">
        <v>0.08</v>
      </c>
      <c r="W116" s="99">
        <v>0.13</v>
      </c>
      <c r="X116" s="99">
        <v>0.52</v>
      </c>
      <c r="Y116" s="99">
        <v>0.5</v>
      </c>
      <c r="Z116" s="99">
        <v>0.72</v>
      </c>
      <c r="AA116" s="99">
        <v>0.12</v>
      </c>
      <c r="AB116" s="99">
        <v>0.52</v>
      </c>
      <c r="AC116" s="99">
        <v>0.35</v>
      </c>
      <c r="AD116" s="99">
        <v>0.46</v>
      </c>
      <c r="AE116" s="99">
        <v>0.39</v>
      </c>
      <c r="AF116" s="99">
        <v>0.61</v>
      </c>
      <c r="AG116" s="99">
        <v>0.48</v>
      </c>
      <c r="AH116" s="16">
        <v>51</v>
      </c>
      <c r="AI116" s="16">
        <v>8</v>
      </c>
      <c r="AJ116" s="66">
        <v>0.09</v>
      </c>
      <c r="AK116" s="66">
        <v>0.57999999999999996</v>
      </c>
      <c r="AL116" s="66">
        <v>0.32</v>
      </c>
      <c r="AM116" s="66">
        <v>0</v>
      </c>
      <c r="AN116" s="66">
        <v>0.34</v>
      </c>
      <c r="AO116" s="66">
        <v>0.47</v>
      </c>
      <c r="AP116" s="66">
        <v>0.61</v>
      </c>
      <c r="AQ116" s="66">
        <v>0.43</v>
      </c>
      <c r="AR116" s="66">
        <v>0.54</v>
      </c>
      <c r="AS116" s="66">
        <v>0.55000000000000004</v>
      </c>
      <c r="AT116" s="66">
        <v>0.51</v>
      </c>
      <c r="AU116" s="66">
        <v>0.55000000000000004</v>
      </c>
      <c r="AV116" s="66">
        <v>0.63</v>
      </c>
      <c r="AW116" s="66">
        <v>0.53</v>
      </c>
      <c r="AX116" s="66">
        <v>0.62</v>
      </c>
      <c r="AY116" s="66">
        <v>0.32</v>
      </c>
      <c r="AZ116" s="66">
        <v>0.27</v>
      </c>
      <c r="BA116" s="66">
        <v>0.49</v>
      </c>
      <c r="BB116" s="66">
        <v>0.66</v>
      </c>
      <c r="BC116" s="66">
        <v>0.66</v>
      </c>
      <c r="BD116" s="66">
        <v>0.43</v>
      </c>
      <c r="BE116" s="66">
        <v>0.6</v>
      </c>
      <c r="BF116" s="66">
        <v>0.56999999999999995</v>
      </c>
      <c r="BG116" s="66">
        <v>0.5</v>
      </c>
      <c r="BH116" s="66">
        <v>0.45</v>
      </c>
      <c r="BI116" s="66">
        <v>0.39</v>
      </c>
      <c r="BJ116" s="66">
        <v>0.34</v>
      </c>
      <c r="BK116" s="66">
        <v>0.47</v>
      </c>
      <c r="BL116" s="66">
        <v>0.5</v>
      </c>
      <c r="BM116" s="16">
        <v>51</v>
      </c>
      <c r="BN116" s="16">
        <v>8</v>
      </c>
      <c r="BO116" s="99">
        <v>0.12</v>
      </c>
      <c r="BP116" s="99">
        <v>0.57999999999999996</v>
      </c>
      <c r="BQ116" s="99">
        <v>0.28999999999999998</v>
      </c>
      <c r="BR116" s="99">
        <v>0.01</v>
      </c>
      <c r="BS116" s="99">
        <v>0.33</v>
      </c>
      <c r="BT116" s="99">
        <v>0.51</v>
      </c>
      <c r="BU116" s="99">
        <v>0.67</v>
      </c>
      <c r="BV116" s="99">
        <v>0.34</v>
      </c>
      <c r="BW116" s="99">
        <v>0.63</v>
      </c>
      <c r="BX116" s="99">
        <v>0.36</v>
      </c>
      <c r="BY116" s="99">
        <v>0.43</v>
      </c>
      <c r="BZ116" s="99">
        <v>0.52</v>
      </c>
      <c r="CA116" s="99">
        <v>0.45</v>
      </c>
      <c r="CB116" s="99">
        <v>0.36</v>
      </c>
      <c r="CC116" s="99">
        <v>0.21</v>
      </c>
      <c r="CD116" s="99">
        <v>0.45</v>
      </c>
      <c r="CE116" s="99">
        <v>0.35</v>
      </c>
      <c r="CF116" s="99">
        <v>0.55000000000000004</v>
      </c>
      <c r="CG116" s="99">
        <v>0.61</v>
      </c>
      <c r="CH116" s="99">
        <v>0.45</v>
      </c>
      <c r="CI116" s="99">
        <v>0.52</v>
      </c>
      <c r="CJ116" s="99">
        <v>0.36</v>
      </c>
      <c r="CK116" s="99">
        <v>0.68</v>
      </c>
      <c r="CL116" s="99">
        <v>0.34</v>
      </c>
      <c r="CM116" s="99">
        <v>0.47</v>
      </c>
      <c r="CN116" s="99">
        <v>0.49</v>
      </c>
      <c r="CO116" s="99">
        <v>0.47</v>
      </c>
      <c r="CP116" s="99">
        <v>0.36</v>
      </c>
      <c r="CQ116" s="99">
        <v>0.5</v>
      </c>
      <c r="CR116" s="99">
        <v>0.57999999999999996</v>
      </c>
      <c r="CS116" s="16">
        <v>49</v>
      </c>
      <c r="CT116" s="16">
        <v>8</v>
      </c>
      <c r="CU116" s="96">
        <v>0.17</v>
      </c>
      <c r="CV116" s="96">
        <v>0.61</v>
      </c>
      <c r="CW116" s="96">
        <v>0.22</v>
      </c>
      <c r="CX116" s="96">
        <v>0</v>
      </c>
      <c r="CY116" s="96">
        <v>0.51</v>
      </c>
      <c r="CZ116" s="96">
        <v>0.31</v>
      </c>
      <c r="DA116" s="96">
        <v>0.61</v>
      </c>
      <c r="DB116" s="96">
        <v>0.4</v>
      </c>
      <c r="DC116" s="96">
        <v>0.46</v>
      </c>
      <c r="DD116" s="96">
        <v>0.62</v>
      </c>
      <c r="DE116" s="96">
        <v>0.46</v>
      </c>
      <c r="DF116" s="96">
        <v>0.54</v>
      </c>
      <c r="DG116" s="96">
        <v>0.48</v>
      </c>
      <c r="DH116" s="96">
        <v>0.39</v>
      </c>
      <c r="DI116" s="96">
        <v>0.54</v>
      </c>
      <c r="DJ116" s="96">
        <v>0.53</v>
      </c>
      <c r="DK116" s="96">
        <v>0.4</v>
      </c>
      <c r="DL116" s="96">
        <v>0.41</v>
      </c>
      <c r="DM116" s="96">
        <v>0.51</v>
      </c>
      <c r="DN116" s="96">
        <v>0.49</v>
      </c>
      <c r="DO116" s="96">
        <v>0.43</v>
      </c>
      <c r="DP116" s="96">
        <v>0.47</v>
      </c>
      <c r="DQ116" s="96">
        <v>0.56999999999999995</v>
      </c>
      <c r="DR116" s="96">
        <v>0.22</v>
      </c>
      <c r="DS116" s="96">
        <v>0.43</v>
      </c>
      <c r="DT116" s="96">
        <v>0.57999999999999996</v>
      </c>
      <c r="DU116" s="96">
        <v>0.49</v>
      </c>
      <c r="DV116" s="96">
        <v>0.63</v>
      </c>
      <c r="DW116" s="96">
        <v>0.4</v>
      </c>
      <c r="DX116" s="61">
        <v>47</v>
      </c>
      <c r="DY116" s="61">
        <v>9</v>
      </c>
      <c r="DZ116" s="66">
        <v>0.22</v>
      </c>
      <c r="EA116" s="66">
        <v>0.57999999999999996</v>
      </c>
      <c r="EB116" s="66">
        <v>0.2</v>
      </c>
      <c r="EC116" s="66">
        <v>0</v>
      </c>
      <c r="ED116" s="66">
        <v>0.5</v>
      </c>
      <c r="EE116" s="66">
        <v>0.49</v>
      </c>
      <c r="EF116" s="66">
        <v>0.54</v>
      </c>
      <c r="EG116" s="66">
        <v>0.45</v>
      </c>
      <c r="EH116" s="66">
        <v>0.46</v>
      </c>
      <c r="EI116" s="66">
        <v>0.56000000000000005</v>
      </c>
      <c r="EJ116" s="66">
        <v>0.63</v>
      </c>
      <c r="EK116" s="66">
        <v>0.37</v>
      </c>
      <c r="EL116" s="66">
        <v>0.56000000000000005</v>
      </c>
      <c r="EM116" s="66">
        <v>0.78</v>
      </c>
      <c r="EN116" s="66">
        <v>0.55000000000000004</v>
      </c>
      <c r="EO116" s="66">
        <v>0.56000000000000005</v>
      </c>
      <c r="EP116" s="66">
        <v>0.4</v>
      </c>
      <c r="EQ116" s="66">
        <v>0.37</v>
      </c>
      <c r="ER116" s="66">
        <v>0.63</v>
      </c>
      <c r="ES116" s="66">
        <v>0.51</v>
      </c>
      <c r="ET116" s="66">
        <v>0.37</v>
      </c>
      <c r="EU116" s="66">
        <v>0.62</v>
      </c>
      <c r="EV116" s="66">
        <v>0.53</v>
      </c>
      <c r="EW116" s="66">
        <v>0.36</v>
      </c>
      <c r="EX116" s="66">
        <v>0.63</v>
      </c>
      <c r="EY116" s="66">
        <v>0.61</v>
      </c>
      <c r="EZ116" s="66">
        <v>0.24</v>
      </c>
      <c r="FA116" s="66">
        <v>0.6</v>
      </c>
      <c r="FB116" s="349">
        <v>48</v>
      </c>
      <c r="FC116" s="348" t="s">
        <v>910</v>
      </c>
      <c r="FD116" s="349">
        <v>7</v>
      </c>
      <c r="FE116" s="348" t="s">
        <v>910</v>
      </c>
      <c r="FF116" s="371">
        <v>0.13</v>
      </c>
      <c r="FG116" s="371">
        <v>0.76</v>
      </c>
      <c r="FH116" s="371">
        <v>0.12</v>
      </c>
      <c r="FI116" s="371">
        <v>0</v>
      </c>
      <c r="FJ116" s="371">
        <v>0.5</v>
      </c>
      <c r="FK116" s="371">
        <v>0.7</v>
      </c>
      <c r="FL116" s="371">
        <v>0.52</v>
      </c>
      <c r="FM116" s="371">
        <v>0.46</v>
      </c>
      <c r="FN116" s="371">
        <v>0.32</v>
      </c>
      <c r="FO116" s="371">
        <v>0.4</v>
      </c>
      <c r="FP116" s="371">
        <v>0.41</v>
      </c>
      <c r="FQ116" s="371">
        <v>0.43</v>
      </c>
      <c r="FR116" s="371">
        <v>0.64</v>
      </c>
      <c r="FS116" s="371">
        <v>0.56000000000000005</v>
      </c>
      <c r="FT116" s="371">
        <v>0.56000000000000005</v>
      </c>
      <c r="FU116" s="371">
        <v>0.44</v>
      </c>
      <c r="FV116" s="371">
        <v>0.63</v>
      </c>
      <c r="FW116" s="371">
        <v>0.59</v>
      </c>
      <c r="FX116" s="371">
        <v>0.6</v>
      </c>
      <c r="FY116" s="371">
        <v>0.39</v>
      </c>
      <c r="FZ116" s="371">
        <v>0.43</v>
      </c>
      <c r="GA116" s="371">
        <v>0.56999999999999995</v>
      </c>
      <c r="GB116" s="371">
        <v>0.59</v>
      </c>
      <c r="GC116" s="371">
        <v>0.51</v>
      </c>
      <c r="GD116" s="371">
        <v>0.64</v>
      </c>
      <c r="GE116" s="371">
        <v>0.54</v>
      </c>
      <c r="GF116" s="371">
        <v>0.49</v>
      </c>
      <c r="GG116" s="371">
        <v>0.53</v>
      </c>
      <c r="GH116" s="371">
        <v>0.53</v>
      </c>
      <c r="GI116" s="371">
        <v>0.32</v>
      </c>
      <c r="GJ116" s="469">
        <v>49</v>
      </c>
      <c r="GK116" s="471" t="s">
        <v>910</v>
      </c>
      <c r="GL116" s="469">
        <v>9</v>
      </c>
      <c r="GM116" s="471" t="s">
        <v>910</v>
      </c>
      <c r="GN116" s="501">
        <v>0.21</v>
      </c>
      <c r="GO116" s="501">
        <v>0.55000000000000004</v>
      </c>
      <c r="GP116" s="501">
        <v>0.22</v>
      </c>
      <c r="GQ116" s="501">
        <v>0.03</v>
      </c>
      <c r="GR116" s="501">
        <v>0.51</v>
      </c>
      <c r="GS116" s="501">
        <v>0.56999999999999995</v>
      </c>
      <c r="GT116" s="501">
        <v>0.63</v>
      </c>
      <c r="GU116" s="501">
        <v>0.27</v>
      </c>
      <c r="GV116" s="501">
        <v>0.56000000000000005</v>
      </c>
      <c r="GW116" s="501">
        <v>0.56000000000000005</v>
      </c>
      <c r="GX116" s="501">
        <v>0.51</v>
      </c>
      <c r="GY116" s="471" t="s">
        <v>287</v>
      </c>
      <c r="GZ116" s="501">
        <v>0.39</v>
      </c>
      <c r="HA116" s="501">
        <v>0.73</v>
      </c>
      <c r="HB116" s="501">
        <v>0.51</v>
      </c>
      <c r="HC116" s="501">
        <v>0.56999999999999995</v>
      </c>
      <c r="HD116" s="501">
        <v>0.57999999999999996</v>
      </c>
      <c r="HE116" s="501">
        <v>0.49</v>
      </c>
      <c r="HF116" s="501">
        <v>0.52</v>
      </c>
      <c r="HG116" s="501">
        <v>0.69</v>
      </c>
      <c r="HH116" s="501">
        <v>0.44</v>
      </c>
      <c r="HI116" s="501">
        <v>0.56999999999999995</v>
      </c>
      <c r="HJ116" s="501">
        <v>0.63</v>
      </c>
      <c r="HK116" s="501">
        <v>0.55000000000000004</v>
      </c>
      <c r="HL116" s="501">
        <v>0.48</v>
      </c>
      <c r="HM116" s="501">
        <v>0.5</v>
      </c>
      <c r="HN116" s="501">
        <v>0.51</v>
      </c>
      <c r="HO116" s="501">
        <v>0.52</v>
      </c>
      <c r="HP116" s="471" t="s">
        <v>287</v>
      </c>
      <c r="HQ116" s="501">
        <v>0.41</v>
      </c>
      <c r="HR116" s="630">
        <v>49</v>
      </c>
      <c r="HS116" s="640" t="s">
        <v>910</v>
      </c>
      <c r="HT116" s="630">
        <v>8</v>
      </c>
      <c r="HU116" s="640" t="s">
        <v>910</v>
      </c>
      <c r="HV116" s="644">
        <v>0.15</v>
      </c>
      <c r="HW116" s="644">
        <v>0.61</v>
      </c>
      <c r="HX116" s="644">
        <v>0.24</v>
      </c>
      <c r="HY116" s="644">
        <v>0</v>
      </c>
      <c r="HZ116" s="644">
        <v>0.46</v>
      </c>
      <c r="IA116" s="644">
        <v>0.55000000000000004</v>
      </c>
      <c r="IB116" s="644">
        <v>0.41</v>
      </c>
      <c r="IC116" s="644">
        <v>0.55000000000000004</v>
      </c>
      <c r="ID116" s="644">
        <v>0.66</v>
      </c>
      <c r="IE116" s="644">
        <v>0.41</v>
      </c>
      <c r="IF116" s="644">
        <v>0.4</v>
      </c>
      <c r="IG116" s="644">
        <v>0.64</v>
      </c>
      <c r="IH116" s="644">
        <v>0.56999999999999995</v>
      </c>
      <c r="II116" s="644">
        <v>0.36</v>
      </c>
      <c r="IJ116" s="644">
        <v>0.32</v>
      </c>
      <c r="IK116" s="644">
        <v>0.66</v>
      </c>
      <c r="IL116" s="644">
        <v>0.4</v>
      </c>
      <c r="IM116" s="644">
        <v>0.64</v>
      </c>
      <c r="IN116" s="644">
        <v>0.49</v>
      </c>
      <c r="IO116" s="644">
        <v>0.53</v>
      </c>
      <c r="IP116" s="644">
        <v>0.51</v>
      </c>
      <c r="IQ116" s="644">
        <v>0.67</v>
      </c>
      <c r="IR116" s="644">
        <v>0.5</v>
      </c>
      <c r="IS116" s="644">
        <v>0.56999999999999995</v>
      </c>
      <c r="IT116" s="644">
        <v>0.51</v>
      </c>
      <c r="IU116" s="640" t="s">
        <v>287</v>
      </c>
      <c r="IV116" s="644">
        <v>0.63</v>
      </c>
      <c r="IW116" s="644">
        <v>0.46</v>
      </c>
      <c r="IX116" s="644">
        <v>0.53</v>
      </c>
      <c r="IY116" s="644">
        <v>0.55000000000000004</v>
      </c>
    </row>
    <row r="117" spans="1:259" ht="24.9" customHeight="1" x14ac:dyDescent="0.25">
      <c r="A117" s="188" t="s">
        <v>33</v>
      </c>
      <c r="B117" s="1" t="s">
        <v>220</v>
      </c>
      <c r="C117" s="2">
        <v>6</v>
      </c>
      <c r="D117" s="16">
        <v>52</v>
      </c>
      <c r="E117" s="16">
        <v>7</v>
      </c>
      <c r="F117" s="99">
        <v>0.06</v>
      </c>
      <c r="G117" s="99">
        <v>0.63</v>
      </c>
      <c r="H117" s="99">
        <v>0.31</v>
      </c>
      <c r="I117" s="99">
        <v>0</v>
      </c>
      <c r="J117" s="99">
        <v>0.56999999999999995</v>
      </c>
      <c r="K117" s="99">
        <v>0.5</v>
      </c>
      <c r="L117" s="99">
        <v>0.78</v>
      </c>
      <c r="M117" s="99">
        <v>0.26</v>
      </c>
      <c r="N117" s="99">
        <v>0.33</v>
      </c>
      <c r="O117" s="99">
        <v>0.56999999999999995</v>
      </c>
      <c r="P117" s="99">
        <v>0.41</v>
      </c>
      <c r="Q117" s="99">
        <v>0.42</v>
      </c>
      <c r="R117" s="99">
        <v>0.55000000000000004</v>
      </c>
      <c r="S117" s="99">
        <v>0.61</v>
      </c>
      <c r="T117" s="99">
        <v>0.52</v>
      </c>
      <c r="U117" s="99">
        <v>0.65</v>
      </c>
      <c r="V117" s="99">
        <v>0.04</v>
      </c>
      <c r="W117" s="99">
        <v>0.3</v>
      </c>
      <c r="X117" s="99">
        <v>0.53</v>
      </c>
      <c r="Y117" s="99">
        <v>0.56000000000000005</v>
      </c>
      <c r="Z117" s="99">
        <v>0.75</v>
      </c>
      <c r="AA117" s="99">
        <v>0.09</v>
      </c>
      <c r="AB117" s="99">
        <v>0.47</v>
      </c>
      <c r="AC117" s="99">
        <v>0.35</v>
      </c>
      <c r="AD117" s="99">
        <v>0.49</v>
      </c>
      <c r="AE117" s="99">
        <v>0.45</v>
      </c>
      <c r="AF117" s="99">
        <v>0.53</v>
      </c>
      <c r="AG117" s="99">
        <v>0.49</v>
      </c>
      <c r="AH117" s="16">
        <v>53</v>
      </c>
      <c r="AI117" s="16">
        <v>8</v>
      </c>
      <c r="AJ117" s="66">
        <v>7.0000000000000007E-2</v>
      </c>
      <c r="AK117" s="66">
        <v>0.56000000000000005</v>
      </c>
      <c r="AL117" s="66">
        <v>0.38</v>
      </c>
      <c r="AM117" s="66">
        <v>0</v>
      </c>
      <c r="AN117" s="66">
        <v>0.32</v>
      </c>
      <c r="AO117" s="66">
        <v>0.45</v>
      </c>
      <c r="AP117" s="66">
        <v>0.57999999999999996</v>
      </c>
      <c r="AQ117" s="66">
        <v>0.34</v>
      </c>
      <c r="AR117" s="66">
        <v>0.5</v>
      </c>
      <c r="AS117" s="66">
        <v>0.5</v>
      </c>
      <c r="AT117" s="66">
        <v>0.53</v>
      </c>
      <c r="AU117" s="66">
        <v>0.5</v>
      </c>
      <c r="AV117" s="66">
        <v>0.66</v>
      </c>
      <c r="AW117" s="66">
        <v>0.46</v>
      </c>
      <c r="AX117" s="66">
        <v>0.55000000000000004</v>
      </c>
      <c r="AY117" s="66">
        <v>0.3</v>
      </c>
      <c r="AZ117" s="66">
        <v>0.33</v>
      </c>
      <c r="BA117" s="66">
        <v>0.5</v>
      </c>
      <c r="BB117" s="66">
        <v>0.69</v>
      </c>
      <c r="BC117" s="66">
        <v>0.63</v>
      </c>
      <c r="BD117" s="66">
        <v>0.39</v>
      </c>
      <c r="BE117" s="66">
        <v>0.41</v>
      </c>
      <c r="BF117" s="66">
        <v>0.68</v>
      </c>
      <c r="BG117" s="66">
        <v>0.48</v>
      </c>
      <c r="BH117" s="66">
        <v>0.39</v>
      </c>
      <c r="BI117" s="66">
        <v>0.44</v>
      </c>
      <c r="BJ117" s="66">
        <v>0.33</v>
      </c>
      <c r="BK117" s="66">
        <v>0.46</v>
      </c>
      <c r="BL117" s="66">
        <v>0.47</v>
      </c>
      <c r="BM117" s="16">
        <v>53</v>
      </c>
      <c r="BN117" s="16">
        <v>9</v>
      </c>
      <c r="BO117" s="99">
        <v>0.09</v>
      </c>
      <c r="BP117" s="99">
        <v>0.49</v>
      </c>
      <c r="BQ117" s="99">
        <v>0.41</v>
      </c>
      <c r="BR117" s="99">
        <v>0.01</v>
      </c>
      <c r="BS117" s="99">
        <v>0.28000000000000003</v>
      </c>
      <c r="BT117" s="99">
        <v>0.54</v>
      </c>
      <c r="BU117" s="99">
        <v>0.63</v>
      </c>
      <c r="BV117" s="99">
        <v>0.28000000000000003</v>
      </c>
      <c r="BW117" s="99">
        <v>0.59</v>
      </c>
      <c r="BX117" s="99">
        <v>0.25</v>
      </c>
      <c r="BY117" s="99">
        <v>0.39</v>
      </c>
      <c r="BZ117" s="99">
        <v>0.48</v>
      </c>
      <c r="CA117" s="99">
        <v>0.47</v>
      </c>
      <c r="CB117" s="99">
        <v>0.34</v>
      </c>
      <c r="CC117" s="99">
        <v>0.14000000000000001</v>
      </c>
      <c r="CD117" s="99">
        <v>0.39</v>
      </c>
      <c r="CE117" s="99">
        <v>0.28999999999999998</v>
      </c>
      <c r="CF117" s="99">
        <v>0.55000000000000004</v>
      </c>
      <c r="CG117" s="99">
        <v>0.54</v>
      </c>
      <c r="CH117" s="99">
        <v>0.42</v>
      </c>
      <c r="CI117" s="99">
        <v>0.52</v>
      </c>
      <c r="CJ117" s="99">
        <v>0.27</v>
      </c>
      <c r="CK117" s="99">
        <v>0.62</v>
      </c>
      <c r="CL117" s="99">
        <v>0.25</v>
      </c>
      <c r="CM117" s="99">
        <v>0.38</v>
      </c>
      <c r="CN117" s="99">
        <v>0.41</v>
      </c>
      <c r="CO117" s="99">
        <v>0.36</v>
      </c>
      <c r="CP117" s="99">
        <v>0.34</v>
      </c>
      <c r="CQ117" s="99">
        <v>0.52</v>
      </c>
      <c r="CR117" s="99">
        <v>0.51</v>
      </c>
      <c r="CS117" s="16">
        <v>49</v>
      </c>
      <c r="CT117" s="16">
        <v>8</v>
      </c>
      <c r="CU117" s="96">
        <v>0.17</v>
      </c>
      <c r="CV117" s="96">
        <v>0.61</v>
      </c>
      <c r="CW117" s="96">
        <v>0.22</v>
      </c>
      <c r="CX117" s="96">
        <v>0</v>
      </c>
      <c r="CY117" s="96">
        <v>0.46</v>
      </c>
      <c r="CZ117" s="96">
        <v>0.28999999999999998</v>
      </c>
      <c r="DA117" s="96">
        <v>0.6</v>
      </c>
      <c r="DB117" s="96">
        <v>0.39</v>
      </c>
      <c r="DC117" s="96">
        <v>0.45</v>
      </c>
      <c r="DD117" s="96">
        <v>0.61</v>
      </c>
      <c r="DE117" s="96">
        <v>0.53</v>
      </c>
      <c r="DF117" s="96">
        <v>0.47</v>
      </c>
      <c r="DG117" s="96">
        <v>0.46</v>
      </c>
      <c r="DH117" s="96">
        <v>0.38</v>
      </c>
      <c r="DI117" s="96">
        <v>0.51</v>
      </c>
      <c r="DJ117" s="96">
        <v>0.51</v>
      </c>
      <c r="DK117" s="96">
        <v>0.41</v>
      </c>
      <c r="DL117" s="96">
        <v>0.39</v>
      </c>
      <c r="DM117" s="96">
        <v>0.56000000000000005</v>
      </c>
      <c r="DN117" s="96">
        <v>0.52</v>
      </c>
      <c r="DO117" s="96">
        <v>0.46</v>
      </c>
      <c r="DP117" s="96">
        <v>0.48</v>
      </c>
      <c r="DQ117" s="96">
        <v>0.6</v>
      </c>
      <c r="DR117" s="96">
        <v>0.23</v>
      </c>
      <c r="DS117" s="96">
        <v>0.4</v>
      </c>
      <c r="DT117" s="96">
        <v>0.54</v>
      </c>
      <c r="DU117" s="96">
        <v>0.63</v>
      </c>
      <c r="DV117" s="96">
        <v>0.56999999999999995</v>
      </c>
      <c r="DW117" s="96">
        <v>0.39</v>
      </c>
      <c r="DX117" s="61">
        <v>49</v>
      </c>
      <c r="DY117" s="61">
        <v>8</v>
      </c>
      <c r="DZ117" s="66">
        <v>0.17</v>
      </c>
      <c r="EA117" s="66">
        <v>0.62</v>
      </c>
      <c r="EB117" s="66">
        <v>0.21</v>
      </c>
      <c r="EC117" s="66">
        <v>0</v>
      </c>
      <c r="ED117" s="66">
        <v>0.47</v>
      </c>
      <c r="EE117" s="66">
        <v>0.5</v>
      </c>
      <c r="EF117" s="66">
        <v>0.57999999999999996</v>
      </c>
      <c r="EG117" s="66">
        <v>0.26</v>
      </c>
      <c r="EH117" s="66">
        <v>0.43</v>
      </c>
      <c r="EI117" s="66">
        <v>0.51</v>
      </c>
      <c r="EJ117" s="66">
        <v>0.6</v>
      </c>
      <c r="EK117" s="66">
        <v>0.3</v>
      </c>
      <c r="EL117" s="66">
        <v>0.47</v>
      </c>
      <c r="EM117" s="66">
        <v>0.6</v>
      </c>
      <c r="EN117" s="66">
        <v>0.49</v>
      </c>
      <c r="EO117" s="66">
        <v>0.61</v>
      </c>
      <c r="EP117" s="66">
        <v>0.39</v>
      </c>
      <c r="EQ117" s="66">
        <v>0.28999999999999998</v>
      </c>
      <c r="ER117" s="66">
        <v>0.57999999999999996</v>
      </c>
      <c r="ES117" s="66">
        <v>0.5</v>
      </c>
      <c r="ET117" s="66">
        <v>0.32</v>
      </c>
      <c r="EU117" s="66">
        <v>0.59</v>
      </c>
      <c r="EV117" s="66">
        <v>0.52</v>
      </c>
      <c r="EW117" s="66">
        <v>0.36</v>
      </c>
      <c r="EX117" s="66">
        <v>0.7</v>
      </c>
      <c r="EY117" s="66">
        <v>0.63</v>
      </c>
      <c r="EZ117" s="66">
        <v>0.26</v>
      </c>
      <c r="FA117" s="66">
        <v>0.65</v>
      </c>
      <c r="FB117" s="349">
        <v>48</v>
      </c>
      <c r="FC117" s="348" t="s">
        <v>910</v>
      </c>
      <c r="FD117" s="349">
        <v>7</v>
      </c>
      <c r="FE117" s="348" t="s">
        <v>910</v>
      </c>
      <c r="FF117" s="371">
        <v>0.16</v>
      </c>
      <c r="FG117" s="371">
        <v>0.69</v>
      </c>
      <c r="FH117" s="371">
        <v>0.15</v>
      </c>
      <c r="FI117" s="371">
        <v>0</v>
      </c>
      <c r="FJ117" s="371">
        <v>0.49</v>
      </c>
      <c r="FK117" s="371">
        <v>0.67</v>
      </c>
      <c r="FL117" s="371">
        <v>0.55000000000000004</v>
      </c>
      <c r="FM117" s="371">
        <v>0.42</v>
      </c>
      <c r="FN117" s="371">
        <v>0.28999999999999998</v>
      </c>
      <c r="FO117" s="371">
        <v>0.33</v>
      </c>
      <c r="FP117" s="371">
        <v>0.44</v>
      </c>
      <c r="FQ117" s="371">
        <v>0.39</v>
      </c>
      <c r="FR117" s="371">
        <v>0.64</v>
      </c>
      <c r="FS117" s="371">
        <v>0.54</v>
      </c>
      <c r="FT117" s="371">
        <v>0.53</v>
      </c>
      <c r="FU117" s="371">
        <v>0.44</v>
      </c>
      <c r="FV117" s="371">
        <v>0.69</v>
      </c>
      <c r="FW117" s="371">
        <v>0.6</v>
      </c>
      <c r="FX117" s="371">
        <v>0.53</v>
      </c>
      <c r="FY117" s="371">
        <v>0.37</v>
      </c>
      <c r="FZ117" s="371">
        <v>0.45</v>
      </c>
      <c r="GA117" s="371">
        <v>0.5</v>
      </c>
      <c r="GB117" s="371">
        <v>0.56000000000000005</v>
      </c>
      <c r="GC117" s="371">
        <v>0.52</v>
      </c>
      <c r="GD117" s="371">
        <v>0.67</v>
      </c>
      <c r="GE117" s="371">
        <v>0.57999999999999996</v>
      </c>
      <c r="GF117" s="371">
        <v>0.5</v>
      </c>
      <c r="GG117" s="371">
        <v>0.48</v>
      </c>
      <c r="GH117" s="371">
        <v>0.63</v>
      </c>
      <c r="GI117" s="371">
        <v>0.33</v>
      </c>
      <c r="GJ117" s="469">
        <v>49</v>
      </c>
      <c r="GK117" s="471" t="s">
        <v>910</v>
      </c>
      <c r="GL117" s="469">
        <v>8</v>
      </c>
      <c r="GM117" s="471" t="s">
        <v>910</v>
      </c>
      <c r="GN117" s="501">
        <v>0.19</v>
      </c>
      <c r="GO117" s="501">
        <v>0.57999999999999996</v>
      </c>
      <c r="GP117" s="501">
        <v>0.23</v>
      </c>
      <c r="GQ117" s="501">
        <v>0</v>
      </c>
      <c r="GR117" s="501">
        <v>0.49</v>
      </c>
      <c r="GS117" s="501">
        <v>0.55000000000000004</v>
      </c>
      <c r="GT117" s="501">
        <v>0.63</v>
      </c>
      <c r="GU117" s="501">
        <v>0.28999999999999998</v>
      </c>
      <c r="GV117" s="501">
        <v>0.59</v>
      </c>
      <c r="GW117" s="501">
        <v>0.53</v>
      </c>
      <c r="GX117" s="501">
        <v>0.52</v>
      </c>
      <c r="GY117" s="471" t="s">
        <v>287</v>
      </c>
      <c r="GZ117" s="501">
        <v>0.34</v>
      </c>
      <c r="HA117" s="501">
        <v>0.66</v>
      </c>
      <c r="HB117" s="501">
        <v>0.5</v>
      </c>
      <c r="HC117" s="501">
        <v>0.55000000000000004</v>
      </c>
      <c r="HD117" s="501">
        <v>0.63</v>
      </c>
      <c r="HE117" s="501">
        <v>0.5</v>
      </c>
      <c r="HF117" s="501">
        <v>0.52</v>
      </c>
      <c r="HG117" s="501">
        <v>0.68</v>
      </c>
      <c r="HH117" s="501">
        <v>0.41</v>
      </c>
      <c r="HI117" s="501">
        <v>0.56000000000000005</v>
      </c>
      <c r="HJ117" s="501">
        <v>0.57999999999999996</v>
      </c>
      <c r="HK117" s="501">
        <v>0.54</v>
      </c>
      <c r="HL117" s="501">
        <v>0.49</v>
      </c>
      <c r="HM117" s="501">
        <v>0.47</v>
      </c>
      <c r="HN117" s="501">
        <v>0.5</v>
      </c>
      <c r="HO117" s="501">
        <v>0.5</v>
      </c>
      <c r="HP117" s="471" t="s">
        <v>287</v>
      </c>
      <c r="HQ117" s="501">
        <v>0.45</v>
      </c>
      <c r="HR117" s="630">
        <v>50</v>
      </c>
      <c r="HS117" s="640" t="s">
        <v>910</v>
      </c>
      <c r="HT117" s="630">
        <v>9</v>
      </c>
      <c r="HU117" s="640" t="s">
        <v>910</v>
      </c>
      <c r="HV117" s="644">
        <v>0.17</v>
      </c>
      <c r="HW117" s="644">
        <v>0.56000000000000005</v>
      </c>
      <c r="HX117" s="644">
        <v>0.26</v>
      </c>
      <c r="HY117" s="644">
        <v>0.01</v>
      </c>
      <c r="HZ117" s="644">
        <v>0.47</v>
      </c>
      <c r="IA117" s="644">
        <v>0.54</v>
      </c>
      <c r="IB117" s="644">
        <v>0.41</v>
      </c>
      <c r="IC117" s="644">
        <v>0.51</v>
      </c>
      <c r="ID117" s="644">
        <v>0.6</v>
      </c>
      <c r="IE117" s="644">
        <v>0.41</v>
      </c>
      <c r="IF117" s="644">
        <v>0.41</v>
      </c>
      <c r="IG117" s="644">
        <v>0.56000000000000005</v>
      </c>
      <c r="IH117" s="644">
        <v>0.56000000000000005</v>
      </c>
      <c r="II117" s="644">
        <v>0.37</v>
      </c>
      <c r="IJ117" s="644">
        <v>0.33</v>
      </c>
      <c r="IK117" s="644">
        <v>0.6</v>
      </c>
      <c r="IL117" s="644">
        <v>0.33</v>
      </c>
      <c r="IM117" s="644">
        <v>0.56000000000000005</v>
      </c>
      <c r="IN117" s="644">
        <v>0.48</v>
      </c>
      <c r="IO117" s="644">
        <v>0.54</v>
      </c>
      <c r="IP117" s="644">
        <v>0.41</v>
      </c>
      <c r="IQ117" s="644">
        <v>0.7</v>
      </c>
      <c r="IR117" s="644">
        <v>0.59</v>
      </c>
      <c r="IS117" s="644">
        <v>0.51</v>
      </c>
      <c r="IT117" s="644">
        <v>0.51</v>
      </c>
      <c r="IU117" s="640" t="s">
        <v>287</v>
      </c>
      <c r="IV117" s="644">
        <v>0.65</v>
      </c>
      <c r="IW117" s="644">
        <v>0.43</v>
      </c>
      <c r="IX117" s="644">
        <v>0.48</v>
      </c>
      <c r="IY117" s="644">
        <v>0.56999999999999995</v>
      </c>
    </row>
    <row r="118" spans="1:259" ht="24.9" customHeight="1" x14ac:dyDescent="0.25">
      <c r="A118" s="188" t="s">
        <v>65</v>
      </c>
      <c r="B118" s="1" t="s">
        <v>220</v>
      </c>
      <c r="C118" s="2">
        <v>3</v>
      </c>
      <c r="D118" s="16">
        <v>53</v>
      </c>
      <c r="E118" s="16">
        <v>7</v>
      </c>
      <c r="F118" s="99">
        <v>7.0000000000000007E-2</v>
      </c>
      <c r="G118" s="99">
        <v>0.55000000000000004</v>
      </c>
      <c r="H118" s="99">
        <v>0.38</v>
      </c>
      <c r="I118" s="99">
        <v>0</v>
      </c>
      <c r="J118" s="99">
        <v>0.54</v>
      </c>
      <c r="K118" s="99">
        <v>0.37</v>
      </c>
      <c r="L118" s="99">
        <v>0.84</v>
      </c>
      <c r="M118" s="99">
        <v>0.22</v>
      </c>
      <c r="N118" s="99">
        <v>0.28999999999999998</v>
      </c>
      <c r="O118" s="99">
        <v>0.76</v>
      </c>
      <c r="P118" s="99">
        <v>0.41</v>
      </c>
      <c r="Q118" s="99">
        <v>0.4</v>
      </c>
      <c r="R118" s="99">
        <v>0.52</v>
      </c>
      <c r="S118" s="99">
        <v>0.61</v>
      </c>
      <c r="T118" s="99">
        <v>0.44</v>
      </c>
      <c r="U118" s="99">
        <v>0.62</v>
      </c>
      <c r="V118" s="99">
        <v>7.0000000000000007E-2</v>
      </c>
      <c r="W118" s="99">
        <v>0.31</v>
      </c>
      <c r="X118" s="99">
        <v>0.56000000000000005</v>
      </c>
      <c r="Y118" s="99">
        <v>0.46</v>
      </c>
      <c r="Z118" s="99">
        <v>1</v>
      </c>
      <c r="AA118" s="99">
        <v>0.27</v>
      </c>
      <c r="AB118" s="99">
        <v>0.49</v>
      </c>
      <c r="AC118" s="99">
        <v>0.2</v>
      </c>
      <c r="AD118" s="99">
        <v>0.41</v>
      </c>
      <c r="AE118" s="99">
        <v>0.56000000000000005</v>
      </c>
      <c r="AF118" s="99">
        <v>0.52</v>
      </c>
      <c r="AG118" s="99">
        <v>0.43</v>
      </c>
      <c r="AH118" s="16">
        <v>51</v>
      </c>
      <c r="AI118" s="16">
        <v>8</v>
      </c>
      <c r="AJ118" s="66">
        <v>0.08</v>
      </c>
      <c r="AK118" s="66">
        <v>0.57999999999999996</v>
      </c>
      <c r="AL118" s="66">
        <v>0.33</v>
      </c>
      <c r="AM118" s="66">
        <v>0.01</v>
      </c>
      <c r="AN118" s="66">
        <v>0.28000000000000003</v>
      </c>
      <c r="AO118" s="66">
        <v>0.47</v>
      </c>
      <c r="AP118" s="66">
        <v>0.59</v>
      </c>
      <c r="AQ118" s="66">
        <v>0.41</v>
      </c>
      <c r="AR118" s="66">
        <v>0.56000000000000005</v>
      </c>
      <c r="AS118" s="66">
        <v>0.52</v>
      </c>
      <c r="AT118" s="66">
        <v>0.53</v>
      </c>
      <c r="AU118" s="66">
        <v>0.52</v>
      </c>
      <c r="AV118" s="66">
        <v>0.62</v>
      </c>
      <c r="AW118" s="66">
        <v>0.47</v>
      </c>
      <c r="AX118" s="66">
        <v>0.56999999999999995</v>
      </c>
      <c r="AY118" s="66">
        <v>0.35</v>
      </c>
      <c r="AZ118" s="66">
        <v>0.32</v>
      </c>
      <c r="BA118" s="66">
        <v>0.53</v>
      </c>
      <c r="BB118" s="66">
        <v>0.68</v>
      </c>
      <c r="BC118" s="66">
        <v>0.62</v>
      </c>
      <c r="BD118" s="66">
        <v>0.42</v>
      </c>
      <c r="BE118" s="66">
        <v>0.53</v>
      </c>
      <c r="BF118" s="66">
        <v>0.56000000000000005</v>
      </c>
      <c r="BG118" s="66">
        <v>0.51</v>
      </c>
      <c r="BH118" s="66">
        <v>0.46</v>
      </c>
      <c r="BI118" s="66">
        <v>0.43</v>
      </c>
      <c r="BJ118" s="66">
        <v>0.36</v>
      </c>
      <c r="BK118" s="66">
        <v>0.45</v>
      </c>
      <c r="BL118" s="66">
        <v>0.44</v>
      </c>
      <c r="BM118" s="16">
        <v>50</v>
      </c>
      <c r="BN118" s="16">
        <v>8</v>
      </c>
      <c r="BO118" s="99">
        <v>0.12</v>
      </c>
      <c r="BP118" s="99">
        <v>0.62</v>
      </c>
      <c r="BQ118" s="99">
        <v>0.25</v>
      </c>
      <c r="BR118" s="99">
        <v>0</v>
      </c>
      <c r="BS118" s="99">
        <v>0.37</v>
      </c>
      <c r="BT118" s="99">
        <v>0.56999999999999995</v>
      </c>
      <c r="BU118" s="99">
        <v>0.63</v>
      </c>
      <c r="BV118" s="99">
        <v>0.37</v>
      </c>
      <c r="BW118" s="99">
        <v>0.63</v>
      </c>
      <c r="BX118" s="99">
        <v>0.43</v>
      </c>
      <c r="BY118" s="99">
        <v>0.39</v>
      </c>
      <c r="BZ118" s="99">
        <v>0.53</v>
      </c>
      <c r="CA118" s="99">
        <v>0.47</v>
      </c>
      <c r="CB118" s="99">
        <v>0.39</v>
      </c>
      <c r="CC118" s="99">
        <v>0.21</v>
      </c>
      <c r="CD118" s="99">
        <v>0.42</v>
      </c>
      <c r="CE118" s="99">
        <v>0.35</v>
      </c>
      <c r="CF118" s="99">
        <v>0.64</v>
      </c>
      <c r="CG118" s="99">
        <v>0.62</v>
      </c>
      <c r="CH118" s="99">
        <v>0.46</v>
      </c>
      <c r="CI118" s="99">
        <v>0.6</v>
      </c>
      <c r="CJ118" s="99">
        <v>0.4</v>
      </c>
      <c r="CK118" s="99">
        <v>0.72</v>
      </c>
      <c r="CL118" s="99">
        <v>0.31</v>
      </c>
      <c r="CM118" s="99">
        <v>0.47</v>
      </c>
      <c r="CN118" s="99">
        <v>0.49</v>
      </c>
      <c r="CO118" s="99">
        <v>0.46</v>
      </c>
      <c r="CP118" s="99">
        <v>0.36</v>
      </c>
      <c r="CQ118" s="99">
        <v>0.54</v>
      </c>
      <c r="CR118" s="99">
        <v>0.57999999999999996</v>
      </c>
      <c r="CS118" s="16">
        <v>49</v>
      </c>
      <c r="CT118" s="16">
        <v>9</v>
      </c>
      <c r="CU118" s="96">
        <v>0.18</v>
      </c>
      <c r="CV118" s="96">
        <v>0.61</v>
      </c>
      <c r="CW118" s="96">
        <v>0.21</v>
      </c>
      <c r="CX118" s="96">
        <v>0</v>
      </c>
      <c r="CY118" s="96">
        <v>0.51</v>
      </c>
      <c r="CZ118" s="96">
        <v>0.31</v>
      </c>
      <c r="DA118" s="96">
        <v>0.61</v>
      </c>
      <c r="DB118" s="96">
        <v>0.35</v>
      </c>
      <c r="DC118" s="96">
        <v>0.48</v>
      </c>
      <c r="DD118" s="96">
        <v>0.67</v>
      </c>
      <c r="DE118" s="96">
        <v>0.48</v>
      </c>
      <c r="DF118" s="96">
        <v>0.57999999999999996</v>
      </c>
      <c r="DG118" s="96">
        <v>0.49</v>
      </c>
      <c r="DH118" s="96">
        <v>0.37</v>
      </c>
      <c r="DI118" s="96">
        <v>0.56000000000000005</v>
      </c>
      <c r="DJ118" s="96">
        <v>0.53</v>
      </c>
      <c r="DK118" s="96">
        <v>0.4</v>
      </c>
      <c r="DL118" s="96">
        <v>0.36</v>
      </c>
      <c r="DM118" s="96">
        <v>0.49</v>
      </c>
      <c r="DN118" s="96">
        <v>0.53</v>
      </c>
      <c r="DO118" s="96">
        <v>0.46</v>
      </c>
      <c r="DP118" s="96">
        <v>0.45</v>
      </c>
      <c r="DQ118" s="96">
        <v>0.62</v>
      </c>
      <c r="DR118" s="96">
        <v>0.19</v>
      </c>
      <c r="DS118" s="96">
        <v>0.42</v>
      </c>
      <c r="DT118" s="96">
        <v>0.62</v>
      </c>
      <c r="DU118" s="96">
        <v>0.57999999999999996</v>
      </c>
      <c r="DV118" s="96">
        <v>0.6</v>
      </c>
      <c r="DW118" s="96">
        <v>0.38</v>
      </c>
      <c r="DX118" s="61">
        <v>50</v>
      </c>
      <c r="DY118" s="61">
        <v>9</v>
      </c>
      <c r="DZ118" s="66">
        <v>0.16</v>
      </c>
      <c r="EA118" s="66">
        <v>0.56000000000000005</v>
      </c>
      <c r="EB118" s="66">
        <v>0.28000000000000003</v>
      </c>
      <c r="EC118" s="66">
        <v>0</v>
      </c>
      <c r="ED118" s="66">
        <v>0.47</v>
      </c>
      <c r="EE118" s="66">
        <v>0.44</v>
      </c>
      <c r="EF118" s="66">
        <v>0.5</v>
      </c>
      <c r="EG118" s="66">
        <v>0.3</v>
      </c>
      <c r="EH118" s="66">
        <v>0.4</v>
      </c>
      <c r="EI118" s="66">
        <v>0.47</v>
      </c>
      <c r="EJ118" s="66">
        <v>0.54</v>
      </c>
      <c r="EK118" s="66">
        <v>0.26</v>
      </c>
      <c r="EL118" s="66">
        <v>0.44</v>
      </c>
      <c r="EM118" s="66">
        <v>0.61</v>
      </c>
      <c r="EN118" s="66">
        <v>0.48</v>
      </c>
      <c r="EO118" s="66">
        <v>0.6</v>
      </c>
      <c r="EP118" s="66">
        <v>0.37</v>
      </c>
      <c r="EQ118" s="66">
        <v>0.3</v>
      </c>
      <c r="ER118" s="66">
        <v>0.62</v>
      </c>
      <c r="ES118" s="66">
        <v>0.42</v>
      </c>
      <c r="ET118" s="66">
        <v>0.33</v>
      </c>
      <c r="EU118" s="66">
        <v>0.64</v>
      </c>
      <c r="EV118" s="66">
        <v>0.45</v>
      </c>
      <c r="EW118" s="66">
        <v>0.33</v>
      </c>
      <c r="EX118" s="66">
        <v>0.66</v>
      </c>
      <c r="EY118" s="66">
        <v>0.57999999999999996</v>
      </c>
      <c r="EZ118" s="66">
        <v>0.28999999999999998</v>
      </c>
      <c r="FA118" s="66">
        <v>0.62</v>
      </c>
      <c r="FB118" s="349">
        <v>48</v>
      </c>
      <c r="FC118" s="348" t="s">
        <v>910</v>
      </c>
      <c r="FD118" s="349">
        <v>8</v>
      </c>
      <c r="FE118" s="348" t="s">
        <v>910</v>
      </c>
      <c r="FF118" s="371">
        <v>0.19</v>
      </c>
      <c r="FG118" s="371">
        <v>0.65</v>
      </c>
      <c r="FH118" s="371">
        <v>0.15</v>
      </c>
      <c r="FI118" s="371">
        <v>0.01</v>
      </c>
      <c r="FJ118" s="371">
        <v>0.51</v>
      </c>
      <c r="FK118" s="371">
        <v>0.66</v>
      </c>
      <c r="FL118" s="371">
        <v>0.59</v>
      </c>
      <c r="FM118" s="371">
        <v>0.45</v>
      </c>
      <c r="FN118" s="371">
        <v>0.37</v>
      </c>
      <c r="FO118" s="371">
        <v>0.37</v>
      </c>
      <c r="FP118" s="371">
        <v>0.41</v>
      </c>
      <c r="FQ118" s="371">
        <v>0.45</v>
      </c>
      <c r="FR118" s="371">
        <v>0.64</v>
      </c>
      <c r="FS118" s="371">
        <v>0.56000000000000005</v>
      </c>
      <c r="FT118" s="371">
        <v>0.56000000000000005</v>
      </c>
      <c r="FU118" s="371">
        <v>0.38</v>
      </c>
      <c r="FV118" s="371">
        <v>0.64</v>
      </c>
      <c r="FW118" s="371">
        <v>0.59</v>
      </c>
      <c r="FX118" s="371">
        <v>0.51</v>
      </c>
      <c r="FY118" s="371">
        <v>0.44</v>
      </c>
      <c r="FZ118" s="371">
        <v>0.49</v>
      </c>
      <c r="GA118" s="371">
        <v>0.55000000000000004</v>
      </c>
      <c r="GB118" s="371">
        <v>0.54</v>
      </c>
      <c r="GC118" s="371">
        <v>0.5</v>
      </c>
      <c r="GD118" s="371">
        <v>0.61</v>
      </c>
      <c r="GE118" s="371">
        <v>0.54</v>
      </c>
      <c r="GF118" s="371">
        <v>0.49</v>
      </c>
      <c r="GG118" s="371">
        <v>0.52</v>
      </c>
      <c r="GH118" s="371">
        <v>0.61</v>
      </c>
      <c r="GI118" s="371">
        <v>0.36</v>
      </c>
      <c r="GJ118" s="469">
        <v>48</v>
      </c>
      <c r="GK118" s="471" t="s">
        <v>910</v>
      </c>
      <c r="GL118" s="469">
        <v>8</v>
      </c>
      <c r="GM118" s="471" t="s">
        <v>910</v>
      </c>
      <c r="GN118" s="501">
        <v>0.2</v>
      </c>
      <c r="GO118" s="501">
        <v>0.65</v>
      </c>
      <c r="GP118" s="501">
        <v>0.14000000000000001</v>
      </c>
      <c r="GQ118" s="501">
        <v>0.01</v>
      </c>
      <c r="GR118" s="501">
        <v>0.54</v>
      </c>
      <c r="GS118" s="501">
        <v>0.63</v>
      </c>
      <c r="GT118" s="501">
        <v>0.63</v>
      </c>
      <c r="GU118" s="501">
        <v>0.4</v>
      </c>
      <c r="GV118" s="501">
        <v>0.63</v>
      </c>
      <c r="GW118" s="501">
        <v>0.56000000000000005</v>
      </c>
      <c r="GX118" s="501">
        <v>0.53</v>
      </c>
      <c r="GY118" s="471" t="s">
        <v>287</v>
      </c>
      <c r="GZ118" s="501">
        <v>0.37</v>
      </c>
      <c r="HA118" s="501">
        <v>0.72</v>
      </c>
      <c r="HB118" s="501">
        <v>0.51</v>
      </c>
      <c r="HC118" s="501">
        <v>0.57999999999999996</v>
      </c>
      <c r="HD118" s="501">
        <v>0.62</v>
      </c>
      <c r="HE118" s="501">
        <v>0.49</v>
      </c>
      <c r="HF118" s="501">
        <v>0.52</v>
      </c>
      <c r="HG118" s="501">
        <v>0.69</v>
      </c>
      <c r="HH118" s="501">
        <v>0.43</v>
      </c>
      <c r="HI118" s="501">
        <v>0.59</v>
      </c>
      <c r="HJ118" s="501">
        <v>0.63</v>
      </c>
      <c r="HK118" s="501">
        <v>0.56000000000000005</v>
      </c>
      <c r="HL118" s="501">
        <v>0.47</v>
      </c>
      <c r="HM118" s="501">
        <v>0.55000000000000004</v>
      </c>
      <c r="HN118" s="501">
        <v>0.56000000000000005</v>
      </c>
      <c r="HO118" s="501">
        <v>0.48</v>
      </c>
      <c r="HP118" s="471" t="s">
        <v>287</v>
      </c>
      <c r="HQ118" s="501">
        <v>0.51</v>
      </c>
      <c r="HR118" s="630">
        <v>48</v>
      </c>
      <c r="HS118" s="640" t="s">
        <v>910</v>
      </c>
      <c r="HT118" s="630">
        <v>8</v>
      </c>
      <c r="HU118" s="640" t="s">
        <v>910</v>
      </c>
      <c r="HV118" s="644">
        <v>0.21</v>
      </c>
      <c r="HW118" s="644">
        <v>0.6</v>
      </c>
      <c r="HX118" s="644">
        <v>0.19</v>
      </c>
      <c r="HY118" s="644">
        <v>0</v>
      </c>
      <c r="HZ118" s="644">
        <v>0.51</v>
      </c>
      <c r="IA118" s="644">
        <v>0.57999999999999996</v>
      </c>
      <c r="IB118" s="644">
        <v>0.4</v>
      </c>
      <c r="IC118" s="644">
        <v>0.54</v>
      </c>
      <c r="ID118" s="644">
        <v>0.67</v>
      </c>
      <c r="IE118" s="644">
        <v>0.4</v>
      </c>
      <c r="IF118" s="644">
        <v>0.42</v>
      </c>
      <c r="IG118" s="644">
        <v>0.6</v>
      </c>
      <c r="IH118" s="644">
        <v>0.56999999999999995</v>
      </c>
      <c r="II118" s="644">
        <v>0.38</v>
      </c>
      <c r="IJ118" s="644">
        <v>0.34</v>
      </c>
      <c r="IK118" s="644">
        <v>0.6</v>
      </c>
      <c r="IL118" s="644">
        <v>0.38</v>
      </c>
      <c r="IM118" s="644">
        <v>0.65</v>
      </c>
      <c r="IN118" s="644">
        <v>0.49</v>
      </c>
      <c r="IO118" s="644">
        <v>0.62</v>
      </c>
      <c r="IP118" s="644">
        <v>0.5</v>
      </c>
      <c r="IQ118" s="644">
        <v>0.67</v>
      </c>
      <c r="IR118" s="644">
        <v>0.63</v>
      </c>
      <c r="IS118" s="644">
        <v>0.63</v>
      </c>
      <c r="IT118" s="644">
        <v>0.51</v>
      </c>
      <c r="IU118" s="640" t="s">
        <v>287</v>
      </c>
      <c r="IV118" s="644">
        <v>0.66</v>
      </c>
      <c r="IW118" s="644">
        <v>0.48</v>
      </c>
      <c r="IX118" s="644">
        <v>0.62</v>
      </c>
      <c r="IY118" s="644">
        <v>0.56999999999999995</v>
      </c>
    </row>
    <row r="119" spans="1:259" ht="24.9" customHeight="1" x14ac:dyDescent="0.25">
      <c r="A119" s="188" t="s">
        <v>106</v>
      </c>
      <c r="B119" s="1" t="s">
        <v>222</v>
      </c>
      <c r="C119" s="2">
        <v>1</v>
      </c>
      <c r="D119" s="16">
        <v>58</v>
      </c>
      <c r="E119" s="16">
        <v>7</v>
      </c>
      <c r="F119" s="99">
        <v>0.06</v>
      </c>
      <c r="G119" s="99">
        <v>0.26</v>
      </c>
      <c r="H119" s="99">
        <v>0.68</v>
      </c>
      <c r="I119" s="99">
        <v>0</v>
      </c>
      <c r="J119" s="99">
        <v>0.38</v>
      </c>
      <c r="K119" s="99">
        <v>0.28999999999999998</v>
      </c>
      <c r="L119" s="99">
        <v>0.63</v>
      </c>
      <c r="M119" s="99">
        <v>0.13</v>
      </c>
      <c r="N119" s="99">
        <v>0.23</v>
      </c>
      <c r="O119" s="99">
        <v>0.62</v>
      </c>
      <c r="P119" s="99">
        <v>0.31</v>
      </c>
      <c r="Q119" s="99">
        <v>0.35</v>
      </c>
      <c r="R119" s="99">
        <v>0.39</v>
      </c>
      <c r="S119" s="99">
        <v>0.56000000000000005</v>
      </c>
      <c r="T119" s="99">
        <v>0.36</v>
      </c>
      <c r="U119" s="99">
        <v>0.55000000000000004</v>
      </c>
      <c r="V119" s="99">
        <v>7.0000000000000007E-2</v>
      </c>
      <c r="W119" s="99">
        <v>0.04</v>
      </c>
      <c r="X119" s="99">
        <v>0.38</v>
      </c>
      <c r="Y119" s="99">
        <v>0.39</v>
      </c>
      <c r="Z119" s="13" t="s">
        <v>287</v>
      </c>
      <c r="AA119" s="99">
        <v>7.0000000000000007E-2</v>
      </c>
      <c r="AB119" s="99">
        <v>0.43</v>
      </c>
      <c r="AC119" s="99">
        <v>0.17</v>
      </c>
      <c r="AD119" s="99">
        <v>0.32</v>
      </c>
      <c r="AE119" s="99">
        <v>0.4</v>
      </c>
      <c r="AF119" s="99">
        <v>0.41</v>
      </c>
      <c r="AG119" s="99">
        <v>0.48</v>
      </c>
      <c r="AH119" s="16">
        <v>56</v>
      </c>
      <c r="AI119" s="16">
        <v>8</v>
      </c>
      <c r="AJ119" s="66">
        <v>0.03</v>
      </c>
      <c r="AK119" s="66">
        <v>0.37</v>
      </c>
      <c r="AL119" s="66">
        <v>0.61</v>
      </c>
      <c r="AM119" s="66">
        <v>0</v>
      </c>
      <c r="AN119" s="66">
        <v>0.21</v>
      </c>
      <c r="AO119" s="66">
        <v>0.35</v>
      </c>
      <c r="AP119" s="66">
        <v>0.55000000000000004</v>
      </c>
      <c r="AQ119" s="66">
        <v>0.26</v>
      </c>
      <c r="AR119" s="66">
        <v>0.49</v>
      </c>
      <c r="AS119" s="66">
        <v>0.43</v>
      </c>
      <c r="AT119" s="66">
        <v>0.43</v>
      </c>
      <c r="AU119" s="66">
        <v>0.47</v>
      </c>
      <c r="AV119" s="66">
        <v>0.44</v>
      </c>
      <c r="AW119" s="66">
        <v>0.59</v>
      </c>
      <c r="AX119" s="66">
        <v>0.37</v>
      </c>
      <c r="AY119" s="66">
        <v>0.21</v>
      </c>
      <c r="AZ119" s="66">
        <v>0.21</v>
      </c>
      <c r="BA119" s="66">
        <v>0.34</v>
      </c>
      <c r="BB119" s="66">
        <v>0.64</v>
      </c>
      <c r="BC119" s="66">
        <v>0.63</v>
      </c>
      <c r="BD119" s="66">
        <v>0.35</v>
      </c>
      <c r="BE119" s="66">
        <v>0.45</v>
      </c>
      <c r="BF119" s="66">
        <v>0.63</v>
      </c>
      <c r="BG119" s="66">
        <v>0.35</v>
      </c>
      <c r="BH119" s="66">
        <v>0.34</v>
      </c>
      <c r="BI119" s="66">
        <v>0.34</v>
      </c>
      <c r="BJ119" s="66">
        <v>0.25</v>
      </c>
      <c r="BK119" s="66">
        <v>0.39</v>
      </c>
      <c r="BL119" s="66">
        <v>0.47</v>
      </c>
      <c r="BM119" s="16">
        <v>53</v>
      </c>
      <c r="BN119" s="16">
        <v>9</v>
      </c>
      <c r="BO119" s="99">
        <v>0.11</v>
      </c>
      <c r="BP119" s="99">
        <v>0.5</v>
      </c>
      <c r="BQ119" s="99">
        <v>0.39</v>
      </c>
      <c r="BR119" s="99">
        <v>0</v>
      </c>
      <c r="BS119" s="99">
        <v>0.3</v>
      </c>
      <c r="BT119" s="99">
        <v>0.42</v>
      </c>
      <c r="BU119" s="99">
        <v>0.54</v>
      </c>
      <c r="BV119" s="99">
        <v>0.3</v>
      </c>
      <c r="BW119" s="99">
        <v>0.56999999999999995</v>
      </c>
      <c r="BX119" s="99">
        <v>0.31</v>
      </c>
      <c r="BY119" s="99">
        <v>0.4</v>
      </c>
      <c r="BZ119" s="99">
        <v>0.53</v>
      </c>
      <c r="CA119" s="99">
        <v>0.47</v>
      </c>
      <c r="CB119" s="99">
        <v>0.28999999999999998</v>
      </c>
      <c r="CC119" s="99">
        <v>0.14000000000000001</v>
      </c>
      <c r="CD119" s="99">
        <v>0.32</v>
      </c>
      <c r="CE119" s="99">
        <v>0.35</v>
      </c>
      <c r="CF119" s="99">
        <v>0.59</v>
      </c>
      <c r="CG119" s="99">
        <v>0.5</v>
      </c>
      <c r="CH119" s="99">
        <v>0.44</v>
      </c>
      <c r="CI119" s="99">
        <v>0.55000000000000004</v>
      </c>
      <c r="CJ119" s="99">
        <v>0.2</v>
      </c>
      <c r="CK119" s="99">
        <v>0.65</v>
      </c>
      <c r="CL119" s="99">
        <v>0.28000000000000003</v>
      </c>
      <c r="CM119" s="99">
        <v>0.43</v>
      </c>
      <c r="CN119" s="99">
        <v>0.38</v>
      </c>
      <c r="CO119" s="99">
        <v>0.37</v>
      </c>
      <c r="CP119" s="99">
        <v>0.28000000000000003</v>
      </c>
      <c r="CQ119" s="99">
        <v>0.46</v>
      </c>
      <c r="CR119" s="99">
        <v>0.48</v>
      </c>
      <c r="CS119" s="16">
        <v>49</v>
      </c>
      <c r="CT119" s="16">
        <v>9</v>
      </c>
      <c r="CU119" s="96">
        <v>0.11</v>
      </c>
      <c r="CV119" s="96">
        <v>0.68</v>
      </c>
      <c r="CW119" s="96">
        <v>0.22</v>
      </c>
      <c r="CX119" s="96">
        <v>0</v>
      </c>
      <c r="CY119" s="96">
        <v>0.5</v>
      </c>
      <c r="CZ119" s="96">
        <v>0.28000000000000003</v>
      </c>
      <c r="DA119" s="96">
        <v>0.49</v>
      </c>
      <c r="DB119" s="96">
        <v>0.35</v>
      </c>
      <c r="DC119" s="96">
        <v>0.56000000000000005</v>
      </c>
      <c r="DD119" s="96">
        <v>0.64</v>
      </c>
      <c r="DE119" s="96">
        <v>0.54</v>
      </c>
      <c r="DF119" s="96">
        <v>0.51</v>
      </c>
      <c r="DG119" s="96">
        <v>0.54</v>
      </c>
      <c r="DH119" s="96">
        <v>0.45</v>
      </c>
      <c r="DI119" s="96">
        <v>0.66</v>
      </c>
      <c r="DJ119" s="96">
        <v>0.47</v>
      </c>
      <c r="DK119" s="96">
        <v>0.46</v>
      </c>
      <c r="DL119" s="96">
        <v>0.5</v>
      </c>
      <c r="DM119" s="96">
        <v>0.56999999999999995</v>
      </c>
      <c r="DN119" s="96">
        <v>0.63</v>
      </c>
      <c r="DO119" s="96">
        <v>0.4</v>
      </c>
      <c r="DP119" s="96">
        <v>0.4</v>
      </c>
      <c r="DQ119" s="96">
        <v>0.47</v>
      </c>
      <c r="DR119" s="96">
        <v>0.19</v>
      </c>
      <c r="DS119" s="96">
        <v>0.36</v>
      </c>
      <c r="DT119" s="96">
        <v>0.5</v>
      </c>
      <c r="DU119" s="96">
        <v>0.56000000000000005</v>
      </c>
      <c r="DV119" s="96">
        <v>0.52</v>
      </c>
      <c r="DW119" s="96">
        <v>0.33</v>
      </c>
      <c r="DX119" s="61">
        <v>50</v>
      </c>
      <c r="DY119" s="61">
        <v>10</v>
      </c>
      <c r="DZ119" s="66">
        <v>0.27</v>
      </c>
      <c r="EA119" s="66">
        <v>0.32</v>
      </c>
      <c r="EB119" s="66">
        <v>0.41</v>
      </c>
      <c r="EC119" s="66">
        <v>0</v>
      </c>
      <c r="ED119" s="66">
        <v>0.43</v>
      </c>
      <c r="EE119" s="66">
        <v>0.56999999999999995</v>
      </c>
      <c r="EF119" s="66">
        <v>0.53</v>
      </c>
      <c r="EG119" s="66">
        <v>0.56999999999999995</v>
      </c>
      <c r="EH119" s="66">
        <v>0.55000000000000004</v>
      </c>
      <c r="EI119" s="66">
        <v>0.35</v>
      </c>
      <c r="EJ119" s="66">
        <v>0.56999999999999995</v>
      </c>
      <c r="EK119" s="66">
        <v>0.3</v>
      </c>
      <c r="EL119" s="66">
        <v>0.5</v>
      </c>
      <c r="EM119" s="66">
        <v>0.57999999999999996</v>
      </c>
      <c r="EN119" s="66">
        <v>0.36</v>
      </c>
      <c r="EO119" s="66">
        <v>0.48</v>
      </c>
      <c r="EP119" s="66">
        <v>0.28000000000000003</v>
      </c>
      <c r="EQ119" s="66">
        <v>0.28999999999999998</v>
      </c>
      <c r="ER119" s="66">
        <v>0.53</v>
      </c>
      <c r="ES119" s="66">
        <v>0.57999999999999996</v>
      </c>
      <c r="ET119" s="66">
        <v>0.32</v>
      </c>
      <c r="EU119" s="66">
        <v>0.64</v>
      </c>
      <c r="EV119" s="66">
        <v>0.33</v>
      </c>
      <c r="EW119" s="66">
        <v>0.46</v>
      </c>
      <c r="EX119" s="66">
        <v>0.64</v>
      </c>
      <c r="EY119" s="66">
        <v>0.55000000000000004</v>
      </c>
      <c r="EZ119" s="66">
        <v>0.17</v>
      </c>
      <c r="FA119" s="66">
        <v>0.43</v>
      </c>
      <c r="FB119" s="349">
        <v>49</v>
      </c>
      <c r="FC119" s="348" t="s">
        <v>910</v>
      </c>
      <c r="FD119" s="349">
        <v>9</v>
      </c>
      <c r="FE119" s="348" t="s">
        <v>910</v>
      </c>
      <c r="FF119" s="371">
        <v>0.19</v>
      </c>
      <c r="FG119" s="371">
        <v>0.54</v>
      </c>
      <c r="FH119" s="371">
        <v>0.27</v>
      </c>
      <c r="FI119" s="371">
        <v>0</v>
      </c>
      <c r="FJ119" s="371">
        <v>0.51</v>
      </c>
      <c r="FK119" s="371">
        <v>0.63</v>
      </c>
      <c r="FL119" s="371">
        <v>0.45</v>
      </c>
      <c r="FM119" s="371">
        <v>0.44</v>
      </c>
      <c r="FN119" s="371">
        <v>0.31</v>
      </c>
      <c r="FO119" s="371">
        <v>0.28000000000000003</v>
      </c>
      <c r="FP119" s="371">
        <v>0.37</v>
      </c>
      <c r="FQ119" s="371">
        <v>0.41</v>
      </c>
      <c r="FR119" s="371">
        <v>0.66</v>
      </c>
      <c r="FS119" s="371">
        <v>0.44</v>
      </c>
      <c r="FT119" s="371">
        <v>0.46</v>
      </c>
      <c r="FU119" s="371">
        <v>0.33</v>
      </c>
      <c r="FV119" s="371">
        <v>0.56999999999999995</v>
      </c>
      <c r="FW119" s="371">
        <v>0.54</v>
      </c>
      <c r="FX119" s="371">
        <v>0.41</v>
      </c>
      <c r="FY119" s="371">
        <v>0.36</v>
      </c>
      <c r="FZ119" s="371">
        <v>0.49</v>
      </c>
      <c r="GA119" s="371">
        <v>0.57999999999999996</v>
      </c>
      <c r="GB119" s="371">
        <v>0.61</v>
      </c>
      <c r="GC119" s="371">
        <v>0.52</v>
      </c>
      <c r="GD119" s="371">
        <v>0.64</v>
      </c>
      <c r="GE119" s="371">
        <v>0.55000000000000004</v>
      </c>
      <c r="GF119" s="371">
        <v>0.45</v>
      </c>
      <c r="GG119" s="371">
        <v>0.39</v>
      </c>
      <c r="GH119" s="371">
        <v>0.51</v>
      </c>
      <c r="GI119" s="371">
        <v>0.27</v>
      </c>
      <c r="GJ119" s="469">
        <v>56</v>
      </c>
      <c r="GK119" s="471" t="s">
        <v>910</v>
      </c>
      <c r="GL119" s="469">
        <v>8</v>
      </c>
      <c r="GM119" s="471" t="s">
        <v>910</v>
      </c>
      <c r="GN119" s="501">
        <v>0.06</v>
      </c>
      <c r="GO119" s="501">
        <v>0.41</v>
      </c>
      <c r="GP119" s="501">
        <v>0.53</v>
      </c>
      <c r="GQ119" s="501">
        <v>0</v>
      </c>
      <c r="GR119" s="501">
        <v>0.33</v>
      </c>
      <c r="GS119" s="501">
        <v>0.44</v>
      </c>
      <c r="GT119" s="501">
        <v>0.5</v>
      </c>
      <c r="GU119" s="501">
        <v>0.12</v>
      </c>
      <c r="GV119" s="501">
        <v>0.46</v>
      </c>
      <c r="GW119" s="501">
        <v>0.34</v>
      </c>
      <c r="GX119" s="501">
        <v>0.3</v>
      </c>
      <c r="GY119" s="471" t="s">
        <v>287</v>
      </c>
      <c r="GZ119" s="501">
        <v>0.16</v>
      </c>
      <c r="HA119" s="501">
        <v>0.5</v>
      </c>
      <c r="HB119" s="501">
        <v>0.37</v>
      </c>
      <c r="HC119" s="501">
        <v>0.47</v>
      </c>
      <c r="HD119" s="501">
        <v>0.46</v>
      </c>
      <c r="HE119" s="501">
        <v>0.3</v>
      </c>
      <c r="HF119" s="501">
        <v>0.34</v>
      </c>
      <c r="HG119" s="501">
        <v>0.68</v>
      </c>
      <c r="HH119" s="501">
        <v>0.31</v>
      </c>
      <c r="HI119" s="501">
        <v>0.53</v>
      </c>
      <c r="HJ119" s="501">
        <v>0.54</v>
      </c>
      <c r="HK119" s="501">
        <v>0.46</v>
      </c>
      <c r="HL119" s="501">
        <v>0.31</v>
      </c>
      <c r="HM119" s="501">
        <v>0.44</v>
      </c>
      <c r="HN119" s="501">
        <v>0.45</v>
      </c>
      <c r="HO119" s="501">
        <v>0.25</v>
      </c>
      <c r="HP119" s="471" t="s">
        <v>287</v>
      </c>
      <c r="HQ119" s="501">
        <v>0.3</v>
      </c>
      <c r="HR119" s="630">
        <v>55</v>
      </c>
      <c r="HS119" s="640" t="s">
        <v>910</v>
      </c>
      <c r="HT119" s="630">
        <v>8</v>
      </c>
      <c r="HU119" s="640" t="s">
        <v>910</v>
      </c>
      <c r="HV119" s="644">
        <v>0.09</v>
      </c>
      <c r="HW119" s="644">
        <v>0.38</v>
      </c>
      <c r="HX119" s="644">
        <v>0.52</v>
      </c>
      <c r="HY119" s="644">
        <v>0.02</v>
      </c>
      <c r="HZ119" s="644">
        <v>0.32</v>
      </c>
      <c r="IA119" s="644">
        <v>0.46</v>
      </c>
      <c r="IB119" s="644">
        <v>0.23</v>
      </c>
      <c r="IC119" s="644">
        <v>0.45</v>
      </c>
      <c r="ID119" s="644">
        <v>0.56000000000000005</v>
      </c>
      <c r="IE119" s="644">
        <v>0.2</v>
      </c>
      <c r="IF119" s="644">
        <v>0.26</v>
      </c>
      <c r="IG119" s="644">
        <v>0.41</v>
      </c>
      <c r="IH119" s="644">
        <v>0.42</v>
      </c>
      <c r="II119" s="644">
        <v>0.16</v>
      </c>
      <c r="IJ119" s="644">
        <v>0.17</v>
      </c>
      <c r="IK119" s="644">
        <v>0.52</v>
      </c>
      <c r="IL119" s="644">
        <v>0.25</v>
      </c>
      <c r="IM119" s="644">
        <v>0.53</v>
      </c>
      <c r="IN119" s="644">
        <v>0.39</v>
      </c>
      <c r="IO119" s="644">
        <v>0.42</v>
      </c>
      <c r="IP119" s="644">
        <v>0.32</v>
      </c>
      <c r="IQ119" s="644">
        <v>0.56000000000000005</v>
      </c>
      <c r="IR119" s="644">
        <v>0.51</v>
      </c>
      <c r="IS119" s="644">
        <v>0.47</v>
      </c>
      <c r="IT119" s="644">
        <v>0.38</v>
      </c>
      <c r="IU119" s="640" t="s">
        <v>287</v>
      </c>
      <c r="IV119" s="644">
        <v>0.54</v>
      </c>
      <c r="IW119" s="644">
        <v>0.38</v>
      </c>
      <c r="IX119" s="644">
        <v>0.37</v>
      </c>
      <c r="IY119" s="644">
        <v>0.44</v>
      </c>
    </row>
    <row r="120" spans="1:259" ht="24.9" customHeight="1" x14ac:dyDescent="0.25">
      <c r="A120" s="188" t="s">
        <v>188</v>
      </c>
      <c r="B120" s="1" t="s">
        <v>220</v>
      </c>
      <c r="C120" s="2">
        <v>4</v>
      </c>
      <c r="D120" s="16">
        <v>50</v>
      </c>
      <c r="E120" s="16">
        <v>7</v>
      </c>
      <c r="F120" s="99">
        <v>0.14000000000000001</v>
      </c>
      <c r="G120" s="99">
        <v>0.69</v>
      </c>
      <c r="H120" s="99">
        <v>0.17</v>
      </c>
      <c r="I120" s="99">
        <v>0</v>
      </c>
      <c r="J120" s="99">
        <v>0.42</v>
      </c>
      <c r="K120" s="99">
        <v>0.31</v>
      </c>
      <c r="L120" s="99">
        <v>0.83</v>
      </c>
      <c r="M120" s="99">
        <v>0.16</v>
      </c>
      <c r="N120" s="99">
        <v>0.42</v>
      </c>
      <c r="O120" s="99">
        <v>0.78</v>
      </c>
      <c r="P120" s="99">
        <v>0.39</v>
      </c>
      <c r="Q120" s="99">
        <v>0.47</v>
      </c>
      <c r="R120" s="99">
        <v>0.6</v>
      </c>
      <c r="S120" s="99">
        <v>0.63</v>
      </c>
      <c r="T120" s="99">
        <v>0.59</v>
      </c>
      <c r="U120" s="99">
        <v>0.68</v>
      </c>
      <c r="V120" s="99">
        <v>0.11</v>
      </c>
      <c r="W120" s="99">
        <v>0.21</v>
      </c>
      <c r="X120" s="99">
        <v>0.61</v>
      </c>
      <c r="Y120" s="99">
        <v>0.53</v>
      </c>
      <c r="Z120" s="13" t="s">
        <v>287</v>
      </c>
      <c r="AA120" s="99">
        <v>0.05</v>
      </c>
      <c r="AB120" s="99">
        <v>0.51</v>
      </c>
      <c r="AC120" s="99">
        <v>0.34</v>
      </c>
      <c r="AD120" s="99">
        <v>0.45</v>
      </c>
      <c r="AE120" s="99">
        <v>0.57999999999999996</v>
      </c>
      <c r="AF120" s="99">
        <v>0.61</v>
      </c>
      <c r="AG120" s="99">
        <v>0.59</v>
      </c>
      <c r="AH120" s="16">
        <v>49</v>
      </c>
      <c r="AI120" s="16">
        <v>7</v>
      </c>
      <c r="AJ120" s="66">
        <v>0.1</v>
      </c>
      <c r="AK120" s="66">
        <v>0.72</v>
      </c>
      <c r="AL120" s="66">
        <v>0.18</v>
      </c>
      <c r="AM120" s="66">
        <v>0</v>
      </c>
      <c r="AN120" s="66">
        <v>0.33</v>
      </c>
      <c r="AO120" s="66">
        <v>0.54</v>
      </c>
      <c r="AP120" s="66">
        <v>0.67</v>
      </c>
      <c r="AQ120" s="66">
        <v>0.5</v>
      </c>
      <c r="AR120" s="66">
        <v>0.6</v>
      </c>
      <c r="AS120" s="66">
        <v>0.56000000000000005</v>
      </c>
      <c r="AT120" s="66">
        <v>0.56000000000000005</v>
      </c>
      <c r="AU120" s="66">
        <v>0.6</v>
      </c>
      <c r="AV120" s="66">
        <v>0.63</v>
      </c>
      <c r="AW120" s="66">
        <v>0.61</v>
      </c>
      <c r="AX120" s="66">
        <v>0.71</v>
      </c>
      <c r="AY120" s="66">
        <v>0.48</v>
      </c>
      <c r="AZ120" s="66">
        <v>0.3</v>
      </c>
      <c r="BA120" s="66">
        <v>0.56000000000000005</v>
      </c>
      <c r="BB120" s="66">
        <v>0.73</v>
      </c>
      <c r="BC120" s="66">
        <v>0.71</v>
      </c>
      <c r="BD120" s="66">
        <v>0.43</v>
      </c>
      <c r="BE120" s="66">
        <v>0.62</v>
      </c>
      <c r="BF120" s="66">
        <v>0.62</v>
      </c>
      <c r="BG120" s="66">
        <v>0.6</v>
      </c>
      <c r="BH120" s="66">
        <v>0.51</v>
      </c>
      <c r="BI120" s="66">
        <v>0.52</v>
      </c>
      <c r="BJ120" s="66">
        <v>0.44</v>
      </c>
      <c r="BK120" s="66">
        <v>0.52</v>
      </c>
      <c r="BL120" s="66">
        <v>0.62</v>
      </c>
      <c r="BM120" s="16">
        <v>45</v>
      </c>
      <c r="BN120" s="16">
        <v>7</v>
      </c>
      <c r="BO120" s="99">
        <v>0.3</v>
      </c>
      <c r="BP120" s="99">
        <v>0.64</v>
      </c>
      <c r="BQ120" s="99">
        <v>0.06</v>
      </c>
      <c r="BR120" s="99">
        <v>0</v>
      </c>
      <c r="BS120" s="99">
        <v>0.42</v>
      </c>
      <c r="BT120" s="99">
        <v>0.73</v>
      </c>
      <c r="BU120" s="99">
        <v>0.72</v>
      </c>
      <c r="BV120" s="99">
        <v>0.56000000000000005</v>
      </c>
      <c r="BW120" s="99">
        <v>0.7</v>
      </c>
      <c r="BX120" s="99">
        <v>0.51</v>
      </c>
      <c r="BY120" s="99">
        <v>0.49</v>
      </c>
      <c r="BZ120" s="99">
        <v>0.57999999999999996</v>
      </c>
      <c r="CA120" s="99">
        <v>0.6</v>
      </c>
      <c r="CB120" s="99">
        <v>0.52</v>
      </c>
      <c r="CC120" s="99">
        <v>0.36</v>
      </c>
      <c r="CD120" s="99">
        <v>0.53</v>
      </c>
      <c r="CE120" s="99">
        <v>0.37</v>
      </c>
      <c r="CF120" s="99">
        <v>0.7</v>
      </c>
      <c r="CG120" s="99">
        <v>0.75</v>
      </c>
      <c r="CH120" s="99">
        <v>0.63</v>
      </c>
      <c r="CI120" s="99">
        <v>0.69</v>
      </c>
      <c r="CJ120" s="99">
        <v>0.42</v>
      </c>
      <c r="CK120" s="99">
        <v>0.78</v>
      </c>
      <c r="CL120" s="99">
        <v>0.37</v>
      </c>
      <c r="CM120" s="99">
        <v>0.63</v>
      </c>
      <c r="CN120" s="99">
        <v>0.56000000000000005</v>
      </c>
      <c r="CO120" s="99">
        <v>0.46</v>
      </c>
      <c r="CP120" s="99">
        <v>0.49</v>
      </c>
      <c r="CQ120" s="99">
        <v>0.6</v>
      </c>
      <c r="CR120" s="99">
        <v>0.66</v>
      </c>
      <c r="CS120" s="16">
        <v>45</v>
      </c>
      <c r="CT120" s="16">
        <v>8</v>
      </c>
      <c r="CU120" s="96">
        <v>0.28999999999999998</v>
      </c>
      <c r="CV120" s="96">
        <v>0.63</v>
      </c>
      <c r="CW120" s="96">
        <v>7.0000000000000007E-2</v>
      </c>
      <c r="CX120" s="96">
        <v>0</v>
      </c>
      <c r="CY120" s="96">
        <v>0.56999999999999995</v>
      </c>
      <c r="CZ120" s="96">
        <v>0.46</v>
      </c>
      <c r="DA120" s="96">
        <v>0.56000000000000005</v>
      </c>
      <c r="DB120" s="96">
        <v>0.48</v>
      </c>
      <c r="DC120" s="96">
        <v>0.56999999999999995</v>
      </c>
      <c r="DD120" s="96">
        <v>0.62</v>
      </c>
      <c r="DE120" s="96">
        <v>0.51</v>
      </c>
      <c r="DF120" s="96">
        <v>0.56000000000000005</v>
      </c>
      <c r="DG120" s="96">
        <v>0.51</v>
      </c>
      <c r="DH120" s="96">
        <v>0.37</v>
      </c>
      <c r="DI120" s="96">
        <v>0.66</v>
      </c>
      <c r="DJ120" s="96">
        <v>0.56000000000000005</v>
      </c>
      <c r="DK120" s="96">
        <v>0.52</v>
      </c>
      <c r="DL120" s="96">
        <v>0.44</v>
      </c>
      <c r="DM120" s="96">
        <v>0.69</v>
      </c>
      <c r="DN120" s="96">
        <v>0.56000000000000005</v>
      </c>
      <c r="DO120" s="96">
        <v>0.35</v>
      </c>
      <c r="DP120" s="96">
        <v>0.53</v>
      </c>
      <c r="DQ120" s="96">
        <v>0.64</v>
      </c>
      <c r="DR120" s="96">
        <v>0.37</v>
      </c>
      <c r="DS120" s="96">
        <v>0.35</v>
      </c>
      <c r="DT120" s="96">
        <v>0.65</v>
      </c>
      <c r="DU120" s="96">
        <v>0.62</v>
      </c>
      <c r="DV120" s="96">
        <v>0.71</v>
      </c>
      <c r="DW120" s="96">
        <v>0.43</v>
      </c>
      <c r="DX120" s="61">
        <v>45</v>
      </c>
      <c r="DY120" s="61">
        <v>7</v>
      </c>
      <c r="DZ120" s="66">
        <v>0.22</v>
      </c>
      <c r="EA120" s="66">
        <v>0.78</v>
      </c>
      <c r="EB120" s="66">
        <v>0</v>
      </c>
      <c r="EC120" s="66">
        <v>0</v>
      </c>
      <c r="ED120" s="66">
        <v>0.48</v>
      </c>
      <c r="EE120" s="66">
        <v>0.56000000000000005</v>
      </c>
      <c r="EF120" s="66">
        <v>0.6</v>
      </c>
      <c r="EG120" s="66">
        <v>0.46</v>
      </c>
      <c r="EH120" s="66">
        <v>0.41</v>
      </c>
      <c r="EI120" s="66">
        <v>0.6</v>
      </c>
      <c r="EJ120" s="66">
        <v>0.75</v>
      </c>
      <c r="EK120" s="66">
        <v>0.41</v>
      </c>
      <c r="EL120" s="66">
        <v>0.52</v>
      </c>
      <c r="EM120" s="66">
        <v>0.79</v>
      </c>
      <c r="EN120" s="66">
        <v>0.68</v>
      </c>
      <c r="EO120" s="66">
        <v>0.76</v>
      </c>
      <c r="EP120" s="66">
        <v>0.43</v>
      </c>
      <c r="EQ120" s="66">
        <v>0.53</v>
      </c>
      <c r="ER120" s="66">
        <v>0.67</v>
      </c>
      <c r="ES120" s="66">
        <v>0.51</v>
      </c>
      <c r="ET120" s="66">
        <v>0.4</v>
      </c>
      <c r="EU120" s="66">
        <v>0.79</v>
      </c>
      <c r="EV120" s="66">
        <v>0.47</v>
      </c>
      <c r="EW120" s="66">
        <v>0.39</v>
      </c>
      <c r="EX120" s="66">
        <v>0.81</v>
      </c>
      <c r="EY120" s="66">
        <v>0.63</v>
      </c>
      <c r="EZ120" s="66">
        <v>0.17</v>
      </c>
      <c r="FA120" s="66">
        <v>0.69</v>
      </c>
      <c r="FB120" s="349">
        <v>47</v>
      </c>
      <c r="FC120" s="348" t="s">
        <v>910</v>
      </c>
      <c r="FD120" s="349">
        <v>8</v>
      </c>
      <c r="FE120" s="348" t="s">
        <v>910</v>
      </c>
      <c r="FF120" s="371">
        <v>0.27</v>
      </c>
      <c r="FG120" s="371">
        <v>0.53</v>
      </c>
      <c r="FH120" s="371">
        <v>0.2</v>
      </c>
      <c r="FI120" s="371">
        <v>0</v>
      </c>
      <c r="FJ120" s="371">
        <v>0.6</v>
      </c>
      <c r="FK120" s="371">
        <v>0.78</v>
      </c>
      <c r="FL120" s="371">
        <v>0.62</v>
      </c>
      <c r="FM120" s="371">
        <v>0.57999999999999996</v>
      </c>
      <c r="FN120" s="371">
        <v>0.47</v>
      </c>
      <c r="FO120" s="371">
        <v>0.4</v>
      </c>
      <c r="FP120" s="371">
        <v>0.49</v>
      </c>
      <c r="FQ120" s="371">
        <v>0.44</v>
      </c>
      <c r="FR120" s="371">
        <v>0.62</v>
      </c>
      <c r="FS120" s="371">
        <v>0.63</v>
      </c>
      <c r="FT120" s="371">
        <v>0.57999999999999996</v>
      </c>
      <c r="FU120" s="371">
        <v>0.25</v>
      </c>
      <c r="FV120" s="371">
        <v>0.63</v>
      </c>
      <c r="FW120" s="371">
        <v>0.66</v>
      </c>
      <c r="FX120" s="371">
        <v>0.53</v>
      </c>
      <c r="FY120" s="371">
        <v>0.44</v>
      </c>
      <c r="FZ120" s="371">
        <v>0.41</v>
      </c>
      <c r="GA120" s="371">
        <v>0.5</v>
      </c>
      <c r="GB120" s="371">
        <v>0.61</v>
      </c>
      <c r="GC120" s="371">
        <v>0.41</v>
      </c>
      <c r="GD120" s="371">
        <v>0.6</v>
      </c>
      <c r="GE120" s="371">
        <v>0.59</v>
      </c>
      <c r="GF120" s="371">
        <v>0.45</v>
      </c>
      <c r="GG120" s="371">
        <v>0.48</v>
      </c>
      <c r="GH120" s="371">
        <v>0.63</v>
      </c>
      <c r="GI120" s="371">
        <v>0.27</v>
      </c>
      <c r="GJ120" s="469">
        <v>46</v>
      </c>
      <c r="GK120" s="471" t="s">
        <v>910</v>
      </c>
      <c r="GL120" s="469">
        <v>8</v>
      </c>
      <c r="GM120" s="471" t="s">
        <v>910</v>
      </c>
      <c r="GN120" s="501">
        <v>0.28000000000000003</v>
      </c>
      <c r="GO120" s="501">
        <v>0.61</v>
      </c>
      <c r="GP120" s="501">
        <v>0.11</v>
      </c>
      <c r="GQ120" s="501">
        <v>0</v>
      </c>
      <c r="GR120" s="501">
        <v>0.68</v>
      </c>
      <c r="GS120" s="501">
        <v>0.77</v>
      </c>
      <c r="GT120" s="501">
        <v>0.74</v>
      </c>
      <c r="GU120" s="501">
        <v>0.26</v>
      </c>
      <c r="GV120" s="501">
        <v>0.64</v>
      </c>
      <c r="GW120" s="501">
        <v>0.57999999999999996</v>
      </c>
      <c r="GX120" s="501">
        <v>0.56999999999999995</v>
      </c>
      <c r="GY120" s="471" t="s">
        <v>287</v>
      </c>
      <c r="GZ120" s="501">
        <v>0.35</v>
      </c>
      <c r="HA120" s="501">
        <v>0.43</v>
      </c>
      <c r="HB120" s="501">
        <v>0.59</v>
      </c>
      <c r="HC120" s="501">
        <v>0.65</v>
      </c>
      <c r="HD120" s="501">
        <v>0.6</v>
      </c>
      <c r="HE120" s="501">
        <v>0.53</v>
      </c>
      <c r="HF120" s="501">
        <v>0.6</v>
      </c>
      <c r="HG120" s="501">
        <v>0.67</v>
      </c>
      <c r="HH120" s="501">
        <v>0.48</v>
      </c>
      <c r="HI120" s="501">
        <v>0.54</v>
      </c>
      <c r="HJ120" s="501">
        <v>0.65</v>
      </c>
      <c r="HK120" s="501">
        <v>0.66</v>
      </c>
      <c r="HL120" s="501">
        <v>0.45</v>
      </c>
      <c r="HM120" s="501">
        <v>0.66</v>
      </c>
      <c r="HN120" s="501">
        <v>0.55000000000000004</v>
      </c>
      <c r="HO120" s="501">
        <v>0.52</v>
      </c>
      <c r="HP120" s="471" t="s">
        <v>287</v>
      </c>
      <c r="HQ120" s="501">
        <v>0.47</v>
      </c>
      <c r="HR120" s="630">
        <v>47</v>
      </c>
      <c r="HS120" s="640" t="s">
        <v>910</v>
      </c>
      <c r="HT120" s="630">
        <v>10</v>
      </c>
      <c r="HU120" s="640" t="s">
        <v>910</v>
      </c>
      <c r="HV120" s="644">
        <v>0.34</v>
      </c>
      <c r="HW120" s="644">
        <v>0.47</v>
      </c>
      <c r="HX120" s="644">
        <v>0.19</v>
      </c>
      <c r="HY120" s="644">
        <v>0</v>
      </c>
      <c r="HZ120" s="644">
        <v>0.56000000000000005</v>
      </c>
      <c r="IA120" s="644">
        <v>0.62</v>
      </c>
      <c r="IB120" s="644">
        <v>0.61</v>
      </c>
      <c r="IC120" s="644">
        <v>0.63</v>
      </c>
      <c r="ID120" s="644">
        <v>0.57999999999999996</v>
      </c>
      <c r="IE120" s="644">
        <v>0.41</v>
      </c>
      <c r="IF120" s="644">
        <v>0.52</v>
      </c>
      <c r="IG120" s="644">
        <v>0.59</v>
      </c>
      <c r="IH120" s="644">
        <v>0.5</v>
      </c>
      <c r="II120" s="644">
        <v>0.26</v>
      </c>
      <c r="IJ120" s="644">
        <v>0.4</v>
      </c>
      <c r="IK120" s="644">
        <v>0.7</v>
      </c>
      <c r="IL120" s="644">
        <v>0.35</v>
      </c>
      <c r="IM120" s="644">
        <v>0.69</v>
      </c>
      <c r="IN120" s="644">
        <v>0.52</v>
      </c>
      <c r="IO120" s="644">
        <v>0.57999999999999996</v>
      </c>
      <c r="IP120" s="644">
        <v>0.53</v>
      </c>
      <c r="IQ120" s="644">
        <v>0.75</v>
      </c>
      <c r="IR120" s="644">
        <v>0.51</v>
      </c>
      <c r="IS120" s="644">
        <v>0.55000000000000004</v>
      </c>
      <c r="IT120" s="644">
        <v>0.61</v>
      </c>
      <c r="IU120" s="640" t="s">
        <v>287</v>
      </c>
      <c r="IV120" s="644">
        <v>0.64</v>
      </c>
      <c r="IW120" s="644">
        <v>0.47</v>
      </c>
      <c r="IX120" s="644">
        <v>0.72</v>
      </c>
      <c r="IY120" s="644">
        <v>0.45</v>
      </c>
    </row>
    <row r="121" spans="1:259" s="461" customFormat="1" ht="24.9" customHeight="1" x14ac:dyDescent="0.25">
      <c r="A121" s="470" t="s">
        <v>964</v>
      </c>
      <c r="B121" s="1" t="s">
        <v>220</v>
      </c>
      <c r="C121" s="471">
        <v>2</v>
      </c>
      <c r="D121" s="502"/>
      <c r="E121" s="502"/>
      <c r="F121" s="508"/>
      <c r="G121" s="508"/>
      <c r="H121" s="508"/>
      <c r="I121" s="508"/>
      <c r="J121" s="508"/>
      <c r="K121" s="508"/>
      <c r="L121" s="508"/>
      <c r="M121" s="508"/>
      <c r="N121" s="508"/>
      <c r="O121" s="508"/>
      <c r="P121" s="508"/>
      <c r="Q121" s="508"/>
      <c r="R121" s="508"/>
      <c r="S121" s="508"/>
      <c r="T121" s="508"/>
      <c r="U121" s="508"/>
      <c r="V121" s="508"/>
      <c r="W121" s="508"/>
      <c r="X121" s="508"/>
      <c r="Y121" s="508"/>
      <c r="Z121" s="505"/>
      <c r="AA121" s="508"/>
      <c r="AB121" s="508"/>
      <c r="AC121" s="508"/>
      <c r="AD121" s="508"/>
      <c r="AE121" s="508"/>
      <c r="AF121" s="508"/>
      <c r="AG121" s="508"/>
      <c r="AH121" s="502"/>
      <c r="AI121" s="502"/>
      <c r="AJ121" s="506"/>
      <c r="AK121" s="506"/>
      <c r="AL121" s="506"/>
      <c r="AM121" s="506"/>
      <c r="AN121" s="506"/>
      <c r="AO121" s="506"/>
      <c r="AP121" s="506"/>
      <c r="AQ121" s="506"/>
      <c r="AR121" s="506"/>
      <c r="AS121" s="506"/>
      <c r="AT121" s="506"/>
      <c r="AU121" s="506"/>
      <c r="AV121" s="506"/>
      <c r="AW121" s="506"/>
      <c r="AX121" s="506"/>
      <c r="AY121" s="506"/>
      <c r="AZ121" s="506"/>
      <c r="BA121" s="506"/>
      <c r="BB121" s="506"/>
      <c r="BC121" s="506"/>
      <c r="BD121" s="506"/>
      <c r="BE121" s="506"/>
      <c r="BF121" s="506"/>
      <c r="BG121" s="506"/>
      <c r="BH121" s="506"/>
      <c r="BI121" s="506"/>
      <c r="BJ121" s="506"/>
      <c r="BK121" s="506"/>
      <c r="BL121" s="506"/>
      <c r="BM121" s="502"/>
      <c r="BN121" s="502"/>
      <c r="BO121" s="508"/>
      <c r="BP121" s="508"/>
      <c r="BQ121" s="508"/>
      <c r="BR121" s="508"/>
      <c r="BS121" s="508"/>
      <c r="BT121" s="508"/>
      <c r="BU121" s="508"/>
      <c r="BV121" s="508"/>
      <c r="BW121" s="508"/>
      <c r="BX121" s="508"/>
      <c r="BY121" s="508"/>
      <c r="BZ121" s="508"/>
      <c r="CA121" s="508"/>
      <c r="CB121" s="508"/>
      <c r="CC121" s="508"/>
      <c r="CD121" s="508"/>
      <c r="CE121" s="508"/>
      <c r="CF121" s="508"/>
      <c r="CG121" s="508"/>
      <c r="CH121" s="508"/>
      <c r="CI121" s="508"/>
      <c r="CJ121" s="508"/>
      <c r="CK121" s="508"/>
      <c r="CL121" s="508"/>
      <c r="CM121" s="508"/>
      <c r="CN121" s="508"/>
      <c r="CO121" s="508"/>
      <c r="CP121" s="508"/>
      <c r="CQ121" s="508"/>
      <c r="CR121" s="508"/>
      <c r="CS121" s="502"/>
      <c r="CT121" s="502"/>
      <c r="CU121" s="501"/>
      <c r="CV121" s="501"/>
      <c r="CW121" s="501"/>
      <c r="CX121" s="501"/>
      <c r="CY121" s="501"/>
      <c r="CZ121" s="501"/>
      <c r="DA121" s="501"/>
      <c r="DB121" s="501"/>
      <c r="DC121" s="501"/>
      <c r="DD121" s="501"/>
      <c r="DE121" s="501"/>
      <c r="DF121" s="501"/>
      <c r="DG121" s="501"/>
      <c r="DH121" s="501"/>
      <c r="DI121" s="501"/>
      <c r="DJ121" s="501"/>
      <c r="DK121" s="501"/>
      <c r="DL121" s="501"/>
      <c r="DM121" s="501"/>
      <c r="DN121" s="501"/>
      <c r="DO121" s="501"/>
      <c r="DP121" s="501"/>
      <c r="DQ121" s="501"/>
      <c r="DR121" s="501"/>
      <c r="DS121" s="501"/>
      <c r="DT121" s="501"/>
      <c r="DU121" s="501"/>
      <c r="DV121" s="501"/>
      <c r="DW121" s="501"/>
      <c r="DX121" s="472"/>
      <c r="DY121" s="472"/>
      <c r="DZ121" s="506"/>
      <c r="EA121" s="506"/>
      <c r="EB121" s="506"/>
      <c r="EC121" s="506"/>
      <c r="ED121" s="506"/>
      <c r="EE121" s="506"/>
      <c r="EF121" s="506"/>
      <c r="EG121" s="506"/>
      <c r="EH121" s="506"/>
      <c r="EI121" s="506"/>
      <c r="EJ121" s="506"/>
      <c r="EK121" s="506"/>
      <c r="EL121" s="506"/>
      <c r="EM121" s="506"/>
      <c r="EN121" s="506"/>
      <c r="EO121" s="506"/>
      <c r="EP121" s="506"/>
      <c r="EQ121" s="506"/>
      <c r="ER121" s="506"/>
      <c r="ES121" s="506"/>
      <c r="ET121" s="506"/>
      <c r="EU121" s="506"/>
      <c r="EV121" s="506"/>
      <c r="EW121" s="506"/>
      <c r="EX121" s="506"/>
      <c r="EY121" s="506"/>
      <c r="EZ121" s="506"/>
      <c r="FA121" s="506"/>
      <c r="FB121" s="475"/>
      <c r="FC121" s="493"/>
      <c r="FD121" s="475"/>
      <c r="FE121" s="493"/>
      <c r="FF121" s="507"/>
      <c r="FG121" s="507"/>
      <c r="FH121" s="507"/>
      <c r="FI121" s="507"/>
      <c r="FJ121" s="507"/>
      <c r="FK121" s="507"/>
      <c r="FL121" s="507"/>
      <c r="FM121" s="507"/>
      <c r="FN121" s="507"/>
      <c r="FO121" s="507"/>
      <c r="FP121" s="507"/>
      <c r="FQ121" s="507"/>
      <c r="FR121" s="507"/>
      <c r="FS121" s="507"/>
      <c r="FT121" s="507"/>
      <c r="FU121" s="507"/>
      <c r="FV121" s="507"/>
      <c r="FW121" s="507"/>
      <c r="FX121" s="507"/>
      <c r="FY121" s="507"/>
      <c r="FZ121" s="507"/>
      <c r="GA121" s="507"/>
      <c r="GB121" s="507"/>
      <c r="GC121" s="507"/>
      <c r="GD121" s="507"/>
      <c r="GE121" s="507"/>
      <c r="GF121" s="507"/>
      <c r="GG121" s="507"/>
      <c r="GH121" s="507"/>
      <c r="GI121" s="507"/>
      <c r="GJ121" s="469">
        <v>51</v>
      </c>
      <c r="GK121" s="471" t="s">
        <v>910</v>
      </c>
      <c r="GL121" s="469">
        <v>6</v>
      </c>
      <c r="GM121" s="471" t="s">
        <v>910</v>
      </c>
      <c r="GN121" s="501">
        <v>0.05</v>
      </c>
      <c r="GO121" s="501">
        <v>0.61</v>
      </c>
      <c r="GP121" s="501">
        <v>0.34</v>
      </c>
      <c r="GQ121" s="501">
        <v>0</v>
      </c>
      <c r="GR121" s="501">
        <v>0.46</v>
      </c>
      <c r="GS121" s="501">
        <v>0.44</v>
      </c>
      <c r="GT121" s="501">
        <v>0.69</v>
      </c>
      <c r="GU121" s="501">
        <v>0.25</v>
      </c>
      <c r="GV121" s="501">
        <v>0.51</v>
      </c>
      <c r="GW121" s="501">
        <v>0.61</v>
      </c>
      <c r="GX121" s="501">
        <v>0.41</v>
      </c>
      <c r="GY121" s="471" t="s">
        <v>287</v>
      </c>
      <c r="GZ121" s="501">
        <v>0.4</v>
      </c>
      <c r="HA121" s="501">
        <v>0.82</v>
      </c>
      <c r="HB121" s="501">
        <v>0.39</v>
      </c>
      <c r="HC121" s="501">
        <v>0.53</v>
      </c>
      <c r="HD121" s="501">
        <v>0.64</v>
      </c>
      <c r="HE121" s="501">
        <v>0.46</v>
      </c>
      <c r="HF121" s="501">
        <v>0.49</v>
      </c>
      <c r="HG121" s="501">
        <v>0.63</v>
      </c>
      <c r="HH121" s="501">
        <v>0.32</v>
      </c>
      <c r="HI121" s="501">
        <v>0.55000000000000004</v>
      </c>
      <c r="HJ121" s="501">
        <v>0.67</v>
      </c>
      <c r="HK121" s="501">
        <v>0.38</v>
      </c>
      <c r="HL121" s="501">
        <v>0.45</v>
      </c>
      <c r="HM121" s="501">
        <v>0.45</v>
      </c>
      <c r="HN121" s="501">
        <v>0.42</v>
      </c>
      <c r="HO121" s="501">
        <v>0.4</v>
      </c>
      <c r="HP121" s="471" t="s">
        <v>287</v>
      </c>
      <c r="HQ121" s="501">
        <v>0.51</v>
      </c>
      <c r="HR121" s="630">
        <v>49</v>
      </c>
      <c r="HS121" s="640" t="s">
        <v>910</v>
      </c>
      <c r="HT121" s="630">
        <v>9</v>
      </c>
      <c r="HU121" s="640" t="s">
        <v>910</v>
      </c>
      <c r="HV121" s="644">
        <v>0.16</v>
      </c>
      <c r="HW121" s="644">
        <v>0.6</v>
      </c>
      <c r="HX121" s="644">
        <v>0.25</v>
      </c>
      <c r="HY121" s="644">
        <v>0</v>
      </c>
      <c r="HZ121" s="644">
        <v>0.41</v>
      </c>
      <c r="IA121" s="644">
        <v>0.6</v>
      </c>
      <c r="IB121" s="644">
        <v>0.4</v>
      </c>
      <c r="IC121" s="644">
        <v>0.62</v>
      </c>
      <c r="ID121" s="644">
        <v>0.61</v>
      </c>
      <c r="IE121" s="644">
        <v>0.38</v>
      </c>
      <c r="IF121" s="644">
        <v>0.39</v>
      </c>
      <c r="IG121" s="644">
        <v>0.59</v>
      </c>
      <c r="IH121" s="644">
        <v>0.55000000000000004</v>
      </c>
      <c r="II121" s="644">
        <v>0.33</v>
      </c>
      <c r="IJ121" s="644">
        <v>0.43</v>
      </c>
      <c r="IK121" s="644">
        <v>0.63</v>
      </c>
      <c r="IL121" s="644">
        <v>0.34</v>
      </c>
      <c r="IM121" s="644">
        <v>0.61</v>
      </c>
      <c r="IN121" s="644">
        <v>0.5</v>
      </c>
      <c r="IO121" s="644">
        <v>0.5</v>
      </c>
      <c r="IP121" s="644">
        <v>0.39</v>
      </c>
      <c r="IQ121" s="644">
        <v>0.65</v>
      </c>
      <c r="IR121" s="644">
        <v>0.6</v>
      </c>
      <c r="IS121" s="644">
        <v>0.55000000000000004</v>
      </c>
      <c r="IT121" s="644">
        <v>0.5</v>
      </c>
      <c r="IU121" s="640" t="s">
        <v>287</v>
      </c>
      <c r="IV121" s="644">
        <v>0.64</v>
      </c>
      <c r="IW121" s="644">
        <v>0.43</v>
      </c>
      <c r="IX121" s="644">
        <v>0.5</v>
      </c>
      <c r="IY121" s="644">
        <v>0.56000000000000005</v>
      </c>
    </row>
    <row r="122" spans="1:259" ht="24.9" customHeight="1" x14ac:dyDescent="0.25">
      <c r="A122" s="188" t="s">
        <v>130</v>
      </c>
      <c r="B122" s="1" t="s">
        <v>220</v>
      </c>
      <c r="C122" s="2">
        <v>3</v>
      </c>
      <c r="D122" s="16">
        <v>54</v>
      </c>
      <c r="E122" s="16">
        <v>8</v>
      </c>
      <c r="F122" s="99">
        <v>0.04</v>
      </c>
      <c r="G122" s="99">
        <v>0.6</v>
      </c>
      <c r="H122" s="99">
        <v>0.36</v>
      </c>
      <c r="I122" s="99">
        <v>0.01</v>
      </c>
      <c r="J122" s="99">
        <v>0.32</v>
      </c>
      <c r="K122" s="99">
        <v>0.31</v>
      </c>
      <c r="L122" s="99">
        <v>0.65</v>
      </c>
      <c r="M122" s="99">
        <v>0.19</v>
      </c>
      <c r="N122" s="99">
        <v>0.27</v>
      </c>
      <c r="O122" s="99">
        <v>0.66</v>
      </c>
      <c r="P122" s="99">
        <v>0.3</v>
      </c>
      <c r="Q122" s="99">
        <v>0.41</v>
      </c>
      <c r="R122" s="99">
        <v>0.49</v>
      </c>
      <c r="S122" s="99">
        <v>0.54</v>
      </c>
      <c r="T122" s="99">
        <v>0.42</v>
      </c>
      <c r="U122" s="99">
        <v>0.66</v>
      </c>
      <c r="V122" s="99">
        <v>7.0000000000000007E-2</v>
      </c>
      <c r="W122" s="99">
        <v>0.13</v>
      </c>
      <c r="X122" s="99">
        <v>0.48</v>
      </c>
      <c r="Y122" s="99">
        <v>0.38</v>
      </c>
      <c r="Z122" s="99">
        <v>0.67</v>
      </c>
      <c r="AA122" s="99">
        <v>0.06</v>
      </c>
      <c r="AB122" s="99">
        <v>0.45</v>
      </c>
      <c r="AC122" s="99">
        <v>0.22</v>
      </c>
      <c r="AD122" s="99">
        <v>0.45</v>
      </c>
      <c r="AE122" s="99">
        <v>0.42</v>
      </c>
      <c r="AF122" s="99">
        <v>0.51</v>
      </c>
      <c r="AG122" s="99">
        <v>0.47</v>
      </c>
      <c r="AH122" s="16">
        <v>52</v>
      </c>
      <c r="AI122" s="16">
        <v>8</v>
      </c>
      <c r="AJ122" s="66">
        <v>0.1</v>
      </c>
      <c r="AK122" s="66">
        <v>0.56000000000000005</v>
      </c>
      <c r="AL122" s="66">
        <v>0.34</v>
      </c>
      <c r="AM122" s="66">
        <v>0</v>
      </c>
      <c r="AN122" s="66">
        <v>0.28999999999999998</v>
      </c>
      <c r="AO122" s="66">
        <v>0.46</v>
      </c>
      <c r="AP122" s="66">
        <v>0.61</v>
      </c>
      <c r="AQ122" s="66">
        <v>0.4</v>
      </c>
      <c r="AR122" s="66">
        <v>0.53</v>
      </c>
      <c r="AS122" s="66">
        <v>0.56000000000000005</v>
      </c>
      <c r="AT122" s="66">
        <v>0.54</v>
      </c>
      <c r="AU122" s="66">
        <v>0.54</v>
      </c>
      <c r="AV122" s="66">
        <v>0.61</v>
      </c>
      <c r="AW122" s="66">
        <v>0.4</v>
      </c>
      <c r="AX122" s="66">
        <v>0.59</v>
      </c>
      <c r="AY122" s="66">
        <v>0.34</v>
      </c>
      <c r="AZ122" s="66">
        <v>0.3</v>
      </c>
      <c r="BA122" s="66">
        <v>0.46</v>
      </c>
      <c r="BB122" s="66">
        <v>0.65</v>
      </c>
      <c r="BC122" s="66">
        <v>0.65</v>
      </c>
      <c r="BD122" s="66">
        <v>0.39</v>
      </c>
      <c r="BE122" s="66">
        <v>0.62</v>
      </c>
      <c r="BF122" s="66">
        <v>0.59</v>
      </c>
      <c r="BG122" s="66">
        <v>0.53</v>
      </c>
      <c r="BH122" s="66">
        <v>0.45</v>
      </c>
      <c r="BI122" s="66">
        <v>0.4</v>
      </c>
      <c r="BJ122" s="66">
        <v>0.37</v>
      </c>
      <c r="BK122" s="66">
        <v>0.45</v>
      </c>
      <c r="BL122" s="66">
        <v>0.5</v>
      </c>
      <c r="BM122" s="16">
        <v>51</v>
      </c>
      <c r="BN122" s="16">
        <v>9</v>
      </c>
      <c r="BO122" s="99">
        <v>0.14000000000000001</v>
      </c>
      <c r="BP122" s="99">
        <v>0.53</v>
      </c>
      <c r="BQ122" s="99">
        <v>0.33</v>
      </c>
      <c r="BR122" s="99">
        <v>0</v>
      </c>
      <c r="BS122" s="99">
        <v>0.35</v>
      </c>
      <c r="BT122" s="99">
        <v>0.64</v>
      </c>
      <c r="BU122" s="99">
        <v>0.61</v>
      </c>
      <c r="BV122" s="99">
        <v>0.34</v>
      </c>
      <c r="BW122" s="99">
        <v>0.65</v>
      </c>
      <c r="BX122" s="99">
        <v>0.41</v>
      </c>
      <c r="BY122" s="99">
        <v>0.41</v>
      </c>
      <c r="BZ122" s="99">
        <v>0.54</v>
      </c>
      <c r="CA122" s="99">
        <v>0.46</v>
      </c>
      <c r="CB122" s="99">
        <v>0.28999999999999998</v>
      </c>
      <c r="CC122" s="99">
        <v>0.18</v>
      </c>
      <c r="CD122" s="99">
        <v>0.47</v>
      </c>
      <c r="CE122" s="99">
        <v>0.34</v>
      </c>
      <c r="CF122" s="99">
        <v>0.59</v>
      </c>
      <c r="CG122" s="99">
        <v>0.57999999999999996</v>
      </c>
      <c r="CH122" s="99">
        <v>0.51</v>
      </c>
      <c r="CI122" s="99">
        <v>0.59</v>
      </c>
      <c r="CJ122" s="99">
        <v>0.36</v>
      </c>
      <c r="CK122" s="99">
        <v>0.68</v>
      </c>
      <c r="CL122" s="99">
        <v>0.3</v>
      </c>
      <c r="CM122" s="99">
        <v>0.42</v>
      </c>
      <c r="CN122" s="99">
        <v>0.44</v>
      </c>
      <c r="CO122" s="99">
        <v>0.38</v>
      </c>
      <c r="CP122" s="99">
        <v>0.33</v>
      </c>
      <c r="CQ122" s="99">
        <v>0.5</v>
      </c>
      <c r="CR122" s="99">
        <v>0.54</v>
      </c>
      <c r="CS122" s="16">
        <v>48</v>
      </c>
      <c r="CT122" s="16">
        <v>8</v>
      </c>
      <c r="CU122" s="96">
        <v>0.13</v>
      </c>
      <c r="CV122" s="96">
        <v>0.7</v>
      </c>
      <c r="CW122" s="96">
        <v>0.16</v>
      </c>
      <c r="CX122" s="96">
        <v>0.01</v>
      </c>
      <c r="CY122" s="96">
        <v>0.54</v>
      </c>
      <c r="CZ122" s="96">
        <v>0.28000000000000003</v>
      </c>
      <c r="DA122" s="96">
        <v>0.61</v>
      </c>
      <c r="DB122" s="96">
        <v>0.41</v>
      </c>
      <c r="DC122" s="96">
        <v>0.51</v>
      </c>
      <c r="DD122" s="96">
        <v>0.62</v>
      </c>
      <c r="DE122" s="96">
        <v>0.45</v>
      </c>
      <c r="DF122" s="96">
        <v>0.56999999999999995</v>
      </c>
      <c r="DG122" s="96">
        <v>0.46</v>
      </c>
      <c r="DH122" s="96">
        <v>0.4</v>
      </c>
      <c r="DI122" s="96">
        <v>0.56999999999999995</v>
      </c>
      <c r="DJ122" s="96">
        <v>0.52</v>
      </c>
      <c r="DK122" s="96">
        <v>0.4</v>
      </c>
      <c r="DL122" s="96">
        <v>0.3</v>
      </c>
      <c r="DM122" s="96">
        <v>0.54</v>
      </c>
      <c r="DN122" s="96">
        <v>0.52</v>
      </c>
      <c r="DO122" s="96">
        <v>0.46</v>
      </c>
      <c r="DP122" s="96">
        <v>0.5</v>
      </c>
      <c r="DQ122" s="96">
        <v>0.59</v>
      </c>
      <c r="DR122" s="96">
        <v>0.25</v>
      </c>
      <c r="DS122" s="96">
        <v>0.38</v>
      </c>
      <c r="DT122" s="96">
        <v>0.6</v>
      </c>
      <c r="DU122" s="96">
        <v>0.6</v>
      </c>
      <c r="DV122" s="96">
        <v>0.62</v>
      </c>
      <c r="DW122" s="96">
        <v>0.35</v>
      </c>
      <c r="DX122" s="61">
        <v>48</v>
      </c>
      <c r="DY122" s="61">
        <v>8</v>
      </c>
      <c r="DZ122" s="66">
        <v>0.17</v>
      </c>
      <c r="EA122" s="66">
        <v>0.62</v>
      </c>
      <c r="EB122" s="66">
        <v>0.21</v>
      </c>
      <c r="EC122" s="66">
        <v>0</v>
      </c>
      <c r="ED122" s="66">
        <v>0.47</v>
      </c>
      <c r="EE122" s="66">
        <v>0.44</v>
      </c>
      <c r="EF122" s="66">
        <v>0.44</v>
      </c>
      <c r="EG122" s="66">
        <v>0.45</v>
      </c>
      <c r="EH122" s="66">
        <v>0.49</v>
      </c>
      <c r="EI122" s="66">
        <v>0.5</v>
      </c>
      <c r="EJ122" s="66">
        <v>0.64</v>
      </c>
      <c r="EK122" s="66">
        <v>0.28999999999999998</v>
      </c>
      <c r="EL122" s="66">
        <v>0.46</v>
      </c>
      <c r="EM122" s="66">
        <v>0.78</v>
      </c>
      <c r="EN122" s="66">
        <v>0.52</v>
      </c>
      <c r="EO122" s="66">
        <v>0.6</v>
      </c>
      <c r="EP122" s="66">
        <v>0.39</v>
      </c>
      <c r="EQ122" s="66">
        <v>0.31</v>
      </c>
      <c r="ER122" s="66">
        <v>0.62</v>
      </c>
      <c r="ES122" s="66">
        <v>0.52</v>
      </c>
      <c r="ET122" s="66">
        <v>0.34</v>
      </c>
      <c r="EU122" s="66">
        <v>0.56000000000000005</v>
      </c>
      <c r="EV122" s="66">
        <v>0.34</v>
      </c>
      <c r="EW122" s="66">
        <v>0.35</v>
      </c>
      <c r="EX122" s="66">
        <v>0.56999999999999995</v>
      </c>
      <c r="EY122" s="66">
        <v>0.61</v>
      </c>
      <c r="EZ122" s="66">
        <v>0.44</v>
      </c>
      <c r="FA122" s="66">
        <v>0.57999999999999996</v>
      </c>
      <c r="FB122" s="349">
        <v>49</v>
      </c>
      <c r="FC122" s="348" t="s">
        <v>910</v>
      </c>
      <c r="FD122" s="349">
        <v>9</v>
      </c>
      <c r="FE122" s="348" t="s">
        <v>910</v>
      </c>
      <c r="FF122" s="371">
        <v>0.14000000000000001</v>
      </c>
      <c r="FG122" s="371">
        <v>0.6</v>
      </c>
      <c r="FH122" s="371">
        <v>0.25</v>
      </c>
      <c r="FI122" s="371">
        <v>0</v>
      </c>
      <c r="FJ122" s="371">
        <v>0.47</v>
      </c>
      <c r="FK122" s="371">
        <v>0.66</v>
      </c>
      <c r="FL122" s="371">
        <v>0.5</v>
      </c>
      <c r="FM122" s="371">
        <v>0.4</v>
      </c>
      <c r="FN122" s="371">
        <v>0.28000000000000003</v>
      </c>
      <c r="FO122" s="371">
        <v>0.32</v>
      </c>
      <c r="FP122" s="371">
        <v>0.41</v>
      </c>
      <c r="FQ122" s="371">
        <v>0.45</v>
      </c>
      <c r="FR122" s="371">
        <v>0.62</v>
      </c>
      <c r="FS122" s="371">
        <v>0.48</v>
      </c>
      <c r="FT122" s="371">
        <v>0.56999999999999995</v>
      </c>
      <c r="FU122" s="371">
        <v>0.37</v>
      </c>
      <c r="FV122" s="371">
        <v>0.57999999999999996</v>
      </c>
      <c r="FW122" s="371">
        <v>0.57999999999999996</v>
      </c>
      <c r="FX122" s="371">
        <v>0.56000000000000005</v>
      </c>
      <c r="FY122" s="371">
        <v>0.31</v>
      </c>
      <c r="FZ122" s="371">
        <v>0.52</v>
      </c>
      <c r="GA122" s="371">
        <v>0.62</v>
      </c>
      <c r="GB122" s="371">
        <v>0.54</v>
      </c>
      <c r="GC122" s="371">
        <v>0.49</v>
      </c>
      <c r="GD122" s="371">
        <v>0.57999999999999996</v>
      </c>
      <c r="GE122" s="371">
        <v>0.53</v>
      </c>
      <c r="GF122" s="371">
        <v>0.54</v>
      </c>
      <c r="GG122" s="371">
        <v>0.48</v>
      </c>
      <c r="GH122" s="371">
        <v>0.56000000000000005</v>
      </c>
      <c r="GI122" s="371">
        <v>0.33</v>
      </c>
      <c r="GJ122" s="469">
        <v>50</v>
      </c>
      <c r="GK122" s="471" t="s">
        <v>910</v>
      </c>
      <c r="GL122" s="469">
        <v>9</v>
      </c>
      <c r="GM122" s="471" t="s">
        <v>910</v>
      </c>
      <c r="GN122" s="501">
        <v>0.18</v>
      </c>
      <c r="GO122" s="501">
        <v>0.53</v>
      </c>
      <c r="GP122" s="501">
        <v>0.28000000000000003</v>
      </c>
      <c r="GQ122" s="501">
        <v>0.01</v>
      </c>
      <c r="GR122" s="501">
        <v>0.45</v>
      </c>
      <c r="GS122" s="501">
        <v>0.52</v>
      </c>
      <c r="GT122" s="501">
        <v>0.63</v>
      </c>
      <c r="GU122" s="501">
        <v>0.2</v>
      </c>
      <c r="GV122" s="501">
        <v>0.59</v>
      </c>
      <c r="GW122" s="501">
        <v>0.53</v>
      </c>
      <c r="GX122" s="501">
        <v>0.46</v>
      </c>
      <c r="GY122" s="471" t="s">
        <v>287</v>
      </c>
      <c r="GZ122" s="501">
        <v>0.35</v>
      </c>
      <c r="HA122" s="501">
        <v>0.71</v>
      </c>
      <c r="HB122" s="501">
        <v>0.48</v>
      </c>
      <c r="HC122" s="501">
        <v>0.54</v>
      </c>
      <c r="HD122" s="501">
        <v>0.52</v>
      </c>
      <c r="HE122" s="501">
        <v>0.52</v>
      </c>
      <c r="HF122" s="501">
        <v>0.51</v>
      </c>
      <c r="HG122" s="501">
        <v>0.63</v>
      </c>
      <c r="HH122" s="501">
        <v>0.37</v>
      </c>
      <c r="HI122" s="501">
        <v>0.49</v>
      </c>
      <c r="HJ122" s="501">
        <v>0.55000000000000004</v>
      </c>
      <c r="HK122" s="501">
        <v>0.53</v>
      </c>
      <c r="HL122" s="501">
        <v>0.42</v>
      </c>
      <c r="HM122" s="501">
        <v>0.47</v>
      </c>
      <c r="HN122" s="501">
        <v>0.49</v>
      </c>
      <c r="HO122" s="501">
        <v>0.43</v>
      </c>
      <c r="HP122" s="471" t="s">
        <v>287</v>
      </c>
      <c r="HQ122" s="501">
        <v>0.41</v>
      </c>
      <c r="HR122" s="630">
        <v>50</v>
      </c>
      <c r="HS122" s="640" t="s">
        <v>910</v>
      </c>
      <c r="HT122" s="630">
        <v>9</v>
      </c>
      <c r="HU122" s="640" t="s">
        <v>910</v>
      </c>
      <c r="HV122" s="644">
        <v>0.17</v>
      </c>
      <c r="HW122" s="644">
        <v>0.52</v>
      </c>
      <c r="HX122" s="644">
        <v>0.3</v>
      </c>
      <c r="HY122" s="644">
        <v>0.01</v>
      </c>
      <c r="HZ122" s="644">
        <v>0.4</v>
      </c>
      <c r="IA122" s="644">
        <v>0.57999999999999996</v>
      </c>
      <c r="IB122" s="644">
        <v>0.34</v>
      </c>
      <c r="IC122" s="644">
        <v>0.49</v>
      </c>
      <c r="ID122" s="644">
        <v>0.6</v>
      </c>
      <c r="IE122" s="644">
        <v>0.34</v>
      </c>
      <c r="IF122" s="644">
        <v>0.44</v>
      </c>
      <c r="IG122" s="644">
        <v>0.53</v>
      </c>
      <c r="IH122" s="644">
        <v>0.5</v>
      </c>
      <c r="II122" s="644">
        <v>0.25</v>
      </c>
      <c r="IJ122" s="644">
        <v>0.28999999999999998</v>
      </c>
      <c r="IK122" s="644">
        <v>0.62</v>
      </c>
      <c r="IL122" s="644">
        <v>0.39</v>
      </c>
      <c r="IM122" s="644">
        <v>0.52</v>
      </c>
      <c r="IN122" s="644">
        <v>0.49</v>
      </c>
      <c r="IO122" s="644">
        <v>0.55000000000000004</v>
      </c>
      <c r="IP122" s="644">
        <v>0.5</v>
      </c>
      <c r="IQ122" s="644">
        <v>0.72</v>
      </c>
      <c r="IR122" s="644">
        <v>0.6</v>
      </c>
      <c r="IS122" s="644">
        <v>0.47</v>
      </c>
      <c r="IT122" s="644">
        <v>0.45</v>
      </c>
      <c r="IU122" s="640" t="s">
        <v>287</v>
      </c>
      <c r="IV122" s="644">
        <v>0.63</v>
      </c>
      <c r="IW122" s="644">
        <v>0.43</v>
      </c>
      <c r="IX122" s="644">
        <v>0.46</v>
      </c>
      <c r="IY122" s="644">
        <v>0.56000000000000005</v>
      </c>
    </row>
    <row r="123" spans="1:259" s="461" customFormat="1" ht="24.9" customHeight="1" x14ac:dyDescent="0.25">
      <c r="A123" s="470" t="s">
        <v>966</v>
      </c>
      <c r="B123" s="1" t="s">
        <v>220</v>
      </c>
      <c r="C123" s="471">
        <v>1</v>
      </c>
      <c r="D123" s="502"/>
      <c r="E123" s="502"/>
      <c r="F123" s="508"/>
      <c r="G123" s="508"/>
      <c r="H123" s="508"/>
      <c r="I123" s="508"/>
      <c r="J123" s="508"/>
      <c r="K123" s="508"/>
      <c r="L123" s="508"/>
      <c r="M123" s="508"/>
      <c r="N123" s="508"/>
      <c r="O123" s="508"/>
      <c r="P123" s="508"/>
      <c r="Q123" s="508"/>
      <c r="R123" s="508"/>
      <c r="S123" s="508"/>
      <c r="T123" s="508"/>
      <c r="U123" s="508"/>
      <c r="V123" s="508"/>
      <c r="W123" s="508"/>
      <c r="X123" s="508"/>
      <c r="Y123" s="508"/>
      <c r="Z123" s="508"/>
      <c r="AA123" s="508"/>
      <c r="AB123" s="508"/>
      <c r="AC123" s="508"/>
      <c r="AD123" s="508"/>
      <c r="AE123" s="508"/>
      <c r="AF123" s="508"/>
      <c r="AG123" s="508"/>
      <c r="AH123" s="502"/>
      <c r="AI123" s="502"/>
      <c r="AJ123" s="506"/>
      <c r="AK123" s="506"/>
      <c r="AL123" s="506"/>
      <c r="AM123" s="506"/>
      <c r="AN123" s="506"/>
      <c r="AO123" s="506"/>
      <c r="AP123" s="506"/>
      <c r="AQ123" s="506"/>
      <c r="AR123" s="506"/>
      <c r="AS123" s="506"/>
      <c r="AT123" s="506"/>
      <c r="AU123" s="506"/>
      <c r="AV123" s="506"/>
      <c r="AW123" s="506"/>
      <c r="AX123" s="506"/>
      <c r="AY123" s="506"/>
      <c r="AZ123" s="506"/>
      <c r="BA123" s="506"/>
      <c r="BB123" s="506"/>
      <c r="BC123" s="506"/>
      <c r="BD123" s="506"/>
      <c r="BE123" s="506"/>
      <c r="BF123" s="506"/>
      <c r="BG123" s="506"/>
      <c r="BH123" s="506"/>
      <c r="BI123" s="506"/>
      <c r="BJ123" s="506"/>
      <c r="BK123" s="506"/>
      <c r="BL123" s="506"/>
      <c r="BM123" s="502"/>
      <c r="BN123" s="502"/>
      <c r="BO123" s="508"/>
      <c r="BP123" s="508"/>
      <c r="BQ123" s="508"/>
      <c r="BR123" s="508"/>
      <c r="BS123" s="508"/>
      <c r="BT123" s="508"/>
      <c r="BU123" s="508"/>
      <c r="BV123" s="508"/>
      <c r="BW123" s="508"/>
      <c r="BX123" s="508"/>
      <c r="BY123" s="508"/>
      <c r="BZ123" s="508"/>
      <c r="CA123" s="508"/>
      <c r="CB123" s="508"/>
      <c r="CC123" s="508"/>
      <c r="CD123" s="508"/>
      <c r="CE123" s="508"/>
      <c r="CF123" s="508"/>
      <c r="CG123" s="508"/>
      <c r="CH123" s="508"/>
      <c r="CI123" s="508"/>
      <c r="CJ123" s="508"/>
      <c r="CK123" s="508"/>
      <c r="CL123" s="508"/>
      <c r="CM123" s="508"/>
      <c r="CN123" s="508"/>
      <c r="CO123" s="508"/>
      <c r="CP123" s="508"/>
      <c r="CQ123" s="508"/>
      <c r="CR123" s="508"/>
      <c r="CS123" s="502"/>
      <c r="CT123" s="502"/>
      <c r="CU123" s="501"/>
      <c r="CV123" s="501"/>
      <c r="CW123" s="501"/>
      <c r="CX123" s="501"/>
      <c r="CY123" s="501"/>
      <c r="CZ123" s="501"/>
      <c r="DA123" s="501"/>
      <c r="DB123" s="501"/>
      <c r="DC123" s="501"/>
      <c r="DD123" s="501"/>
      <c r="DE123" s="501"/>
      <c r="DF123" s="501"/>
      <c r="DG123" s="501"/>
      <c r="DH123" s="501"/>
      <c r="DI123" s="501"/>
      <c r="DJ123" s="501"/>
      <c r="DK123" s="501"/>
      <c r="DL123" s="501"/>
      <c r="DM123" s="501"/>
      <c r="DN123" s="501"/>
      <c r="DO123" s="501"/>
      <c r="DP123" s="501"/>
      <c r="DQ123" s="501"/>
      <c r="DR123" s="501"/>
      <c r="DS123" s="501"/>
      <c r="DT123" s="501"/>
      <c r="DU123" s="501"/>
      <c r="DV123" s="501"/>
      <c r="DW123" s="501"/>
      <c r="DX123" s="472"/>
      <c r="DY123" s="472"/>
      <c r="DZ123" s="506"/>
      <c r="EA123" s="506"/>
      <c r="EB123" s="506"/>
      <c r="EC123" s="506"/>
      <c r="ED123" s="506"/>
      <c r="EE123" s="506"/>
      <c r="EF123" s="506"/>
      <c r="EG123" s="506"/>
      <c r="EH123" s="506"/>
      <c r="EI123" s="506"/>
      <c r="EJ123" s="506"/>
      <c r="EK123" s="506"/>
      <c r="EL123" s="506"/>
      <c r="EM123" s="506"/>
      <c r="EN123" s="506"/>
      <c r="EO123" s="506"/>
      <c r="EP123" s="506"/>
      <c r="EQ123" s="506"/>
      <c r="ER123" s="506"/>
      <c r="ES123" s="506"/>
      <c r="ET123" s="506"/>
      <c r="EU123" s="506"/>
      <c r="EV123" s="506"/>
      <c r="EW123" s="506"/>
      <c r="EX123" s="506"/>
      <c r="EY123" s="506"/>
      <c r="EZ123" s="506"/>
      <c r="FA123" s="506"/>
      <c r="FB123" s="475"/>
      <c r="FC123" s="493"/>
      <c r="FD123" s="475"/>
      <c r="FE123" s="493"/>
      <c r="FF123" s="507"/>
      <c r="FG123" s="507"/>
      <c r="FH123" s="507"/>
      <c r="FI123" s="507"/>
      <c r="FJ123" s="507"/>
      <c r="FK123" s="507"/>
      <c r="FL123" s="507"/>
      <c r="FM123" s="507"/>
      <c r="FN123" s="507"/>
      <c r="FO123" s="507"/>
      <c r="FP123" s="507"/>
      <c r="FQ123" s="507"/>
      <c r="FR123" s="507"/>
      <c r="FS123" s="507"/>
      <c r="FT123" s="507"/>
      <c r="FU123" s="507"/>
      <c r="FV123" s="507"/>
      <c r="FW123" s="507"/>
      <c r="FX123" s="507"/>
      <c r="FY123" s="507"/>
      <c r="FZ123" s="507"/>
      <c r="GA123" s="507"/>
      <c r="GB123" s="507"/>
      <c r="GC123" s="507"/>
      <c r="GD123" s="507"/>
      <c r="GE123" s="507"/>
      <c r="GF123" s="507"/>
      <c r="GG123" s="507"/>
      <c r="GH123" s="507"/>
      <c r="GI123" s="507"/>
      <c r="GJ123" s="469">
        <v>49</v>
      </c>
      <c r="GK123" s="471" t="s">
        <v>910</v>
      </c>
      <c r="GL123" s="469">
        <v>9</v>
      </c>
      <c r="GM123" s="471" t="s">
        <v>910</v>
      </c>
      <c r="GN123" s="501">
        <v>0.16</v>
      </c>
      <c r="GO123" s="501">
        <v>0.65</v>
      </c>
      <c r="GP123" s="501">
        <v>0.19</v>
      </c>
      <c r="GQ123" s="501">
        <v>0</v>
      </c>
      <c r="GR123" s="501">
        <v>0.59</v>
      </c>
      <c r="GS123" s="501">
        <v>0.65</v>
      </c>
      <c r="GT123" s="501">
        <v>0.65</v>
      </c>
      <c r="GU123" s="501">
        <v>0.33</v>
      </c>
      <c r="GV123" s="501">
        <v>0.61</v>
      </c>
      <c r="GW123" s="501">
        <v>0.49</v>
      </c>
      <c r="GX123" s="501">
        <v>0.5</v>
      </c>
      <c r="GY123" s="471" t="s">
        <v>287</v>
      </c>
      <c r="GZ123" s="501">
        <v>0.53</v>
      </c>
      <c r="HA123" s="501">
        <v>0.8</v>
      </c>
      <c r="HB123" s="501">
        <v>0.52</v>
      </c>
      <c r="HC123" s="501">
        <v>0.44</v>
      </c>
      <c r="HD123" s="501">
        <v>0.54</v>
      </c>
      <c r="HE123" s="501">
        <v>0.49</v>
      </c>
      <c r="HF123" s="501">
        <v>0.5</v>
      </c>
      <c r="HG123" s="501">
        <v>0.69</v>
      </c>
      <c r="HH123" s="501">
        <v>0.37</v>
      </c>
      <c r="HI123" s="501">
        <v>0.56999999999999995</v>
      </c>
      <c r="HJ123" s="501">
        <v>0.6</v>
      </c>
      <c r="HK123" s="501">
        <v>0.6</v>
      </c>
      <c r="HL123" s="501">
        <v>0.44</v>
      </c>
      <c r="HM123" s="501">
        <v>0.48</v>
      </c>
      <c r="HN123" s="501">
        <v>0.54</v>
      </c>
      <c r="HO123" s="501">
        <v>0.52</v>
      </c>
      <c r="HP123" s="471" t="s">
        <v>287</v>
      </c>
      <c r="HQ123" s="501">
        <v>0.37</v>
      </c>
      <c r="HR123" s="630">
        <v>52</v>
      </c>
      <c r="HS123" s="640" t="s">
        <v>910</v>
      </c>
      <c r="HT123" s="630">
        <v>8</v>
      </c>
      <c r="HU123" s="640" t="s">
        <v>910</v>
      </c>
      <c r="HV123" s="644">
        <v>0.08</v>
      </c>
      <c r="HW123" s="644">
        <v>0.57999999999999996</v>
      </c>
      <c r="HX123" s="644">
        <v>0.32</v>
      </c>
      <c r="HY123" s="644">
        <v>0.01</v>
      </c>
      <c r="HZ123" s="644">
        <v>0.41</v>
      </c>
      <c r="IA123" s="644">
        <v>0.5</v>
      </c>
      <c r="IB123" s="644">
        <v>0.37</v>
      </c>
      <c r="IC123" s="644">
        <v>0.46</v>
      </c>
      <c r="ID123" s="644">
        <v>0.65</v>
      </c>
      <c r="IE123" s="644">
        <v>0.37</v>
      </c>
      <c r="IF123" s="644">
        <v>0.35</v>
      </c>
      <c r="IG123" s="644">
        <v>0.6</v>
      </c>
      <c r="IH123" s="644">
        <v>0.48</v>
      </c>
      <c r="II123" s="644">
        <v>0.27</v>
      </c>
      <c r="IJ123" s="644">
        <v>0.21</v>
      </c>
      <c r="IK123" s="644">
        <v>0.57999999999999996</v>
      </c>
      <c r="IL123" s="644">
        <v>0.28000000000000003</v>
      </c>
      <c r="IM123" s="644">
        <v>0.56999999999999995</v>
      </c>
      <c r="IN123" s="644">
        <v>0.46</v>
      </c>
      <c r="IO123" s="644">
        <v>0.47</v>
      </c>
      <c r="IP123" s="644">
        <v>0.47</v>
      </c>
      <c r="IQ123" s="644">
        <v>0.67</v>
      </c>
      <c r="IR123" s="644">
        <v>0.63</v>
      </c>
      <c r="IS123" s="644">
        <v>0.46</v>
      </c>
      <c r="IT123" s="644">
        <v>0.44</v>
      </c>
      <c r="IU123" s="640" t="s">
        <v>287</v>
      </c>
      <c r="IV123" s="644">
        <v>0.53</v>
      </c>
      <c r="IW123" s="644">
        <v>0.41</v>
      </c>
      <c r="IX123" s="644">
        <v>0.42</v>
      </c>
      <c r="IY123" s="644">
        <v>0.48</v>
      </c>
    </row>
    <row r="124" spans="1:259" ht="24.9" customHeight="1" x14ac:dyDescent="0.25">
      <c r="A124" s="188" t="s">
        <v>90</v>
      </c>
      <c r="B124" s="1" t="s">
        <v>220</v>
      </c>
      <c r="C124" s="2">
        <v>1</v>
      </c>
      <c r="D124" s="16">
        <v>57</v>
      </c>
      <c r="E124" s="16">
        <v>8</v>
      </c>
      <c r="F124" s="99">
        <v>0.02</v>
      </c>
      <c r="G124" s="99">
        <v>0.37</v>
      </c>
      <c r="H124" s="99">
        <v>0.59</v>
      </c>
      <c r="I124" s="99">
        <v>0.01</v>
      </c>
      <c r="J124" s="99">
        <v>0.25</v>
      </c>
      <c r="K124" s="99">
        <v>0.28999999999999998</v>
      </c>
      <c r="L124" s="99">
        <v>0.65</v>
      </c>
      <c r="M124" s="99">
        <v>0.19</v>
      </c>
      <c r="N124" s="99">
        <v>0.26</v>
      </c>
      <c r="O124" s="99">
        <v>0.72</v>
      </c>
      <c r="P124" s="99">
        <v>0.36</v>
      </c>
      <c r="Q124" s="99">
        <v>0.33</v>
      </c>
      <c r="R124" s="99">
        <v>0.41</v>
      </c>
      <c r="S124" s="99">
        <v>0.56000000000000005</v>
      </c>
      <c r="T124" s="99">
        <v>0.34</v>
      </c>
      <c r="U124" s="99">
        <v>0.42</v>
      </c>
      <c r="V124" s="99">
        <v>0.05</v>
      </c>
      <c r="W124" s="99">
        <v>0.12</v>
      </c>
      <c r="X124" s="99">
        <v>0.43</v>
      </c>
      <c r="Y124" s="99">
        <v>0.47</v>
      </c>
      <c r="Z124" s="13" t="s">
        <v>287</v>
      </c>
      <c r="AA124" s="99">
        <v>0.1</v>
      </c>
      <c r="AB124" s="99">
        <v>0.38</v>
      </c>
      <c r="AC124" s="99">
        <v>0.23</v>
      </c>
      <c r="AD124" s="99">
        <v>0.44</v>
      </c>
      <c r="AE124" s="99">
        <v>0.38</v>
      </c>
      <c r="AF124" s="99">
        <v>0.44</v>
      </c>
      <c r="AG124" s="99">
        <v>0.54</v>
      </c>
      <c r="AH124" s="16">
        <v>56</v>
      </c>
      <c r="AI124" s="16">
        <v>7</v>
      </c>
      <c r="AJ124" s="66">
        <v>0.02</v>
      </c>
      <c r="AK124" s="66">
        <v>0.42</v>
      </c>
      <c r="AL124" s="66">
        <v>0.55000000000000004</v>
      </c>
      <c r="AM124" s="66">
        <v>0.01</v>
      </c>
      <c r="AN124" s="66">
        <v>0.23</v>
      </c>
      <c r="AO124" s="66">
        <v>0.41</v>
      </c>
      <c r="AP124" s="66">
        <v>0.47</v>
      </c>
      <c r="AQ124" s="66">
        <v>0.34</v>
      </c>
      <c r="AR124" s="66">
        <v>0.56000000000000005</v>
      </c>
      <c r="AS124" s="66">
        <v>0.39</v>
      </c>
      <c r="AT124" s="66">
        <v>0.43</v>
      </c>
      <c r="AU124" s="66">
        <v>0.42</v>
      </c>
      <c r="AV124" s="66">
        <v>0.54</v>
      </c>
      <c r="AW124" s="66">
        <v>0.42</v>
      </c>
      <c r="AX124" s="66">
        <v>0.44</v>
      </c>
      <c r="AY124" s="66">
        <v>0.23</v>
      </c>
      <c r="AZ124" s="66">
        <v>0.17</v>
      </c>
      <c r="BA124" s="66">
        <v>0.42</v>
      </c>
      <c r="BB124" s="66">
        <v>0.56000000000000005</v>
      </c>
      <c r="BC124" s="66">
        <v>0.57999999999999996</v>
      </c>
      <c r="BD124" s="66">
        <v>0.39</v>
      </c>
      <c r="BE124" s="66">
        <v>0.43</v>
      </c>
      <c r="BF124" s="66">
        <v>0.57999999999999996</v>
      </c>
      <c r="BG124" s="66">
        <v>0.43</v>
      </c>
      <c r="BH124" s="66">
        <v>0.33</v>
      </c>
      <c r="BI124" s="66">
        <v>0.33</v>
      </c>
      <c r="BJ124" s="66">
        <v>0.28000000000000003</v>
      </c>
      <c r="BK124" s="66">
        <v>0.37</v>
      </c>
      <c r="BL124" s="66">
        <v>0.42</v>
      </c>
      <c r="BM124" s="16">
        <v>53</v>
      </c>
      <c r="BN124" s="16">
        <v>8</v>
      </c>
      <c r="BO124" s="99">
        <v>0.06</v>
      </c>
      <c r="BP124" s="99">
        <v>0.57999999999999996</v>
      </c>
      <c r="BQ124" s="99">
        <v>0.36</v>
      </c>
      <c r="BR124" s="99">
        <v>0.01</v>
      </c>
      <c r="BS124" s="99">
        <v>0.28999999999999998</v>
      </c>
      <c r="BT124" s="99">
        <v>0.51</v>
      </c>
      <c r="BU124" s="99">
        <v>0.66</v>
      </c>
      <c r="BV124" s="99">
        <v>0.31</v>
      </c>
      <c r="BW124" s="99">
        <v>0.65</v>
      </c>
      <c r="BX124" s="99">
        <v>0.31</v>
      </c>
      <c r="BY124" s="99">
        <v>0.42</v>
      </c>
      <c r="BZ124" s="99">
        <v>0.5</v>
      </c>
      <c r="CA124" s="99">
        <v>0.48</v>
      </c>
      <c r="CB124" s="99">
        <v>0.28000000000000003</v>
      </c>
      <c r="CC124" s="99">
        <v>0.13</v>
      </c>
      <c r="CD124" s="99">
        <v>0.41</v>
      </c>
      <c r="CE124" s="99">
        <v>0.28000000000000003</v>
      </c>
      <c r="CF124" s="99">
        <v>0.65</v>
      </c>
      <c r="CG124" s="99">
        <v>0.54</v>
      </c>
      <c r="CH124" s="99">
        <v>0.37</v>
      </c>
      <c r="CI124" s="99">
        <v>0.52</v>
      </c>
      <c r="CJ124" s="99">
        <v>0.23</v>
      </c>
      <c r="CK124" s="99">
        <v>0.64</v>
      </c>
      <c r="CL124" s="99">
        <v>0.25</v>
      </c>
      <c r="CM124" s="99">
        <v>0.42</v>
      </c>
      <c r="CN124" s="99">
        <v>0.35</v>
      </c>
      <c r="CO124" s="99">
        <v>0.39</v>
      </c>
      <c r="CP124" s="99">
        <v>0.3</v>
      </c>
      <c r="CQ124" s="99">
        <v>0.42</v>
      </c>
      <c r="CR124" s="99">
        <v>0.56000000000000005</v>
      </c>
      <c r="CS124" s="16">
        <v>52</v>
      </c>
      <c r="CT124" s="16">
        <v>9</v>
      </c>
      <c r="CU124" s="96">
        <v>0.08</v>
      </c>
      <c r="CV124" s="96">
        <v>0.57999999999999996</v>
      </c>
      <c r="CW124" s="96">
        <v>0.31</v>
      </c>
      <c r="CX124" s="96">
        <v>0.02</v>
      </c>
      <c r="CY124" s="96">
        <v>0.48</v>
      </c>
      <c r="CZ124" s="96">
        <v>0.25</v>
      </c>
      <c r="DA124" s="96">
        <v>0.57999999999999996</v>
      </c>
      <c r="DB124" s="96">
        <v>0.33</v>
      </c>
      <c r="DC124" s="96">
        <v>0.38</v>
      </c>
      <c r="DD124" s="96">
        <v>0.6</v>
      </c>
      <c r="DE124" s="96">
        <v>0.47</v>
      </c>
      <c r="DF124" s="96">
        <v>0.51</v>
      </c>
      <c r="DG124" s="96">
        <v>0.36</v>
      </c>
      <c r="DH124" s="96">
        <v>0.32</v>
      </c>
      <c r="DI124" s="96">
        <v>0.46</v>
      </c>
      <c r="DJ124" s="96">
        <v>0.4</v>
      </c>
      <c r="DK124" s="96">
        <v>0.39</v>
      </c>
      <c r="DL124" s="96">
        <v>0.23</v>
      </c>
      <c r="DM124" s="96">
        <v>0.48</v>
      </c>
      <c r="DN124" s="96">
        <v>0.45</v>
      </c>
      <c r="DO124" s="96">
        <v>0.37</v>
      </c>
      <c r="DP124" s="96">
        <v>0.4</v>
      </c>
      <c r="DQ124" s="96">
        <v>0.53</v>
      </c>
      <c r="DR124" s="96">
        <v>0.16</v>
      </c>
      <c r="DS124" s="96">
        <v>0.37</v>
      </c>
      <c r="DT124" s="96">
        <v>0.56000000000000005</v>
      </c>
      <c r="DU124" s="96">
        <v>0.52</v>
      </c>
      <c r="DV124" s="96">
        <v>0.55000000000000004</v>
      </c>
      <c r="DW124" s="96">
        <v>0.27</v>
      </c>
      <c r="DX124" s="61">
        <v>51</v>
      </c>
      <c r="DY124" s="61">
        <v>8</v>
      </c>
      <c r="DZ124" s="66">
        <v>0.14000000000000001</v>
      </c>
      <c r="EA124" s="66">
        <v>0.53</v>
      </c>
      <c r="EB124" s="66">
        <v>0.32</v>
      </c>
      <c r="EC124" s="66">
        <v>0.01</v>
      </c>
      <c r="ED124" s="66">
        <v>0.5</v>
      </c>
      <c r="EE124" s="66">
        <v>0.46</v>
      </c>
      <c r="EF124" s="66">
        <v>0.49</v>
      </c>
      <c r="EG124" s="66">
        <v>0.31</v>
      </c>
      <c r="EH124" s="66">
        <v>0.37</v>
      </c>
      <c r="EI124" s="66">
        <v>0.41</v>
      </c>
      <c r="EJ124" s="66">
        <v>0.56000000000000005</v>
      </c>
      <c r="EK124" s="66">
        <v>0.28999999999999998</v>
      </c>
      <c r="EL124" s="66">
        <v>0.44</v>
      </c>
      <c r="EM124" s="66">
        <v>0.67</v>
      </c>
      <c r="EN124" s="66">
        <v>0.42</v>
      </c>
      <c r="EO124" s="66">
        <v>0.49</v>
      </c>
      <c r="EP124" s="66">
        <v>0.35</v>
      </c>
      <c r="EQ124" s="66">
        <v>0.21</v>
      </c>
      <c r="ER124" s="66">
        <v>0.57999999999999996</v>
      </c>
      <c r="ES124" s="66">
        <v>0.39</v>
      </c>
      <c r="ET124" s="66">
        <v>0.27</v>
      </c>
      <c r="EU124" s="66">
        <v>0.62</v>
      </c>
      <c r="EV124" s="66">
        <v>0.33</v>
      </c>
      <c r="EW124" s="66">
        <v>0.3</v>
      </c>
      <c r="EX124" s="66">
        <v>0.57999999999999996</v>
      </c>
      <c r="EY124" s="66">
        <v>0.59</v>
      </c>
      <c r="EZ124" s="66">
        <v>0.26</v>
      </c>
      <c r="FA124" s="66">
        <v>0.61</v>
      </c>
      <c r="FB124" s="349">
        <v>50</v>
      </c>
      <c r="FC124" s="348" t="s">
        <v>910</v>
      </c>
      <c r="FD124" s="349">
        <v>9</v>
      </c>
      <c r="FE124" s="348" t="s">
        <v>910</v>
      </c>
      <c r="FF124" s="371">
        <v>0.13</v>
      </c>
      <c r="FG124" s="371">
        <v>0.63</v>
      </c>
      <c r="FH124" s="371">
        <v>0.23</v>
      </c>
      <c r="FI124" s="371">
        <v>0.02</v>
      </c>
      <c r="FJ124" s="371">
        <v>0.54</v>
      </c>
      <c r="FK124" s="371">
        <v>0.7</v>
      </c>
      <c r="FL124" s="371">
        <v>0.51</v>
      </c>
      <c r="FM124" s="371">
        <v>0.45</v>
      </c>
      <c r="FN124" s="371">
        <v>0.25</v>
      </c>
      <c r="FO124" s="371">
        <v>0.32</v>
      </c>
      <c r="FP124" s="371">
        <v>0.45</v>
      </c>
      <c r="FQ124" s="371">
        <v>0.36</v>
      </c>
      <c r="FR124" s="371">
        <v>0.56000000000000005</v>
      </c>
      <c r="FS124" s="371">
        <v>0.52</v>
      </c>
      <c r="FT124" s="371">
        <v>0.5</v>
      </c>
      <c r="FU124" s="371">
        <v>0.4</v>
      </c>
      <c r="FV124" s="371">
        <v>0.56000000000000005</v>
      </c>
      <c r="FW124" s="371">
        <v>0.56000000000000005</v>
      </c>
      <c r="FX124" s="371">
        <v>0.5</v>
      </c>
      <c r="FY124" s="371">
        <v>0.34</v>
      </c>
      <c r="FZ124" s="371">
        <v>0.36</v>
      </c>
      <c r="GA124" s="371">
        <v>0.47</v>
      </c>
      <c r="GB124" s="371">
        <v>0.55000000000000004</v>
      </c>
      <c r="GC124" s="371">
        <v>0.48</v>
      </c>
      <c r="GD124" s="371">
        <v>0.57999999999999996</v>
      </c>
      <c r="GE124" s="371">
        <v>0.55000000000000004</v>
      </c>
      <c r="GF124" s="371">
        <v>0.5</v>
      </c>
      <c r="GG124" s="371">
        <v>0.48</v>
      </c>
      <c r="GH124" s="371">
        <v>0.55000000000000004</v>
      </c>
      <c r="GI124" s="371">
        <v>0.31</v>
      </c>
      <c r="GJ124" s="469">
        <v>50</v>
      </c>
      <c r="GK124" s="471" t="s">
        <v>910</v>
      </c>
      <c r="GL124" s="469">
        <v>8</v>
      </c>
      <c r="GM124" s="471" t="s">
        <v>910</v>
      </c>
      <c r="GN124" s="501">
        <v>0.16</v>
      </c>
      <c r="GO124" s="501">
        <v>0.57999999999999996</v>
      </c>
      <c r="GP124" s="501">
        <v>0.25</v>
      </c>
      <c r="GQ124" s="501">
        <v>0.01</v>
      </c>
      <c r="GR124" s="501">
        <v>0.45</v>
      </c>
      <c r="GS124" s="501">
        <v>0.53</v>
      </c>
      <c r="GT124" s="501">
        <v>0.64</v>
      </c>
      <c r="GU124" s="501">
        <v>0.22</v>
      </c>
      <c r="GV124" s="501">
        <v>0.56000000000000005</v>
      </c>
      <c r="GW124" s="501">
        <v>0.45</v>
      </c>
      <c r="GX124" s="501">
        <v>0.51</v>
      </c>
      <c r="GY124" s="471" t="s">
        <v>287</v>
      </c>
      <c r="GZ124" s="501">
        <v>0.34</v>
      </c>
      <c r="HA124" s="501">
        <v>0.7</v>
      </c>
      <c r="HB124" s="501">
        <v>0.5</v>
      </c>
      <c r="HC124" s="501">
        <v>0.47</v>
      </c>
      <c r="HD124" s="501">
        <v>0.51</v>
      </c>
      <c r="HE124" s="501">
        <v>0.52</v>
      </c>
      <c r="HF124" s="501">
        <v>0.49</v>
      </c>
      <c r="HG124" s="501">
        <v>0.64</v>
      </c>
      <c r="HH124" s="501">
        <v>0.42</v>
      </c>
      <c r="HI124" s="501">
        <v>0.57999999999999996</v>
      </c>
      <c r="HJ124" s="501">
        <v>0.61</v>
      </c>
      <c r="HK124" s="501">
        <v>0.52</v>
      </c>
      <c r="HL124" s="501">
        <v>0.46</v>
      </c>
      <c r="HM124" s="501">
        <v>0.52</v>
      </c>
      <c r="HN124" s="501">
        <v>0.53</v>
      </c>
      <c r="HO124" s="501">
        <v>0.45</v>
      </c>
      <c r="HP124" s="471" t="s">
        <v>287</v>
      </c>
      <c r="HQ124" s="501">
        <v>0.47</v>
      </c>
      <c r="HR124" s="630">
        <v>51</v>
      </c>
      <c r="HS124" s="640" t="s">
        <v>910</v>
      </c>
      <c r="HT124" s="630">
        <v>8</v>
      </c>
      <c r="HU124" s="640" t="s">
        <v>910</v>
      </c>
      <c r="HV124" s="644">
        <v>0.1</v>
      </c>
      <c r="HW124" s="644">
        <v>0.64</v>
      </c>
      <c r="HX124" s="644">
        <v>0.25</v>
      </c>
      <c r="HY124" s="644">
        <v>0.01</v>
      </c>
      <c r="HZ124" s="644">
        <v>0.41</v>
      </c>
      <c r="IA124" s="644">
        <v>0.5</v>
      </c>
      <c r="IB124" s="644">
        <v>0.33</v>
      </c>
      <c r="IC124" s="644">
        <v>0.45</v>
      </c>
      <c r="ID124" s="644">
        <v>0.63</v>
      </c>
      <c r="IE124" s="644">
        <v>0.3</v>
      </c>
      <c r="IF124" s="644">
        <v>0.39</v>
      </c>
      <c r="IG124" s="644">
        <v>0.54</v>
      </c>
      <c r="IH124" s="644">
        <v>0.5</v>
      </c>
      <c r="II124" s="644">
        <v>0.31</v>
      </c>
      <c r="IJ124" s="644">
        <v>0.27</v>
      </c>
      <c r="IK124" s="644">
        <v>0.59</v>
      </c>
      <c r="IL124" s="644">
        <v>0.28999999999999998</v>
      </c>
      <c r="IM124" s="644">
        <v>0.55000000000000004</v>
      </c>
      <c r="IN124" s="644">
        <v>0.46</v>
      </c>
      <c r="IO124" s="644">
        <v>0.54</v>
      </c>
      <c r="IP124" s="644">
        <v>0.41</v>
      </c>
      <c r="IQ124" s="644">
        <v>0.65</v>
      </c>
      <c r="IR124" s="644">
        <v>0.52</v>
      </c>
      <c r="IS124" s="644">
        <v>0.51</v>
      </c>
      <c r="IT124" s="644">
        <v>0.44</v>
      </c>
      <c r="IU124" s="640" t="s">
        <v>287</v>
      </c>
      <c r="IV124" s="644">
        <v>0.66</v>
      </c>
      <c r="IW124" s="644">
        <v>0.4</v>
      </c>
      <c r="IX124" s="644">
        <v>0.56999999999999995</v>
      </c>
      <c r="IY124" s="644">
        <v>0.56000000000000005</v>
      </c>
    </row>
    <row r="125" spans="1:259" ht="24.9" customHeight="1" x14ac:dyDescent="0.25">
      <c r="A125" s="188" t="s">
        <v>50</v>
      </c>
      <c r="B125" s="1" t="s">
        <v>222</v>
      </c>
      <c r="C125" s="2">
        <v>1</v>
      </c>
      <c r="D125" s="16">
        <v>54</v>
      </c>
      <c r="E125" s="16">
        <v>7</v>
      </c>
      <c r="F125" s="99">
        <v>0.01</v>
      </c>
      <c r="G125" s="99">
        <v>0.6</v>
      </c>
      <c r="H125" s="99">
        <v>0.39</v>
      </c>
      <c r="I125" s="99">
        <v>0</v>
      </c>
      <c r="J125" s="99">
        <v>0.37</v>
      </c>
      <c r="K125" s="99">
        <v>0.21</v>
      </c>
      <c r="L125" s="99">
        <v>0.82</v>
      </c>
      <c r="M125" s="99">
        <v>0.18</v>
      </c>
      <c r="N125" s="99">
        <v>0.27</v>
      </c>
      <c r="O125" s="99">
        <v>0.68</v>
      </c>
      <c r="P125" s="99">
        <v>0.35</v>
      </c>
      <c r="Q125" s="99">
        <v>0.36</v>
      </c>
      <c r="R125" s="99">
        <v>0.54</v>
      </c>
      <c r="S125" s="99">
        <v>0.64</v>
      </c>
      <c r="T125" s="99">
        <v>0.49</v>
      </c>
      <c r="U125" s="99">
        <v>0.57999999999999996</v>
      </c>
      <c r="V125" s="99">
        <v>0.02</v>
      </c>
      <c r="W125" s="99">
        <v>0.16</v>
      </c>
      <c r="X125" s="99">
        <v>0.49</v>
      </c>
      <c r="Y125" s="99">
        <v>0.52</v>
      </c>
      <c r="Z125" s="13" t="s">
        <v>287</v>
      </c>
      <c r="AA125" s="99">
        <v>0.05</v>
      </c>
      <c r="AB125" s="99">
        <v>0.43</v>
      </c>
      <c r="AC125" s="99">
        <v>0.23</v>
      </c>
      <c r="AD125" s="99">
        <v>0.43</v>
      </c>
      <c r="AE125" s="99">
        <v>0.34</v>
      </c>
      <c r="AF125" s="99">
        <v>0.47</v>
      </c>
      <c r="AG125" s="99">
        <v>0.51</v>
      </c>
      <c r="AH125" s="16">
        <v>52</v>
      </c>
      <c r="AI125" s="16">
        <v>7</v>
      </c>
      <c r="AJ125" s="66">
        <v>0.04</v>
      </c>
      <c r="AK125" s="66">
        <v>0.62</v>
      </c>
      <c r="AL125" s="66">
        <v>0.34</v>
      </c>
      <c r="AM125" s="66">
        <v>0</v>
      </c>
      <c r="AN125" s="66">
        <v>0.27</v>
      </c>
      <c r="AO125" s="66">
        <v>0.44</v>
      </c>
      <c r="AP125" s="66">
        <v>0.59</v>
      </c>
      <c r="AQ125" s="66">
        <v>0.35</v>
      </c>
      <c r="AR125" s="66">
        <v>0.54</v>
      </c>
      <c r="AS125" s="66">
        <v>0.52</v>
      </c>
      <c r="AT125" s="66">
        <v>0.51</v>
      </c>
      <c r="AU125" s="66">
        <v>0.48</v>
      </c>
      <c r="AV125" s="66">
        <v>0.65</v>
      </c>
      <c r="AW125" s="66">
        <v>0.39</v>
      </c>
      <c r="AX125" s="66">
        <v>0.64</v>
      </c>
      <c r="AY125" s="66">
        <v>0.34</v>
      </c>
      <c r="AZ125" s="66">
        <v>0.27</v>
      </c>
      <c r="BA125" s="66">
        <v>0.48</v>
      </c>
      <c r="BB125" s="66">
        <v>0.74</v>
      </c>
      <c r="BC125" s="66">
        <v>0.61</v>
      </c>
      <c r="BD125" s="66">
        <v>0.38</v>
      </c>
      <c r="BE125" s="66">
        <v>0.44</v>
      </c>
      <c r="BF125" s="66">
        <v>0.51</v>
      </c>
      <c r="BG125" s="66">
        <v>0.54</v>
      </c>
      <c r="BH125" s="66">
        <v>0.42</v>
      </c>
      <c r="BI125" s="66">
        <v>0.39</v>
      </c>
      <c r="BJ125" s="66">
        <v>0.34</v>
      </c>
      <c r="BK125" s="66">
        <v>0.45</v>
      </c>
      <c r="BL125" s="66">
        <v>0.55000000000000004</v>
      </c>
      <c r="BM125" s="16">
        <v>52</v>
      </c>
      <c r="BN125" s="16">
        <v>8</v>
      </c>
      <c r="BO125" s="99">
        <v>0.04</v>
      </c>
      <c r="BP125" s="99">
        <v>0.59</v>
      </c>
      <c r="BQ125" s="99">
        <v>0.35</v>
      </c>
      <c r="BR125" s="99">
        <v>0.01</v>
      </c>
      <c r="BS125" s="99">
        <v>0.28000000000000003</v>
      </c>
      <c r="BT125" s="99">
        <v>0.52</v>
      </c>
      <c r="BU125" s="99">
        <v>0.66</v>
      </c>
      <c r="BV125" s="99">
        <v>0.44</v>
      </c>
      <c r="BW125" s="99">
        <v>0.6</v>
      </c>
      <c r="BX125" s="99">
        <v>0.31</v>
      </c>
      <c r="BY125" s="99">
        <v>0.4</v>
      </c>
      <c r="BZ125" s="99">
        <v>0.5</v>
      </c>
      <c r="CA125" s="99">
        <v>0.4</v>
      </c>
      <c r="CB125" s="99">
        <v>0.28000000000000003</v>
      </c>
      <c r="CC125" s="99">
        <v>0.17</v>
      </c>
      <c r="CD125" s="99">
        <v>0.43</v>
      </c>
      <c r="CE125" s="99">
        <v>0.27</v>
      </c>
      <c r="CF125" s="99">
        <v>0.48</v>
      </c>
      <c r="CG125" s="99">
        <v>0.56000000000000005</v>
      </c>
      <c r="CH125" s="99">
        <v>0.44</v>
      </c>
      <c r="CI125" s="99">
        <v>0.53</v>
      </c>
      <c r="CJ125" s="99">
        <v>0.34</v>
      </c>
      <c r="CK125" s="99">
        <v>0.66</v>
      </c>
      <c r="CL125" s="99">
        <v>0.28000000000000003</v>
      </c>
      <c r="CM125" s="99">
        <v>0.43</v>
      </c>
      <c r="CN125" s="99">
        <v>0.41</v>
      </c>
      <c r="CO125" s="99">
        <v>0.39</v>
      </c>
      <c r="CP125" s="99">
        <v>0.37</v>
      </c>
      <c r="CQ125" s="99">
        <v>0.52</v>
      </c>
      <c r="CR125" s="99">
        <v>0.56000000000000005</v>
      </c>
      <c r="CS125" s="16">
        <v>51</v>
      </c>
      <c r="CT125" s="16">
        <v>7</v>
      </c>
      <c r="CU125" s="96">
        <v>0.09</v>
      </c>
      <c r="CV125" s="96">
        <v>0.65</v>
      </c>
      <c r="CW125" s="96">
        <v>0.26</v>
      </c>
      <c r="CX125" s="96">
        <v>0</v>
      </c>
      <c r="CY125" s="96">
        <v>0.52</v>
      </c>
      <c r="CZ125" s="96">
        <v>0.26</v>
      </c>
      <c r="DA125" s="96">
        <v>0.63</v>
      </c>
      <c r="DB125" s="96">
        <v>0.25</v>
      </c>
      <c r="DC125" s="96">
        <v>0.43</v>
      </c>
      <c r="DD125" s="96">
        <v>0.71</v>
      </c>
      <c r="DE125" s="96">
        <v>0.36</v>
      </c>
      <c r="DF125" s="96">
        <v>0.5</v>
      </c>
      <c r="DG125" s="96">
        <v>0.37</v>
      </c>
      <c r="DH125" s="96">
        <v>0.31</v>
      </c>
      <c r="DI125" s="96">
        <v>0.48</v>
      </c>
      <c r="DJ125" s="96">
        <v>0.51</v>
      </c>
      <c r="DK125" s="96">
        <v>0.41</v>
      </c>
      <c r="DL125" s="96">
        <v>0.18</v>
      </c>
      <c r="DM125" s="96">
        <v>0.43</v>
      </c>
      <c r="DN125" s="96">
        <v>0.53</v>
      </c>
      <c r="DO125" s="96">
        <v>0.52</v>
      </c>
      <c r="DP125" s="96">
        <v>0.43</v>
      </c>
      <c r="DQ125" s="96">
        <v>0.55000000000000004</v>
      </c>
      <c r="DR125" s="96">
        <v>0.15</v>
      </c>
      <c r="DS125" s="96">
        <v>0.35</v>
      </c>
      <c r="DT125" s="96">
        <v>0.6</v>
      </c>
      <c r="DU125" s="96">
        <v>0.47</v>
      </c>
      <c r="DV125" s="96">
        <v>0.6</v>
      </c>
      <c r="DW125" s="96">
        <v>0.34</v>
      </c>
      <c r="DX125" s="61">
        <v>52</v>
      </c>
      <c r="DY125" s="61">
        <v>8</v>
      </c>
      <c r="DZ125" s="66">
        <v>0.1</v>
      </c>
      <c r="EA125" s="66">
        <v>0.57999999999999996</v>
      </c>
      <c r="EB125" s="66">
        <v>0.32</v>
      </c>
      <c r="EC125" s="66">
        <v>0</v>
      </c>
      <c r="ED125" s="66">
        <v>0.47</v>
      </c>
      <c r="EE125" s="66">
        <v>0.47</v>
      </c>
      <c r="EF125" s="66">
        <v>0.44</v>
      </c>
      <c r="EG125" s="66">
        <v>0.37</v>
      </c>
      <c r="EH125" s="66">
        <v>0.39</v>
      </c>
      <c r="EI125" s="66">
        <v>0.43</v>
      </c>
      <c r="EJ125" s="66">
        <v>0.55000000000000004</v>
      </c>
      <c r="EK125" s="66">
        <v>0.25</v>
      </c>
      <c r="EL125" s="66">
        <v>0.47</v>
      </c>
      <c r="EM125" s="66">
        <v>0.54</v>
      </c>
      <c r="EN125" s="66">
        <v>0.33</v>
      </c>
      <c r="EO125" s="66">
        <v>0.5</v>
      </c>
      <c r="EP125" s="66">
        <v>0.37</v>
      </c>
      <c r="EQ125" s="66">
        <v>0.35</v>
      </c>
      <c r="ER125" s="66">
        <v>0.62</v>
      </c>
      <c r="ES125" s="66">
        <v>0.43</v>
      </c>
      <c r="ET125" s="66">
        <v>0.28999999999999998</v>
      </c>
      <c r="EU125" s="66">
        <v>0.59</v>
      </c>
      <c r="EV125" s="66">
        <v>0.18</v>
      </c>
      <c r="EW125" s="66">
        <v>0.36</v>
      </c>
      <c r="EX125" s="66">
        <v>0.7</v>
      </c>
      <c r="EY125" s="66">
        <v>0.56000000000000005</v>
      </c>
      <c r="EZ125" s="66">
        <v>0.27</v>
      </c>
      <c r="FA125" s="66">
        <v>0.54</v>
      </c>
      <c r="FB125" s="349">
        <v>49</v>
      </c>
      <c r="FC125" s="348" t="s">
        <v>910</v>
      </c>
      <c r="FD125" s="349">
        <v>9</v>
      </c>
      <c r="FE125" s="348" t="s">
        <v>910</v>
      </c>
      <c r="FF125" s="371">
        <v>0.16</v>
      </c>
      <c r="FG125" s="371">
        <v>0.59</v>
      </c>
      <c r="FH125" s="371">
        <v>0.21</v>
      </c>
      <c r="FI125" s="371">
        <v>0.03</v>
      </c>
      <c r="FJ125" s="371">
        <v>0.47</v>
      </c>
      <c r="FK125" s="371">
        <v>0.7</v>
      </c>
      <c r="FL125" s="371">
        <v>0.47</v>
      </c>
      <c r="FM125" s="371">
        <v>0.44</v>
      </c>
      <c r="FN125" s="371">
        <v>0.38</v>
      </c>
      <c r="FO125" s="371">
        <v>0.38</v>
      </c>
      <c r="FP125" s="371">
        <v>0.41</v>
      </c>
      <c r="FQ125" s="371">
        <v>0.41</v>
      </c>
      <c r="FR125" s="371">
        <v>0.63</v>
      </c>
      <c r="FS125" s="371">
        <v>0.47</v>
      </c>
      <c r="FT125" s="371">
        <v>0.49</v>
      </c>
      <c r="FU125" s="371">
        <v>0.38</v>
      </c>
      <c r="FV125" s="371">
        <v>0.6</v>
      </c>
      <c r="FW125" s="371">
        <v>0.65</v>
      </c>
      <c r="FX125" s="371">
        <v>0.41</v>
      </c>
      <c r="FY125" s="371">
        <v>0.41</v>
      </c>
      <c r="FZ125" s="371">
        <v>0.41</v>
      </c>
      <c r="GA125" s="371">
        <v>0.45</v>
      </c>
      <c r="GB125" s="371">
        <v>0.52</v>
      </c>
      <c r="GC125" s="371">
        <v>0.38</v>
      </c>
      <c r="GD125" s="371">
        <v>0.63</v>
      </c>
      <c r="GE125" s="371">
        <v>0.55000000000000004</v>
      </c>
      <c r="GF125" s="371">
        <v>0.55000000000000004</v>
      </c>
      <c r="GG125" s="371">
        <v>0.46</v>
      </c>
      <c r="GH125" s="371">
        <v>0.53</v>
      </c>
      <c r="GI125" s="371">
        <v>0.3</v>
      </c>
      <c r="GJ125" s="469">
        <v>51</v>
      </c>
      <c r="GK125" s="471" t="s">
        <v>910</v>
      </c>
      <c r="GL125" s="469">
        <v>8</v>
      </c>
      <c r="GM125" s="471" t="s">
        <v>910</v>
      </c>
      <c r="GN125" s="501">
        <v>0.1</v>
      </c>
      <c r="GO125" s="501">
        <v>0.62</v>
      </c>
      <c r="GP125" s="501">
        <v>0.26</v>
      </c>
      <c r="GQ125" s="501">
        <v>0.02</v>
      </c>
      <c r="GR125" s="501">
        <v>0.4</v>
      </c>
      <c r="GS125" s="501">
        <v>0.55000000000000004</v>
      </c>
      <c r="GT125" s="501">
        <v>0.63</v>
      </c>
      <c r="GU125" s="501">
        <v>0.21</v>
      </c>
      <c r="GV125" s="501">
        <v>0.62</v>
      </c>
      <c r="GW125" s="501">
        <v>0.55000000000000004</v>
      </c>
      <c r="GX125" s="501">
        <v>0.4</v>
      </c>
      <c r="GY125" s="471" t="s">
        <v>287</v>
      </c>
      <c r="GZ125" s="501">
        <v>0.41</v>
      </c>
      <c r="HA125" s="501">
        <v>0.73</v>
      </c>
      <c r="HB125" s="501">
        <v>0.45</v>
      </c>
      <c r="HC125" s="501">
        <v>0.51</v>
      </c>
      <c r="HD125" s="501">
        <v>0.63</v>
      </c>
      <c r="HE125" s="501">
        <v>0.53</v>
      </c>
      <c r="HF125" s="501">
        <v>0.45</v>
      </c>
      <c r="HG125" s="501">
        <v>0.65</v>
      </c>
      <c r="HH125" s="501">
        <v>0.36</v>
      </c>
      <c r="HI125" s="501">
        <v>0.56999999999999995</v>
      </c>
      <c r="HJ125" s="501">
        <v>0.56000000000000005</v>
      </c>
      <c r="HK125" s="501">
        <v>0.61</v>
      </c>
      <c r="HL125" s="501">
        <v>0.45</v>
      </c>
      <c r="HM125" s="501">
        <v>0.52</v>
      </c>
      <c r="HN125" s="501">
        <v>0.39</v>
      </c>
      <c r="HO125" s="501">
        <v>0.39</v>
      </c>
      <c r="HP125" s="471" t="s">
        <v>287</v>
      </c>
      <c r="HQ125" s="501">
        <v>0.46</v>
      </c>
    </row>
    <row r="126" spans="1:259" s="461" customFormat="1" ht="24.9" customHeight="1" x14ac:dyDescent="0.25">
      <c r="A126" s="470" t="s">
        <v>968</v>
      </c>
      <c r="B126" s="1" t="s">
        <v>220</v>
      </c>
      <c r="C126" s="471">
        <v>3</v>
      </c>
      <c r="D126" s="502"/>
      <c r="E126" s="502"/>
      <c r="F126" s="508"/>
      <c r="G126" s="508"/>
      <c r="H126" s="508"/>
      <c r="I126" s="508"/>
      <c r="J126" s="508"/>
      <c r="K126" s="508"/>
      <c r="L126" s="508"/>
      <c r="M126" s="508"/>
      <c r="N126" s="508"/>
      <c r="O126" s="508"/>
      <c r="P126" s="508"/>
      <c r="Q126" s="508"/>
      <c r="R126" s="508"/>
      <c r="S126" s="508"/>
      <c r="T126" s="508"/>
      <c r="U126" s="508"/>
      <c r="V126" s="508"/>
      <c r="W126" s="508"/>
      <c r="X126" s="508"/>
      <c r="Y126" s="508"/>
      <c r="Z126" s="505"/>
      <c r="AA126" s="508"/>
      <c r="AB126" s="508"/>
      <c r="AC126" s="508"/>
      <c r="AD126" s="508"/>
      <c r="AE126" s="508"/>
      <c r="AF126" s="508"/>
      <c r="AG126" s="508"/>
      <c r="AH126" s="502"/>
      <c r="AI126" s="502"/>
      <c r="AJ126" s="506"/>
      <c r="AK126" s="506"/>
      <c r="AL126" s="506"/>
      <c r="AM126" s="506"/>
      <c r="AN126" s="506"/>
      <c r="AO126" s="506"/>
      <c r="AP126" s="506"/>
      <c r="AQ126" s="506"/>
      <c r="AR126" s="506"/>
      <c r="AS126" s="506"/>
      <c r="AT126" s="506"/>
      <c r="AU126" s="506"/>
      <c r="AV126" s="506"/>
      <c r="AW126" s="506"/>
      <c r="AX126" s="506"/>
      <c r="AY126" s="506"/>
      <c r="AZ126" s="506"/>
      <c r="BA126" s="506"/>
      <c r="BB126" s="506"/>
      <c r="BC126" s="506"/>
      <c r="BD126" s="506"/>
      <c r="BE126" s="506"/>
      <c r="BF126" s="506"/>
      <c r="BG126" s="506"/>
      <c r="BH126" s="506"/>
      <c r="BI126" s="506"/>
      <c r="BJ126" s="506"/>
      <c r="BK126" s="506"/>
      <c r="BL126" s="506"/>
      <c r="BM126" s="502"/>
      <c r="BN126" s="502"/>
      <c r="BO126" s="508"/>
      <c r="BP126" s="508"/>
      <c r="BQ126" s="508"/>
      <c r="BR126" s="508"/>
      <c r="BS126" s="508"/>
      <c r="BT126" s="508"/>
      <c r="BU126" s="508"/>
      <c r="BV126" s="508"/>
      <c r="BW126" s="508"/>
      <c r="BX126" s="508"/>
      <c r="BY126" s="508"/>
      <c r="BZ126" s="508"/>
      <c r="CA126" s="508"/>
      <c r="CB126" s="508"/>
      <c r="CC126" s="508"/>
      <c r="CD126" s="508"/>
      <c r="CE126" s="508"/>
      <c r="CF126" s="508"/>
      <c r="CG126" s="508"/>
      <c r="CH126" s="508"/>
      <c r="CI126" s="508"/>
      <c r="CJ126" s="508"/>
      <c r="CK126" s="508"/>
      <c r="CL126" s="508"/>
      <c r="CM126" s="508"/>
      <c r="CN126" s="508"/>
      <c r="CO126" s="508"/>
      <c r="CP126" s="508"/>
      <c r="CQ126" s="508"/>
      <c r="CR126" s="508"/>
      <c r="CS126" s="502"/>
      <c r="CT126" s="502"/>
      <c r="CU126" s="501"/>
      <c r="CV126" s="501"/>
      <c r="CW126" s="501"/>
      <c r="CX126" s="501"/>
      <c r="CY126" s="501"/>
      <c r="CZ126" s="501"/>
      <c r="DA126" s="501"/>
      <c r="DB126" s="501"/>
      <c r="DC126" s="501"/>
      <c r="DD126" s="501"/>
      <c r="DE126" s="501"/>
      <c r="DF126" s="501"/>
      <c r="DG126" s="501"/>
      <c r="DH126" s="501"/>
      <c r="DI126" s="501"/>
      <c r="DJ126" s="501"/>
      <c r="DK126" s="501"/>
      <c r="DL126" s="501"/>
      <c r="DM126" s="501"/>
      <c r="DN126" s="501"/>
      <c r="DO126" s="501"/>
      <c r="DP126" s="501"/>
      <c r="DQ126" s="501"/>
      <c r="DR126" s="501"/>
      <c r="DS126" s="501"/>
      <c r="DT126" s="501"/>
      <c r="DU126" s="501"/>
      <c r="DV126" s="501"/>
      <c r="DW126" s="501"/>
      <c r="DX126" s="472"/>
      <c r="DY126" s="472"/>
      <c r="DZ126" s="506"/>
      <c r="EA126" s="506"/>
      <c r="EB126" s="506"/>
      <c r="EC126" s="506"/>
      <c r="ED126" s="506"/>
      <c r="EE126" s="506"/>
      <c r="EF126" s="506"/>
      <c r="EG126" s="506"/>
      <c r="EH126" s="506"/>
      <c r="EI126" s="506"/>
      <c r="EJ126" s="506"/>
      <c r="EK126" s="506"/>
      <c r="EL126" s="506"/>
      <c r="EM126" s="506"/>
      <c r="EN126" s="506"/>
      <c r="EO126" s="506"/>
      <c r="EP126" s="506"/>
      <c r="EQ126" s="506"/>
      <c r="ER126" s="506"/>
      <c r="ES126" s="506"/>
      <c r="ET126" s="506"/>
      <c r="EU126" s="506"/>
      <c r="EV126" s="506"/>
      <c r="EW126" s="506"/>
      <c r="EX126" s="506"/>
      <c r="EY126" s="506"/>
      <c r="EZ126" s="506"/>
      <c r="FA126" s="506"/>
      <c r="FB126" s="475"/>
      <c r="FC126" s="493"/>
      <c r="FD126" s="475"/>
      <c r="FE126" s="493"/>
      <c r="FF126" s="507"/>
      <c r="FG126" s="507"/>
      <c r="FH126" s="507"/>
      <c r="FI126" s="507"/>
      <c r="FJ126" s="507"/>
      <c r="FK126" s="507"/>
      <c r="FL126" s="507"/>
      <c r="FM126" s="507"/>
      <c r="FN126" s="507"/>
      <c r="FO126" s="507"/>
      <c r="FP126" s="507"/>
      <c r="FQ126" s="507"/>
      <c r="FR126" s="507"/>
      <c r="FS126" s="507"/>
      <c r="FT126" s="507"/>
      <c r="FU126" s="507"/>
      <c r="FV126" s="507"/>
      <c r="FW126" s="507"/>
      <c r="FX126" s="507"/>
      <c r="FY126" s="507"/>
      <c r="FZ126" s="507"/>
      <c r="GA126" s="507"/>
      <c r="GB126" s="507"/>
      <c r="GC126" s="507"/>
      <c r="GD126" s="507"/>
      <c r="GE126" s="507"/>
      <c r="GF126" s="507"/>
      <c r="GG126" s="507"/>
      <c r="GH126" s="507"/>
      <c r="GI126" s="507"/>
      <c r="GJ126" s="469">
        <v>50</v>
      </c>
      <c r="GK126" s="471" t="s">
        <v>910</v>
      </c>
      <c r="GL126" s="469">
        <v>9</v>
      </c>
      <c r="GM126" s="471" t="s">
        <v>910</v>
      </c>
      <c r="GN126" s="501">
        <v>0.19</v>
      </c>
      <c r="GO126" s="501">
        <v>0.53</v>
      </c>
      <c r="GP126" s="501">
        <v>0.27</v>
      </c>
      <c r="GQ126" s="501">
        <v>0.01</v>
      </c>
      <c r="GR126" s="501">
        <v>0.53</v>
      </c>
      <c r="GS126" s="501">
        <v>0.52</v>
      </c>
      <c r="GT126" s="501">
        <v>0.67</v>
      </c>
      <c r="GU126" s="501">
        <v>0.3</v>
      </c>
      <c r="GV126" s="501">
        <v>0.59</v>
      </c>
      <c r="GW126" s="501">
        <v>0.47</v>
      </c>
      <c r="GX126" s="501">
        <v>0.48</v>
      </c>
      <c r="GY126" s="471" t="s">
        <v>287</v>
      </c>
      <c r="GZ126" s="501">
        <v>0.4</v>
      </c>
      <c r="HA126" s="501">
        <v>0.63</v>
      </c>
      <c r="HB126" s="501">
        <v>0.47</v>
      </c>
      <c r="HC126" s="501">
        <v>0.56999999999999995</v>
      </c>
      <c r="HD126" s="501">
        <v>0.63</v>
      </c>
      <c r="HE126" s="501">
        <v>0.44</v>
      </c>
      <c r="HF126" s="501">
        <v>0.48</v>
      </c>
      <c r="HG126" s="501">
        <v>0.68</v>
      </c>
      <c r="HH126" s="501">
        <v>0.4</v>
      </c>
      <c r="HI126" s="501">
        <v>0.54</v>
      </c>
      <c r="HJ126" s="501">
        <v>0.56999999999999995</v>
      </c>
      <c r="HK126" s="501">
        <v>0.54</v>
      </c>
      <c r="HL126" s="501">
        <v>0.46</v>
      </c>
      <c r="HM126" s="501">
        <v>0.52</v>
      </c>
      <c r="HN126" s="501">
        <v>0.48</v>
      </c>
      <c r="HO126" s="501">
        <v>0.5</v>
      </c>
      <c r="HP126" s="471" t="s">
        <v>287</v>
      </c>
      <c r="HQ126" s="501">
        <v>0.37</v>
      </c>
      <c r="HR126" s="630">
        <v>51</v>
      </c>
      <c r="HS126" s="640" t="s">
        <v>910</v>
      </c>
      <c r="HT126" s="630">
        <v>8</v>
      </c>
      <c r="HU126" s="640" t="s">
        <v>910</v>
      </c>
      <c r="HV126" s="644">
        <v>0.13</v>
      </c>
      <c r="HW126" s="644">
        <v>0.49</v>
      </c>
      <c r="HX126" s="644">
        <v>0.37</v>
      </c>
      <c r="HY126" s="644">
        <v>0.01</v>
      </c>
      <c r="HZ126" s="644">
        <v>0.39</v>
      </c>
      <c r="IA126" s="644">
        <v>0.52</v>
      </c>
      <c r="IB126" s="644">
        <v>0.32</v>
      </c>
      <c r="IC126" s="644">
        <v>0.48</v>
      </c>
      <c r="ID126" s="644">
        <v>0.66</v>
      </c>
      <c r="IE126" s="644">
        <v>0.34</v>
      </c>
      <c r="IF126" s="644">
        <v>0.38</v>
      </c>
      <c r="IG126" s="644">
        <v>0.49</v>
      </c>
      <c r="IH126" s="644">
        <v>0.56000000000000005</v>
      </c>
      <c r="II126" s="644">
        <v>0.34</v>
      </c>
      <c r="IJ126" s="644">
        <v>0.3</v>
      </c>
      <c r="IK126" s="644">
        <v>0.55000000000000004</v>
      </c>
      <c r="IL126" s="644">
        <v>0.35</v>
      </c>
      <c r="IM126" s="644">
        <v>0.53</v>
      </c>
      <c r="IN126" s="644">
        <v>0.47</v>
      </c>
      <c r="IO126" s="644">
        <v>0.55000000000000004</v>
      </c>
      <c r="IP126" s="644">
        <v>0.42</v>
      </c>
      <c r="IQ126" s="644">
        <v>0.63</v>
      </c>
      <c r="IR126" s="644">
        <v>0.48</v>
      </c>
      <c r="IS126" s="644">
        <v>0.56999999999999995</v>
      </c>
      <c r="IT126" s="644">
        <v>0.39</v>
      </c>
      <c r="IU126" s="640" t="s">
        <v>287</v>
      </c>
      <c r="IV126" s="644">
        <v>0.61</v>
      </c>
      <c r="IW126" s="644">
        <v>0.44</v>
      </c>
      <c r="IX126" s="644">
        <v>0.47</v>
      </c>
      <c r="IY126" s="644">
        <v>0.52</v>
      </c>
    </row>
    <row r="127" spans="1:259" ht="24.9" customHeight="1" x14ac:dyDescent="0.25">
      <c r="A127" s="188" t="s">
        <v>290</v>
      </c>
      <c r="B127" s="1" t="s">
        <v>222</v>
      </c>
      <c r="C127" s="2">
        <v>6</v>
      </c>
      <c r="D127" s="16">
        <v>52</v>
      </c>
      <c r="E127" s="16">
        <v>8</v>
      </c>
      <c r="F127" s="99">
        <v>7.0000000000000007E-2</v>
      </c>
      <c r="G127" s="99">
        <v>0.65</v>
      </c>
      <c r="H127" s="99">
        <v>0.28000000000000003</v>
      </c>
      <c r="I127" s="99">
        <v>0</v>
      </c>
      <c r="J127" s="99">
        <v>0.42</v>
      </c>
      <c r="K127" s="99">
        <v>0.45</v>
      </c>
      <c r="L127" s="99">
        <v>0.7</v>
      </c>
      <c r="M127" s="99">
        <v>0.22</v>
      </c>
      <c r="N127" s="99">
        <v>0.33</v>
      </c>
      <c r="O127" s="99">
        <v>0.62</v>
      </c>
      <c r="P127" s="99">
        <v>0.36</v>
      </c>
      <c r="Q127" s="99">
        <v>0.43</v>
      </c>
      <c r="R127" s="99">
        <v>0.53</v>
      </c>
      <c r="S127" s="99">
        <v>0.64</v>
      </c>
      <c r="T127" s="99">
        <v>0.51</v>
      </c>
      <c r="U127" s="99">
        <v>0.65</v>
      </c>
      <c r="V127" s="99">
        <v>0.11</v>
      </c>
      <c r="W127" s="99">
        <v>0.19</v>
      </c>
      <c r="X127" s="99">
        <v>0.54</v>
      </c>
      <c r="Y127" s="99">
        <v>0.54</v>
      </c>
      <c r="Z127" s="99">
        <v>0.5</v>
      </c>
      <c r="AA127" s="99">
        <v>0.22</v>
      </c>
      <c r="AB127" s="99">
        <v>0.43</v>
      </c>
      <c r="AC127" s="99">
        <v>0.34</v>
      </c>
      <c r="AD127" s="99">
        <v>0.5</v>
      </c>
      <c r="AE127" s="99">
        <v>0.36</v>
      </c>
      <c r="AF127" s="99">
        <v>0.57999999999999996</v>
      </c>
      <c r="AG127" s="99">
        <v>0.48</v>
      </c>
      <c r="AH127" s="16">
        <v>52</v>
      </c>
      <c r="AI127" s="16">
        <v>8</v>
      </c>
      <c r="AJ127" s="66">
        <v>0.11</v>
      </c>
      <c r="AK127" s="66">
        <v>0.53</v>
      </c>
      <c r="AL127" s="66">
        <v>0.35</v>
      </c>
      <c r="AM127" s="66">
        <v>0.01</v>
      </c>
      <c r="AN127" s="66">
        <v>0.26</v>
      </c>
      <c r="AO127" s="66">
        <v>0.4</v>
      </c>
      <c r="AP127" s="66">
        <v>0.61</v>
      </c>
      <c r="AQ127" s="66">
        <v>0.36</v>
      </c>
      <c r="AR127" s="66">
        <v>0.55000000000000004</v>
      </c>
      <c r="AS127" s="66">
        <v>0.49</v>
      </c>
      <c r="AT127" s="66">
        <v>0.5</v>
      </c>
      <c r="AU127" s="66">
        <v>0.56999999999999995</v>
      </c>
      <c r="AV127" s="66">
        <v>0.6</v>
      </c>
      <c r="AW127" s="66">
        <v>0.59</v>
      </c>
      <c r="AX127" s="66">
        <v>0.6</v>
      </c>
      <c r="AY127" s="66">
        <v>0.35</v>
      </c>
      <c r="AZ127" s="66">
        <v>0.37</v>
      </c>
      <c r="BA127" s="66">
        <v>0.5</v>
      </c>
      <c r="BB127" s="66">
        <v>0.6</v>
      </c>
      <c r="BC127" s="66">
        <v>0.67</v>
      </c>
      <c r="BD127" s="66">
        <v>0.35</v>
      </c>
      <c r="BE127" s="66">
        <v>0.55000000000000004</v>
      </c>
      <c r="BF127" s="66">
        <v>0.56999999999999995</v>
      </c>
      <c r="BG127" s="66">
        <v>0.52</v>
      </c>
      <c r="BH127" s="66">
        <v>0.42</v>
      </c>
      <c r="BI127" s="66">
        <v>0.4</v>
      </c>
      <c r="BJ127" s="66">
        <v>0.37</v>
      </c>
      <c r="BK127" s="66">
        <v>0.48</v>
      </c>
      <c r="BL127" s="66">
        <v>0.37</v>
      </c>
      <c r="BM127" s="16">
        <v>50</v>
      </c>
      <c r="BN127" s="16">
        <v>8</v>
      </c>
      <c r="BO127" s="99">
        <v>0.08</v>
      </c>
      <c r="BP127" s="99">
        <v>0.71</v>
      </c>
      <c r="BQ127" s="99">
        <v>0.21</v>
      </c>
      <c r="BR127" s="99">
        <v>0</v>
      </c>
      <c r="BS127" s="99">
        <v>0.33</v>
      </c>
      <c r="BT127" s="99">
        <v>0.6</v>
      </c>
      <c r="BU127" s="99">
        <v>0.67</v>
      </c>
      <c r="BV127" s="99">
        <v>0.41</v>
      </c>
      <c r="BW127" s="99">
        <v>0.66</v>
      </c>
      <c r="BX127" s="99">
        <v>0.36</v>
      </c>
      <c r="BY127" s="99">
        <v>0.42</v>
      </c>
      <c r="BZ127" s="99">
        <v>0.5</v>
      </c>
      <c r="CA127" s="99">
        <v>0.5</v>
      </c>
      <c r="CB127" s="99">
        <v>0.43</v>
      </c>
      <c r="CC127" s="99">
        <v>0.17</v>
      </c>
      <c r="CD127" s="99">
        <v>0.39</v>
      </c>
      <c r="CE127" s="99">
        <v>0.36</v>
      </c>
      <c r="CF127" s="99">
        <v>0.68</v>
      </c>
      <c r="CG127" s="99">
        <v>0.56000000000000005</v>
      </c>
      <c r="CH127" s="99">
        <v>0.45</v>
      </c>
      <c r="CI127" s="99">
        <v>0.55000000000000004</v>
      </c>
      <c r="CJ127" s="99">
        <v>0.36</v>
      </c>
      <c r="CK127" s="99">
        <v>0.73</v>
      </c>
      <c r="CL127" s="99">
        <v>0.36</v>
      </c>
      <c r="CM127" s="99">
        <v>0.53</v>
      </c>
      <c r="CN127" s="99">
        <v>0.47</v>
      </c>
      <c r="CO127" s="99">
        <v>0.51</v>
      </c>
      <c r="CP127" s="99">
        <v>0.38</v>
      </c>
      <c r="CQ127" s="99">
        <v>0.57999999999999996</v>
      </c>
      <c r="CR127" s="99">
        <v>0.59</v>
      </c>
      <c r="CS127" s="16">
        <v>48</v>
      </c>
      <c r="CT127" s="16">
        <v>8</v>
      </c>
      <c r="CU127" s="96">
        <v>0.12</v>
      </c>
      <c r="CV127" s="96">
        <v>0.73</v>
      </c>
      <c r="CW127" s="96">
        <v>0.15</v>
      </c>
      <c r="CX127" s="96">
        <v>0.01</v>
      </c>
      <c r="CY127" s="96">
        <v>0.5</v>
      </c>
      <c r="CZ127" s="96">
        <v>0.28000000000000003</v>
      </c>
      <c r="DA127" s="96">
        <v>0.6</v>
      </c>
      <c r="DB127" s="96">
        <v>0.43</v>
      </c>
      <c r="DC127" s="96">
        <v>0.48</v>
      </c>
      <c r="DD127" s="96">
        <v>0.6</v>
      </c>
      <c r="DE127" s="96">
        <v>0.51</v>
      </c>
      <c r="DF127" s="96">
        <v>0.57999999999999996</v>
      </c>
      <c r="DG127" s="96">
        <v>0.41</v>
      </c>
      <c r="DH127" s="96">
        <v>0.4</v>
      </c>
      <c r="DI127" s="96">
        <v>0.49</v>
      </c>
      <c r="DJ127" s="96">
        <v>0.56000000000000005</v>
      </c>
      <c r="DK127" s="96">
        <v>0.43</v>
      </c>
      <c r="DL127" s="96">
        <v>0.48</v>
      </c>
      <c r="DM127" s="96">
        <v>0.52</v>
      </c>
      <c r="DN127" s="96">
        <v>0.48</v>
      </c>
      <c r="DO127" s="96">
        <v>0.43</v>
      </c>
      <c r="DP127" s="96">
        <v>0.53</v>
      </c>
      <c r="DQ127" s="96">
        <v>0.62</v>
      </c>
      <c r="DR127" s="96">
        <v>0.25</v>
      </c>
      <c r="DS127" s="96">
        <v>0.39</v>
      </c>
      <c r="DT127" s="96">
        <v>0.57999999999999996</v>
      </c>
      <c r="DU127" s="96">
        <v>0.6</v>
      </c>
      <c r="DV127" s="96">
        <v>0.6</v>
      </c>
      <c r="DW127" s="96">
        <v>0.35</v>
      </c>
      <c r="DX127" s="61">
        <v>49</v>
      </c>
      <c r="DY127" s="61">
        <v>9</v>
      </c>
      <c r="DZ127" s="66">
        <v>0.22</v>
      </c>
      <c r="EA127" s="66">
        <v>0.52</v>
      </c>
      <c r="EB127" s="66">
        <v>0.26</v>
      </c>
      <c r="EC127" s="66">
        <v>0</v>
      </c>
      <c r="ED127" s="66">
        <v>0.52</v>
      </c>
      <c r="EE127" s="66">
        <v>0.55000000000000004</v>
      </c>
      <c r="EF127" s="66">
        <v>0.56999999999999995</v>
      </c>
      <c r="EG127" s="66">
        <v>0.38</v>
      </c>
      <c r="EH127" s="66">
        <v>0.51</v>
      </c>
      <c r="EI127" s="66">
        <v>0.55000000000000004</v>
      </c>
      <c r="EJ127" s="66">
        <v>0.61</v>
      </c>
      <c r="EK127" s="66">
        <v>0.25</v>
      </c>
      <c r="EL127" s="66">
        <v>0.45</v>
      </c>
      <c r="EM127" s="66">
        <v>0.72</v>
      </c>
      <c r="EN127" s="66">
        <v>0.48</v>
      </c>
      <c r="EO127" s="66">
        <v>0.56000000000000005</v>
      </c>
      <c r="EP127" s="66">
        <v>0.4</v>
      </c>
      <c r="EQ127" s="66">
        <v>0.3</v>
      </c>
      <c r="ER127" s="66">
        <v>0.66</v>
      </c>
      <c r="ES127" s="66">
        <v>0.49</v>
      </c>
      <c r="ET127" s="66">
        <v>0.34</v>
      </c>
      <c r="EU127" s="66">
        <v>0.56000000000000005</v>
      </c>
      <c r="EV127" s="66">
        <v>0.34</v>
      </c>
      <c r="EW127" s="66">
        <v>0.4</v>
      </c>
      <c r="EX127" s="66">
        <v>0.7</v>
      </c>
      <c r="EY127" s="66">
        <v>0.54</v>
      </c>
      <c r="EZ127" s="66">
        <v>0.18</v>
      </c>
      <c r="FA127" s="66">
        <v>0.6</v>
      </c>
      <c r="FB127" s="349">
        <v>48</v>
      </c>
      <c r="FC127" s="348" t="s">
        <v>910</v>
      </c>
      <c r="FD127" s="349">
        <v>7</v>
      </c>
      <c r="FE127" s="348" t="s">
        <v>910</v>
      </c>
      <c r="FF127" s="371">
        <v>0.17</v>
      </c>
      <c r="FG127" s="371">
        <v>0.7</v>
      </c>
      <c r="FH127" s="371">
        <v>0.13</v>
      </c>
      <c r="FI127" s="371">
        <v>0</v>
      </c>
      <c r="FJ127" s="371">
        <v>0.54</v>
      </c>
      <c r="FK127" s="371">
        <v>0.7</v>
      </c>
      <c r="FL127" s="371">
        <v>0.49</v>
      </c>
      <c r="FM127" s="371">
        <v>0.49</v>
      </c>
      <c r="FN127" s="371">
        <v>0.4</v>
      </c>
      <c r="FO127" s="371">
        <v>0.37</v>
      </c>
      <c r="FP127" s="371">
        <v>0.41</v>
      </c>
      <c r="FQ127" s="371">
        <v>0.42</v>
      </c>
      <c r="FR127" s="371">
        <v>0.63</v>
      </c>
      <c r="FS127" s="371">
        <v>0.56000000000000005</v>
      </c>
      <c r="FT127" s="371">
        <v>0.54</v>
      </c>
      <c r="FU127" s="371">
        <v>0.47</v>
      </c>
      <c r="FV127" s="371">
        <v>0.67</v>
      </c>
      <c r="FW127" s="371">
        <v>0.57999999999999996</v>
      </c>
      <c r="FX127" s="371">
        <v>0.54</v>
      </c>
      <c r="FY127" s="371">
        <v>0.43</v>
      </c>
      <c r="FZ127" s="371">
        <v>0.53</v>
      </c>
      <c r="GA127" s="371">
        <v>0.61</v>
      </c>
      <c r="GB127" s="371">
        <v>0.56999999999999995</v>
      </c>
      <c r="GC127" s="371">
        <v>0.48</v>
      </c>
      <c r="GD127" s="371">
        <v>0.65</v>
      </c>
      <c r="GE127" s="371">
        <v>0.59</v>
      </c>
      <c r="GF127" s="371">
        <v>0.51</v>
      </c>
      <c r="GG127" s="371">
        <v>0.56000000000000005</v>
      </c>
      <c r="GH127" s="371">
        <v>0.61</v>
      </c>
      <c r="GI127" s="371">
        <v>0.31</v>
      </c>
      <c r="GJ127" s="469">
        <v>47</v>
      </c>
      <c r="GK127" s="471" t="s">
        <v>910</v>
      </c>
      <c r="GL127" s="469">
        <v>9</v>
      </c>
      <c r="GM127" s="471" t="s">
        <v>910</v>
      </c>
      <c r="GN127" s="501">
        <v>0.25</v>
      </c>
      <c r="GO127" s="501">
        <v>0.61</v>
      </c>
      <c r="GP127" s="501">
        <v>0.14000000000000001</v>
      </c>
      <c r="GQ127" s="501">
        <v>0</v>
      </c>
      <c r="GR127" s="501">
        <v>0.66</v>
      </c>
      <c r="GS127" s="501">
        <v>0.61</v>
      </c>
      <c r="GT127" s="501">
        <v>0.7</v>
      </c>
      <c r="GU127" s="501">
        <v>0.24</v>
      </c>
      <c r="GV127" s="501">
        <v>0.64</v>
      </c>
      <c r="GW127" s="501">
        <v>0.64</v>
      </c>
      <c r="GX127" s="501">
        <v>0.56999999999999995</v>
      </c>
      <c r="GY127" s="471" t="s">
        <v>287</v>
      </c>
      <c r="GZ127" s="501">
        <v>0.39</v>
      </c>
      <c r="HA127" s="501">
        <v>0.63</v>
      </c>
      <c r="HB127" s="501">
        <v>0.57999999999999996</v>
      </c>
      <c r="HC127" s="501">
        <v>0.56999999999999995</v>
      </c>
      <c r="HD127" s="501">
        <v>0.65</v>
      </c>
      <c r="HE127" s="501">
        <v>0.53</v>
      </c>
      <c r="HF127" s="501">
        <v>0.56999999999999995</v>
      </c>
      <c r="HG127" s="501">
        <v>0.67</v>
      </c>
      <c r="HH127" s="501">
        <v>0.44</v>
      </c>
      <c r="HI127" s="501">
        <v>0.61</v>
      </c>
      <c r="HJ127" s="501">
        <v>0.63</v>
      </c>
      <c r="HK127" s="501">
        <v>0.57999999999999996</v>
      </c>
      <c r="HL127" s="501">
        <v>0.45</v>
      </c>
      <c r="HM127" s="501">
        <v>0.56000000000000005</v>
      </c>
      <c r="HN127" s="501">
        <v>0.55000000000000004</v>
      </c>
      <c r="HO127" s="501">
        <v>0.46</v>
      </c>
      <c r="HP127" s="471" t="s">
        <v>287</v>
      </c>
      <c r="HQ127" s="501">
        <v>0.46</v>
      </c>
      <c r="HR127" s="630">
        <v>49</v>
      </c>
      <c r="HS127" s="640" t="s">
        <v>910</v>
      </c>
      <c r="HT127" s="630">
        <v>9</v>
      </c>
      <c r="HU127" s="640" t="s">
        <v>910</v>
      </c>
      <c r="HV127" s="644">
        <v>0.16</v>
      </c>
      <c r="HW127" s="644">
        <v>0.6</v>
      </c>
      <c r="HX127" s="644">
        <v>0.23</v>
      </c>
      <c r="HY127" s="644">
        <v>0.01</v>
      </c>
      <c r="HZ127" s="644">
        <v>0.41</v>
      </c>
      <c r="IA127" s="644">
        <v>0.56000000000000005</v>
      </c>
      <c r="IB127" s="644">
        <v>0.49</v>
      </c>
      <c r="IC127" s="644">
        <v>0.51</v>
      </c>
      <c r="ID127" s="644">
        <v>0.66</v>
      </c>
      <c r="IE127" s="644">
        <v>0.33</v>
      </c>
      <c r="IF127" s="644">
        <v>0.48</v>
      </c>
      <c r="IG127" s="644">
        <v>0.62</v>
      </c>
      <c r="IH127" s="644">
        <v>0.55000000000000004</v>
      </c>
      <c r="II127" s="644">
        <v>0.43</v>
      </c>
      <c r="IJ127" s="644">
        <v>0.34</v>
      </c>
      <c r="IK127" s="644">
        <v>0.63</v>
      </c>
      <c r="IL127" s="644">
        <v>0.44</v>
      </c>
      <c r="IM127" s="644">
        <v>0.62</v>
      </c>
      <c r="IN127" s="644">
        <v>0.48</v>
      </c>
      <c r="IO127" s="644">
        <v>0.59</v>
      </c>
      <c r="IP127" s="644">
        <v>0.44</v>
      </c>
      <c r="IQ127" s="644">
        <v>0.68</v>
      </c>
      <c r="IR127" s="644">
        <v>0.61</v>
      </c>
      <c r="IS127" s="644">
        <v>0.59</v>
      </c>
      <c r="IT127" s="644">
        <v>0.46</v>
      </c>
      <c r="IU127" s="640" t="s">
        <v>287</v>
      </c>
      <c r="IV127" s="644">
        <v>0.66</v>
      </c>
      <c r="IW127" s="644">
        <v>0.43</v>
      </c>
      <c r="IX127" s="644">
        <v>0.64</v>
      </c>
      <c r="IY127" s="644">
        <v>0.56000000000000005</v>
      </c>
    </row>
    <row r="128" spans="1:259" s="461" customFormat="1" ht="24.9" customHeight="1" x14ac:dyDescent="0.25">
      <c r="A128" s="470" t="s">
        <v>970</v>
      </c>
      <c r="B128" s="1" t="s">
        <v>220</v>
      </c>
      <c r="C128" s="471">
        <v>2</v>
      </c>
      <c r="D128" s="502"/>
      <c r="E128" s="502"/>
      <c r="F128" s="508"/>
      <c r="G128" s="508"/>
      <c r="H128" s="508"/>
      <c r="I128" s="508"/>
      <c r="J128" s="508"/>
      <c r="K128" s="508"/>
      <c r="L128" s="508"/>
      <c r="M128" s="508"/>
      <c r="N128" s="508"/>
      <c r="O128" s="508"/>
      <c r="P128" s="508"/>
      <c r="Q128" s="508"/>
      <c r="R128" s="508"/>
      <c r="S128" s="508"/>
      <c r="T128" s="508"/>
      <c r="U128" s="508"/>
      <c r="V128" s="508"/>
      <c r="W128" s="508"/>
      <c r="X128" s="508"/>
      <c r="Y128" s="508"/>
      <c r="Z128" s="508"/>
      <c r="AA128" s="508"/>
      <c r="AB128" s="508"/>
      <c r="AC128" s="508"/>
      <c r="AD128" s="508"/>
      <c r="AE128" s="508"/>
      <c r="AF128" s="508"/>
      <c r="AG128" s="508"/>
      <c r="AH128" s="502"/>
      <c r="AI128" s="502"/>
      <c r="AJ128" s="506"/>
      <c r="AK128" s="506"/>
      <c r="AL128" s="506"/>
      <c r="AM128" s="506"/>
      <c r="AN128" s="506"/>
      <c r="AO128" s="506"/>
      <c r="AP128" s="506"/>
      <c r="AQ128" s="506"/>
      <c r="AR128" s="506"/>
      <c r="AS128" s="506"/>
      <c r="AT128" s="506"/>
      <c r="AU128" s="506"/>
      <c r="AV128" s="506"/>
      <c r="AW128" s="506"/>
      <c r="AX128" s="506"/>
      <c r="AY128" s="506"/>
      <c r="AZ128" s="506"/>
      <c r="BA128" s="506"/>
      <c r="BB128" s="506"/>
      <c r="BC128" s="506"/>
      <c r="BD128" s="506"/>
      <c r="BE128" s="506"/>
      <c r="BF128" s="506"/>
      <c r="BG128" s="506"/>
      <c r="BH128" s="506"/>
      <c r="BI128" s="506"/>
      <c r="BJ128" s="506"/>
      <c r="BK128" s="506"/>
      <c r="BL128" s="506"/>
      <c r="BM128" s="502"/>
      <c r="BN128" s="502"/>
      <c r="BO128" s="508"/>
      <c r="BP128" s="508"/>
      <c r="BQ128" s="508"/>
      <c r="BR128" s="508"/>
      <c r="BS128" s="508"/>
      <c r="BT128" s="508"/>
      <c r="BU128" s="508"/>
      <c r="BV128" s="508"/>
      <c r="BW128" s="508"/>
      <c r="BX128" s="508"/>
      <c r="BY128" s="508"/>
      <c r="BZ128" s="508"/>
      <c r="CA128" s="508"/>
      <c r="CB128" s="508"/>
      <c r="CC128" s="508"/>
      <c r="CD128" s="508"/>
      <c r="CE128" s="508"/>
      <c r="CF128" s="508"/>
      <c r="CG128" s="508"/>
      <c r="CH128" s="508"/>
      <c r="CI128" s="508"/>
      <c r="CJ128" s="508"/>
      <c r="CK128" s="508"/>
      <c r="CL128" s="508"/>
      <c r="CM128" s="508"/>
      <c r="CN128" s="508"/>
      <c r="CO128" s="508"/>
      <c r="CP128" s="508"/>
      <c r="CQ128" s="508"/>
      <c r="CR128" s="508"/>
      <c r="CS128" s="502"/>
      <c r="CT128" s="502"/>
      <c r="CU128" s="501"/>
      <c r="CV128" s="501"/>
      <c r="CW128" s="501"/>
      <c r="CX128" s="501"/>
      <c r="CY128" s="501"/>
      <c r="CZ128" s="501"/>
      <c r="DA128" s="501"/>
      <c r="DB128" s="501"/>
      <c r="DC128" s="501"/>
      <c r="DD128" s="501"/>
      <c r="DE128" s="501"/>
      <c r="DF128" s="501"/>
      <c r="DG128" s="501"/>
      <c r="DH128" s="501"/>
      <c r="DI128" s="501"/>
      <c r="DJ128" s="501"/>
      <c r="DK128" s="501"/>
      <c r="DL128" s="501"/>
      <c r="DM128" s="501"/>
      <c r="DN128" s="501"/>
      <c r="DO128" s="501"/>
      <c r="DP128" s="501"/>
      <c r="DQ128" s="501"/>
      <c r="DR128" s="501"/>
      <c r="DS128" s="501"/>
      <c r="DT128" s="501"/>
      <c r="DU128" s="501"/>
      <c r="DV128" s="501"/>
      <c r="DW128" s="501"/>
      <c r="DX128" s="472"/>
      <c r="DY128" s="472"/>
      <c r="DZ128" s="506"/>
      <c r="EA128" s="506"/>
      <c r="EB128" s="506"/>
      <c r="EC128" s="506"/>
      <c r="ED128" s="506"/>
      <c r="EE128" s="506"/>
      <c r="EF128" s="506"/>
      <c r="EG128" s="506"/>
      <c r="EH128" s="506"/>
      <c r="EI128" s="506"/>
      <c r="EJ128" s="506"/>
      <c r="EK128" s="506"/>
      <c r="EL128" s="506"/>
      <c r="EM128" s="506"/>
      <c r="EN128" s="506"/>
      <c r="EO128" s="506"/>
      <c r="EP128" s="506"/>
      <c r="EQ128" s="506"/>
      <c r="ER128" s="506"/>
      <c r="ES128" s="506"/>
      <c r="ET128" s="506"/>
      <c r="EU128" s="506"/>
      <c r="EV128" s="506"/>
      <c r="EW128" s="506"/>
      <c r="EX128" s="506"/>
      <c r="EY128" s="506"/>
      <c r="EZ128" s="506"/>
      <c r="FA128" s="506"/>
      <c r="FB128" s="475"/>
      <c r="FC128" s="493"/>
      <c r="FD128" s="475"/>
      <c r="FE128" s="493"/>
      <c r="FF128" s="507"/>
      <c r="FG128" s="507"/>
      <c r="FH128" s="507"/>
      <c r="FI128" s="507"/>
      <c r="FJ128" s="507"/>
      <c r="FK128" s="507"/>
      <c r="FL128" s="507"/>
      <c r="FM128" s="507"/>
      <c r="FN128" s="507"/>
      <c r="FO128" s="507"/>
      <c r="FP128" s="507"/>
      <c r="FQ128" s="507"/>
      <c r="FR128" s="507"/>
      <c r="FS128" s="507"/>
      <c r="FT128" s="507"/>
      <c r="FU128" s="507"/>
      <c r="FV128" s="507"/>
      <c r="FW128" s="507"/>
      <c r="FX128" s="507"/>
      <c r="FY128" s="507"/>
      <c r="FZ128" s="507"/>
      <c r="GA128" s="507"/>
      <c r="GB128" s="507"/>
      <c r="GC128" s="507"/>
      <c r="GD128" s="507"/>
      <c r="GE128" s="507"/>
      <c r="GF128" s="507"/>
      <c r="GG128" s="507"/>
      <c r="GH128" s="507"/>
      <c r="GI128" s="507"/>
      <c r="GJ128" s="469">
        <v>48</v>
      </c>
      <c r="GK128" s="471" t="s">
        <v>910</v>
      </c>
      <c r="GL128" s="469">
        <v>8</v>
      </c>
      <c r="GM128" s="471" t="s">
        <v>910</v>
      </c>
      <c r="GN128" s="501">
        <v>0.2</v>
      </c>
      <c r="GO128" s="501">
        <v>0.71</v>
      </c>
      <c r="GP128" s="501">
        <v>0.1</v>
      </c>
      <c r="GQ128" s="501">
        <v>0</v>
      </c>
      <c r="GR128" s="501">
        <v>0.53</v>
      </c>
      <c r="GS128" s="501">
        <v>0.55000000000000004</v>
      </c>
      <c r="GT128" s="501">
        <v>0.68</v>
      </c>
      <c r="GU128" s="501">
        <v>0.17</v>
      </c>
      <c r="GV128" s="501">
        <v>0.7</v>
      </c>
      <c r="GW128" s="501">
        <v>0.52</v>
      </c>
      <c r="GX128" s="501">
        <v>0.54</v>
      </c>
      <c r="GY128" s="471" t="s">
        <v>287</v>
      </c>
      <c r="GZ128" s="501">
        <v>0.39</v>
      </c>
      <c r="HA128" s="501">
        <v>0.71</v>
      </c>
      <c r="HB128" s="501">
        <v>0.51</v>
      </c>
      <c r="HC128" s="501">
        <v>0.62</v>
      </c>
      <c r="HD128" s="501">
        <v>0.63</v>
      </c>
      <c r="HE128" s="501">
        <v>0.43</v>
      </c>
      <c r="HF128" s="501">
        <v>0.53</v>
      </c>
      <c r="HG128" s="501">
        <v>0.71</v>
      </c>
      <c r="HH128" s="501">
        <v>0.46</v>
      </c>
      <c r="HI128" s="501">
        <v>0.62</v>
      </c>
      <c r="HJ128" s="501">
        <v>0.63</v>
      </c>
      <c r="HK128" s="501">
        <v>0.57999999999999996</v>
      </c>
      <c r="HL128" s="501">
        <v>0.44</v>
      </c>
      <c r="HM128" s="501">
        <v>0.56000000000000005</v>
      </c>
      <c r="HN128" s="501">
        <v>0.5</v>
      </c>
      <c r="HO128" s="501">
        <v>0.52</v>
      </c>
      <c r="HP128" s="471" t="s">
        <v>287</v>
      </c>
      <c r="HQ128" s="501">
        <v>0.46</v>
      </c>
      <c r="HR128" s="630">
        <v>49</v>
      </c>
      <c r="HS128" s="640" t="s">
        <v>910</v>
      </c>
      <c r="HT128" s="630">
        <v>8</v>
      </c>
      <c r="HU128" s="640" t="s">
        <v>910</v>
      </c>
      <c r="HV128" s="644">
        <v>0.13</v>
      </c>
      <c r="HW128" s="644">
        <v>0.64</v>
      </c>
      <c r="HX128" s="644">
        <v>0.23</v>
      </c>
      <c r="HY128" s="644">
        <v>0.01</v>
      </c>
      <c r="HZ128" s="644">
        <v>0.37</v>
      </c>
      <c r="IA128" s="644">
        <v>0.56999999999999995</v>
      </c>
      <c r="IB128" s="644">
        <v>0.39</v>
      </c>
      <c r="IC128" s="644">
        <v>0.56000000000000005</v>
      </c>
      <c r="ID128" s="644">
        <v>0.69</v>
      </c>
      <c r="IE128" s="644">
        <v>0.33</v>
      </c>
      <c r="IF128" s="644">
        <v>0.38</v>
      </c>
      <c r="IG128" s="644">
        <v>0.55000000000000004</v>
      </c>
      <c r="IH128" s="644">
        <v>0.56000000000000005</v>
      </c>
      <c r="II128" s="644">
        <v>0.43</v>
      </c>
      <c r="IJ128" s="644">
        <v>0.35</v>
      </c>
      <c r="IK128" s="644">
        <v>0.63</v>
      </c>
      <c r="IL128" s="644">
        <v>0.42</v>
      </c>
      <c r="IM128" s="644">
        <v>0.59</v>
      </c>
      <c r="IN128" s="644">
        <v>0.43</v>
      </c>
      <c r="IO128" s="644">
        <v>0.57999999999999996</v>
      </c>
      <c r="IP128" s="644">
        <v>0.44</v>
      </c>
      <c r="IQ128" s="644">
        <v>0.66</v>
      </c>
      <c r="IR128" s="644">
        <v>0.62</v>
      </c>
      <c r="IS128" s="644">
        <v>0.56999999999999995</v>
      </c>
      <c r="IT128" s="644">
        <v>0.46</v>
      </c>
      <c r="IU128" s="640" t="s">
        <v>287</v>
      </c>
      <c r="IV128" s="644">
        <v>0.63</v>
      </c>
      <c r="IW128" s="644">
        <v>0.42</v>
      </c>
      <c r="IX128" s="644">
        <v>0.55000000000000004</v>
      </c>
      <c r="IY128" s="644">
        <v>0.55000000000000004</v>
      </c>
    </row>
    <row r="129" spans="1:259" ht="24.9" customHeight="1" x14ac:dyDescent="0.25">
      <c r="A129" s="188" t="s">
        <v>193</v>
      </c>
      <c r="B129" s="1" t="s">
        <v>222</v>
      </c>
      <c r="C129" s="2">
        <v>2</v>
      </c>
      <c r="D129" s="16">
        <v>49</v>
      </c>
      <c r="E129" s="16">
        <v>10</v>
      </c>
      <c r="F129" s="99">
        <v>0</v>
      </c>
      <c r="G129" s="99">
        <v>0.5</v>
      </c>
      <c r="H129" s="99">
        <v>0.5</v>
      </c>
      <c r="I129" s="99">
        <v>0</v>
      </c>
      <c r="J129" s="99">
        <v>0</v>
      </c>
      <c r="K129" s="99">
        <v>0</v>
      </c>
      <c r="L129" s="99">
        <v>0.75</v>
      </c>
      <c r="M129" s="99">
        <v>0</v>
      </c>
      <c r="N129" s="99">
        <v>0.6</v>
      </c>
      <c r="O129" s="99">
        <v>0.67</v>
      </c>
      <c r="P129" s="99">
        <v>0.38</v>
      </c>
      <c r="Q129" s="99">
        <v>0.63</v>
      </c>
      <c r="R129" s="99">
        <v>0.7</v>
      </c>
      <c r="S129" s="99">
        <v>1</v>
      </c>
      <c r="T129" s="99">
        <v>1</v>
      </c>
      <c r="U129" s="99">
        <v>1</v>
      </c>
      <c r="V129" s="99">
        <v>0</v>
      </c>
      <c r="W129" s="99">
        <v>0</v>
      </c>
      <c r="X129" s="99">
        <v>0.63</v>
      </c>
      <c r="Y129" s="99">
        <v>0.5</v>
      </c>
      <c r="Z129" s="13" t="s">
        <v>287</v>
      </c>
      <c r="AA129" s="99">
        <v>0.5</v>
      </c>
      <c r="AB129" s="99">
        <v>0.57999999999999996</v>
      </c>
      <c r="AC129" s="99">
        <v>0.5</v>
      </c>
      <c r="AD129" s="99">
        <v>0.38</v>
      </c>
      <c r="AE129" s="99">
        <v>0.25</v>
      </c>
      <c r="AF129" s="99">
        <v>0.75</v>
      </c>
      <c r="AG129" s="99">
        <v>0.83</v>
      </c>
      <c r="AH129" s="13" t="s">
        <v>226</v>
      </c>
      <c r="AI129" s="13" t="s">
        <v>226</v>
      </c>
      <c r="AJ129" s="66"/>
      <c r="AK129" s="66"/>
      <c r="AL129" s="66"/>
      <c r="AM129" s="66"/>
      <c r="AN129" s="66"/>
      <c r="AO129" s="66"/>
      <c r="AP129" s="66"/>
      <c r="AQ129" s="66"/>
      <c r="AR129" s="66"/>
      <c r="AS129" s="66"/>
      <c r="AT129" s="66"/>
      <c r="AU129" s="66"/>
      <c r="AV129" s="66"/>
      <c r="AW129" s="66"/>
      <c r="AX129" s="66"/>
      <c r="AY129" s="66"/>
      <c r="AZ129" s="66"/>
      <c r="BA129" s="66"/>
      <c r="BB129" s="66"/>
      <c r="BC129" s="66"/>
      <c r="BD129" s="66"/>
      <c r="BE129" s="66"/>
      <c r="BF129" s="66"/>
      <c r="BG129" s="66"/>
      <c r="BH129" s="66"/>
      <c r="BI129" s="66"/>
      <c r="BJ129" s="66"/>
      <c r="BK129" s="66"/>
      <c r="BL129" s="66"/>
      <c r="BM129" s="13" t="s">
        <v>226</v>
      </c>
      <c r="BN129" s="13" t="s">
        <v>226</v>
      </c>
      <c r="BO129" s="13"/>
      <c r="BP129" s="13"/>
      <c r="BQ129" s="13"/>
      <c r="BR129" s="13"/>
      <c r="BS129" s="13"/>
      <c r="BT129" s="13"/>
      <c r="BU129" s="13"/>
      <c r="BV129" s="13"/>
      <c r="BW129" s="13"/>
      <c r="BX129" s="13"/>
      <c r="BY129" s="13"/>
      <c r="BZ129" s="13"/>
      <c r="CA129" s="13"/>
      <c r="CB129" s="13"/>
      <c r="CC129" s="13"/>
      <c r="CD129" s="13"/>
      <c r="CE129" s="13"/>
      <c r="CF129" s="13"/>
      <c r="CG129" s="13"/>
      <c r="CH129" s="13"/>
      <c r="CI129" s="13"/>
      <c r="CJ129" s="13"/>
      <c r="CK129" s="13"/>
      <c r="CL129" s="13"/>
      <c r="CM129" s="13"/>
      <c r="CN129" s="13"/>
      <c r="CO129" s="13"/>
      <c r="CP129" s="13"/>
      <c r="CQ129" s="13"/>
      <c r="CR129" s="13"/>
      <c r="CS129" s="13" t="s">
        <v>226</v>
      </c>
      <c r="CT129" s="13" t="s">
        <v>226</v>
      </c>
      <c r="CU129" s="2"/>
      <c r="CV129" s="2"/>
      <c r="CW129" s="2"/>
      <c r="CX129" s="2"/>
      <c r="CY129" s="2"/>
      <c r="CZ129" s="2"/>
      <c r="DA129" s="2"/>
      <c r="DB129" s="2"/>
      <c r="DC129" s="2"/>
      <c r="DD129" s="2"/>
      <c r="DE129" s="2"/>
      <c r="DF129" s="2"/>
      <c r="DG129" s="2"/>
      <c r="DH129" s="2"/>
      <c r="DI129" s="2"/>
      <c r="DJ129" s="2"/>
      <c r="DK129" s="2"/>
      <c r="DL129" s="2"/>
      <c r="DM129" s="2"/>
      <c r="DN129" s="2"/>
      <c r="DO129" s="2"/>
      <c r="DP129" s="2"/>
      <c r="DQ129" s="2"/>
      <c r="DR129" s="2"/>
      <c r="DS129" s="2"/>
      <c r="DT129" s="2"/>
      <c r="DU129" s="2"/>
      <c r="DV129" s="2"/>
      <c r="DW129" s="2"/>
      <c r="DX129" s="61">
        <v>45</v>
      </c>
      <c r="DY129" s="61">
        <v>8</v>
      </c>
      <c r="DZ129" s="66">
        <v>0.33</v>
      </c>
      <c r="EA129" s="66">
        <v>0.59</v>
      </c>
      <c r="EB129" s="66">
        <v>0.08</v>
      </c>
      <c r="EC129" s="66">
        <v>0</v>
      </c>
      <c r="ED129" s="66">
        <v>0.53</v>
      </c>
      <c r="EE129" s="66">
        <v>0.56999999999999995</v>
      </c>
      <c r="EF129" s="66">
        <v>0.62</v>
      </c>
      <c r="EG129" s="66">
        <v>0.5</v>
      </c>
      <c r="EH129" s="66">
        <v>0.5</v>
      </c>
      <c r="EI129" s="66">
        <v>0.54</v>
      </c>
      <c r="EJ129" s="66">
        <v>0.63</v>
      </c>
      <c r="EK129" s="66">
        <v>0.44</v>
      </c>
      <c r="EL129" s="66">
        <v>0.55000000000000004</v>
      </c>
      <c r="EM129" s="66">
        <v>0.66</v>
      </c>
      <c r="EN129" s="66">
        <v>0.56999999999999995</v>
      </c>
      <c r="EO129" s="66">
        <v>0.61</v>
      </c>
      <c r="EP129" s="66">
        <v>0.51</v>
      </c>
      <c r="EQ129" s="66">
        <v>0.4</v>
      </c>
      <c r="ER129" s="66">
        <v>0.67</v>
      </c>
      <c r="ES129" s="66">
        <v>0.59</v>
      </c>
      <c r="ET129" s="66">
        <v>0.41</v>
      </c>
      <c r="EU129" s="66">
        <v>0.63</v>
      </c>
      <c r="EV129" s="66">
        <v>0.49</v>
      </c>
      <c r="EW129" s="66">
        <v>0.35</v>
      </c>
      <c r="EX129" s="66">
        <v>0.67</v>
      </c>
      <c r="EY129" s="66">
        <v>0.7</v>
      </c>
      <c r="EZ129" s="66">
        <v>0.31</v>
      </c>
      <c r="FA129" s="66">
        <v>0.68</v>
      </c>
      <c r="FB129" s="349">
        <v>37</v>
      </c>
      <c r="FC129" s="348" t="s">
        <v>912</v>
      </c>
      <c r="FD129" s="349">
        <v>6</v>
      </c>
      <c r="FE129" s="348" t="s">
        <v>910</v>
      </c>
      <c r="FF129" s="371">
        <v>0.56000000000000005</v>
      </c>
      <c r="FG129" s="371">
        <v>0.44</v>
      </c>
      <c r="FH129" s="371">
        <v>0</v>
      </c>
      <c r="FI129" s="371">
        <v>0</v>
      </c>
      <c r="FJ129" s="371">
        <v>0.75</v>
      </c>
      <c r="FK129" s="371">
        <v>0.82</v>
      </c>
      <c r="FL129" s="371">
        <v>0.76</v>
      </c>
      <c r="FM129" s="371">
        <v>0.88</v>
      </c>
      <c r="FN129" s="371">
        <v>0.56000000000000005</v>
      </c>
      <c r="FO129" s="371">
        <v>0.6</v>
      </c>
      <c r="FP129" s="371">
        <v>0.7</v>
      </c>
      <c r="FQ129" s="371">
        <v>0.47</v>
      </c>
      <c r="FR129" s="371">
        <v>0.69</v>
      </c>
      <c r="FS129" s="371">
        <v>0.75</v>
      </c>
      <c r="FT129" s="371">
        <v>0.47</v>
      </c>
      <c r="FU129" s="371">
        <v>0.57999999999999996</v>
      </c>
      <c r="FV129" s="371">
        <v>0.82</v>
      </c>
      <c r="FW129" s="371">
        <v>0.76</v>
      </c>
      <c r="FX129" s="371">
        <v>0.82</v>
      </c>
      <c r="FY129" s="371">
        <v>0.75</v>
      </c>
      <c r="FZ129" s="371">
        <v>0.56999999999999995</v>
      </c>
      <c r="GA129" s="371">
        <v>0.5</v>
      </c>
      <c r="GB129" s="371">
        <v>0.75</v>
      </c>
      <c r="GC129" s="371">
        <v>0.62</v>
      </c>
      <c r="GD129" s="371">
        <v>0.69</v>
      </c>
      <c r="GE129" s="371">
        <v>0.71</v>
      </c>
      <c r="GF129" s="371">
        <v>0.67</v>
      </c>
      <c r="GG129" s="371">
        <v>0.76</v>
      </c>
      <c r="GH129" s="371">
        <v>0.62</v>
      </c>
      <c r="GI129" s="371">
        <v>0.65</v>
      </c>
    </row>
    <row r="130" spans="1:259" ht="24.9" customHeight="1" x14ac:dyDescent="0.25">
      <c r="A130" s="188" t="s">
        <v>233</v>
      </c>
      <c r="B130" s="1" t="s">
        <v>222</v>
      </c>
      <c r="C130" s="2">
        <v>4</v>
      </c>
      <c r="D130" s="13" t="s">
        <v>226</v>
      </c>
      <c r="E130" s="13" t="s">
        <v>226</v>
      </c>
      <c r="F130" s="13"/>
      <c r="G130" s="13"/>
      <c r="H130" s="13"/>
      <c r="I130" s="13"/>
      <c r="J130" s="13"/>
      <c r="K130" s="13"/>
      <c r="L130" s="13"/>
      <c r="M130" s="13"/>
      <c r="N130" s="13"/>
      <c r="O130" s="13"/>
      <c r="P130" s="13"/>
      <c r="Q130" s="13"/>
      <c r="R130" s="13"/>
      <c r="S130" s="13"/>
      <c r="T130" s="13"/>
      <c r="U130" s="13"/>
      <c r="V130" s="13"/>
      <c r="W130" s="13"/>
      <c r="X130" s="13"/>
      <c r="Y130" s="13"/>
      <c r="Z130" s="13"/>
      <c r="AA130" s="13"/>
      <c r="AB130" s="13"/>
      <c r="AC130" s="13"/>
      <c r="AD130" s="13"/>
      <c r="AE130" s="13"/>
      <c r="AF130" s="13"/>
      <c r="AG130" s="13"/>
      <c r="AH130" s="13" t="s">
        <v>226</v>
      </c>
      <c r="AI130" s="13" t="s">
        <v>226</v>
      </c>
      <c r="AJ130" s="66"/>
      <c r="AK130" s="66"/>
      <c r="AL130" s="66"/>
      <c r="AM130" s="66"/>
      <c r="AN130" s="66"/>
      <c r="AO130" s="66"/>
      <c r="AP130" s="66"/>
      <c r="AQ130" s="66"/>
      <c r="AR130" s="66"/>
      <c r="AS130" s="66"/>
      <c r="AT130" s="66"/>
      <c r="AU130" s="66"/>
      <c r="AV130" s="66"/>
      <c r="AW130" s="66"/>
      <c r="AX130" s="66"/>
      <c r="AY130" s="66"/>
      <c r="AZ130" s="66"/>
      <c r="BA130" s="66"/>
      <c r="BB130" s="66"/>
      <c r="BC130" s="66"/>
      <c r="BD130" s="66"/>
      <c r="BE130" s="66"/>
      <c r="BF130" s="66"/>
      <c r="BG130" s="66"/>
      <c r="BH130" s="66"/>
      <c r="BI130" s="66"/>
      <c r="BJ130" s="66"/>
      <c r="BK130" s="66"/>
      <c r="BL130" s="66"/>
      <c r="BM130" s="16">
        <v>56</v>
      </c>
      <c r="BN130" s="16">
        <v>4</v>
      </c>
      <c r="BO130" s="99">
        <v>0</v>
      </c>
      <c r="BP130" s="99">
        <v>0.5</v>
      </c>
      <c r="BQ130" s="99">
        <v>0.5</v>
      </c>
      <c r="BR130" s="99">
        <v>0</v>
      </c>
      <c r="BS130" s="99">
        <v>0</v>
      </c>
      <c r="BT130" s="99">
        <v>1</v>
      </c>
      <c r="BU130" s="99">
        <v>1</v>
      </c>
      <c r="BV130" s="99">
        <v>0</v>
      </c>
      <c r="BW130" s="99">
        <v>1</v>
      </c>
      <c r="BX130" s="99">
        <v>0.33</v>
      </c>
      <c r="BY130" s="99">
        <v>0</v>
      </c>
      <c r="BZ130" s="99">
        <v>0.5</v>
      </c>
      <c r="CA130" s="99">
        <v>1</v>
      </c>
      <c r="CB130" s="99">
        <v>0.33</v>
      </c>
      <c r="CC130" s="99">
        <v>0.2</v>
      </c>
      <c r="CD130" s="99">
        <v>0.5</v>
      </c>
      <c r="CE130" s="99">
        <v>0</v>
      </c>
      <c r="CF130" s="99">
        <v>0.25</v>
      </c>
      <c r="CG130" s="99">
        <v>0.4</v>
      </c>
      <c r="CH130" s="99">
        <v>0.2</v>
      </c>
      <c r="CI130" s="99">
        <v>0.71</v>
      </c>
      <c r="CJ130" s="99">
        <v>0</v>
      </c>
      <c r="CK130" s="99">
        <v>1</v>
      </c>
      <c r="CL130" s="99">
        <v>0</v>
      </c>
      <c r="CM130" s="99">
        <v>0.28999999999999998</v>
      </c>
      <c r="CN130" s="99">
        <v>0.2</v>
      </c>
      <c r="CO130" s="99">
        <v>1</v>
      </c>
      <c r="CP130" s="99">
        <v>0.18</v>
      </c>
      <c r="CQ130" s="99">
        <v>0.43</v>
      </c>
      <c r="CR130" s="99">
        <v>0</v>
      </c>
      <c r="CS130" s="13" t="s">
        <v>226</v>
      </c>
      <c r="CT130" s="13" t="s">
        <v>226</v>
      </c>
      <c r="CU130" s="2"/>
      <c r="CV130" s="2"/>
      <c r="CW130" s="2"/>
      <c r="CX130" s="2"/>
      <c r="CY130" s="2"/>
      <c r="CZ130" s="2"/>
      <c r="DA130" s="2"/>
      <c r="DB130" s="2"/>
      <c r="DC130" s="2"/>
      <c r="DD130" s="2"/>
      <c r="DE130" s="2"/>
      <c r="DF130" s="2"/>
      <c r="DG130" s="2"/>
      <c r="DH130" s="2"/>
      <c r="DI130" s="2"/>
      <c r="DJ130" s="2"/>
      <c r="DK130" s="2"/>
      <c r="DL130" s="2"/>
      <c r="DM130" s="2"/>
      <c r="DN130" s="2"/>
      <c r="DO130" s="2"/>
      <c r="DP130" s="2"/>
      <c r="DQ130" s="2"/>
      <c r="DR130" s="2"/>
      <c r="DS130" s="2"/>
      <c r="DT130" s="2"/>
      <c r="DU130" s="2"/>
      <c r="DV130" s="2"/>
      <c r="DW130" s="2"/>
      <c r="DX130" s="61"/>
      <c r="DY130" s="61"/>
      <c r="DZ130" s="66"/>
      <c r="EA130" s="66"/>
      <c r="EB130" s="66"/>
      <c r="EC130" s="66"/>
      <c r="ED130" s="66"/>
      <c r="EE130" s="66"/>
      <c r="EF130" s="66"/>
      <c r="EG130" s="66"/>
      <c r="EH130" s="66"/>
      <c r="EI130" s="66"/>
      <c r="EJ130" s="66"/>
      <c r="EK130" s="66"/>
      <c r="EL130" s="66"/>
      <c r="EM130" s="66"/>
      <c r="EN130" s="66"/>
      <c r="EO130" s="66"/>
      <c r="EP130" s="66"/>
      <c r="EQ130" s="66"/>
      <c r="ER130" s="66"/>
      <c r="ES130" s="66"/>
      <c r="ET130" s="66"/>
      <c r="EU130" s="66"/>
      <c r="EV130" s="66"/>
      <c r="EW130" s="66"/>
      <c r="EX130" s="66"/>
      <c r="EY130" s="66"/>
      <c r="EZ130" s="66"/>
      <c r="FA130" s="66"/>
    </row>
    <row r="131" spans="1:259" ht="24.9" customHeight="1" x14ac:dyDescent="0.25">
      <c r="A131" s="188" t="s">
        <v>158</v>
      </c>
      <c r="B131" s="1" t="s">
        <v>222</v>
      </c>
      <c r="C131" s="2">
        <v>5</v>
      </c>
      <c r="D131" s="16">
        <v>55</v>
      </c>
      <c r="E131" s="16">
        <v>7</v>
      </c>
      <c r="F131" s="99">
        <v>0.02</v>
      </c>
      <c r="G131" s="99">
        <v>0.53</v>
      </c>
      <c r="H131" s="99">
        <v>0.44</v>
      </c>
      <c r="I131" s="99">
        <v>0</v>
      </c>
      <c r="J131" s="99">
        <v>0.28000000000000003</v>
      </c>
      <c r="K131" s="99">
        <v>0.26</v>
      </c>
      <c r="L131" s="99">
        <v>0.75</v>
      </c>
      <c r="M131" s="99">
        <v>0.25</v>
      </c>
      <c r="N131" s="99">
        <v>0.25</v>
      </c>
      <c r="O131" s="99">
        <v>0.66</v>
      </c>
      <c r="P131" s="99">
        <v>0.34</v>
      </c>
      <c r="Q131" s="99">
        <v>0.33</v>
      </c>
      <c r="R131" s="99">
        <v>0.48</v>
      </c>
      <c r="S131" s="99">
        <v>0.56000000000000005</v>
      </c>
      <c r="T131" s="99">
        <v>0.55000000000000004</v>
      </c>
      <c r="U131" s="99">
        <v>0.57999999999999996</v>
      </c>
      <c r="V131" s="99">
        <v>0.04</v>
      </c>
      <c r="W131" s="99">
        <v>0.11</v>
      </c>
      <c r="X131" s="99">
        <v>0.49</v>
      </c>
      <c r="Y131" s="99">
        <v>0.46</v>
      </c>
      <c r="Z131" s="13" t="s">
        <v>287</v>
      </c>
      <c r="AA131" s="99">
        <v>0.04</v>
      </c>
      <c r="AB131" s="99">
        <v>0.54</v>
      </c>
      <c r="AC131" s="99">
        <v>0.22</v>
      </c>
      <c r="AD131" s="99">
        <v>0.38</v>
      </c>
      <c r="AE131" s="99">
        <v>0.34</v>
      </c>
      <c r="AF131" s="99">
        <v>0.45</v>
      </c>
      <c r="AG131" s="99">
        <v>0.45</v>
      </c>
      <c r="AH131" s="13">
        <v>54</v>
      </c>
      <c r="AI131" s="13">
        <v>8</v>
      </c>
      <c r="AJ131" s="66">
        <v>0.09</v>
      </c>
      <c r="AK131" s="66">
        <v>0.51</v>
      </c>
      <c r="AL131" s="66">
        <v>0.4</v>
      </c>
      <c r="AM131" s="66">
        <v>0</v>
      </c>
      <c r="AN131" s="66">
        <v>0.18</v>
      </c>
      <c r="AO131" s="66">
        <v>0.41</v>
      </c>
      <c r="AP131" s="66">
        <v>0.48</v>
      </c>
      <c r="AQ131" s="66">
        <v>0.4</v>
      </c>
      <c r="AR131" s="66">
        <v>0.44</v>
      </c>
      <c r="AS131" s="66">
        <v>0.5</v>
      </c>
      <c r="AT131" s="66">
        <v>0.6</v>
      </c>
      <c r="AU131" s="66">
        <v>0.36</v>
      </c>
      <c r="AV131" s="66">
        <v>0.55000000000000004</v>
      </c>
      <c r="AW131" s="66">
        <v>0.48</v>
      </c>
      <c r="AX131" s="66">
        <v>0.48</v>
      </c>
      <c r="AY131" s="66">
        <v>0.27</v>
      </c>
      <c r="AZ131" s="66">
        <v>0.22</v>
      </c>
      <c r="BA131" s="66">
        <v>0.42</v>
      </c>
      <c r="BB131" s="66">
        <v>0.67</v>
      </c>
      <c r="BC131" s="66">
        <v>0.66</v>
      </c>
      <c r="BD131" s="66">
        <v>0.39</v>
      </c>
      <c r="BE131" s="66">
        <v>0.45</v>
      </c>
      <c r="BF131" s="66">
        <v>0.41</v>
      </c>
      <c r="BG131" s="66">
        <v>0.46</v>
      </c>
      <c r="BH131" s="66">
        <v>0.45</v>
      </c>
      <c r="BI131" s="66">
        <v>0.35</v>
      </c>
      <c r="BJ131" s="66">
        <v>0.28999999999999998</v>
      </c>
      <c r="BK131" s="66">
        <v>0.46</v>
      </c>
      <c r="BL131" s="66">
        <v>0.45</v>
      </c>
      <c r="BM131" s="16">
        <v>52</v>
      </c>
      <c r="BN131" s="16">
        <v>8</v>
      </c>
      <c r="BO131" s="99">
        <v>0.05</v>
      </c>
      <c r="BP131" s="99">
        <v>0.62</v>
      </c>
      <c r="BQ131" s="99">
        <v>0.33</v>
      </c>
      <c r="BR131" s="99">
        <v>0</v>
      </c>
      <c r="BS131" s="99">
        <v>0.33</v>
      </c>
      <c r="BT131" s="99">
        <v>0.56000000000000005</v>
      </c>
      <c r="BU131" s="99">
        <v>0.71</v>
      </c>
      <c r="BV131" s="99">
        <v>0.3</v>
      </c>
      <c r="BW131" s="99">
        <v>0.57999999999999996</v>
      </c>
      <c r="BX131" s="99">
        <v>0.34</v>
      </c>
      <c r="BY131" s="99">
        <v>0.49</v>
      </c>
      <c r="BZ131" s="99">
        <v>0.45</v>
      </c>
      <c r="CA131" s="99">
        <v>0.52</v>
      </c>
      <c r="CB131" s="99">
        <v>0.33</v>
      </c>
      <c r="CC131" s="99">
        <v>0.18</v>
      </c>
      <c r="CD131" s="99">
        <v>0.41</v>
      </c>
      <c r="CE131" s="99">
        <v>0.42</v>
      </c>
      <c r="CF131" s="99">
        <v>0.56000000000000005</v>
      </c>
      <c r="CG131" s="99">
        <v>0.61</v>
      </c>
      <c r="CH131" s="99">
        <v>0.42</v>
      </c>
      <c r="CI131" s="99">
        <v>0.44</v>
      </c>
      <c r="CJ131" s="99">
        <v>0.33</v>
      </c>
      <c r="CK131" s="99">
        <v>0.59</v>
      </c>
      <c r="CL131" s="99">
        <v>0.26</v>
      </c>
      <c r="CM131" s="99">
        <v>0.5</v>
      </c>
      <c r="CN131" s="99">
        <v>0.42</v>
      </c>
      <c r="CO131" s="99">
        <v>0.4</v>
      </c>
      <c r="CP131" s="99">
        <v>0.39</v>
      </c>
      <c r="CQ131" s="99">
        <v>0.49</v>
      </c>
      <c r="CR131" s="99">
        <v>0.56000000000000005</v>
      </c>
      <c r="CS131" s="13">
        <v>51</v>
      </c>
      <c r="CT131" s="13">
        <v>8</v>
      </c>
      <c r="CU131" s="96">
        <v>0.1</v>
      </c>
      <c r="CV131" s="96">
        <v>0.56999999999999995</v>
      </c>
      <c r="CW131" s="96">
        <v>0.33</v>
      </c>
      <c r="CX131" s="96">
        <v>0</v>
      </c>
      <c r="CY131" s="96">
        <v>0.48</v>
      </c>
      <c r="CZ131" s="96">
        <v>0.32</v>
      </c>
      <c r="DA131" s="96">
        <v>0.64</v>
      </c>
      <c r="DB131" s="96">
        <v>0.36</v>
      </c>
      <c r="DC131" s="96">
        <v>0.5</v>
      </c>
      <c r="DD131" s="96">
        <v>0.61</v>
      </c>
      <c r="DE131" s="96">
        <v>0.33</v>
      </c>
      <c r="DF131" s="96">
        <v>0.49</v>
      </c>
      <c r="DG131" s="96">
        <v>0.5</v>
      </c>
      <c r="DH131" s="96">
        <v>0.3</v>
      </c>
      <c r="DI131" s="96">
        <v>0.46</v>
      </c>
      <c r="DJ131" s="96">
        <v>0.48</v>
      </c>
      <c r="DK131" s="96">
        <v>0.28999999999999998</v>
      </c>
      <c r="DL131" s="96">
        <v>0.28000000000000003</v>
      </c>
      <c r="DM131" s="96">
        <v>0.54</v>
      </c>
      <c r="DN131" s="96">
        <v>0.54</v>
      </c>
      <c r="DO131" s="96">
        <v>0.44</v>
      </c>
      <c r="DP131" s="96">
        <v>0.38</v>
      </c>
      <c r="DQ131" s="96">
        <v>0.49</v>
      </c>
      <c r="DR131" s="96">
        <v>0.2</v>
      </c>
      <c r="DS131" s="96">
        <v>0.41</v>
      </c>
      <c r="DT131" s="96">
        <v>0.57999999999999996</v>
      </c>
      <c r="DU131" s="96">
        <v>0.41</v>
      </c>
      <c r="DV131" s="96">
        <v>0.59</v>
      </c>
      <c r="DW131" s="96">
        <v>0.35</v>
      </c>
      <c r="DX131" s="61">
        <v>53</v>
      </c>
      <c r="DY131" s="61">
        <v>9</v>
      </c>
      <c r="DZ131" s="66">
        <v>0.13</v>
      </c>
      <c r="EA131" s="66">
        <v>0.44</v>
      </c>
      <c r="EB131" s="66">
        <v>0.42</v>
      </c>
      <c r="EC131" s="66">
        <v>0.02</v>
      </c>
      <c r="ED131" s="66">
        <v>0.54</v>
      </c>
      <c r="EE131" s="66">
        <v>0.44</v>
      </c>
      <c r="EF131" s="66">
        <v>0.41</v>
      </c>
      <c r="EG131" s="66">
        <v>0.3</v>
      </c>
      <c r="EH131" s="66">
        <v>0.3</v>
      </c>
      <c r="EI131" s="66">
        <v>0.45</v>
      </c>
      <c r="EJ131" s="66">
        <v>0.54</v>
      </c>
      <c r="EK131" s="66">
        <v>0.28000000000000003</v>
      </c>
      <c r="EL131" s="66">
        <v>0.35</v>
      </c>
      <c r="EM131" s="66">
        <v>0.59</v>
      </c>
      <c r="EN131" s="66">
        <v>0.34</v>
      </c>
      <c r="EO131" s="66">
        <v>0.56999999999999995</v>
      </c>
      <c r="EP131" s="66">
        <v>0.33</v>
      </c>
      <c r="EQ131" s="66">
        <v>0.18</v>
      </c>
      <c r="ER131" s="66">
        <v>0.45</v>
      </c>
      <c r="ES131" s="66">
        <v>0.41</v>
      </c>
      <c r="ET131" s="66">
        <v>0.28999999999999998</v>
      </c>
      <c r="EU131" s="66">
        <v>0.6</v>
      </c>
      <c r="EV131" s="66">
        <v>0.27</v>
      </c>
      <c r="EW131" s="66">
        <v>0.32</v>
      </c>
      <c r="EX131" s="66">
        <v>0.7</v>
      </c>
      <c r="EY131" s="66">
        <v>0.5</v>
      </c>
      <c r="EZ131" s="66">
        <v>0.14000000000000001</v>
      </c>
      <c r="FA131" s="66">
        <v>0.56999999999999995</v>
      </c>
      <c r="FB131" s="349">
        <v>50</v>
      </c>
      <c r="FC131" s="348" t="s">
        <v>910</v>
      </c>
      <c r="FD131" s="349">
        <v>8</v>
      </c>
      <c r="FE131" s="348" t="s">
        <v>910</v>
      </c>
      <c r="FF131" s="371">
        <v>0.14000000000000001</v>
      </c>
      <c r="FG131" s="371">
        <v>0.6</v>
      </c>
      <c r="FH131" s="371">
        <v>0.26</v>
      </c>
      <c r="FI131" s="371">
        <v>0</v>
      </c>
      <c r="FJ131" s="371">
        <v>0.48</v>
      </c>
      <c r="FK131" s="371">
        <v>0.68</v>
      </c>
      <c r="FL131" s="371">
        <v>0.45</v>
      </c>
      <c r="FM131" s="371">
        <v>0.42</v>
      </c>
      <c r="FN131" s="371">
        <v>0.37</v>
      </c>
      <c r="FO131" s="371">
        <v>0.39</v>
      </c>
      <c r="FP131" s="371">
        <v>0.43</v>
      </c>
      <c r="FQ131" s="371">
        <v>0.48</v>
      </c>
      <c r="FR131" s="371">
        <v>0.56000000000000005</v>
      </c>
      <c r="FS131" s="371">
        <v>0.45</v>
      </c>
      <c r="FT131" s="371">
        <v>0.49</v>
      </c>
      <c r="FU131" s="371">
        <v>0.28999999999999998</v>
      </c>
      <c r="FV131" s="371">
        <v>0.7</v>
      </c>
      <c r="FW131" s="371">
        <v>0.51</v>
      </c>
      <c r="FX131" s="371">
        <v>0.42</v>
      </c>
      <c r="FY131" s="371">
        <v>0.36</v>
      </c>
      <c r="FZ131" s="371">
        <v>0.35</v>
      </c>
      <c r="GA131" s="371">
        <v>0.43</v>
      </c>
      <c r="GB131" s="371">
        <v>0.53</v>
      </c>
      <c r="GC131" s="371">
        <v>0.48</v>
      </c>
      <c r="GD131" s="371">
        <v>0.55000000000000004</v>
      </c>
      <c r="GE131" s="371">
        <v>0.56000000000000005</v>
      </c>
      <c r="GF131" s="371">
        <v>0.5</v>
      </c>
      <c r="GG131" s="371">
        <v>0.47</v>
      </c>
      <c r="GH131" s="371">
        <v>0.51</v>
      </c>
      <c r="GI131" s="371">
        <v>0.31</v>
      </c>
      <c r="GJ131" s="469">
        <v>50</v>
      </c>
      <c r="GK131" s="471" t="s">
        <v>910</v>
      </c>
      <c r="GL131" s="469">
        <v>9</v>
      </c>
      <c r="GM131" s="471" t="s">
        <v>910</v>
      </c>
      <c r="GN131" s="501">
        <v>0.15</v>
      </c>
      <c r="GO131" s="501">
        <v>0.56999999999999995</v>
      </c>
      <c r="GP131" s="501">
        <v>0.28000000000000003</v>
      </c>
      <c r="GQ131" s="501">
        <v>0</v>
      </c>
      <c r="GR131" s="501">
        <v>0.49</v>
      </c>
      <c r="GS131" s="501">
        <v>0.49</v>
      </c>
      <c r="GT131" s="501">
        <v>0.61</v>
      </c>
      <c r="GU131" s="501">
        <v>0.28999999999999998</v>
      </c>
      <c r="GV131" s="501">
        <v>0.48</v>
      </c>
      <c r="GW131" s="501">
        <v>0.52</v>
      </c>
      <c r="GX131" s="501">
        <v>0.45</v>
      </c>
      <c r="GY131" s="471" t="s">
        <v>287</v>
      </c>
      <c r="GZ131" s="501">
        <v>0.35</v>
      </c>
      <c r="HA131" s="501">
        <v>0.65</v>
      </c>
      <c r="HB131" s="501">
        <v>0.5</v>
      </c>
      <c r="HC131" s="501">
        <v>0.48</v>
      </c>
      <c r="HD131" s="501">
        <v>0.6</v>
      </c>
      <c r="HE131" s="501">
        <v>0.52</v>
      </c>
      <c r="HF131" s="501">
        <v>0.55000000000000004</v>
      </c>
      <c r="HG131" s="501">
        <v>0.66</v>
      </c>
      <c r="HH131" s="501">
        <v>0.39</v>
      </c>
      <c r="HI131" s="501">
        <v>0.5</v>
      </c>
      <c r="HJ131" s="501">
        <v>0.61</v>
      </c>
      <c r="HK131" s="501">
        <v>0.48</v>
      </c>
      <c r="HL131" s="501">
        <v>0.44</v>
      </c>
      <c r="HM131" s="501">
        <v>0.49</v>
      </c>
      <c r="HN131" s="501">
        <v>0.53</v>
      </c>
      <c r="HO131" s="501">
        <v>0.44</v>
      </c>
      <c r="HP131" s="471" t="s">
        <v>287</v>
      </c>
      <c r="HQ131" s="501">
        <v>0.48</v>
      </c>
      <c r="HR131" s="630">
        <v>54</v>
      </c>
      <c r="HS131" s="640" t="s">
        <v>910</v>
      </c>
      <c r="HT131" s="630">
        <v>9</v>
      </c>
      <c r="HU131" s="640" t="s">
        <v>910</v>
      </c>
      <c r="HV131" s="644">
        <v>7.0000000000000007E-2</v>
      </c>
      <c r="HW131" s="644">
        <v>0.54</v>
      </c>
      <c r="HX131" s="644">
        <v>0.37</v>
      </c>
      <c r="HY131" s="644">
        <v>0.02</v>
      </c>
      <c r="HZ131" s="644">
        <v>0.36</v>
      </c>
      <c r="IA131" s="644">
        <v>0.45</v>
      </c>
      <c r="IB131" s="644">
        <v>0.27</v>
      </c>
      <c r="IC131" s="644">
        <v>0.46</v>
      </c>
      <c r="ID131" s="644">
        <v>0.64</v>
      </c>
      <c r="IE131" s="644">
        <v>0.35</v>
      </c>
      <c r="IF131" s="644">
        <v>0.38</v>
      </c>
      <c r="IG131" s="644">
        <v>0.6</v>
      </c>
      <c r="IH131" s="644">
        <v>0.53</v>
      </c>
      <c r="II131" s="644">
        <v>0.19</v>
      </c>
      <c r="IJ131" s="644">
        <v>0.22</v>
      </c>
      <c r="IK131" s="644">
        <v>0.56999999999999995</v>
      </c>
      <c r="IL131" s="644">
        <v>0.27</v>
      </c>
      <c r="IM131" s="644">
        <v>0.5</v>
      </c>
      <c r="IN131" s="644">
        <v>0.32</v>
      </c>
      <c r="IO131" s="644">
        <v>0.56999999999999995</v>
      </c>
      <c r="IP131" s="644">
        <v>0.28000000000000003</v>
      </c>
      <c r="IQ131" s="644">
        <v>0.66</v>
      </c>
      <c r="IR131" s="644">
        <v>0.56000000000000005</v>
      </c>
      <c r="IS131" s="644">
        <v>0.48</v>
      </c>
      <c r="IT131" s="644">
        <v>0.37</v>
      </c>
      <c r="IU131" s="640" t="s">
        <v>287</v>
      </c>
      <c r="IV131" s="644">
        <v>0.54</v>
      </c>
      <c r="IW131" s="644">
        <v>0.3</v>
      </c>
      <c r="IX131" s="644">
        <v>0.48</v>
      </c>
      <c r="IY131" s="644">
        <v>0.42</v>
      </c>
    </row>
    <row r="132" spans="1:259" ht="24.9" customHeight="1" x14ac:dyDescent="0.25">
      <c r="A132" s="188" t="s">
        <v>216</v>
      </c>
      <c r="B132" s="1" t="s">
        <v>222</v>
      </c>
      <c r="C132" s="2">
        <v>6</v>
      </c>
      <c r="D132" s="16">
        <v>51</v>
      </c>
      <c r="E132" s="16">
        <v>0</v>
      </c>
      <c r="F132" s="99">
        <v>0</v>
      </c>
      <c r="G132" s="99">
        <v>1</v>
      </c>
      <c r="H132" s="99">
        <v>0</v>
      </c>
      <c r="I132" s="99">
        <v>0</v>
      </c>
      <c r="J132" s="99">
        <v>1</v>
      </c>
      <c r="K132" s="99">
        <v>1</v>
      </c>
      <c r="L132" s="99">
        <v>1</v>
      </c>
      <c r="M132" s="99">
        <v>0</v>
      </c>
      <c r="N132" s="99">
        <v>0.4</v>
      </c>
      <c r="O132" s="99">
        <v>0.5</v>
      </c>
      <c r="P132" s="99">
        <v>0.5</v>
      </c>
      <c r="Q132" s="99">
        <v>0.5</v>
      </c>
      <c r="R132" s="99">
        <v>0.6</v>
      </c>
      <c r="S132" s="99">
        <v>0.5</v>
      </c>
      <c r="T132" s="99">
        <v>0</v>
      </c>
      <c r="U132" s="99">
        <v>0</v>
      </c>
      <c r="V132" s="99">
        <v>0</v>
      </c>
      <c r="W132" s="99">
        <v>0</v>
      </c>
      <c r="X132" s="99">
        <v>0.5</v>
      </c>
      <c r="Y132" s="99">
        <v>0</v>
      </c>
      <c r="Z132" s="13" t="s">
        <v>287</v>
      </c>
      <c r="AA132" s="99">
        <v>0</v>
      </c>
      <c r="AB132" s="99">
        <v>0.5</v>
      </c>
      <c r="AC132" s="99">
        <v>1</v>
      </c>
      <c r="AD132" s="99">
        <v>0.25</v>
      </c>
      <c r="AE132" s="99">
        <v>0.5</v>
      </c>
      <c r="AF132" s="99">
        <v>0.5</v>
      </c>
      <c r="AG132" s="99">
        <v>0.67</v>
      </c>
      <c r="AH132" s="13" t="s">
        <v>228</v>
      </c>
      <c r="AI132" s="13" t="s">
        <v>228</v>
      </c>
      <c r="AJ132" s="66"/>
      <c r="AK132" s="66"/>
      <c r="AL132" s="66"/>
      <c r="AM132" s="66"/>
      <c r="AN132" s="66"/>
      <c r="AO132" s="66"/>
      <c r="AP132" s="66"/>
      <c r="AQ132" s="66"/>
      <c r="AR132" s="66"/>
      <c r="AS132" s="66"/>
      <c r="AT132" s="66"/>
      <c r="AU132" s="66"/>
      <c r="AV132" s="66"/>
      <c r="AW132" s="66"/>
      <c r="AX132" s="66"/>
      <c r="AY132" s="66"/>
      <c r="AZ132" s="66"/>
      <c r="BA132" s="66"/>
      <c r="BB132" s="66"/>
      <c r="BC132" s="66"/>
      <c r="BD132" s="66"/>
      <c r="BE132" s="66"/>
      <c r="BF132" s="66"/>
      <c r="BG132" s="66"/>
      <c r="BH132" s="66"/>
      <c r="BI132" s="66"/>
      <c r="BJ132" s="66"/>
      <c r="BK132" s="66"/>
      <c r="BL132" s="66"/>
      <c r="BM132" s="13" t="s">
        <v>226</v>
      </c>
      <c r="BN132" s="13" t="s">
        <v>226</v>
      </c>
      <c r="BO132" s="13"/>
      <c r="BP132" s="13"/>
      <c r="BQ132" s="13"/>
      <c r="BR132" s="13"/>
      <c r="BS132" s="13"/>
      <c r="BT132" s="13"/>
      <c r="BU132" s="13"/>
      <c r="BV132" s="13"/>
      <c r="BW132" s="13"/>
      <c r="BX132" s="13"/>
      <c r="BY132" s="13"/>
      <c r="BZ132" s="13"/>
      <c r="CA132" s="13"/>
      <c r="CB132" s="13"/>
      <c r="CC132" s="13"/>
      <c r="CD132" s="13"/>
      <c r="CE132" s="13"/>
      <c r="CF132" s="13"/>
      <c r="CG132" s="13"/>
      <c r="CH132" s="13"/>
      <c r="CI132" s="13"/>
      <c r="CJ132" s="13"/>
      <c r="CK132" s="13"/>
      <c r="CL132" s="13"/>
      <c r="CM132" s="13"/>
      <c r="CN132" s="13"/>
      <c r="CO132" s="13"/>
      <c r="CP132" s="13"/>
      <c r="CQ132" s="13"/>
      <c r="CR132" s="13"/>
      <c r="CS132" s="13" t="s">
        <v>226</v>
      </c>
      <c r="CT132" s="13" t="s">
        <v>226</v>
      </c>
      <c r="CU132" s="2"/>
      <c r="CV132" s="2"/>
      <c r="CW132" s="2"/>
      <c r="CX132" s="2"/>
      <c r="CY132" s="2"/>
      <c r="CZ132" s="2"/>
      <c r="DA132" s="2"/>
      <c r="DB132" s="2"/>
      <c r="DC132" s="2"/>
      <c r="DD132" s="2"/>
      <c r="DE132" s="2"/>
      <c r="DF132" s="2"/>
      <c r="DG132" s="2"/>
      <c r="DH132" s="2"/>
      <c r="DI132" s="2"/>
      <c r="DJ132" s="2"/>
      <c r="DK132" s="2"/>
      <c r="DL132" s="2"/>
      <c r="DM132" s="2"/>
      <c r="DN132" s="2"/>
      <c r="DO132" s="2"/>
      <c r="DP132" s="2"/>
      <c r="DQ132" s="2"/>
      <c r="DR132" s="2"/>
      <c r="DS132" s="2"/>
      <c r="DT132" s="2"/>
      <c r="DU132" s="2"/>
      <c r="DV132" s="2"/>
      <c r="DW132" s="2"/>
      <c r="DX132" s="61"/>
      <c r="DY132" s="61"/>
      <c r="DZ132" s="66"/>
      <c r="EA132" s="66"/>
      <c r="EB132" s="66"/>
      <c r="EC132" s="66"/>
      <c r="ED132" s="66"/>
      <c r="EE132" s="66"/>
      <c r="EF132" s="66"/>
      <c r="EG132" s="66"/>
      <c r="EH132" s="66"/>
      <c r="EI132" s="66"/>
      <c r="EJ132" s="66"/>
      <c r="EK132" s="66"/>
      <c r="EL132" s="66"/>
      <c r="EM132" s="66"/>
      <c r="EN132" s="66"/>
      <c r="EO132" s="66"/>
      <c r="EP132" s="66"/>
      <c r="EQ132" s="66"/>
      <c r="ER132" s="66"/>
      <c r="ES132" s="66"/>
      <c r="ET132" s="66"/>
      <c r="EU132" s="66"/>
      <c r="EV132" s="66"/>
      <c r="EW132" s="66"/>
      <c r="EX132" s="66"/>
      <c r="EY132" s="66"/>
      <c r="EZ132" s="66"/>
      <c r="FA132" s="66"/>
      <c r="FB132" s="349">
        <v>37</v>
      </c>
      <c r="FC132" s="348" t="s">
        <v>912</v>
      </c>
      <c r="FD132" s="349">
        <v>0</v>
      </c>
      <c r="FE132" s="348" t="s">
        <v>912</v>
      </c>
      <c r="FF132" s="371">
        <v>1</v>
      </c>
      <c r="FG132" s="371">
        <v>0</v>
      </c>
      <c r="FH132" s="371">
        <v>0</v>
      </c>
      <c r="FI132" s="371">
        <v>0</v>
      </c>
      <c r="FJ132" s="371">
        <v>1</v>
      </c>
      <c r="FK132" s="371">
        <v>1</v>
      </c>
      <c r="FL132" s="371">
        <v>0.67</v>
      </c>
      <c r="FM132" s="348" t="s">
        <v>287</v>
      </c>
      <c r="FN132" s="371">
        <v>0</v>
      </c>
      <c r="FO132" s="371">
        <v>1</v>
      </c>
      <c r="FP132" s="371">
        <v>0.67</v>
      </c>
      <c r="FQ132" s="371">
        <v>1</v>
      </c>
      <c r="FR132" s="371">
        <v>0.33</v>
      </c>
      <c r="FS132" s="348" t="s">
        <v>287</v>
      </c>
      <c r="FT132" s="371">
        <v>0.67</v>
      </c>
      <c r="FU132" s="371">
        <v>0.5</v>
      </c>
      <c r="FV132" s="371">
        <v>1</v>
      </c>
      <c r="FW132" s="371">
        <v>0</v>
      </c>
      <c r="FX132" s="371">
        <v>1</v>
      </c>
      <c r="FY132" s="371">
        <v>1</v>
      </c>
      <c r="FZ132" s="371">
        <v>1</v>
      </c>
      <c r="GA132" s="371">
        <v>0</v>
      </c>
      <c r="GB132" s="371">
        <v>1</v>
      </c>
      <c r="GC132" s="371">
        <v>1</v>
      </c>
      <c r="GD132" s="371">
        <v>0.33</v>
      </c>
      <c r="GE132" s="371">
        <v>0.5</v>
      </c>
      <c r="GF132" s="371">
        <v>0</v>
      </c>
      <c r="GG132" s="371">
        <v>1</v>
      </c>
      <c r="GH132" s="371">
        <v>1</v>
      </c>
      <c r="GI132" s="371">
        <v>0.5</v>
      </c>
    </row>
    <row r="133" spans="1:259" ht="24.9" customHeight="1" x14ac:dyDescent="0.25">
      <c r="A133" s="188" t="s">
        <v>120</v>
      </c>
      <c r="B133" s="1" t="s">
        <v>222</v>
      </c>
      <c r="C133" s="2">
        <v>4</v>
      </c>
      <c r="D133" s="16">
        <v>58</v>
      </c>
      <c r="E133" s="16">
        <v>5</v>
      </c>
      <c r="F133" s="99">
        <v>0</v>
      </c>
      <c r="G133" s="99">
        <v>0.38</v>
      </c>
      <c r="H133" s="99">
        <v>0.63</v>
      </c>
      <c r="I133" s="99">
        <v>0</v>
      </c>
      <c r="J133" s="99">
        <v>0.26</v>
      </c>
      <c r="K133" s="99">
        <v>0.27</v>
      </c>
      <c r="L133" s="99">
        <v>0.55000000000000004</v>
      </c>
      <c r="M133" s="99">
        <v>7.0000000000000007E-2</v>
      </c>
      <c r="N133" s="99">
        <v>0.1</v>
      </c>
      <c r="O133" s="99">
        <v>0.57999999999999996</v>
      </c>
      <c r="P133" s="99">
        <v>0.23</v>
      </c>
      <c r="Q133" s="99">
        <v>0.41</v>
      </c>
      <c r="R133" s="99">
        <v>0.56000000000000005</v>
      </c>
      <c r="S133" s="99">
        <v>0.56999999999999995</v>
      </c>
      <c r="T133" s="99">
        <v>0.3</v>
      </c>
      <c r="U133" s="99">
        <v>0.54</v>
      </c>
      <c r="V133" s="99">
        <v>0.13</v>
      </c>
      <c r="W133" s="99">
        <v>0.04</v>
      </c>
      <c r="X133" s="99">
        <v>0.31</v>
      </c>
      <c r="Y133" s="99">
        <v>0.49</v>
      </c>
      <c r="Z133" s="99">
        <v>0</v>
      </c>
      <c r="AA133" s="99">
        <v>0</v>
      </c>
      <c r="AB133" s="99">
        <v>0.25</v>
      </c>
      <c r="AC133" s="99">
        <v>0.34</v>
      </c>
      <c r="AD133" s="99">
        <v>0.28000000000000003</v>
      </c>
      <c r="AE133" s="99">
        <v>0.4</v>
      </c>
      <c r="AF133" s="99">
        <v>0.6</v>
      </c>
      <c r="AG133" s="99">
        <v>0.37</v>
      </c>
      <c r="AH133" s="16">
        <v>57</v>
      </c>
      <c r="AI133" s="16">
        <v>6</v>
      </c>
      <c r="AJ133" s="66">
        <v>0</v>
      </c>
      <c r="AK133" s="66">
        <v>0.45</v>
      </c>
      <c r="AL133" s="66">
        <v>0.55000000000000004</v>
      </c>
      <c r="AM133" s="66">
        <v>0</v>
      </c>
      <c r="AN133" s="66">
        <v>0.17</v>
      </c>
      <c r="AO133" s="66">
        <v>0.25</v>
      </c>
      <c r="AP133" s="66">
        <v>0.52</v>
      </c>
      <c r="AQ133" s="66">
        <v>0.35</v>
      </c>
      <c r="AR133" s="66">
        <v>0.38</v>
      </c>
      <c r="AS133" s="66">
        <v>0.46</v>
      </c>
      <c r="AT133" s="66">
        <v>0.42</v>
      </c>
      <c r="AU133" s="66">
        <v>0.28999999999999998</v>
      </c>
      <c r="AV133" s="66">
        <v>0.5</v>
      </c>
      <c r="AW133" s="66">
        <v>0.25</v>
      </c>
      <c r="AX133" s="66">
        <v>0.4</v>
      </c>
      <c r="AY133" s="66">
        <v>0.31</v>
      </c>
      <c r="AZ133" s="66">
        <v>0.28000000000000003</v>
      </c>
      <c r="BA133" s="66">
        <v>0.34</v>
      </c>
      <c r="BB133" s="66">
        <v>0.64</v>
      </c>
      <c r="BC133" s="66">
        <v>0.61</v>
      </c>
      <c r="BD133" s="66">
        <v>0.31</v>
      </c>
      <c r="BE133" s="66">
        <v>0.36</v>
      </c>
      <c r="BF133" s="66">
        <v>0.36</v>
      </c>
      <c r="BG133" s="66">
        <v>0.49</v>
      </c>
      <c r="BH133" s="66">
        <v>0.36</v>
      </c>
      <c r="BI133" s="66">
        <v>0.32</v>
      </c>
      <c r="BJ133" s="66">
        <v>0.27</v>
      </c>
      <c r="BK133" s="66">
        <v>0.34</v>
      </c>
      <c r="BL133" s="66">
        <v>0.5</v>
      </c>
      <c r="BM133" s="16">
        <v>57</v>
      </c>
      <c r="BN133" s="16">
        <v>6</v>
      </c>
      <c r="BO133" s="99">
        <v>0</v>
      </c>
      <c r="BP133" s="99">
        <v>0.45</v>
      </c>
      <c r="BQ133" s="99">
        <v>0.55000000000000004</v>
      </c>
      <c r="BR133" s="99">
        <v>0</v>
      </c>
      <c r="BS133" s="99">
        <v>0.47</v>
      </c>
      <c r="BT133" s="99">
        <v>0.33</v>
      </c>
      <c r="BU133" s="99">
        <v>0.5</v>
      </c>
      <c r="BV133" s="99">
        <v>0.14000000000000001</v>
      </c>
      <c r="BW133" s="99">
        <v>0.53</v>
      </c>
      <c r="BX133" s="99">
        <v>0.52</v>
      </c>
      <c r="BY133" s="99">
        <v>0.42</v>
      </c>
      <c r="BZ133" s="99">
        <v>0.44</v>
      </c>
      <c r="CA133" s="99">
        <v>0.35</v>
      </c>
      <c r="CB133" s="99">
        <v>0.27</v>
      </c>
      <c r="CC133" s="99">
        <v>0.11</v>
      </c>
      <c r="CD133" s="99">
        <v>0.15</v>
      </c>
      <c r="CE133" s="99">
        <v>0.25</v>
      </c>
      <c r="CF133" s="99">
        <v>0.55000000000000004</v>
      </c>
      <c r="CG133" s="99">
        <v>0.64</v>
      </c>
      <c r="CH133" s="99">
        <v>0.46</v>
      </c>
      <c r="CI133" s="99">
        <v>0.41</v>
      </c>
      <c r="CJ133" s="99">
        <v>0</v>
      </c>
      <c r="CK133" s="99">
        <v>0.64</v>
      </c>
      <c r="CL133" s="99">
        <v>0.11</v>
      </c>
      <c r="CM133" s="99">
        <v>0.23</v>
      </c>
      <c r="CN133" s="99">
        <v>0.22</v>
      </c>
      <c r="CO133" s="99">
        <v>0.27</v>
      </c>
      <c r="CP133" s="99">
        <v>0.16</v>
      </c>
      <c r="CQ133" s="99">
        <v>0.34</v>
      </c>
      <c r="CR133" s="99">
        <v>0.54</v>
      </c>
      <c r="CS133" s="16">
        <v>51</v>
      </c>
      <c r="CT133" s="16">
        <v>7</v>
      </c>
      <c r="CU133" s="96">
        <v>0</v>
      </c>
      <c r="CV133" s="96">
        <v>0.69</v>
      </c>
      <c r="CW133" s="96">
        <v>0.31</v>
      </c>
      <c r="CX133" s="96">
        <v>0</v>
      </c>
      <c r="CY133" s="96">
        <v>0.53</v>
      </c>
      <c r="CZ133" s="96">
        <v>0.21</v>
      </c>
      <c r="DA133" s="96">
        <v>0.65</v>
      </c>
      <c r="DB133" s="96">
        <v>0.35</v>
      </c>
      <c r="DC133" s="96">
        <v>0.5</v>
      </c>
      <c r="DD133" s="96">
        <v>0.61</v>
      </c>
      <c r="DE133" s="96">
        <v>0.22</v>
      </c>
      <c r="DF133" s="96">
        <v>0.53</v>
      </c>
      <c r="DG133" s="96">
        <v>0.48</v>
      </c>
      <c r="DH133" s="96">
        <v>0.28999999999999998</v>
      </c>
      <c r="DI133" s="96">
        <v>0.4</v>
      </c>
      <c r="DJ133" s="96">
        <v>0.44</v>
      </c>
      <c r="DK133" s="96">
        <v>0.25</v>
      </c>
      <c r="DL133" s="96">
        <v>0</v>
      </c>
      <c r="DM133" s="96">
        <v>0.42</v>
      </c>
      <c r="DN133" s="96">
        <v>0.48</v>
      </c>
      <c r="DO133" s="96">
        <v>0.33</v>
      </c>
      <c r="DP133" s="96">
        <v>0.59</v>
      </c>
      <c r="DQ133" s="96">
        <v>0.48</v>
      </c>
      <c r="DR133" s="96">
        <v>0.17</v>
      </c>
      <c r="DS133" s="96">
        <v>0.5</v>
      </c>
      <c r="DT133" s="96">
        <v>0.55000000000000004</v>
      </c>
      <c r="DU133" s="96">
        <v>0.3</v>
      </c>
      <c r="DV133" s="96">
        <v>0.61</v>
      </c>
      <c r="DW133" s="96">
        <v>0.42</v>
      </c>
      <c r="DX133" s="61">
        <v>55</v>
      </c>
      <c r="DY133" s="61">
        <v>7</v>
      </c>
      <c r="DZ133" s="66">
        <v>0</v>
      </c>
      <c r="EA133" s="66">
        <v>0.5</v>
      </c>
      <c r="EB133" s="66">
        <v>0.5</v>
      </c>
      <c r="EC133" s="66">
        <v>0</v>
      </c>
      <c r="ED133" s="66">
        <v>0.67</v>
      </c>
      <c r="EE133" s="66">
        <v>0.38</v>
      </c>
      <c r="EF133" s="66">
        <v>0.39</v>
      </c>
      <c r="EG133" s="66">
        <v>0.33</v>
      </c>
      <c r="EH133" s="66">
        <v>0.37</v>
      </c>
      <c r="EI133" s="66">
        <v>0.5</v>
      </c>
      <c r="EJ133" s="66">
        <v>0.33</v>
      </c>
      <c r="EK133" s="66">
        <v>0.17</v>
      </c>
      <c r="EL133" s="66">
        <v>0.4</v>
      </c>
      <c r="EM133" s="66">
        <v>0.62</v>
      </c>
      <c r="EN133" s="66">
        <v>0.17</v>
      </c>
      <c r="EO133" s="66">
        <v>0.59</v>
      </c>
      <c r="EP133" s="66">
        <v>0.32</v>
      </c>
      <c r="EQ133" s="66">
        <v>0.1</v>
      </c>
      <c r="ER133" s="66">
        <v>0.45</v>
      </c>
      <c r="ES133" s="66">
        <v>0.25</v>
      </c>
      <c r="ET133" s="66">
        <v>0.24</v>
      </c>
      <c r="EU133" s="66">
        <v>0.57999999999999996</v>
      </c>
      <c r="EV133" s="66">
        <v>0.13</v>
      </c>
      <c r="EW133" s="66">
        <v>0.5</v>
      </c>
      <c r="EX133" s="66">
        <v>0.8</v>
      </c>
      <c r="EY133" s="66">
        <v>0.28999999999999998</v>
      </c>
      <c r="EZ133" s="66">
        <v>0</v>
      </c>
      <c r="FA133" s="66">
        <v>0.48</v>
      </c>
      <c r="FB133" s="349">
        <v>51</v>
      </c>
      <c r="FC133" s="348" t="s">
        <v>910</v>
      </c>
      <c r="FD133" s="349">
        <v>8</v>
      </c>
      <c r="FE133" s="348" t="s">
        <v>910</v>
      </c>
      <c r="FF133" s="371">
        <v>0.09</v>
      </c>
      <c r="FG133" s="371">
        <v>0.64</v>
      </c>
      <c r="FH133" s="371">
        <v>0.27</v>
      </c>
      <c r="FI133" s="371">
        <v>0</v>
      </c>
      <c r="FJ133" s="371">
        <v>0.55000000000000004</v>
      </c>
      <c r="FK133" s="371">
        <v>0.67</v>
      </c>
      <c r="FL133" s="371">
        <v>0.5</v>
      </c>
      <c r="FM133" s="371">
        <v>0.33</v>
      </c>
      <c r="FN133" s="371">
        <v>0.16</v>
      </c>
      <c r="FO133" s="371">
        <v>0.39</v>
      </c>
      <c r="FP133" s="371">
        <v>0.36</v>
      </c>
      <c r="FQ133" s="371">
        <v>0.44</v>
      </c>
      <c r="FR133" s="371">
        <v>0.42</v>
      </c>
      <c r="FS133" s="371">
        <v>0.47</v>
      </c>
      <c r="FT133" s="371">
        <v>0.57999999999999996</v>
      </c>
      <c r="FU133" s="371">
        <v>0.42</v>
      </c>
      <c r="FV133" s="371">
        <v>0.57999999999999996</v>
      </c>
      <c r="FW133" s="371">
        <v>0.42</v>
      </c>
      <c r="FX133" s="371">
        <v>0.5</v>
      </c>
      <c r="FY133" s="371">
        <v>0.3</v>
      </c>
      <c r="FZ133" s="371">
        <v>0.35</v>
      </c>
      <c r="GA133" s="371">
        <v>0.42</v>
      </c>
      <c r="GB133" s="371">
        <v>0.53</v>
      </c>
      <c r="GC133" s="371">
        <v>0.32</v>
      </c>
      <c r="GD133" s="371">
        <v>0.53</v>
      </c>
      <c r="GE133" s="371">
        <v>0.52</v>
      </c>
      <c r="GF133" s="371">
        <v>0.47</v>
      </c>
      <c r="GG133" s="371">
        <v>0.53</v>
      </c>
      <c r="GH133" s="371">
        <v>0.68</v>
      </c>
      <c r="GI133" s="371">
        <v>0.25</v>
      </c>
      <c r="GJ133" s="469">
        <v>58</v>
      </c>
      <c r="GK133" s="471" t="s">
        <v>910</v>
      </c>
      <c r="GL133" s="469">
        <v>9</v>
      </c>
      <c r="GM133" s="471" t="s">
        <v>910</v>
      </c>
      <c r="GN133" s="501">
        <v>0</v>
      </c>
      <c r="GO133" s="501">
        <v>0.47</v>
      </c>
      <c r="GP133" s="501">
        <v>0.41</v>
      </c>
      <c r="GQ133" s="501">
        <v>0.12</v>
      </c>
      <c r="GR133" s="501">
        <v>0.4</v>
      </c>
      <c r="GS133" s="501">
        <v>0.5</v>
      </c>
      <c r="GT133" s="501">
        <v>0.45</v>
      </c>
      <c r="GU133" s="501">
        <v>0.27</v>
      </c>
      <c r="GV133" s="501">
        <v>0.42</v>
      </c>
      <c r="GW133" s="501">
        <v>0.33</v>
      </c>
      <c r="GX133" s="501">
        <v>0.39</v>
      </c>
      <c r="GY133" s="471" t="s">
        <v>287</v>
      </c>
      <c r="GZ133" s="501">
        <v>0.11</v>
      </c>
      <c r="HA133" s="501">
        <v>0.56000000000000005</v>
      </c>
      <c r="HB133" s="501">
        <v>0.33</v>
      </c>
      <c r="HC133" s="501">
        <v>0.33</v>
      </c>
      <c r="HD133" s="501">
        <v>0.49</v>
      </c>
      <c r="HE133" s="501">
        <v>0.23</v>
      </c>
      <c r="HF133" s="501">
        <v>0.33</v>
      </c>
      <c r="HG133" s="501">
        <v>0.57999999999999996</v>
      </c>
      <c r="HH133" s="501">
        <v>0.22</v>
      </c>
      <c r="HI133" s="501">
        <v>0.43</v>
      </c>
      <c r="HJ133" s="501">
        <v>0.41</v>
      </c>
      <c r="HK133" s="501">
        <v>0.24</v>
      </c>
      <c r="HL133" s="501">
        <v>0.28999999999999998</v>
      </c>
      <c r="HM133" s="501">
        <v>0.3</v>
      </c>
      <c r="HN133" s="501">
        <v>0.19</v>
      </c>
      <c r="HO133" s="501">
        <v>0.21</v>
      </c>
      <c r="HP133" s="471" t="s">
        <v>287</v>
      </c>
      <c r="HQ133" s="501">
        <v>0.27</v>
      </c>
      <c r="HR133" s="630">
        <v>52</v>
      </c>
      <c r="HS133" s="640" t="s">
        <v>910</v>
      </c>
      <c r="HT133" s="630">
        <v>9</v>
      </c>
      <c r="HU133" s="640" t="s">
        <v>910</v>
      </c>
      <c r="HV133" s="644">
        <v>0.09</v>
      </c>
      <c r="HW133" s="644">
        <v>0.55000000000000004</v>
      </c>
      <c r="HX133" s="644">
        <v>0.36</v>
      </c>
      <c r="HY133" s="644">
        <v>0</v>
      </c>
      <c r="HZ133" s="644">
        <v>0.6</v>
      </c>
      <c r="IA133" s="644">
        <v>0.53</v>
      </c>
      <c r="IB133" s="644">
        <v>0.3</v>
      </c>
      <c r="IC133" s="644">
        <v>0.52</v>
      </c>
      <c r="ID133" s="644">
        <v>0.61</v>
      </c>
      <c r="IE133" s="644">
        <v>0.28999999999999998</v>
      </c>
      <c r="IF133" s="644">
        <v>0.3</v>
      </c>
      <c r="IG133" s="644">
        <v>0.37</v>
      </c>
      <c r="IH133" s="644">
        <v>0.5</v>
      </c>
      <c r="II133" s="644">
        <v>0.46</v>
      </c>
      <c r="IJ133" s="644">
        <v>0.3</v>
      </c>
      <c r="IK133" s="644">
        <v>0.56000000000000005</v>
      </c>
      <c r="IL133" s="644">
        <v>0.33</v>
      </c>
      <c r="IM133" s="644">
        <v>0.52</v>
      </c>
      <c r="IN133" s="644">
        <v>0.43</v>
      </c>
      <c r="IO133" s="644">
        <v>0.53</v>
      </c>
      <c r="IP133" s="644">
        <v>0.33</v>
      </c>
      <c r="IQ133" s="644">
        <v>0.6</v>
      </c>
      <c r="IR133" s="644">
        <v>0.47</v>
      </c>
      <c r="IS133" s="644">
        <v>0.63</v>
      </c>
      <c r="IT133" s="644">
        <v>0.37</v>
      </c>
      <c r="IU133" s="640" t="s">
        <v>287</v>
      </c>
      <c r="IV133" s="644">
        <v>0.56000000000000005</v>
      </c>
      <c r="IW133" s="644">
        <v>0.39</v>
      </c>
      <c r="IX133" s="644">
        <v>0.56000000000000005</v>
      </c>
      <c r="IY133" s="644">
        <v>0.43</v>
      </c>
    </row>
    <row r="134" spans="1:259" ht="24.9" customHeight="1" x14ac:dyDescent="0.25">
      <c r="A134" s="188" t="s">
        <v>52</v>
      </c>
      <c r="B134" s="1" t="s">
        <v>222</v>
      </c>
      <c r="C134" s="2">
        <v>6</v>
      </c>
      <c r="D134" s="16">
        <v>55</v>
      </c>
      <c r="E134" s="16">
        <v>7</v>
      </c>
      <c r="F134" s="99">
        <v>0</v>
      </c>
      <c r="G134" s="99">
        <v>0.59</v>
      </c>
      <c r="H134" s="99">
        <v>0.39</v>
      </c>
      <c r="I134" s="99">
        <v>0.01</v>
      </c>
      <c r="J134" s="99">
        <v>0.4</v>
      </c>
      <c r="K134" s="99">
        <v>0.33</v>
      </c>
      <c r="L134" s="99">
        <v>0.7</v>
      </c>
      <c r="M134" s="99">
        <v>0.26</v>
      </c>
      <c r="N134" s="99">
        <v>0.28000000000000003</v>
      </c>
      <c r="O134" s="99">
        <v>0.67</v>
      </c>
      <c r="P134" s="99">
        <v>0.33</v>
      </c>
      <c r="Q134" s="99">
        <v>0.43</v>
      </c>
      <c r="R134" s="99">
        <v>0.49</v>
      </c>
      <c r="S134" s="99">
        <v>0.57999999999999996</v>
      </c>
      <c r="T134" s="99">
        <v>0.56000000000000005</v>
      </c>
      <c r="U134" s="99">
        <v>0.6</v>
      </c>
      <c r="V134" s="99">
        <v>0.05</v>
      </c>
      <c r="W134" s="99">
        <v>0.1</v>
      </c>
      <c r="X134" s="99">
        <v>0.48</v>
      </c>
      <c r="Y134" s="99">
        <v>0.47</v>
      </c>
      <c r="Z134" s="99">
        <v>0.33</v>
      </c>
      <c r="AA134" s="99">
        <v>0.08</v>
      </c>
      <c r="AB134" s="99">
        <v>0.5</v>
      </c>
      <c r="AC134" s="99">
        <v>0.22</v>
      </c>
      <c r="AD134" s="99">
        <v>0.45</v>
      </c>
      <c r="AE134" s="99">
        <v>0.34</v>
      </c>
      <c r="AF134" s="99">
        <v>0.55000000000000004</v>
      </c>
      <c r="AG134" s="99">
        <v>0.56999999999999995</v>
      </c>
      <c r="AH134" s="16">
        <v>55</v>
      </c>
      <c r="AI134" s="16">
        <v>8</v>
      </c>
      <c r="AJ134" s="66">
        <v>7.0000000000000007E-2</v>
      </c>
      <c r="AK134" s="66">
        <v>0.43</v>
      </c>
      <c r="AL134" s="66">
        <v>0.5</v>
      </c>
      <c r="AM134" s="66">
        <v>0</v>
      </c>
      <c r="AN134" s="66">
        <v>0.2</v>
      </c>
      <c r="AO134" s="66">
        <v>0.48</v>
      </c>
      <c r="AP134" s="66">
        <v>0.53</v>
      </c>
      <c r="AQ134" s="66">
        <v>0.3</v>
      </c>
      <c r="AR134" s="66">
        <v>0.56000000000000005</v>
      </c>
      <c r="AS134" s="66">
        <v>0.5</v>
      </c>
      <c r="AT134" s="66">
        <v>0.48</v>
      </c>
      <c r="AU134" s="66">
        <v>0.42</v>
      </c>
      <c r="AV134" s="66">
        <v>0.44</v>
      </c>
      <c r="AW134" s="66">
        <v>0.43</v>
      </c>
      <c r="AX134" s="66">
        <v>0.46</v>
      </c>
      <c r="AY134" s="66">
        <v>0.27</v>
      </c>
      <c r="AZ134" s="66">
        <v>0.28000000000000003</v>
      </c>
      <c r="BA134" s="66">
        <v>0.44</v>
      </c>
      <c r="BB134" s="66">
        <v>0.64</v>
      </c>
      <c r="BC134" s="66">
        <v>0.54</v>
      </c>
      <c r="BD134" s="66">
        <v>0.36</v>
      </c>
      <c r="BE134" s="66">
        <v>0.5</v>
      </c>
      <c r="BF134" s="66">
        <v>0.56000000000000005</v>
      </c>
      <c r="BG134" s="66">
        <v>0.4</v>
      </c>
      <c r="BH134" s="66">
        <v>0.42</v>
      </c>
      <c r="BI134" s="66">
        <v>0.4</v>
      </c>
      <c r="BJ134" s="66">
        <v>0.3</v>
      </c>
      <c r="BK134" s="66">
        <v>0.34</v>
      </c>
      <c r="BL134" s="66">
        <v>0.47</v>
      </c>
      <c r="BM134" s="16">
        <v>54</v>
      </c>
      <c r="BN134" s="16">
        <v>9</v>
      </c>
      <c r="BO134" s="99">
        <v>0.08</v>
      </c>
      <c r="BP134" s="99">
        <v>0.55000000000000004</v>
      </c>
      <c r="BQ134" s="99">
        <v>0.33</v>
      </c>
      <c r="BR134" s="99">
        <v>0.04</v>
      </c>
      <c r="BS134" s="99">
        <v>0.32</v>
      </c>
      <c r="BT134" s="99">
        <v>0.5</v>
      </c>
      <c r="BU134" s="99">
        <v>0.56999999999999995</v>
      </c>
      <c r="BV134" s="99">
        <v>0.12</v>
      </c>
      <c r="BW134" s="99">
        <v>0.54</v>
      </c>
      <c r="BX134" s="99">
        <v>0.25</v>
      </c>
      <c r="BY134" s="99">
        <v>0.49</v>
      </c>
      <c r="BZ134" s="99">
        <v>0.5</v>
      </c>
      <c r="CA134" s="99">
        <v>0.47</v>
      </c>
      <c r="CB134" s="99">
        <v>0.18</v>
      </c>
      <c r="CC134" s="99">
        <v>0.21</v>
      </c>
      <c r="CD134" s="99">
        <v>0.33</v>
      </c>
      <c r="CE134" s="99">
        <v>0.31</v>
      </c>
      <c r="CF134" s="99">
        <v>0.56999999999999995</v>
      </c>
      <c r="CG134" s="99">
        <v>0.53</v>
      </c>
      <c r="CH134" s="99">
        <v>0.44</v>
      </c>
      <c r="CI134" s="99">
        <v>0.55000000000000004</v>
      </c>
      <c r="CJ134" s="99">
        <v>0.32</v>
      </c>
      <c r="CK134" s="99">
        <v>0.56000000000000005</v>
      </c>
      <c r="CL134" s="99">
        <v>0.25</v>
      </c>
      <c r="CM134" s="99">
        <v>0.34</v>
      </c>
      <c r="CN134" s="99">
        <v>0.34</v>
      </c>
      <c r="CO134" s="99">
        <v>0.3</v>
      </c>
      <c r="CP134" s="99">
        <v>0.33</v>
      </c>
      <c r="CQ134" s="99">
        <v>0.53</v>
      </c>
      <c r="CR134" s="99">
        <v>0.52</v>
      </c>
      <c r="CS134" s="16">
        <v>52</v>
      </c>
      <c r="CT134" s="16">
        <v>9</v>
      </c>
      <c r="CU134" s="96">
        <v>0.12</v>
      </c>
      <c r="CV134" s="96">
        <v>0.55000000000000004</v>
      </c>
      <c r="CW134" s="96">
        <v>0.32</v>
      </c>
      <c r="CX134" s="96">
        <v>0.02</v>
      </c>
      <c r="CY134" s="96">
        <v>0.5</v>
      </c>
      <c r="CZ134" s="96">
        <v>0.27</v>
      </c>
      <c r="DA134" s="96">
        <v>0.5</v>
      </c>
      <c r="DB134" s="96">
        <v>0.3</v>
      </c>
      <c r="DC134" s="96">
        <v>0.48</v>
      </c>
      <c r="DD134" s="96">
        <v>0.55000000000000004</v>
      </c>
      <c r="DE134" s="96">
        <v>0.41</v>
      </c>
      <c r="DF134" s="96">
        <v>0.48</v>
      </c>
      <c r="DG134" s="96">
        <v>0.38</v>
      </c>
      <c r="DH134" s="96">
        <v>0.32</v>
      </c>
      <c r="DI134" s="96">
        <v>0.63</v>
      </c>
      <c r="DJ134" s="96">
        <v>0.46</v>
      </c>
      <c r="DK134" s="96">
        <v>0.34</v>
      </c>
      <c r="DL134" s="96">
        <v>0.41</v>
      </c>
      <c r="DM134" s="96">
        <v>0.55000000000000004</v>
      </c>
      <c r="DN134" s="96">
        <v>0.47</v>
      </c>
      <c r="DO134" s="96">
        <v>0.27</v>
      </c>
      <c r="DP134" s="96">
        <v>0.45</v>
      </c>
      <c r="DQ134" s="96">
        <v>0.52</v>
      </c>
      <c r="DR134" s="96">
        <v>0.2</v>
      </c>
      <c r="DS134" s="96">
        <v>0.38</v>
      </c>
      <c r="DT134" s="96">
        <v>0.49</v>
      </c>
      <c r="DU134" s="96">
        <v>0.42</v>
      </c>
      <c r="DV134" s="96">
        <v>0.5</v>
      </c>
      <c r="DW134" s="96">
        <v>0.26</v>
      </c>
      <c r="DX134" s="61">
        <v>52</v>
      </c>
      <c r="DY134" s="61">
        <v>9</v>
      </c>
      <c r="DZ134" s="66">
        <v>0.12</v>
      </c>
      <c r="EA134" s="66">
        <v>0.51</v>
      </c>
      <c r="EB134" s="66">
        <v>0.38</v>
      </c>
      <c r="EC134" s="66">
        <v>0</v>
      </c>
      <c r="ED134" s="66">
        <v>0.47</v>
      </c>
      <c r="EE134" s="66">
        <v>0.48</v>
      </c>
      <c r="EF134" s="66">
        <v>0.35</v>
      </c>
      <c r="EG134" s="66">
        <v>0.35</v>
      </c>
      <c r="EH134" s="66">
        <v>0.43</v>
      </c>
      <c r="EI134" s="66">
        <v>0.43</v>
      </c>
      <c r="EJ134" s="66">
        <v>0.55000000000000004</v>
      </c>
      <c r="EK134" s="66">
        <v>0.3</v>
      </c>
      <c r="EL134" s="66">
        <v>0.43</v>
      </c>
      <c r="EM134" s="66">
        <v>0.64</v>
      </c>
      <c r="EN134" s="66">
        <v>0.36</v>
      </c>
      <c r="EO134" s="66">
        <v>0.47</v>
      </c>
      <c r="EP134" s="66">
        <v>0.36</v>
      </c>
      <c r="EQ134" s="66">
        <v>0.26</v>
      </c>
      <c r="ER134" s="66">
        <v>0.51</v>
      </c>
      <c r="ES134" s="66">
        <v>0.52</v>
      </c>
      <c r="ET134" s="66">
        <v>0.26</v>
      </c>
      <c r="EU134" s="66">
        <v>0.52</v>
      </c>
      <c r="EV134" s="66">
        <v>0.49</v>
      </c>
      <c r="EW134" s="66">
        <v>0.31</v>
      </c>
      <c r="EX134" s="66">
        <v>0.59</v>
      </c>
      <c r="EY134" s="66">
        <v>0.54</v>
      </c>
      <c r="EZ134" s="66">
        <v>0.2</v>
      </c>
      <c r="FA134" s="66">
        <v>0.52</v>
      </c>
      <c r="FB134" s="349">
        <v>52</v>
      </c>
      <c r="FC134" s="348" t="s">
        <v>910</v>
      </c>
      <c r="FD134" s="349">
        <v>8</v>
      </c>
      <c r="FE134" s="348" t="s">
        <v>910</v>
      </c>
      <c r="FF134" s="371">
        <v>0.04</v>
      </c>
      <c r="FG134" s="371">
        <v>0.63</v>
      </c>
      <c r="FH134" s="371">
        <v>0.31</v>
      </c>
      <c r="FI134" s="371">
        <v>0.02</v>
      </c>
      <c r="FJ134" s="371">
        <v>0.37</v>
      </c>
      <c r="FK134" s="371">
        <v>0.6</v>
      </c>
      <c r="FL134" s="371">
        <v>0.44</v>
      </c>
      <c r="FM134" s="371">
        <v>0.37</v>
      </c>
      <c r="FN134" s="371">
        <v>0.18</v>
      </c>
      <c r="FO134" s="371">
        <v>0.3</v>
      </c>
      <c r="FP134" s="371">
        <v>0.34</v>
      </c>
      <c r="FQ134" s="371">
        <v>0.35</v>
      </c>
      <c r="FR134" s="371">
        <v>0.55000000000000004</v>
      </c>
      <c r="FS134" s="371">
        <v>0.56000000000000005</v>
      </c>
      <c r="FT134" s="371">
        <v>0.53</v>
      </c>
      <c r="FU134" s="371">
        <v>0.38</v>
      </c>
      <c r="FV134" s="371">
        <v>0.72</v>
      </c>
      <c r="FW134" s="371">
        <v>0.59</v>
      </c>
      <c r="FX134" s="371">
        <v>0.45</v>
      </c>
      <c r="FY134" s="371">
        <v>0.34</v>
      </c>
      <c r="FZ134" s="371">
        <v>0.45</v>
      </c>
      <c r="GA134" s="371">
        <v>0.43</v>
      </c>
      <c r="GB134" s="371">
        <v>0.66</v>
      </c>
      <c r="GC134" s="371">
        <v>0.38</v>
      </c>
      <c r="GD134" s="371">
        <v>0.55000000000000004</v>
      </c>
      <c r="GE134" s="371">
        <v>0.5</v>
      </c>
      <c r="GF134" s="371">
        <v>0.39</v>
      </c>
      <c r="GG134" s="371">
        <v>0.41</v>
      </c>
      <c r="GH134" s="371">
        <v>0.44</v>
      </c>
      <c r="GI134" s="371">
        <v>0.28999999999999998</v>
      </c>
      <c r="GJ134" s="469">
        <v>54</v>
      </c>
      <c r="GK134" s="471" t="s">
        <v>910</v>
      </c>
      <c r="GL134" s="469">
        <v>9</v>
      </c>
      <c r="GM134" s="471" t="s">
        <v>910</v>
      </c>
      <c r="GN134" s="501">
        <v>0.06</v>
      </c>
      <c r="GO134" s="501">
        <v>0.53</v>
      </c>
      <c r="GP134" s="501">
        <v>0.39</v>
      </c>
      <c r="GQ134" s="501">
        <v>0.02</v>
      </c>
      <c r="GR134" s="501">
        <v>0.38</v>
      </c>
      <c r="GS134" s="501">
        <v>0.53</v>
      </c>
      <c r="GT134" s="501">
        <v>0.49</v>
      </c>
      <c r="GU134" s="501">
        <v>0.14000000000000001</v>
      </c>
      <c r="GV134" s="501">
        <v>0.5</v>
      </c>
      <c r="GW134" s="501">
        <v>0.45</v>
      </c>
      <c r="GX134" s="501">
        <v>0.39</v>
      </c>
      <c r="GY134" s="471" t="s">
        <v>287</v>
      </c>
      <c r="GZ134" s="501">
        <v>0.17</v>
      </c>
      <c r="HA134" s="501">
        <v>0.53</v>
      </c>
      <c r="HB134" s="501">
        <v>0.39</v>
      </c>
      <c r="HC134" s="501">
        <v>0.39</v>
      </c>
      <c r="HD134" s="501">
        <v>0.55000000000000004</v>
      </c>
      <c r="HE134" s="501">
        <v>0.43</v>
      </c>
      <c r="HF134" s="501">
        <v>0.45</v>
      </c>
      <c r="HG134" s="501">
        <v>0.66</v>
      </c>
      <c r="HH134" s="501">
        <v>0.34</v>
      </c>
      <c r="HI134" s="501">
        <v>0.45</v>
      </c>
      <c r="HJ134" s="501">
        <v>0.51</v>
      </c>
      <c r="HK134" s="501">
        <v>0.43</v>
      </c>
      <c r="HL134" s="501">
        <v>0.39</v>
      </c>
      <c r="HM134" s="501">
        <v>0.41</v>
      </c>
      <c r="HN134" s="501">
        <v>0.45</v>
      </c>
      <c r="HO134" s="501">
        <v>0.37</v>
      </c>
      <c r="HP134" s="471" t="s">
        <v>287</v>
      </c>
      <c r="HQ134" s="501">
        <v>0.31</v>
      </c>
      <c r="HR134" s="630">
        <v>54</v>
      </c>
      <c r="HS134" s="640" t="s">
        <v>910</v>
      </c>
      <c r="HT134" s="630">
        <v>10</v>
      </c>
      <c r="HU134" s="640" t="s">
        <v>910</v>
      </c>
      <c r="HV134" s="644">
        <v>0.15</v>
      </c>
      <c r="HW134" s="644">
        <v>0.37</v>
      </c>
      <c r="HX134" s="644">
        <v>0.49</v>
      </c>
      <c r="HY134" s="644">
        <v>0</v>
      </c>
      <c r="HZ134" s="644">
        <v>0.31</v>
      </c>
      <c r="IA134" s="644">
        <v>0.45</v>
      </c>
      <c r="IB134" s="644">
        <v>0.35</v>
      </c>
      <c r="IC134" s="644">
        <v>0.41</v>
      </c>
      <c r="ID134" s="644">
        <v>0.6</v>
      </c>
      <c r="IE134" s="644">
        <v>0.27</v>
      </c>
      <c r="IF134" s="644">
        <v>0.31</v>
      </c>
      <c r="IG134" s="644">
        <v>0.51</v>
      </c>
      <c r="IH134" s="644">
        <v>0.46</v>
      </c>
      <c r="II134" s="644">
        <v>0.25</v>
      </c>
      <c r="IJ134" s="644">
        <v>0.24</v>
      </c>
      <c r="IK134" s="644">
        <v>0.56000000000000005</v>
      </c>
      <c r="IL134" s="644">
        <v>0.28999999999999998</v>
      </c>
      <c r="IM134" s="644">
        <v>0.53</v>
      </c>
      <c r="IN134" s="644">
        <v>0.39</v>
      </c>
      <c r="IO134" s="644">
        <v>0.49</v>
      </c>
      <c r="IP134" s="644">
        <v>0.48</v>
      </c>
      <c r="IQ134" s="644">
        <v>0.59</v>
      </c>
      <c r="IR134" s="644">
        <v>0.59</v>
      </c>
      <c r="IS134" s="644">
        <v>0.47</v>
      </c>
      <c r="IT134" s="644">
        <v>0.34</v>
      </c>
      <c r="IU134" s="640" t="s">
        <v>287</v>
      </c>
      <c r="IV134" s="644">
        <v>0.61</v>
      </c>
      <c r="IW134" s="644">
        <v>0.4</v>
      </c>
      <c r="IX134" s="644">
        <v>0.45</v>
      </c>
      <c r="IY134" s="644">
        <v>0.48</v>
      </c>
    </row>
    <row r="135" spans="1:259" ht="24.9" customHeight="1" x14ac:dyDescent="0.25">
      <c r="A135" s="188" t="s">
        <v>40</v>
      </c>
      <c r="B135" s="1" t="s">
        <v>222</v>
      </c>
      <c r="C135" s="2">
        <v>2</v>
      </c>
      <c r="D135" s="16">
        <v>52</v>
      </c>
      <c r="E135" s="16">
        <v>7</v>
      </c>
      <c r="F135" s="99">
        <v>0.06</v>
      </c>
      <c r="G135" s="99">
        <v>0.62</v>
      </c>
      <c r="H135" s="99">
        <v>0.32</v>
      </c>
      <c r="I135" s="99">
        <v>0</v>
      </c>
      <c r="J135" s="99">
        <v>0.43</v>
      </c>
      <c r="K135" s="99">
        <v>0.37</v>
      </c>
      <c r="L135" s="99">
        <v>0.82</v>
      </c>
      <c r="M135" s="99">
        <v>0.11</v>
      </c>
      <c r="N135" s="99">
        <v>0.33</v>
      </c>
      <c r="O135" s="99">
        <v>0.73</v>
      </c>
      <c r="P135" s="99">
        <v>0.39</v>
      </c>
      <c r="Q135" s="99">
        <v>0.41</v>
      </c>
      <c r="R135" s="99">
        <v>0.56999999999999995</v>
      </c>
      <c r="S135" s="99">
        <v>0.56000000000000005</v>
      </c>
      <c r="T135" s="99">
        <v>0.57999999999999996</v>
      </c>
      <c r="U135" s="99">
        <v>0.63</v>
      </c>
      <c r="V135" s="99">
        <v>0.14000000000000001</v>
      </c>
      <c r="W135" s="99">
        <v>0.27</v>
      </c>
      <c r="X135" s="99">
        <v>0.53</v>
      </c>
      <c r="Y135" s="99">
        <v>0.55000000000000004</v>
      </c>
      <c r="Z135" s="13" t="s">
        <v>287</v>
      </c>
      <c r="AA135" s="99">
        <v>0.08</v>
      </c>
      <c r="AB135" s="99">
        <v>0.51</v>
      </c>
      <c r="AC135" s="99">
        <v>0.3</v>
      </c>
      <c r="AD135" s="99">
        <v>0.5</v>
      </c>
      <c r="AE135" s="99">
        <v>0.4</v>
      </c>
      <c r="AF135" s="99">
        <v>0.45</v>
      </c>
      <c r="AG135" s="99">
        <v>0.61</v>
      </c>
      <c r="AH135" s="16">
        <v>51</v>
      </c>
      <c r="AI135" s="16">
        <v>8</v>
      </c>
      <c r="AJ135" s="66">
        <v>0.13</v>
      </c>
      <c r="AK135" s="66">
        <v>0.53</v>
      </c>
      <c r="AL135" s="66">
        <v>0.34</v>
      </c>
      <c r="AM135" s="66">
        <v>0</v>
      </c>
      <c r="AN135" s="66">
        <v>0.34</v>
      </c>
      <c r="AO135" s="66">
        <v>0.42</v>
      </c>
      <c r="AP135" s="66">
        <v>0.56000000000000005</v>
      </c>
      <c r="AQ135" s="66">
        <v>0.38</v>
      </c>
      <c r="AR135" s="66">
        <v>0.61</v>
      </c>
      <c r="AS135" s="66">
        <v>0.49</v>
      </c>
      <c r="AT135" s="66">
        <v>0.51</v>
      </c>
      <c r="AU135" s="66">
        <v>0.61</v>
      </c>
      <c r="AV135" s="66">
        <v>0.63</v>
      </c>
      <c r="AW135" s="66">
        <v>0.42</v>
      </c>
      <c r="AX135" s="66">
        <v>0.67</v>
      </c>
      <c r="AY135" s="66">
        <v>0.32</v>
      </c>
      <c r="AZ135" s="66">
        <v>0.3</v>
      </c>
      <c r="BA135" s="66">
        <v>0.51</v>
      </c>
      <c r="BB135" s="66">
        <v>0.65</v>
      </c>
      <c r="BC135" s="66">
        <v>0.67</v>
      </c>
      <c r="BD135" s="66">
        <v>0.4</v>
      </c>
      <c r="BE135" s="66">
        <v>0.55000000000000004</v>
      </c>
      <c r="BF135" s="66">
        <v>0.67</v>
      </c>
      <c r="BG135" s="66">
        <v>0.5</v>
      </c>
      <c r="BH135" s="66">
        <v>0.47</v>
      </c>
      <c r="BI135" s="66">
        <v>0.39</v>
      </c>
      <c r="BJ135" s="66">
        <v>0.39</v>
      </c>
      <c r="BK135" s="66">
        <v>0.42</v>
      </c>
      <c r="BL135" s="66">
        <v>0.55000000000000004</v>
      </c>
      <c r="BM135" s="16">
        <v>49</v>
      </c>
      <c r="BN135" s="16">
        <v>7</v>
      </c>
      <c r="BO135" s="99">
        <v>0.11</v>
      </c>
      <c r="BP135" s="99">
        <v>0.7</v>
      </c>
      <c r="BQ135" s="99">
        <v>0.18</v>
      </c>
      <c r="BR135" s="99">
        <v>0</v>
      </c>
      <c r="BS135" s="99">
        <v>0.37</v>
      </c>
      <c r="BT135" s="99">
        <v>0.76</v>
      </c>
      <c r="BU135" s="99">
        <v>0.7</v>
      </c>
      <c r="BV135" s="99">
        <v>0.52</v>
      </c>
      <c r="BW135" s="99">
        <v>0.75</v>
      </c>
      <c r="BX135" s="99">
        <v>0.38</v>
      </c>
      <c r="BY135" s="99">
        <v>0.43</v>
      </c>
      <c r="BZ135" s="99">
        <v>0.59</v>
      </c>
      <c r="CA135" s="99">
        <v>0.52</v>
      </c>
      <c r="CB135" s="99">
        <v>0.41</v>
      </c>
      <c r="CC135" s="99">
        <v>0.12</v>
      </c>
      <c r="CD135" s="99">
        <v>0.47</v>
      </c>
      <c r="CE135" s="99">
        <v>0.48</v>
      </c>
      <c r="CF135" s="99">
        <v>0.6</v>
      </c>
      <c r="CG135" s="99">
        <v>0.52</v>
      </c>
      <c r="CH135" s="99">
        <v>0.39</v>
      </c>
      <c r="CI135" s="99">
        <v>0.56999999999999995</v>
      </c>
      <c r="CJ135" s="99">
        <v>0.45</v>
      </c>
      <c r="CK135" s="99">
        <v>0.65</v>
      </c>
      <c r="CL135" s="99">
        <v>0.31</v>
      </c>
      <c r="CM135" s="99">
        <v>0.51</v>
      </c>
      <c r="CN135" s="99">
        <v>0.56000000000000005</v>
      </c>
      <c r="CO135" s="99">
        <v>0.49</v>
      </c>
      <c r="CP135" s="99">
        <v>0.33</v>
      </c>
      <c r="CQ135" s="99">
        <v>0.63</v>
      </c>
      <c r="CR135" s="99">
        <v>0.55000000000000004</v>
      </c>
      <c r="CS135" s="16">
        <v>49</v>
      </c>
      <c r="CT135" s="16">
        <v>9</v>
      </c>
      <c r="CU135" s="96">
        <v>0.16</v>
      </c>
      <c r="CV135" s="96">
        <v>0.64</v>
      </c>
      <c r="CW135" s="96">
        <v>0.19</v>
      </c>
      <c r="CX135" s="96">
        <v>0</v>
      </c>
      <c r="CY135" s="96">
        <v>0.55000000000000004</v>
      </c>
      <c r="CZ135" s="96">
        <v>0.31</v>
      </c>
      <c r="DA135" s="96">
        <v>0.56000000000000005</v>
      </c>
      <c r="DB135" s="96">
        <v>0.36</v>
      </c>
      <c r="DC135" s="96">
        <v>0.45</v>
      </c>
      <c r="DD135" s="96">
        <v>0.61</v>
      </c>
      <c r="DE135" s="96">
        <v>0.46</v>
      </c>
      <c r="DF135" s="96">
        <v>0.54</v>
      </c>
      <c r="DG135" s="96">
        <v>0.43</v>
      </c>
      <c r="DH135" s="96">
        <v>0.39</v>
      </c>
      <c r="DI135" s="96">
        <v>0.5</v>
      </c>
      <c r="DJ135" s="96">
        <v>0.6</v>
      </c>
      <c r="DK135" s="96">
        <v>0.36</v>
      </c>
      <c r="DL135" s="96">
        <v>0.34</v>
      </c>
      <c r="DM135" s="96">
        <v>0.55000000000000004</v>
      </c>
      <c r="DN135" s="96">
        <v>0.54</v>
      </c>
      <c r="DO135" s="96">
        <v>0.56000000000000005</v>
      </c>
      <c r="DP135" s="96">
        <v>0.44</v>
      </c>
      <c r="DQ135" s="96">
        <v>0.61</v>
      </c>
      <c r="DR135" s="96">
        <v>0.23</v>
      </c>
      <c r="DS135" s="96">
        <v>0.38</v>
      </c>
      <c r="DT135" s="96">
        <v>0.53</v>
      </c>
      <c r="DU135" s="96">
        <v>0.53</v>
      </c>
      <c r="DV135" s="96">
        <v>0.62</v>
      </c>
      <c r="DW135" s="96">
        <v>0.33</v>
      </c>
      <c r="DX135" s="61">
        <v>50</v>
      </c>
      <c r="DY135" s="61">
        <v>8</v>
      </c>
      <c r="DZ135" s="66">
        <v>0.18</v>
      </c>
      <c r="EA135" s="66">
        <v>0.56999999999999995</v>
      </c>
      <c r="EB135" s="66">
        <v>0.24</v>
      </c>
      <c r="EC135" s="66">
        <v>0</v>
      </c>
      <c r="ED135" s="66">
        <v>0.41</v>
      </c>
      <c r="EE135" s="66">
        <v>0.48</v>
      </c>
      <c r="EF135" s="66">
        <v>0.56000000000000005</v>
      </c>
      <c r="EG135" s="66">
        <v>0.28999999999999998</v>
      </c>
      <c r="EH135" s="66">
        <v>0.42</v>
      </c>
      <c r="EI135" s="66">
        <v>0.54</v>
      </c>
      <c r="EJ135" s="66">
        <v>0.59</v>
      </c>
      <c r="EK135" s="66">
        <v>0.34</v>
      </c>
      <c r="EL135" s="66">
        <v>0.48</v>
      </c>
      <c r="EM135" s="66">
        <v>0.71</v>
      </c>
      <c r="EN135" s="66">
        <v>0.47</v>
      </c>
      <c r="EO135" s="66">
        <v>0.61</v>
      </c>
      <c r="EP135" s="66">
        <v>0.42</v>
      </c>
      <c r="EQ135" s="66">
        <v>0.24</v>
      </c>
      <c r="ER135" s="66">
        <v>0.64</v>
      </c>
      <c r="ES135" s="66">
        <v>0.43</v>
      </c>
      <c r="ET135" s="66">
        <v>0.34</v>
      </c>
      <c r="EU135" s="66">
        <v>0.64</v>
      </c>
      <c r="EV135" s="66">
        <v>0.33</v>
      </c>
      <c r="EW135" s="66">
        <v>0.38</v>
      </c>
      <c r="EX135" s="66">
        <v>0.75</v>
      </c>
      <c r="EY135" s="66">
        <v>0.56000000000000005</v>
      </c>
      <c r="EZ135" s="66">
        <v>0.35</v>
      </c>
      <c r="FA135" s="66">
        <v>0.66</v>
      </c>
      <c r="FB135" s="349">
        <v>49</v>
      </c>
      <c r="FC135" s="348" t="s">
        <v>910</v>
      </c>
      <c r="FD135" s="349">
        <v>8</v>
      </c>
      <c r="FE135" s="348" t="s">
        <v>910</v>
      </c>
      <c r="FF135" s="371">
        <v>0.12</v>
      </c>
      <c r="FG135" s="371">
        <v>0.65</v>
      </c>
      <c r="FH135" s="371">
        <v>0.22</v>
      </c>
      <c r="FI135" s="371">
        <v>0</v>
      </c>
      <c r="FJ135" s="371">
        <v>0.45</v>
      </c>
      <c r="FK135" s="371">
        <v>0.72</v>
      </c>
      <c r="FL135" s="371">
        <v>0.55000000000000004</v>
      </c>
      <c r="FM135" s="371">
        <v>0.28999999999999998</v>
      </c>
      <c r="FN135" s="371">
        <v>0.28000000000000003</v>
      </c>
      <c r="FO135" s="371">
        <v>0.31</v>
      </c>
      <c r="FP135" s="371">
        <v>0.46</v>
      </c>
      <c r="FQ135" s="371">
        <v>0.39</v>
      </c>
      <c r="FR135" s="371">
        <v>0.65</v>
      </c>
      <c r="FS135" s="371">
        <v>0.57999999999999996</v>
      </c>
      <c r="FT135" s="371">
        <v>0.46</v>
      </c>
      <c r="FU135" s="371">
        <v>0.26</v>
      </c>
      <c r="FV135" s="371">
        <v>0.68</v>
      </c>
      <c r="FW135" s="371">
        <v>0.61</v>
      </c>
      <c r="FX135" s="371">
        <v>0.56000000000000005</v>
      </c>
      <c r="FY135" s="371">
        <v>0.4</v>
      </c>
      <c r="FZ135" s="371">
        <v>0.47</v>
      </c>
      <c r="GA135" s="371">
        <v>0.55000000000000004</v>
      </c>
      <c r="GB135" s="371">
        <v>0.59</v>
      </c>
      <c r="GC135" s="371">
        <v>0.48</v>
      </c>
      <c r="GD135" s="371">
        <v>0.64</v>
      </c>
      <c r="GE135" s="371">
        <v>0.54</v>
      </c>
      <c r="GF135" s="371">
        <v>0.46</v>
      </c>
      <c r="GG135" s="371">
        <v>0.39</v>
      </c>
      <c r="GH135" s="371">
        <v>0.62</v>
      </c>
      <c r="GI135" s="371">
        <v>0.32</v>
      </c>
      <c r="GJ135" s="469">
        <v>48</v>
      </c>
      <c r="GK135" s="471" t="s">
        <v>910</v>
      </c>
      <c r="GL135" s="469">
        <v>8</v>
      </c>
      <c r="GM135" s="471" t="s">
        <v>910</v>
      </c>
      <c r="GN135" s="501">
        <v>0.19</v>
      </c>
      <c r="GO135" s="501">
        <v>0.63</v>
      </c>
      <c r="GP135" s="501">
        <v>0.17</v>
      </c>
      <c r="GQ135" s="501">
        <v>0.01</v>
      </c>
      <c r="GR135" s="501">
        <v>0.52</v>
      </c>
      <c r="GS135" s="501">
        <v>0.49</v>
      </c>
      <c r="GT135" s="501">
        <v>0.68</v>
      </c>
      <c r="GU135" s="501">
        <v>0.28999999999999998</v>
      </c>
      <c r="GV135" s="501">
        <v>0.57999999999999996</v>
      </c>
      <c r="GW135" s="501">
        <v>0.42</v>
      </c>
      <c r="GX135" s="501">
        <v>0.56000000000000005</v>
      </c>
      <c r="GY135" s="471" t="s">
        <v>287</v>
      </c>
      <c r="GZ135" s="501">
        <v>0.35</v>
      </c>
      <c r="HA135" s="501">
        <v>0.67</v>
      </c>
      <c r="HB135" s="501">
        <v>0.52</v>
      </c>
      <c r="HC135" s="501">
        <v>0.56000000000000005</v>
      </c>
      <c r="HD135" s="501">
        <v>0.62</v>
      </c>
      <c r="HE135" s="501">
        <v>0.53</v>
      </c>
      <c r="HF135" s="501">
        <v>0.52</v>
      </c>
      <c r="HG135" s="501">
        <v>0.65</v>
      </c>
      <c r="HH135" s="501">
        <v>0.43</v>
      </c>
      <c r="HI135" s="501">
        <v>0.6</v>
      </c>
      <c r="HJ135" s="501">
        <v>0.62</v>
      </c>
      <c r="HK135" s="501">
        <v>0.56000000000000005</v>
      </c>
      <c r="HL135" s="501">
        <v>0.56999999999999995</v>
      </c>
      <c r="HM135" s="501">
        <v>0.53</v>
      </c>
      <c r="HN135" s="501">
        <v>0.53</v>
      </c>
      <c r="HO135" s="501">
        <v>0.56000000000000005</v>
      </c>
      <c r="HP135" s="471" t="s">
        <v>287</v>
      </c>
      <c r="HQ135" s="501">
        <v>0.46</v>
      </c>
      <c r="HR135" s="630">
        <v>52</v>
      </c>
      <c r="HS135" s="640" t="s">
        <v>910</v>
      </c>
      <c r="HT135" s="630">
        <v>8</v>
      </c>
      <c r="HU135" s="640" t="s">
        <v>910</v>
      </c>
      <c r="HV135" s="644">
        <v>0.08</v>
      </c>
      <c r="HW135" s="644">
        <v>0.61</v>
      </c>
      <c r="HX135" s="644">
        <v>0.31</v>
      </c>
      <c r="HY135" s="644">
        <v>0</v>
      </c>
      <c r="HZ135" s="644">
        <v>0.35</v>
      </c>
      <c r="IA135" s="644">
        <v>0.54</v>
      </c>
      <c r="IB135" s="644">
        <v>0.37</v>
      </c>
      <c r="IC135" s="644">
        <v>0.5</v>
      </c>
      <c r="ID135" s="644">
        <v>0.64</v>
      </c>
      <c r="IE135" s="644">
        <v>0.27</v>
      </c>
      <c r="IF135" s="644">
        <v>0.41</v>
      </c>
      <c r="IG135" s="644">
        <v>0.6</v>
      </c>
      <c r="IH135" s="644">
        <v>0.5</v>
      </c>
      <c r="II135" s="644">
        <v>0.17</v>
      </c>
      <c r="IJ135" s="644">
        <v>0.25</v>
      </c>
      <c r="IK135" s="644">
        <v>0.57999999999999996</v>
      </c>
      <c r="IL135" s="644">
        <v>0.31</v>
      </c>
      <c r="IM135" s="644">
        <v>0.54</v>
      </c>
      <c r="IN135" s="644">
        <v>0.38</v>
      </c>
      <c r="IO135" s="644">
        <v>0.53</v>
      </c>
      <c r="IP135" s="644">
        <v>0.38</v>
      </c>
      <c r="IQ135" s="644">
        <v>0.64</v>
      </c>
      <c r="IR135" s="644">
        <v>0.53</v>
      </c>
      <c r="IS135" s="644">
        <v>0.47</v>
      </c>
      <c r="IT135" s="644">
        <v>0.38</v>
      </c>
      <c r="IU135" s="640" t="s">
        <v>287</v>
      </c>
      <c r="IV135" s="644">
        <v>0.67</v>
      </c>
      <c r="IW135" s="644">
        <v>0.47</v>
      </c>
      <c r="IX135" s="644">
        <v>0.56999999999999995</v>
      </c>
      <c r="IY135" s="644">
        <v>0.54</v>
      </c>
    </row>
    <row r="136" spans="1:259" ht="24.9" customHeight="1" x14ac:dyDescent="0.25">
      <c r="A136" s="188" t="s">
        <v>229</v>
      </c>
      <c r="B136" s="1" t="s">
        <v>222</v>
      </c>
      <c r="C136" s="2">
        <v>2</v>
      </c>
      <c r="D136" s="13" t="s">
        <v>226</v>
      </c>
      <c r="E136" s="13" t="s">
        <v>226</v>
      </c>
      <c r="F136" s="13"/>
      <c r="G136" s="13"/>
      <c r="H136" s="13"/>
      <c r="I136" s="13"/>
      <c r="J136" s="13"/>
      <c r="K136" s="13"/>
      <c r="L136" s="13"/>
      <c r="M136" s="13"/>
      <c r="N136" s="13"/>
      <c r="O136" s="13"/>
      <c r="P136" s="13"/>
      <c r="Q136" s="13"/>
      <c r="R136" s="13"/>
      <c r="S136" s="13"/>
      <c r="T136" s="13"/>
      <c r="U136" s="13"/>
      <c r="V136" s="13"/>
      <c r="W136" s="13"/>
      <c r="X136" s="13"/>
      <c r="Y136" s="13"/>
      <c r="Z136" s="13"/>
      <c r="AA136" s="13"/>
      <c r="AB136" s="13"/>
      <c r="AC136" s="13"/>
      <c r="AD136" s="13"/>
      <c r="AE136" s="13"/>
      <c r="AF136" s="13"/>
      <c r="AG136" s="13"/>
      <c r="AH136" s="16">
        <v>43</v>
      </c>
      <c r="AI136" s="16">
        <v>8</v>
      </c>
      <c r="AJ136" s="66">
        <v>0.33</v>
      </c>
      <c r="AK136" s="66">
        <v>0.61</v>
      </c>
      <c r="AL136" s="66">
        <v>0.06</v>
      </c>
      <c r="AM136" s="66">
        <v>0</v>
      </c>
      <c r="AN136" s="66">
        <v>0.59</v>
      </c>
      <c r="AO136" s="66">
        <v>0.5</v>
      </c>
      <c r="AP136" s="66">
        <v>0.67</v>
      </c>
      <c r="AQ136" s="66">
        <v>0.57999999999999996</v>
      </c>
      <c r="AR136" s="66">
        <v>0.65</v>
      </c>
      <c r="AS136" s="66">
        <v>0.75</v>
      </c>
      <c r="AT136" s="66">
        <v>0.66</v>
      </c>
      <c r="AU136" s="66">
        <v>0.71</v>
      </c>
      <c r="AV136" s="66">
        <v>0.79</v>
      </c>
      <c r="AW136" s="66">
        <v>0.56000000000000005</v>
      </c>
      <c r="AX136" s="66">
        <v>0.7</v>
      </c>
      <c r="AY136" s="66">
        <v>0.52</v>
      </c>
      <c r="AZ136" s="66">
        <v>0.4</v>
      </c>
      <c r="BA136" s="66">
        <v>0.51</v>
      </c>
      <c r="BB136" s="66">
        <v>0.76</v>
      </c>
      <c r="BC136" s="66">
        <v>0.76</v>
      </c>
      <c r="BD136" s="66">
        <v>0.62</v>
      </c>
      <c r="BE136" s="66">
        <v>0.71</v>
      </c>
      <c r="BF136" s="66">
        <v>0.28999999999999998</v>
      </c>
      <c r="BG136" s="66">
        <v>0.73</v>
      </c>
      <c r="BH136" s="66">
        <v>0.59</v>
      </c>
      <c r="BI136" s="66">
        <v>0.51</v>
      </c>
      <c r="BJ136" s="66">
        <v>0.59</v>
      </c>
      <c r="BK136" s="66">
        <v>0.73</v>
      </c>
      <c r="BL136" s="66">
        <v>0.5</v>
      </c>
      <c r="BM136" s="13" t="s">
        <v>226</v>
      </c>
      <c r="BN136" s="13" t="s">
        <v>226</v>
      </c>
      <c r="BO136" s="13"/>
      <c r="BP136" s="13"/>
      <c r="BQ136" s="13"/>
      <c r="BR136" s="13"/>
      <c r="BS136" s="13"/>
      <c r="BT136" s="13"/>
      <c r="BU136" s="13"/>
      <c r="BV136" s="13"/>
      <c r="BW136" s="13"/>
      <c r="BX136" s="13"/>
      <c r="BY136" s="13"/>
      <c r="BZ136" s="13"/>
      <c r="CA136" s="13"/>
      <c r="CB136" s="13"/>
      <c r="CC136" s="13"/>
      <c r="CD136" s="13"/>
      <c r="CE136" s="13"/>
      <c r="CF136" s="13"/>
      <c r="CG136" s="13"/>
      <c r="CH136" s="13"/>
      <c r="CI136" s="13"/>
      <c r="CJ136" s="13"/>
      <c r="CK136" s="13"/>
      <c r="CL136" s="13"/>
      <c r="CM136" s="13"/>
      <c r="CN136" s="13"/>
      <c r="CO136" s="13"/>
      <c r="CP136" s="13"/>
      <c r="CQ136" s="13"/>
      <c r="CR136" s="13"/>
      <c r="CS136" s="13" t="s">
        <v>226</v>
      </c>
      <c r="CT136" s="13" t="s">
        <v>226</v>
      </c>
      <c r="CU136" s="2"/>
      <c r="CV136" s="2"/>
      <c r="CW136" s="2"/>
      <c r="CX136" s="2"/>
      <c r="CY136" s="2"/>
      <c r="CZ136" s="2"/>
      <c r="DA136" s="2"/>
      <c r="DB136" s="2"/>
      <c r="DC136" s="2"/>
      <c r="DD136" s="2"/>
      <c r="DE136" s="2"/>
      <c r="DF136" s="2"/>
      <c r="DG136" s="2"/>
      <c r="DH136" s="2"/>
      <c r="DI136" s="2"/>
      <c r="DJ136" s="2"/>
      <c r="DK136" s="2"/>
      <c r="DL136" s="2"/>
      <c r="DM136" s="2"/>
      <c r="DN136" s="2"/>
      <c r="DO136" s="2"/>
      <c r="DP136" s="2"/>
      <c r="DQ136" s="2"/>
      <c r="DR136" s="2"/>
      <c r="DS136" s="2"/>
      <c r="DT136" s="2"/>
      <c r="DU136" s="2"/>
      <c r="DV136" s="2"/>
      <c r="DW136" s="2"/>
      <c r="DX136" s="61"/>
      <c r="DY136" s="61"/>
      <c r="DZ136" s="66"/>
      <c r="EA136" s="66"/>
      <c r="EB136" s="66"/>
      <c r="EC136" s="66"/>
      <c r="ED136" s="66"/>
      <c r="EE136" s="66"/>
      <c r="EF136" s="66"/>
      <c r="EG136" s="66"/>
      <c r="EH136" s="66"/>
      <c r="EI136" s="66"/>
      <c r="EJ136" s="66"/>
      <c r="EK136" s="66"/>
      <c r="EL136" s="66"/>
      <c r="EM136" s="66"/>
      <c r="EN136" s="66"/>
      <c r="EO136" s="66"/>
      <c r="EP136" s="66"/>
      <c r="EQ136" s="66"/>
      <c r="ER136" s="66"/>
      <c r="ES136" s="66"/>
      <c r="ET136" s="66"/>
      <c r="EU136" s="66"/>
      <c r="EV136" s="66"/>
      <c r="EW136" s="66"/>
      <c r="EX136" s="66"/>
      <c r="EY136" s="66"/>
      <c r="EZ136" s="66"/>
      <c r="FA136" s="66"/>
      <c r="GJ136" s="469">
        <v>43</v>
      </c>
      <c r="GK136" s="471" t="s">
        <v>912</v>
      </c>
      <c r="GL136" s="469">
        <v>0</v>
      </c>
      <c r="GM136" s="471" t="s">
        <v>912</v>
      </c>
      <c r="GN136" s="501">
        <v>0</v>
      </c>
      <c r="GO136" s="501">
        <v>1</v>
      </c>
      <c r="GP136" s="501">
        <v>0</v>
      </c>
      <c r="GQ136" s="501">
        <v>0</v>
      </c>
      <c r="GR136" s="501">
        <v>1</v>
      </c>
      <c r="GS136" s="501">
        <v>1</v>
      </c>
      <c r="GT136" s="501">
        <v>1</v>
      </c>
      <c r="GU136" s="471" t="s">
        <v>287</v>
      </c>
      <c r="GV136" s="501">
        <v>0.5</v>
      </c>
      <c r="GW136" s="501">
        <v>1</v>
      </c>
      <c r="GX136" s="501">
        <v>0.67</v>
      </c>
      <c r="GY136" s="471" t="s">
        <v>287</v>
      </c>
      <c r="GZ136" s="501">
        <v>1</v>
      </c>
      <c r="HA136" s="501">
        <v>1</v>
      </c>
      <c r="HB136" s="501">
        <v>0.6</v>
      </c>
      <c r="HC136" s="501">
        <v>1</v>
      </c>
      <c r="HD136" s="501">
        <v>0.33</v>
      </c>
      <c r="HE136" s="501">
        <v>0.33</v>
      </c>
      <c r="HF136" s="501">
        <v>0.33</v>
      </c>
      <c r="HG136" s="501">
        <v>0.67</v>
      </c>
      <c r="HH136" s="501">
        <v>1</v>
      </c>
      <c r="HI136" s="501">
        <v>1</v>
      </c>
      <c r="HJ136" s="501">
        <v>0.67</v>
      </c>
      <c r="HK136" s="501">
        <v>1</v>
      </c>
      <c r="HL136" s="501">
        <v>1</v>
      </c>
      <c r="HM136" s="501">
        <v>0</v>
      </c>
      <c r="HN136" s="501">
        <v>1</v>
      </c>
      <c r="HO136" s="501">
        <v>1</v>
      </c>
      <c r="HP136" s="471" t="s">
        <v>287</v>
      </c>
      <c r="HQ136" s="501">
        <v>0.5</v>
      </c>
      <c r="HR136" s="630">
        <v>40</v>
      </c>
      <c r="HS136" s="640" t="s">
        <v>912</v>
      </c>
      <c r="HT136" s="630">
        <v>5</v>
      </c>
      <c r="HU136" s="640" t="s">
        <v>912</v>
      </c>
      <c r="HV136" s="644">
        <v>0.77</v>
      </c>
      <c r="HW136" s="644">
        <v>0.23</v>
      </c>
      <c r="HX136" s="644">
        <v>0</v>
      </c>
      <c r="HY136" s="644">
        <v>0</v>
      </c>
      <c r="HZ136" s="644">
        <v>0.69</v>
      </c>
      <c r="IA136" s="644">
        <v>0.71</v>
      </c>
      <c r="IB136" s="644">
        <v>0.5</v>
      </c>
      <c r="IC136" s="644">
        <v>0.78</v>
      </c>
      <c r="ID136" s="644">
        <v>0.76</v>
      </c>
      <c r="IE136" s="644">
        <v>0.61</v>
      </c>
      <c r="IF136" s="644">
        <v>0.69</v>
      </c>
      <c r="IG136" s="644">
        <v>0.73</v>
      </c>
      <c r="IH136" s="644">
        <v>0.6</v>
      </c>
      <c r="II136" s="644">
        <v>0.25</v>
      </c>
      <c r="IJ136" s="644">
        <v>0.56000000000000005</v>
      </c>
      <c r="IK136" s="644">
        <v>0.76</v>
      </c>
      <c r="IL136" s="644">
        <v>0.56999999999999995</v>
      </c>
      <c r="IM136" s="644">
        <v>0.86</v>
      </c>
      <c r="IN136" s="644">
        <v>0.69</v>
      </c>
      <c r="IO136" s="644">
        <v>0.62</v>
      </c>
      <c r="IP136" s="644">
        <v>0.72</v>
      </c>
      <c r="IQ136" s="644">
        <v>0.62</v>
      </c>
      <c r="IR136" s="644">
        <v>0.85</v>
      </c>
      <c r="IS136" s="644">
        <v>0.78</v>
      </c>
      <c r="IT136" s="644">
        <v>0.75</v>
      </c>
      <c r="IU136" s="640" t="s">
        <v>287</v>
      </c>
      <c r="IV136" s="644">
        <v>0.57999999999999996</v>
      </c>
      <c r="IW136" s="644">
        <v>0.65</v>
      </c>
      <c r="IX136" s="644">
        <v>0.65</v>
      </c>
      <c r="IY136" s="644">
        <v>0.65</v>
      </c>
    </row>
    <row r="137" spans="1:259" s="461" customFormat="1" ht="24.9" customHeight="1" x14ac:dyDescent="0.25">
      <c r="A137" s="470" t="s">
        <v>972</v>
      </c>
      <c r="B137" s="1" t="s">
        <v>222</v>
      </c>
      <c r="C137" s="471">
        <v>4</v>
      </c>
      <c r="D137" s="505"/>
      <c r="E137" s="505"/>
      <c r="F137" s="505"/>
      <c r="G137" s="505"/>
      <c r="H137" s="505"/>
      <c r="I137" s="505"/>
      <c r="J137" s="505"/>
      <c r="K137" s="505"/>
      <c r="L137" s="505"/>
      <c r="M137" s="505"/>
      <c r="N137" s="505"/>
      <c r="O137" s="505"/>
      <c r="P137" s="505"/>
      <c r="Q137" s="505"/>
      <c r="R137" s="505"/>
      <c r="S137" s="505"/>
      <c r="T137" s="505"/>
      <c r="U137" s="505"/>
      <c r="V137" s="505"/>
      <c r="W137" s="505"/>
      <c r="X137" s="505"/>
      <c r="Y137" s="505"/>
      <c r="Z137" s="505"/>
      <c r="AA137" s="505"/>
      <c r="AB137" s="505"/>
      <c r="AC137" s="505"/>
      <c r="AD137" s="505"/>
      <c r="AE137" s="505"/>
      <c r="AF137" s="505"/>
      <c r="AG137" s="505"/>
      <c r="AH137" s="502"/>
      <c r="AI137" s="502"/>
      <c r="AJ137" s="506"/>
      <c r="AK137" s="506"/>
      <c r="AL137" s="506"/>
      <c r="AM137" s="506"/>
      <c r="AN137" s="506"/>
      <c r="AO137" s="506"/>
      <c r="AP137" s="506"/>
      <c r="AQ137" s="506"/>
      <c r="AR137" s="506"/>
      <c r="AS137" s="506"/>
      <c r="AT137" s="506"/>
      <c r="AU137" s="506"/>
      <c r="AV137" s="506"/>
      <c r="AW137" s="506"/>
      <c r="AX137" s="506"/>
      <c r="AY137" s="506"/>
      <c r="AZ137" s="506"/>
      <c r="BA137" s="506"/>
      <c r="BB137" s="506"/>
      <c r="BC137" s="506"/>
      <c r="BD137" s="506"/>
      <c r="BE137" s="506"/>
      <c r="BF137" s="506"/>
      <c r="BG137" s="506"/>
      <c r="BH137" s="506"/>
      <c r="BI137" s="506"/>
      <c r="BJ137" s="506"/>
      <c r="BK137" s="506"/>
      <c r="BL137" s="506"/>
      <c r="BM137" s="505"/>
      <c r="BN137" s="505"/>
      <c r="BO137" s="505"/>
      <c r="BP137" s="505"/>
      <c r="BQ137" s="505"/>
      <c r="BR137" s="505"/>
      <c r="BS137" s="505"/>
      <c r="BT137" s="505"/>
      <c r="BU137" s="505"/>
      <c r="BV137" s="505"/>
      <c r="BW137" s="505"/>
      <c r="BX137" s="505"/>
      <c r="BY137" s="505"/>
      <c r="BZ137" s="505"/>
      <c r="CA137" s="505"/>
      <c r="CB137" s="505"/>
      <c r="CC137" s="505"/>
      <c r="CD137" s="505"/>
      <c r="CE137" s="505"/>
      <c r="CF137" s="505"/>
      <c r="CG137" s="505"/>
      <c r="CH137" s="505"/>
      <c r="CI137" s="505"/>
      <c r="CJ137" s="505"/>
      <c r="CK137" s="505"/>
      <c r="CL137" s="505"/>
      <c r="CM137" s="505"/>
      <c r="CN137" s="505"/>
      <c r="CO137" s="505"/>
      <c r="CP137" s="505"/>
      <c r="CQ137" s="505"/>
      <c r="CR137" s="505"/>
      <c r="CS137" s="505"/>
      <c r="CT137" s="505"/>
      <c r="CU137" s="471"/>
      <c r="CV137" s="471"/>
      <c r="CW137" s="471"/>
      <c r="CX137" s="471"/>
      <c r="CY137" s="471"/>
      <c r="CZ137" s="471"/>
      <c r="DA137" s="471"/>
      <c r="DB137" s="471"/>
      <c r="DC137" s="471"/>
      <c r="DD137" s="471"/>
      <c r="DE137" s="471"/>
      <c r="DF137" s="471"/>
      <c r="DG137" s="471"/>
      <c r="DH137" s="471"/>
      <c r="DI137" s="471"/>
      <c r="DJ137" s="471"/>
      <c r="DK137" s="471"/>
      <c r="DL137" s="471"/>
      <c r="DM137" s="471"/>
      <c r="DN137" s="471"/>
      <c r="DO137" s="471"/>
      <c r="DP137" s="471"/>
      <c r="DQ137" s="471"/>
      <c r="DR137" s="471"/>
      <c r="DS137" s="471"/>
      <c r="DT137" s="471"/>
      <c r="DU137" s="471"/>
      <c r="DV137" s="471"/>
      <c r="DW137" s="471"/>
      <c r="DX137" s="472"/>
      <c r="DY137" s="472"/>
      <c r="DZ137" s="506"/>
      <c r="EA137" s="506"/>
      <c r="EB137" s="506"/>
      <c r="EC137" s="506"/>
      <c r="ED137" s="506"/>
      <c r="EE137" s="506"/>
      <c r="EF137" s="506"/>
      <c r="EG137" s="506"/>
      <c r="EH137" s="506"/>
      <c r="EI137" s="506"/>
      <c r="EJ137" s="506"/>
      <c r="EK137" s="506"/>
      <c r="EL137" s="506"/>
      <c r="EM137" s="506"/>
      <c r="EN137" s="506"/>
      <c r="EO137" s="506"/>
      <c r="EP137" s="506"/>
      <c r="EQ137" s="506"/>
      <c r="ER137" s="506"/>
      <c r="ES137" s="506"/>
      <c r="ET137" s="506"/>
      <c r="EU137" s="506"/>
      <c r="EV137" s="506"/>
      <c r="EW137" s="506"/>
      <c r="EX137" s="506"/>
      <c r="EY137" s="506"/>
      <c r="EZ137" s="506"/>
      <c r="FA137" s="506"/>
      <c r="GJ137" s="469">
        <v>45</v>
      </c>
      <c r="GK137" s="471" t="s">
        <v>910</v>
      </c>
      <c r="GL137" s="469">
        <v>8</v>
      </c>
      <c r="GM137" s="471" t="s">
        <v>910</v>
      </c>
      <c r="GN137" s="501">
        <v>0.4</v>
      </c>
      <c r="GO137" s="501">
        <v>0.47</v>
      </c>
      <c r="GP137" s="501">
        <v>0.13</v>
      </c>
      <c r="GQ137" s="501">
        <v>0</v>
      </c>
      <c r="GR137" s="501">
        <v>0.6</v>
      </c>
      <c r="GS137" s="501">
        <v>0.61</v>
      </c>
      <c r="GT137" s="501">
        <v>0.71</v>
      </c>
      <c r="GU137" s="501">
        <v>0.78</v>
      </c>
      <c r="GV137" s="501">
        <v>0.66</v>
      </c>
      <c r="GW137" s="501">
        <v>0.67</v>
      </c>
      <c r="GX137" s="501">
        <v>0.56999999999999995</v>
      </c>
      <c r="GY137" s="471" t="s">
        <v>287</v>
      </c>
      <c r="GZ137" s="501">
        <v>0.56999999999999995</v>
      </c>
      <c r="HA137" s="501">
        <v>0.75</v>
      </c>
      <c r="HB137" s="501">
        <v>0.59</v>
      </c>
      <c r="HC137" s="501">
        <v>0.6</v>
      </c>
      <c r="HD137" s="501">
        <v>0.6</v>
      </c>
      <c r="HE137" s="501">
        <v>0.56999999999999995</v>
      </c>
      <c r="HF137" s="501">
        <v>0.43</v>
      </c>
      <c r="HG137" s="501">
        <v>0.8</v>
      </c>
      <c r="HH137" s="501">
        <v>0.63</v>
      </c>
      <c r="HI137" s="501">
        <v>0.57999999999999996</v>
      </c>
      <c r="HJ137" s="501">
        <v>0.71</v>
      </c>
      <c r="HK137" s="501">
        <v>0.61</v>
      </c>
      <c r="HL137" s="501">
        <v>0.45</v>
      </c>
      <c r="HM137" s="501">
        <v>0.53</v>
      </c>
      <c r="HN137" s="501">
        <v>0.48</v>
      </c>
      <c r="HO137" s="501">
        <v>0.44</v>
      </c>
      <c r="HP137" s="471" t="s">
        <v>287</v>
      </c>
      <c r="HQ137" s="501">
        <v>0.62</v>
      </c>
      <c r="HR137" s="630">
        <v>40</v>
      </c>
      <c r="HS137" s="640" t="s">
        <v>912</v>
      </c>
      <c r="HT137" s="630">
        <v>6</v>
      </c>
      <c r="HU137" s="640" t="s">
        <v>910</v>
      </c>
      <c r="HV137" s="644">
        <v>0.54</v>
      </c>
      <c r="HW137" s="644">
        <v>0.46</v>
      </c>
      <c r="HX137" s="644">
        <v>0</v>
      </c>
      <c r="HY137" s="644">
        <v>0</v>
      </c>
      <c r="HZ137" s="644">
        <v>0.43</v>
      </c>
      <c r="IA137" s="644">
        <v>0.79</v>
      </c>
      <c r="IB137" s="644">
        <v>0.45</v>
      </c>
      <c r="IC137" s="644">
        <v>0.71</v>
      </c>
      <c r="ID137" s="644">
        <v>0.88</v>
      </c>
      <c r="IE137" s="644">
        <v>0.67</v>
      </c>
      <c r="IF137" s="644">
        <v>0.73</v>
      </c>
      <c r="IG137" s="644">
        <v>0.54</v>
      </c>
      <c r="IH137" s="644">
        <v>0.62</v>
      </c>
      <c r="II137" s="644">
        <v>0.43</v>
      </c>
      <c r="IJ137" s="644">
        <v>0.42</v>
      </c>
      <c r="IK137" s="644">
        <v>0.68</v>
      </c>
      <c r="IL137" s="644">
        <v>0.67</v>
      </c>
      <c r="IM137" s="644">
        <v>0.71</v>
      </c>
      <c r="IN137" s="644">
        <v>0.68</v>
      </c>
      <c r="IO137" s="644">
        <v>0.71</v>
      </c>
      <c r="IP137" s="644">
        <v>0.65</v>
      </c>
      <c r="IQ137" s="644">
        <v>0.76</v>
      </c>
      <c r="IR137" s="644">
        <v>0.84</v>
      </c>
      <c r="IS137" s="644">
        <v>0.7</v>
      </c>
      <c r="IT137" s="644">
        <v>0.7</v>
      </c>
      <c r="IU137" s="640" t="s">
        <v>287</v>
      </c>
      <c r="IV137" s="644">
        <v>0.84</v>
      </c>
      <c r="IW137" s="644">
        <v>0.65</v>
      </c>
      <c r="IX137" s="644">
        <v>0.79</v>
      </c>
      <c r="IY137" s="644">
        <v>0.63</v>
      </c>
    </row>
    <row r="138" spans="1:259" ht="24.9" customHeight="1" x14ac:dyDescent="0.25">
      <c r="A138" s="188" t="s">
        <v>155</v>
      </c>
      <c r="B138" s="1" t="s">
        <v>222</v>
      </c>
      <c r="C138" s="2">
        <v>5</v>
      </c>
      <c r="D138" s="16">
        <v>53</v>
      </c>
      <c r="E138" s="16">
        <v>4</v>
      </c>
      <c r="F138" s="99">
        <v>0</v>
      </c>
      <c r="G138" s="99">
        <v>0.67</v>
      </c>
      <c r="H138" s="99">
        <v>0.33</v>
      </c>
      <c r="I138" s="99">
        <v>0</v>
      </c>
      <c r="J138" s="99">
        <v>0.33</v>
      </c>
      <c r="K138" s="99">
        <v>0.33</v>
      </c>
      <c r="L138" s="99">
        <v>1</v>
      </c>
      <c r="M138" s="99">
        <v>0</v>
      </c>
      <c r="N138" s="99">
        <v>0.2</v>
      </c>
      <c r="O138" s="99">
        <v>0.89</v>
      </c>
      <c r="P138" s="99">
        <v>0.5</v>
      </c>
      <c r="Q138" s="99">
        <v>0.42</v>
      </c>
      <c r="R138" s="99">
        <v>0.67</v>
      </c>
      <c r="S138" s="99">
        <v>0.67</v>
      </c>
      <c r="T138" s="99">
        <v>0.67</v>
      </c>
      <c r="U138" s="99">
        <v>1</v>
      </c>
      <c r="V138" s="99">
        <v>0</v>
      </c>
      <c r="W138" s="99">
        <v>0.33</v>
      </c>
      <c r="X138" s="99">
        <v>0.5</v>
      </c>
      <c r="Y138" s="99">
        <v>0.33</v>
      </c>
      <c r="Z138" s="13" t="s">
        <v>287</v>
      </c>
      <c r="AA138" s="99">
        <v>0</v>
      </c>
      <c r="AB138" s="99">
        <v>0.44</v>
      </c>
      <c r="AC138" s="99">
        <v>0</v>
      </c>
      <c r="AD138" s="99">
        <v>0.39</v>
      </c>
      <c r="AE138" s="99">
        <v>0.17</v>
      </c>
      <c r="AF138" s="99">
        <v>0.33</v>
      </c>
      <c r="AG138" s="99">
        <v>0.56000000000000005</v>
      </c>
      <c r="AH138" s="16">
        <v>56</v>
      </c>
      <c r="AI138" s="16">
        <v>8</v>
      </c>
      <c r="AJ138" s="66">
        <v>0</v>
      </c>
      <c r="AK138" s="66">
        <v>0.57999999999999996</v>
      </c>
      <c r="AL138" s="66">
        <v>0.42</v>
      </c>
      <c r="AM138" s="66">
        <v>0</v>
      </c>
      <c r="AN138" s="66">
        <v>0.2</v>
      </c>
      <c r="AO138" s="66">
        <v>0.47</v>
      </c>
      <c r="AP138" s="66">
        <v>0.59</v>
      </c>
      <c r="AQ138" s="66">
        <v>0.3</v>
      </c>
      <c r="AR138" s="66">
        <v>0.28999999999999998</v>
      </c>
      <c r="AS138" s="66">
        <v>0.26</v>
      </c>
      <c r="AT138" s="66">
        <v>0.32</v>
      </c>
      <c r="AU138" s="66">
        <v>0.26</v>
      </c>
      <c r="AV138" s="66">
        <v>0.52</v>
      </c>
      <c r="AW138" s="66">
        <v>0.67</v>
      </c>
      <c r="AX138" s="66">
        <v>0.67</v>
      </c>
      <c r="AY138" s="66">
        <v>0.28999999999999998</v>
      </c>
      <c r="AZ138" s="66">
        <v>0</v>
      </c>
      <c r="BA138" s="66">
        <v>0.39</v>
      </c>
      <c r="BB138" s="66">
        <v>0.43</v>
      </c>
      <c r="BC138" s="66">
        <v>0.57999999999999996</v>
      </c>
      <c r="BD138" s="66">
        <v>0.41</v>
      </c>
      <c r="BE138" s="66">
        <v>0.44</v>
      </c>
      <c r="BF138" s="66">
        <v>0.6</v>
      </c>
      <c r="BG138" s="66">
        <v>0.48</v>
      </c>
      <c r="BH138" s="66">
        <v>0.47</v>
      </c>
      <c r="BI138" s="66">
        <v>0.34</v>
      </c>
      <c r="BJ138" s="66">
        <v>0.3</v>
      </c>
      <c r="BK138" s="66">
        <v>0.31</v>
      </c>
      <c r="BL138" s="66">
        <v>0.5</v>
      </c>
      <c r="BM138" s="13">
        <v>51</v>
      </c>
      <c r="BN138" s="13">
        <v>5</v>
      </c>
      <c r="BO138" s="99">
        <v>0</v>
      </c>
      <c r="BP138" s="99">
        <v>1</v>
      </c>
      <c r="BQ138" s="99">
        <v>0</v>
      </c>
      <c r="BR138" s="99">
        <v>0</v>
      </c>
      <c r="BS138" s="99">
        <v>0.33</v>
      </c>
      <c r="BT138" s="13" t="s">
        <v>287</v>
      </c>
      <c r="BU138" s="13" t="s">
        <v>287</v>
      </c>
      <c r="BV138" s="99">
        <v>1</v>
      </c>
      <c r="BW138" s="99">
        <v>0.33</v>
      </c>
      <c r="BX138" s="99">
        <v>0.43</v>
      </c>
      <c r="BY138" s="99">
        <v>0.33</v>
      </c>
      <c r="BZ138" s="99">
        <v>0.33</v>
      </c>
      <c r="CA138" s="99">
        <v>0.25</v>
      </c>
      <c r="CB138" s="99">
        <v>0.33</v>
      </c>
      <c r="CC138" s="99">
        <v>0.5</v>
      </c>
      <c r="CD138" s="99">
        <v>0.2</v>
      </c>
      <c r="CE138" s="99">
        <v>0.6</v>
      </c>
      <c r="CF138" s="99">
        <v>0.5</v>
      </c>
      <c r="CG138" s="99">
        <v>0.5</v>
      </c>
      <c r="CH138" s="99">
        <v>0.71</v>
      </c>
      <c r="CI138" s="99">
        <v>0.33</v>
      </c>
      <c r="CJ138" s="99">
        <v>1</v>
      </c>
      <c r="CK138" s="99">
        <v>0.67</v>
      </c>
      <c r="CL138" s="99">
        <v>0.2</v>
      </c>
      <c r="CM138" s="99">
        <v>0.25</v>
      </c>
      <c r="CN138" s="99">
        <v>0.71</v>
      </c>
      <c r="CO138" s="99">
        <v>0.67</v>
      </c>
      <c r="CP138" s="99">
        <v>0</v>
      </c>
      <c r="CQ138" s="99">
        <v>0.9</v>
      </c>
      <c r="CR138" s="99">
        <v>0.33</v>
      </c>
      <c r="CS138" s="16">
        <v>45</v>
      </c>
      <c r="CT138" s="16">
        <v>9</v>
      </c>
      <c r="CU138" s="96">
        <v>0.4</v>
      </c>
      <c r="CV138" s="96">
        <v>0.4</v>
      </c>
      <c r="CW138" s="96">
        <v>0.2</v>
      </c>
      <c r="CX138" s="96">
        <v>0</v>
      </c>
      <c r="CY138" s="96">
        <v>0.44</v>
      </c>
      <c r="CZ138" s="96">
        <v>0.43</v>
      </c>
      <c r="DA138" s="96">
        <v>0.56999999999999995</v>
      </c>
      <c r="DB138" s="96">
        <v>0.33</v>
      </c>
      <c r="DC138" s="96">
        <v>0.38</v>
      </c>
      <c r="DD138" s="96">
        <v>0.67</v>
      </c>
      <c r="DE138" s="96">
        <v>0.83</v>
      </c>
      <c r="DF138" s="96">
        <v>0.54</v>
      </c>
      <c r="DG138" s="96">
        <v>0.4</v>
      </c>
      <c r="DH138" s="96">
        <v>0.47</v>
      </c>
      <c r="DI138" s="96">
        <v>0.86</v>
      </c>
      <c r="DJ138" s="96">
        <v>0.67</v>
      </c>
      <c r="DK138" s="96">
        <v>0.43</v>
      </c>
      <c r="DL138" s="96">
        <v>1</v>
      </c>
      <c r="DM138" s="96">
        <v>0.64</v>
      </c>
      <c r="DN138" s="96">
        <v>0.6</v>
      </c>
      <c r="DO138" s="96">
        <v>0.43</v>
      </c>
      <c r="DP138" s="96">
        <v>0.23</v>
      </c>
      <c r="DQ138" s="96">
        <v>0.41</v>
      </c>
      <c r="DR138" s="96">
        <v>0.7</v>
      </c>
      <c r="DS138" s="96">
        <v>0.75</v>
      </c>
      <c r="DT138" s="96">
        <v>0.75</v>
      </c>
      <c r="DU138" s="96">
        <v>0.5</v>
      </c>
      <c r="DV138" s="96">
        <v>0.56999999999999995</v>
      </c>
      <c r="DW138" s="96">
        <v>0.36</v>
      </c>
      <c r="DX138" s="61">
        <v>51</v>
      </c>
      <c r="DY138" s="61">
        <v>5</v>
      </c>
      <c r="DZ138" s="66">
        <v>0</v>
      </c>
      <c r="EA138" s="66">
        <v>0.67</v>
      </c>
      <c r="EB138" s="66">
        <v>0.33</v>
      </c>
      <c r="EC138" s="66">
        <v>0</v>
      </c>
      <c r="ED138" s="66">
        <v>0.67</v>
      </c>
      <c r="EE138" s="66">
        <v>0.5</v>
      </c>
      <c r="EF138" s="66">
        <v>0.5</v>
      </c>
      <c r="EG138" s="66">
        <v>0</v>
      </c>
      <c r="EH138" s="66">
        <v>0.17</v>
      </c>
      <c r="EI138" s="66">
        <v>0.4</v>
      </c>
      <c r="EJ138" s="66">
        <v>0.6</v>
      </c>
      <c r="EK138" s="66">
        <v>0</v>
      </c>
      <c r="EL138" s="66">
        <v>0.4</v>
      </c>
      <c r="EM138" s="66">
        <v>0.25</v>
      </c>
      <c r="EN138" s="66">
        <v>0.33</v>
      </c>
      <c r="EO138" s="66">
        <v>0.44</v>
      </c>
      <c r="EP138" s="66">
        <v>0.6</v>
      </c>
      <c r="EQ138" s="66">
        <v>0</v>
      </c>
      <c r="ER138" s="66">
        <v>0.6</v>
      </c>
      <c r="ES138" s="66">
        <v>0.5</v>
      </c>
      <c r="ET138" s="66">
        <v>0.13</v>
      </c>
      <c r="EU138" s="66">
        <v>0.5</v>
      </c>
      <c r="EV138" s="66">
        <v>0</v>
      </c>
      <c r="EW138" s="66">
        <v>0.5</v>
      </c>
      <c r="EX138" s="66">
        <v>1</v>
      </c>
      <c r="EY138" s="66">
        <v>0.5</v>
      </c>
      <c r="EZ138" s="66">
        <v>1</v>
      </c>
      <c r="FA138" s="66">
        <v>0.88</v>
      </c>
      <c r="FB138" s="349">
        <v>52</v>
      </c>
      <c r="FC138" s="348" t="s">
        <v>910</v>
      </c>
      <c r="FD138" s="349">
        <v>5</v>
      </c>
      <c r="FE138" s="348" t="s">
        <v>912</v>
      </c>
      <c r="FF138" s="371">
        <v>0</v>
      </c>
      <c r="FG138" s="371">
        <v>0.67</v>
      </c>
      <c r="FH138" s="371">
        <v>0.33</v>
      </c>
      <c r="FI138" s="371">
        <v>0</v>
      </c>
      <c r="FJ138" s="371">
        <v>0.25</v>
      </c>
      <c r="FK138" s="371">
        <v>0.75</v>
      </c>
      <c r="FL138" s="371">
        <v>0.45</v>
      </c>
      <c r="FM138" s="371">
        <v>0.8</v>
      </c>
      <c r="FN138" s="371">
        <v>0.22</v>
      </c>
      <c r="FO138" s="371">
        <v>0.5</v>
      </c>
      <c r="FP138" s="371">
        <v>0.36</v>
      </c>
      <c r="FQ138" s="371">
        <v>0.27</v>
      </c>
      <c r="FR138" s="371">
        <v>0.47</v>
      </c>
      <c r="FS138" s="371">
        <v>0.64</v>
      </c>
      <c r="FT138" s="371">
        <v>0.45</v>
      </c>
      <c r="FU138" s="371">
        <v>0.33</v>
      </c>
      <c r="FV138" s="371">
        <v>0.5</v>
      </c>
      <c r="FW138" s="371">
        <v>0.46</v>
      </c>
      <c r="FX138" s="371">
        <v>0.75</v>
      </c>
      <c r="FY138" s="371">
        <v>0.47</v>
      </c>
      <c r="FZ138" s="371">
        <v>0.22</v>
      </c>
      <c r="GA138" s="371">
        <v>0.22</v>
      </c>
      <c r="GB138" s="371">
        <v>0.36</v>
      </c>
      <c r="GC138" s="371">
        <v>0.25</v>
      </c>
      <c r="GD138" s="371">
        <v>0.71</v>
      </c>
      <c r="GE138" s="371">
        <v>0.36</v>
      </c>
      <c r="GF138" s="371">
        <v>0.25</v>
      </c>
      <c r="GG138" s="371">
        <v>0.5</v>
      </c>
      <c r="GH138" s="371">
        <v>0.63</v>
      </c>
      <c r="GI138" s="371">
        <v>0.28999999999999998</v>
      </c>
      <c r="GJ138" s="469">
        <v>52</v>
      </c>
      <c r="GK138" s="471" t="s">
        <v>910</v>
      </c>
      <c r="GL138" s="469">
        <v>4</v>
      </c>
      <c r="GM138" s="471" t="s">
        <v>912</v>
      </c>
      <c r="GN138" s="501">
        <v>0</v>
      </c>
      <c r="GO138" s="501">
        <v>1</v>
      </c>
      <c r="GP138" s="501">
        <v>0</v>
      </c>
      <c r="GQ138" s="501">
        <v>0</v>
      </c>
      <c r="GR138" s="501">
        <v>0</v>
      </c>
      <c r="GS138" s="501">
        <v>0.28999999999999998</v>
      </c>
      <c r="GT138" s="501">
        <v>0.56000000000000005</v>
      </c>
      <c r="GU138" s="501">
        <v>0</v>
      </c>
      <c r="GV138" s="501">
        <v>0.44</v>
      </c>
      <c r="GW138" s="501">
        <v>0.33</v>
      </c>
      <c r="GX138" s="501">
        <v>0.25</v>
      </c>
      <c r="GY138" s="471" t="s">
        <v>287</v>
      </c>
      <c r="GZ138" s="501">
        <v>0.5</v>
      </c>
      <c r="HA138" s="501">
        <v>0</v>
      </c>
      <c r="HB138" s="501">
        <v>0.4</v>
      </c>
      <c r="HC138" s="501">
        <v>0.6</v>
      </c>
      <c r="HD138" s="501">
        <v>0.5</v>
      </c>
      <c r="HE138" s="501">
        <v>0.5</v>
      </c>
      <c r="HF138" s="501">
        <v>0.44</v>
      </c>
      <c r="HG138" s="501">
        <v>0.86</v>
      </c>
      <c r="HH138" s="501">
        <v>0.67</v>
      </c>
      <c r="HI138" s="501">
        <v>0.67</v>
      </c>
      <c r="HJ138" s="501">
        <v>0.56999999999999995</v>
      </c>
      <c r="HK138" s="501">
        <v>0.75</v>
      </c>
      <c r="HL138" s="501">
        <v>0.17</v>
      </c>
      <c r="HM138" s="501">
        <v>0.42</v>
      </c>
      <c r="HN138" s="501">
        <v>0.4</v>
      </c>
      <c r="HO138" s="501">
        <v>0.44</v>
      </c>
      <c r="HP138" s="471" t="s">
        <v>287</v>
      </c>
      <c r="HQ138" s="501">
        <v>0.5</v>
      </c>
      <c r="HR138" s="630">
        <v>55</v>
      </c>
      <c r="HS138" s="640" t="s">
        <v>910</v>
      </c>
      <c r="HT138" s="630">
        <v>8</v>
      </c>
      <c r="HU138" s="640" t="s">
        <v>910</v>
      </c>
      <c r="HV138" s="644">
        <v>0</v>
      </c>
      <c r="HW138" s="644">
        <v>0.5</v>
      </c>
      <c r="HX138" s="644">
        <v>0.5</v>
      </c>
      <c r="HY138" s="644">
        <v>0</v>
      </c>
      <c r="HZ138" s="644">
        <v>0.71</v>
      </c>
      <c r="IA138" s="644">
        <v>0.38</v>
      </c>
      <c r="IB138" s="644">
        <v>0.67</v>
      </c>
      <c r="IC138" s="644">
        <v>0.38</v>
      </c>
      <c r="ID138" s="644">
        <v>0.69</v>
      </c>
      <c r="IE138" s="644">
        <v>0.22</v>
      </c>
      <c r="IF138" s="644">
        <v>0.25</v>
      </c>
      <c r="IG138" s="644">
        <v>0.33</v>
      </c>
      <c r="IH138" s="644">
        <v>0.56000000000000005</v>
      </c>
      <c r="II138" s="644">
        <v>0</v>
      </c>
      <c r="IJ138" s="644">
        <v>0.11</v>
      </c>
      <c r="IK138" s="644">
        <v>0.67</v>
      </c>
      <c r="IL138" s="644">
        <v>0.5</v>
      </c>
      <c r="IM138" s="644">
        <v>0.73</v>
      </c>
      <c r="IN138" s="644">
        <v>0.14000000000000001</v>
      </c>
      <c r="IO138" s="644">
        <v>0.56000000000000005</v>
      </c>
      <c r="IP138" s="644">
        <v>0</v>
      </c>
      <c r="IQ138" s="644">
        <v>0.67</v>
      </c>
      <c r="IR138" s="644">
        <v>0.25</v>
      </c>
      <c r="IS138" s="644">
        <v>0.5</v>
      </c>
      <c r="IT138" s="644">
        <v>0.25</v>
      </c>
      <c r="IU138" s="640" t="s">
        <v>287</v>
      </c>
      <c r="IV138" s="644">
        <v>0.38</v>
      </c>
      <c r="IW138" s="644">
        <v>0.43</v>
      </c>
      <c r="IX138" s="644">
        <v>0.14000000000000001</v>
      </c>
      <c r="IY138" s="644">
        <v>0.36</v>
      </c>
    </row>
    <row r="139" spans="1:259" ht="24.9" customHeight="1" x14ac:dyDescent="0.25">
      <c r="A139" s="188" t="s">
        <v>235</v>
      </c>
      <c r="B139" s="1" t="s">
        <v>222</v>
      </c>
      <c r="C139" s="2">
        <v>2</v>
      </c>
      <c r="D139" s="13" t="s">
        <v>226</v>
      </c>
      <c r="E139" s="13" t="s">
        <v>226</v>
      </c>
      <c r="F139" s="13"/>
      <c r="G139" s="13"/>
      <c r="H139" s="13"/>
      <c r="I139" s="13"/>
      <c r="J139" s="13"/>
      <c r="K139" s="13"/>
      <c r="L139" s="13"/>
      <c r="M139" s="13"/>
      <c r="N139" s="13"/>
      <c r="O139" s="13"/>
      <c r="P139" s="13"/>
      <c r="Q139" s="13"/>
      <c r="R139" s="13"/>
      <c r="S139" s="13"/>
      <c r="T139" s="13"/>
      <c r="U139" s="13"/>
      <c r="V139" s="13"/>
      <c r="W139" s="13"/>
      <c r="X139" s="13"/>
      <c r="Y139" s="13"/>
      <c r="Z139" s="13"/>
      <c r="AA139" s="13"/>
      <c r="AB139" s="13"/>
      <c r="AC139" s="13"/>
      <c r="AD139" s="13"/>
      <c r="AE139" s="13"/>
      <c r="AF139" s="13"/>
      <c r="AG139" s="13"/>
      <c r="AH139" s="13" t="s">
        <v>226</v>
      </c>
      <c r="AI139" s="13" t="s">
        <v>226</v>
      </c>
      <c r="AJ139" s="66"/>
      <c r="AK139" s="66"/>
      <c r="AL139" s="66"/>
      <c r="AM139" s="66"/>
      <c r="AN139" s="66"/>
      <c r="AO139" s="66"/>
      <c r="AP139" s="66"/>
      <c r="AQ139" s="66"/>
      <c r="AR139" s="66"/>
      <c r="AS139" s="66"/>
      <c r="AT139" s="66"/>
      <c r="AU139" s="66"/>
      <c r="AV139" s="66"/>
      <c r="AW139" s="66"/>
      <c r="AX139" s="66"/>
      <c r="AY139" s="66"/>
      <c r="AZ139" s="66"/>
      <c r="BA139" s="66"/>
      <c r="BB139" s="66"/>
      <c r="BC139" s="66"/>
      <c r="BD139" s="66"/>
      <c r="BE139" s="66"/>
      <c r="BF139" s="66"/>
      <c r="BG139" s="66"/>
      <c r="BH139" s="66"/>
      <c r="BI139" s="66"/>
      <c r="BJ139" s="66"/>
      <c r="BK139" s="66"/>
      <c r="BL139" s="66"/>
      <c r="BM139" s="13" t="s">
        <v>226</v>
      </c>
      <c r="BN139" s="13" t="s">
        <v>226</v>
      </c>
      <c r="BO139" s="13"/>
      <c r="BP139" s="13"/>
      <c r="BQ139" s="13"/>
      <c r="BR139" s="13"/>
      <c r="BS139" s="13"/>
      <c r="BT139" s="13"/>
      <c r="BU139" s="13"/>
      <c r="BV139" s="13"/>
      <c r="BW139" s="13"/>
      <c r="BX139" s="13"/>
      <c r="BY139" s="13"/>
      <c r="BZ139" s="13"/>
      <c r="CA139" s="13"/>
      <c r="CB139" s="13"/>
      <c r="CC139" s="13"/>
      <c r="CD139" s="13"/>
      <c r="CE139" s="13"/>
      <c r="CF139" s="13"/>
      <c r="CG139" s="13"/>
      <c r="CH139" s="13"/>
      <c r="CI139" s="13"/>
      <c r="CJ139" s="13"/>
      <c r="CK139" s="13"/>
      <c r="CL139" s="13"/>
      <c r="CM139" s="13"/>
      <c r="CN139" s="13"/>
      <c r="CO139" s="13"/>
      <c r="CP139" s="13"/>
      <c r="CQ139" s="13"/>
      <c r="CR139" s="13"/>
      <c r="CS139" s="16">
        <v>49</v>
      </c>
      <c r="CT139" s="16">
        <v>6</v>
      </c>
      <c r="CU139" s="96">
        <v>0.17</v>
      </c>
      <c r="CV139" s="96">
        <v>0.83</v>
      </c>
      <c r="CW139" s="96">
        <v>0</v>
      </c>
      <c r="CX139" s="96">
        <v>0</v>
      </c>
      <c r="CY139" s="96">
        <v>0.33</v>
      </c>
      <c r="CZ139" s="96">
        <v>0.26</v>
      </c>
      <c r="DA139" s="96">
        <v>0.56000000000000005</v>
      </c>
      <c r="DB139" s="96">
        <v>0.18</v>
      </c>
      <c r="DC139" s="96">
        <v>0.56000000000000005</v>
      </c>
      <c r="DD139" s="96">
        <v>0.75</v>
      </c>
      <c r="DE139" s="96">
        <v>0.44</v>
      </c>
      <c r="DF139" s="96">
        <v>0.6</v>
      </c>
      <c r="DG139" s="96">
        <v>0.6</v>
      </c>
      <c r="DH139" s="96">
        <v>0.39</v>
      </c>
      <c r="DI139" s="96">
        <v>1</v>
      </c>
      <c r="DJ139" s="96">
        <v>0.76</v>
      </c>
      <c r="DK139" s="96">
        <v>0.36</v>
      </c>
      <c r="DL139" s="96">
        <v>0</v>
      </c>
      <c r="DM139" s="96">
        <v>0.35</v>
      </c>
      <c r="DN139" s="96">
        <v>0.22</v>
      </c>
      <c r="DO139" s="96">
        <v>0.2</v>
      </c>
      <c r="DP139" s="96">
        <v>0.67</v>
      </c>
      <c r="DQ139" s="96">
        <v>0.48</v>
      </c>
      <c r="DR139" s="96">
        <v>0.14000000000000001</v>
      </c>
      <c r="DS139" s="96">
        <v>0.62</v>
      </c>
      <c r="DT139" s="96">
        <v>0.64</v>
      </c>
      <c r="DU139" s="96">
        <v>0.33</v>
      </c>
      <c r="DV139" s="96">
        <v>0.89</v>
      </c>
      <c r="DW139" s="96">
        <v>0.17</v>
      </c>
      <c r="DX139" s="61">
        <v>50</v>
      </c>
      <c r="DY139" s="61">
        <v>7</v>
      </c>
      <c r="DZ139" s="66">
        <v>0</v>
      </c>
      <c r="EA139" s="66">
        <v>0.67</v>
      </c>
      <c r="EB139" s="66">
        <v>0.33</v>
      </c>
      <c r="EC139" s="66">
        <v>0</v>
      </c>
      <c r="ED139" s="66">
        <v>0.75</v>
      </c>
      <c r="EE139" s="66">
        <v>0.88</v>
      </c>
      <c r="EF139" s="66">
        <v>0.2</v>
      </c>
      <c r="EG139" s="66">
        <v>0</v>
      </c>
      <c r="EH139" s="66">
        <v>0</v>
      </c>
      <c r="EI139" s="66">
        <v>0.33</v>
      </c>
      <c r="EJ139" s="66">
        <v>0.5</v>
      </c>
      <c r="EK139" s="66">
        <v>0.33</v>
      </c>
      <c r="EL139" s="66">
        <v>0.6</v>
      </c>
      <c r="EM139" s="66">
        <v>0.5</v>
      </c>
      <c r="EN139" s="66">
        <v>0.5</v>
      </c>
      <c r="EO139" s="66">
        <v>0.33</v>
      </c>
      <c r="EP139" s="66">
        <v>0.14000000000000001</v>
      </c>
      <c r="EQ139" s="66">
        <v>0.5</v>
      </c>
      <c r="ER139" s="66">
        <v>0.56999999999999995</v>
      </c>
      <c r="ES139" s="66">
        <v>0.25</v>
      </c>
      <c r="ET139" s="66">
        <v>0.22</v>
      </c>
      <c r="EU139" s="66">
        <v>1</v>
      </c>
      <c r="EV139" s="61" t="s">
        <v>287</v>
      </c>
      <c r="EW139" s="66">
        <v>0.67</v>
      </c>
      <c r="EX139" s="66">
        <v>0.5</v>
      </c>
      <c r="EY139" s="66">
        <v>0.73</v>
      </c>
      <c r="EZ139" s="66">
        <v>1</v>
      </c>
      <c r="FA139" s="66">
        <v>0.56999999999999995</v>
      </c>
      <c r="FB139" s="349">
        <v>47</v>
      </c>
      <c r="FC139" s="348" t="s">
        <v>910</v>
      </c>
      <c r="FD139" s="349">
        <v>11</v>
      </c>
      <c r="FE139" s="348" t="s">
        <v>910</v>
      </c>
      <c r="FF139" s="371">
        <v>0.43</v>
      </c>
      <c r="FG139" s="371">
        <v>0.28999999999999998</v>
      </c>
      <c r="FH139" s="371">
        <v>0.28999999999999998</v>
      </c>
      <c r="FI139" s="371">
        <v>0</v>
      </c>
      <c r="FJ139" s="371">
        <v>0.53</v>
      </c>
      <c r="FK139" s="371">
        <v>0.54</v>
      </c>
      <c r="FL139" s="371">
        <v>0.56999999999999995</v>
      </c>
      <c r="FM139" s="371">
        <v>0.38</v>
      </c>
      <c r="FN139" s="371">
        <v>0.53</v>
      </c>
      <c r="FO139" s="371">
        <v>0.24</v>
      </c>
      <c r="FP139" s="371">
        <v>0.47</v>
      </c>
      <c r="FQ139" s="371">
        <v>0.41</v>
      </c>
      <c r="FR139" s="371">
        <v>0.56999999999999995</v>
      </c>
      <c r="FS139" s="371">
        <v>0.65</v>
      </c>
      <c r="FT139" s="371">
        <v>0.44</v>
      </c>
      <c r="FU139" s="371">
        <v>0.67</v>
      </c>
      <c r="FV139" s="371">
        <v>0.48</v>
      </c>
      <c r="FW139" s="371">
        <v>0.66</v>
      </c>
      <c r="FX139" s="371">
        <v>0.53</v>
      </c>
      <c r="FY139" s="371">
        <v>0.48</v>
      </c>
      <c r="FZ139" s="371">
        <v>0.35</v>
      </c>
      <c r="GA139" s="371">
        <v>0.59</v>
      </c>
      <c r="GB139" s="371">
        <v>0.26</v>
      </c>
      <c r="GC139" s="371">
        <v>0.43</v>
      </c>
      <c r="GD139" s="371">
        <v>0.64</v>
      </c>
      <c r="GE139" s="371">
        <v>0.57999999999999996</v>
      </c>
      <c r="GF139" s="371">
        <v>0.52</v>
      </c>
      <c r="GG139" s="371">
        <v>0.42</v>
      </c>
      <c r="GH139" s="371">
        <v>0.59</v>
      </c>
      <c r="GI139" s="371">
        <v>0.48</v>
      </c>
      <c r="GJ139" s="469">
        <v>50</v>
      </c>
      <c r="GK139" s="471" t="s">
        <v>910</v>
      </c>
      <c r="GL139" s="469">
        <v>7</v>
      </c>
      <c r="GM139" s="471" t="s">
        <v>910</v>
      </c>
      <c r="GN139" s="501">
        <v>0.05</v>
      </c>
      <c r="GO139" s="501">
        <v>0.81</v>
      </c>
      <c r="GP139" s="501">
        <v>0.14000000000000001</v>
      </c>
      <c r="GQ139" s="501">
        <v>0</v>
      </c>
      <c r="GR139" s="501">
        <v>0.55000000000000004</v>
      </c>
      <c r="GS139" s="501">
        <v>0.62</v>
      </c>
      <c r="GT139" s="501">
        <v>0.56000000000000005</v>
      </c>
      <c r="GU139" s="501">
        <v>0.33</v>
      </c>
      <c r="GV139" s="501">
        <v>0.55000000000000004</v>
      </c>
      <c r="GW139" s="501">
        <v>0.63</v>
      </c>
      <c r="GX139" s="501">
        <v>0.54</v>
      </c>
      <c r="GY139" s="471" t="s">
        <v>287</v>
      </c>
      <c r="GZ139" s="501">
        <v>0.4</v>
      </c>
      <c r="HA139" s="501">
        <v>0.82</v>
      </c>
      <c r="HB139" s="501">
        <v>0.51</v>
      </c>
      <c r="HC139" s="501">
        <v>0.59</v>
      </c>
      <c r="HD139" s="501">
        <v>0.56000000000000005</v>
      </c>
      <c r="HE139" s="501">
        <v>0.41</v>
      </c>
      <c r="HF139" s="501">
        <v>0.44</v>
      </c>
      <c r="HG139" s="501">
        <v>0.65</v>
      </c>
      <c r="HH139" s="501">
        <v>0.42</v>
      </c>
      <c r="HI139" s="501">
        <v>0.44</v>
      </c>
      <c r="HJ139" s="501">
        <v>0.61</v>
      </c>
      <c r="HK139" s="501">
        <v>0.61</v>
      </c>
      <c r="HL139" s="501">
        <v>0.4</v>
      </c>
      <c r="HM139" s="501">
        <v>0.62</v>
      </c>
      <c r="HN139" s="501">
        <v>0.52</v>
      </c>
      <c r="HO139" s="501">
        <v>0.38</v>
      </c>
      <c r="HP139" s="471" t="s">
        <v>287</v>
      </c>
      <c r="HQ139" s="501">
        <v>0.53</v>
      </c>
      <c r="HR139" s="630">
        <v>46</v>
      </c>
      <c r="HS139" s="640" t="s">
        <v>910</v>
      </c>
      <c r="HT139" s="630">
        <v>10</v>
      </c>
      <c r="HU139" s="640" t="s">
        <v>910</v>
      </c>
      <c r="HV139" s="644">
        <v>0.32</v>
      </c>
      <c r="HW139" s="644">
        <v>0.42</v>
      </c>
      <c r="HX139" s="644">
        <v>0.26</v>
      </c>
      <c r="HY139" s="644">
        <v>0</v>
      </c>
      <c r="HZ139" s="644">
        <v>0.44</v>
      </c>
      <c r="IA139" s="644">
        <v>0.64</v>
      </c>
      <c r="IB139" s="644">
        <v>0.39</v>
      </c>
      <c r="IC139" s="644">
        <v>0.56000000000000005</v>
      </c>
      <c r="ID139" s="644">
        <v>0.73</v>
      </c>
      <c r="IE139" s="644">
        <v>0.41</v>
      </c>
      <c r="IF139" s="644">
        <v>0.47</v>
      </c>
      <c r="IG139" s="644">
        <v>0.72</v>
      </c>
      <c r="IH139" s="644">
        <v>0.64</v>
      </c>
      <c r="II139" s="644">
        <v>0.64</v>
      </c>
      <c r="IJ139" s="644">
        <v>0.48</v>
      </c>
      <c r="IK139" s="644">
        <v>0.61</v>
      </c>
      <c r="IL139" s="644">
        <v>0.24</v>
      </c>
      <c r="IM139" s="644">
        <v>0.67</v>
      </c>
      <c r="IN139" s="644">
        <v>0.66</v>
      </c>
      <c r="IO139" s="644">
        <v>0.62</v>
      </c>
      <c r="IP139" s="644">
        <v>0.48</v>
      </c>
      <c r="IQ139" s="644">
        <v>0.73</v>
      </c>
      <c r="IR139" s="644">
        <v>0.54</v>
      </c>
      <c r="IS139" s="644">
        <v>0.7</v>
      </c>
      <c r="IT139" s="644">
        <v>0.56999999999999995</v>
      </c>
      <c r="IU139" s="640" t="s">
        <v>287</v>
      </c>
      <c r="IV139" s="644">
        <v>0.84</v>
      </c>
      <c r="IW139" s="644">
        <v>0.56000000000000005</v>
      </c>
      <c r="IX139" s="644">
        <v>0.42</v>
      </c>
      <c r="IY139" s="644">
        <v>0.62</v>
      </c>
    </row>
    <row r="140" spans="1:259" ht="24.9" customHeight="1" x14ac:dyDescent="0.25">
      <c r="A140" s="188" t="s">
        <v>144</v>
      </c>
      <c r="B140" s="1" t="s">
        <v>222</v>
      </c>
      <c r="C140" s="2">
        <v>2</v>
      </c>
      <c r="D140" s="16">
        <v>51</v>
      </c>
      <c r="E140" s="16">
        <v>8</v>
      </c>
      <c r="F140" s="99">
        <v>0.1</v>
      </c>
      <c r="G140" s="99">
        <v>0.67</v>
      </c>
      <c r="H140" s="99">
        <v>0.24</v>
      </c>
      <c r="I140" s="99">
        <v>0</v>
      </c>
      <c r="J140" s="99">
        <v>0.53</v>
      </c>
      <c r="K140" s="99">
        <v>0.5</v>
      </c>
      <c r="L140" s="99">
        <v>0.81</v>
      </c>
      <c r="M140" s="99">
        <v>0.38</v>
      </c>
      <c r="N140" s="99">
        <v>0.32</v>
      </c>
      <c r="O140" s="99">
        <v>0.71</v>
      </c>
      <c r="P140" s="99">
        <v>0.43</v>
      </c>
      <c r="Q140" s="99">
        <v>0.59</v>
      </c>
      <c r="R140" s="99">
        <v>0.62</v>
      </c>
      <c r="S140" s="99">
        <v>0.65</v>
      </c>
      <c r="T140" s="99">
        <v>0.61</v>
      </c>
      <c r="U140" s="99">
        <v>0.6</v>
      </c>
      <c r="V140" s="99">
        <v>0.09</v>
      </c>
      <c r="W140" s="99">
        <v>0.39</v>
      </c>
      <c r="X140" s="99">
        <v>0.55000000000000004</v>
      </c>
      <c r="Y140" s="99">
        <v>0.61</v>
      </c>
      <c r="Z140" s="99">
        <v>1</v>
      </c>
      <c r="AA140" s="99">
        <v>0.08</v>
      </c>
      <c r="AB140" s="99">
        <v>0.55000000000000004</v>
      </c>
      <c r="AC140" s="99">
        <v>0.22</v>
      </c>
      <c r="AD140" s="99">
        <v>0.49</v>
      </c>
      <c r="AE140" s="99">
        <v>0.57999999999999996</v>
      </c>
      <c r="AF140" s="99">
        <v>0.57999999999999996</v>
      </c>
      <c r="AG140" s="99">
        <v>0.4</v>
      </c>
      <c r="AH140" s="16">
        <v>55</v>
      </c>
      <c r="AI140" s="16">
        <v>8</v>
      </c>
      <c r="AJ140" s="66">
        <v>0.05</v>
      </c>
      <c r="AK140" s="66">
        <v>0.38</v>
      </c>
      <c r="AL140" s="66">
        <v>0.56000000000000005</v>
      </c>
      <c r="AM140" s="66">
        <v>0</v>
      </c>
      <c r="AN140" s="66">
        <v>0.21</v>
      </c>
      <c r="AO140" s="66">
        <v>0.34</v>
      </c>
      <c r="AP140" s="66">
        <v>0.53</v>
      </c>
      <c r="AQ140" s="66">
        <v>0.3</v>
      </c>
      <c r="AR140" s="66">
        <v>0.57999999999999996</v>
      </c>
      <c r="AS140" s="66">
        <v>0.48</v>
      </c>
      <c r="AT140" s="66">
        <v>0.44</v>
      </c>
      <c r="AU140" s="66">
        <v>0.49</v>
      </c>
      <c r="AV140" s="66">
        <v>0.54</v>
      </c>
      <c r="AW140" s="66">
        <v>0.44</v>
      </c>
      <c r="AX140" s="66">
        <v>0.53</v>
      </c>
      <c r="AY140" s="66">
        <v>0.27</v>
      </c>
      <c r="AZ140" s="66">
        <v>0.24</v>
      </c>
      <c r="BA140" s="66">
        <v>0.45</v>
      </c>
      <c r="BB140" s="66">
        <v>0.61</v>
      </c>
      <c r="BC140" s="66">
        <v>0.64</v>
      </c>
      <c r="BD140" s="66">
        <v>0.45</v>
      </c>
      <c r="BE140" s="66">
        <v>0.55000000000000004</v>
      </c>
      <c r="BF140" s="66">
        <v>0.6</v>
      </c>
      <c r="BG140" s="66">
        <v>0.43</v>
      </c>
      <c r="BH140" s="66">
        <v>0.39</v>
      </c>
      <c r="BI140" s="66">
        <v>0.36</v>
      </c>
      <c r="BJ140" s="66">
        <v>0.26</v>
      </c>
      <c r="BK140" s="66">
        <v>0.36</v>
      </c>
      <c r="BL140" s="66">
        <v>0.42</v>
      </c>
      <c r="BM140" s="16">
        <v>52</v>
      </c>
      <c r="BN140" s="16">
        <v>10</v>
      </c>
      <c r="BO140" s="99">
        <v>0.12</v>
      </c>
      <c r="BP140" s="99">
        <v>0.49</v>
      </c>
      <c r="BQ140" s="99">
        <v>0.33</v>
      </c>
      <c r="BR140" s="99">
        <v>0.06</v>
      </c>
      <c r="BS140" s="99">
        <v>0.3</v>
      </c>
      <c r="BT140" s="99">
        <v>0.62</v>
      </c>
      <c r="BU140" s="99">
        <v>0.59</v>
      </c>
      <c r="BV140" s="99">
        <v>0.47</v>
      </c>
      <c r="BW140" s="99">
        <v>0.55000000000000004</v>
      </c>
      <c r="BX140" s="99">
        <v>0.39</v>
      </c>
      <c r="BY140" s="99">
        <v>0.4</v>
      </c>
      <c r="BZ140" s="99">
        <v>0.55000000000000004</v>
      </c>
      <c r="CA140" s="99">
        <v>0.4</v>
      </c>
      <c r="CB140" s="99">
        <v>0.33</v>
      </c>
      <c r="CC140" s="99">
        <v>0.2</v>
      </c>
      <c r="CD140" s="99">
        <v>0.4</v>
      </c>
      <c r="CE140" s="99">
        <v>0.32</v>
      </c>
      <c r="CF140" s="99">
        <v>0.72</v>
      </c>
      <c r="CG140" s="99">
        <v>0.57999999999999996</v>
      </c>
      <c r="CH140" s="99">
        <v>0.45</v>
      </c>
      <c r="CI140" s="99">
        <v>0.57999999999999996</v>
      </c>
      <c r="CJ140" s="99">
        <v>0.28999999999999998</v>
      </c>
      <c r="CK140" s="99">
        <v>0.66</v>
      </c>
      <c r="CL140" s="99">
        <v>0.27</v>
      </c>
      <c r="CM140" s="99">
        <v>0.38</v>
      </c>
      <c r="CN140" s="99">
        <v>0.38</v>
      </c>
      <c r="CO140" s="99">
        <v>0.46</v>
      </c>
      <c r="CP140" s="99">
        <v>0.27</v>
      </c>
      <c r="CQ140" s="99">
        <v>0.49</v>
      </c>
      <c r="CR140" s="99">
        <v>0.5</v>
      </c>
      <c r="CS140" s="16">
        <v>52</v>
      </c>
      <c r="CT140" s="16">
        <v>8</v>
      </c>
      <c r="CU140" s="96">
        <v>0.09</v>
      </c>
      <c r="CV140" s="96">
        <v>0.61</v>
      </c>
      <c r="CW140" s="96">
        <v>0.27</v>
      </c>
      <c r="CX140" s="96">
        <v>0.02</v>
      </c>
      <c r="CY140" s="96">
        <v>0.49</v>
      </c>
      <c r="CZ140" s="96">
        <v>0.25</v>
      </c>
      <c r="DA140" s="96">
        <v>0.56999999999999995</v>
      </c>
      <c r="DB140" s="96">
        <v>0.27</v>
      </c>
      <c r="DC140" s="96">
        <v>0.38</v>
      </c>
      <c r="DD140" s="96">
        <v>0.57999999999999996</v>
      </c>
      <c r="DE140" s="96">
        <v>0.48</v>
      </c>
      <c r="DF140" s="96">
        <v>0.48</v>
      </c>
      <c r="DG140" s="96">
        <v>0.42</v>
      </c>
      <c r="DH140" s="96">
        <v>0.43</v>
      </c>
      <c r="DI140" s="96">
        <v>0.47</v>
      </c>
      <c r="DJ140" s="96">
        <v>0.49</v>
      </c>
      <c r="DK140" s="96">
        <v>0.27</v>
      </c>
      <c r="DL140" s="96">
        <v>0.44</v>
      </c>
      <c r="DM140" s="96">
        <v>0.55000000000000004</v>
      </c>
      <c r="DN140" s="96">
        <v>0.4</v>
      </c>
      <c r="DO140" s="96">
        <v>0.38</v>
      </c>
      <c r="DP140" s="96">
        <v>0.39</v>
      </c>
      <c r="DQ140" s="96">
        <v>0.54</v>
      </c>
      <c r="DR140" s="96">
        <v>0.17</v>
      </c>
      <c r="DS140" s="96">
        <v>0.34</v>
      </c>
      <c r="DT140" s="96">
        <v>0.52</v>
      </c>
      <c r="DU140" s="96">
        <v>0.54</v>
      </c>
      <c r="DV140" s="96">
        <v>0.57999999999999996</v>
      </c>
      <c r="DW140" s="96">
        <v>0.34</v>
      </c>
      <c r="DX140" s="61">
        <v>53</v>
      </c>
      <c r="DY140" s="61">
        <v>10</v>
      </c>
      <c r="DZ140" s="66">
        <v>0.11</v>
      </c>
      <c r="EA140" s="66">
        <v>0.45</v>
      </c>
      <c r="EB140" s="66">
        <v>0.41</v>
      </c>
      <c r="EC140" s="66">
        <v>0.04</v>
      </c>
      <c r="ED140" s="66">
        <v>0.39</v>
      </c>
      <c r="EE140" s="66">
        <v>0.47</v>
      </c>
      <c r="EF140" s="66">
        <v>0.45</v>
      </c>
      <c r="EG140" s="66">
        <v>0.23</v>
      </c>
      <c r="EH140" s="66">
        <v>0.35</v>
      </c>
      <c r="EI140" s="66">
        <v>0.35</v>
      </c>
      <c r="EJ140" s="66">
        <v>0.57999999999999996</v>
      </c>
      <c r="EK140" s="66">
        <v>0.3</v>
      </c>
      <c r="EL140" s="66">
        <v>0.34</v>
      </c>
      <c r="EM140" s="66">
        <v>0.61</v>
      </c>
      <c r="EN140" s="66">
        <v>0.37</v>
      </c>
      <c r="EO140" s="66">
        <v>0.54</v>
      </c>
      <c r="EP140" s="66">
        <v>0.31</v>
      </c>
      <c r="EQ140" s="66">
        <v>0.31</v>
      </c>
      <c r="ER140" s="66">
        <v>0.54</v>
      </c>
      <c r="ES140" s="66">
        <v>0.34</v>
      </c>
      <c r="ET140" s="66">
        <v>0.28000000000000003</v>
      </c>
      <c r="EU140" s="66">
        <v>0.51</v>
      </c>
      <c r="EV140" s="66">
        <v>0.18</v>
      </c>
      <c r="EW140" s="66">
        <v>0.3</v>
      </c>
      <c r="EX140" s="66">
        <v>0.59</v>
      </c>
      <c r="EY140" s="66">
        <v>0.45</v>
      </c>
      <c r="EZ140" s="66">
        <v>0.06</v>
      </c>
      <c r="FA140" s="66">
        <v>0.53</v>
      </c>
      <c r="FB140" s="349">
        <v>53</v>
      </c>
      <c r="FC140" s="348" t="s">
        <v>910</v>
      </c>
      <c r="FD140" s="349">
        <v>8</v>
      </c>
      <c r="FE140" s="348" t="s">
        <v>910</v>
      </c>
      <c r="FF140" s="371">
        <v>0.05</v>
      </c>
      <c r="FG140" s="371">
        <v>0.54</v>
      </c>
      <c r="FH140" s="371">
        <v>0.41</v>
      </c>
      <c r="FI140" s="371">
        <v>0</v>
      </c>
      <c r="FJ140" s="371">
        <v>0.39</v>
      </c>
      <c r="FK140" s="371">
        <v>0.7</v>
      </c>
      <c r="FL140" s="371">
        <v>0.41</v>
      </c>
      <c r="FM140" s="371">
        <v>0.27</v>
      </c>
      <c r="FN140" s="371">
        <v>0.2</v>
      </c>
      <c r="FO140" s="371">
        <v>0.28000000000000003</v>
      </c>
      <c r="FP140" s="371">
        <v>0.38</v>
      </c>
      <c r="FQ140" s="371">
        <v>0.36</v>
      </c>
      <c r="FR140" s="371">
        <v>0.55000000000000004</v>
      </c>
      <c r="FS140" s="371">
        <v>0.5</v>
      </c>
      <c r="FT140" s="371">
        <v>0.47</v>
      </c>
      <c r="FU140" s="371">
        <v>0.3</v>
      </c>
      <c r="FV140" s="371">
        <v>0.48</v>
      </c>
      <c r="FW140" s="371">
        <v>0.52</v>
      </c>
      <c r="FX140" s="371">
        <v>0.31</v>
      </c>
      <c r="FY140" s="371">
        <v>0.31</v>
      </c>
      <c r="FZ140" s="371">
        <v>0.33</v>
      </c>
      <c r="GA140" s="371">
        <v>0.38</v>
      </c>
      <c r="GB140" s="371">
        <v>0.55000000000000004</v>
      </c>
      <c r="GC140" s="371">
        <v>0.38</v>
      </c>
      <c r="GD140" s="371">
        <v>0.55000000000000004</v>
      </c>
      <c r="GE140" s="371">
        <v>0.51</v>
      </c>
      <c r="GF140" s="371">
        <v>0.49</v>
      </c>
      <c r="GG140" s="371">
        <v>0.35</v>
      </c>
      <c r="GH140" s="371">
        <v>0.46</v>
      </c>
      <c r="GI140" s="371">
        <v>0.23</v>
      </c>
      <c r="GJ140" s="469">
        <v>51</v>
      </c>
      <c r="GK140" s="471" t="s">
        <v>910</v>
      </c>
      <c r="GL140" s="469">
        <v>10</v>
      </c>
      <c r="GM140" s="471" t="s">
        <v>910</v>
      </c>
      <c r="GN140" s="501">
        <v>0.14000000000000001</v>
      </c>
      <c r="GO140" s="501">
        <v>0.57999999999999996</v>
      </c>
      <c r="GP140" s="501">
        <v>0.27</v>
      </c>
      <c r="GQ140" s="501">
        <v>0.01</v>
      </c>
      <c r="GR140" s="501">
        <v>0.55000000000000004</v>
      </c>
      <c r="GS140" s="501">
        <v>0.49</v>
      </c>
      <c r="GT140" s="501">
        <v>0.62</v>
      </c>
      <c r="GU140" s="501">
        <v>0.25</v>
      </c>
      <c r="GV140" s="501">
        <v>0.56000000000000005</v>
      </c>
      <c r="GW140" s="501">
        <v>0.46</v>
      </c>
      <c r="GX140" s="501">
        <v>0.49</v>
      </c>
      <c r="GY140" s="471" t="s">
        <v>287</v>
      </c>
      <c r="GZ140" s="501">
        <v>0.34</v>
      </c>
      <c r="HA140" s="501">
        <v>0.7</v>
      </c>
      <c r="HB140" s="501">
        <v>0.49</v>
      </c>
      <c r="HC140" s="501">
        <v>0.54</v>
      </c>
      <c r="HD140" s="501">
        <v>0.56000000000000005</v>
      </c>
      <c r="HE140" s="501">
        <v>0.39</v>
      </c>
      <c r="HF140" s="501">
        <v>0.48</v>
      </c>
      <c r="HG140" s="501">
        <v>0.62</v>
      </c>
      <c r="HH140" s="501">
        <v>0.38</v>
      </c>
      <c r="HI140" s="501">
        <v>0.56999999999999995</v>
      </c>
      <c r="HJ140" s="501">
        <v>0.59</v>
      </c>
      <c r="HK140" s="501">
        <v>0.54</v>
      </c>
      <c r="HL140" s="501">
        <v>0.38</v>
      </c>
      <c r="HM140" s="501">
        <v>0.48</v>
      </c>
      <c r="HN140" s="501">
        <v>0.47</v>
      </c>
      <c r="HO140" s="501">
        <v>0.47</v>
      </c>
      <c r="HP140" s="471" t="s">
        <v>287</v>
      </c>
      <c r="HQ140" s="501">
        <v>0.43</v>
      </c>
      <c r="HR140" s="630">
        <v>52</v>
      </c>
      <c r="HS140" s="640" t="s">
        <v>910</v>
      </c>
      <c r="HT140" s="630">
        <v>9</v>
      </c>
      <c r="HU140" s="640" t="s">
        <v>910</v>
      </c>
      <c r="HV140" s="644">
        <v>0.08</v>
      </c>
      <c r="HW140" s="644">
        <v>0.54</v>
      </c>
      <c r="HX140" s="644">
        <v>0.37</v>
      </c>
      <c r="HY140" s="644">
        <v>0.01</v>
      </c>
      <c r="HZ140" s="644">
        <v>0.36</v>
      </c>
      <c r="IA140" s="644">
        <v>0.5</v>
      </c>
      <c r="IB140" s="644">
        <v>0.39</v>
      </c>
      <c r="IC140" s="644">
        <v>0.45</v>
      </c>
      <c r="ID140" s="644">
        <v>0.62</v>
      </c>
      <c r="IE140" s="644">
        <v>0.28999999999999998</v>
      </c>
      <c r="IF140" s="644">
        <v>0.39</v>
      </c>
      <c r="IG140" s="644">
        <v>0.57999999999999996</v>
      </c>
      <c r="IH140" s="644">
        <v>0.53</v>
      </c>
      <c r="II140" s="644">
        <v>0.27</v>
      </c>
      <c r="IJ140" s="644">
        <v>0.27</v>
      </c>
      <c r="IK140" s="644">
        <v>0.56999999999999995</v>
      </c>
      <c r="IL140" s="644">
        <v>0.28000000000000003</v>
      </c>
      <c r="IM140" s="644">
        <v>0.55000000000000004</v>
      </c>
      <c r="IN140" s="644">
        <v>0.42</v>
      </c>
      <c r="IO140" s="644">
        <v>0.53</v>
      </c>
      <c r="IP140" s="644">
        <v>0.39</v>
      </c>
      <c r="IQ140" s="644">
        <v>0.63</v>
      </c>
      <c r="IR140" s="644">
        <v>0.56000000000000005</v>
      </c>
      <c r="IS140" s="644">
        <v>0.51</v>
      </c>
      <c r="IT140" s="644">
        <v>0.42</v>
      </c>
      <c r="IU140" s="640" t="s">
        <v>287</v>
      </c>
      <c r="IV140" s="644">
        <v>0.59</v>
      </c>
      <c r="IW140" s="644">
        <v>0.41</v>
      </c>
      <c r="IX140" s="644">
        <v>0.35</v>
      </c>
      <c r="IY140" s="644">
        <v>0.51</v>
      </c>
    </row>
    <row r="141" spans="1:259" ht="24.9" customHeight="1" x14ac:dyDescent="0.25">
      <c r="A141" s="188" t="s">
        <v>210</v>
      </c>
      <c r="B141" s="1" t="s">
        <v>222</v>
      </c>
      <c r="C141" s="2">
        <v>1</v>
      </c>
      <c r="D141" s="16">
        <v>53</v>
      </c>
      <c r="E141" s="16">
        <v>4</v>
      </c>
      <c r="F141" s="99">
        <v>0</v>
      </c>
      <c r="G141" s="99">
        <v>0.71</v>
      </c>
      <c r="H141" s="99">
        <v>0.28999999999999998</v>
      </c>
      <c r="I141" s="99">
        <v>0</v>
      </c>
      <c r="J141" s="99">
        <v>0.32</v>
      </c>
      <c r="K141" s="99">
        <v>0.27</v>
      </c>
      <c r="L141" s="99">
        <v>0.65</v>
      </c>
      <c r="M141" s="99">
        <v>0.25</v>
      </c>
      <c r="N141" s="99">
        <v>0.16</v>
      </c>
      <c r="O141" s="99">
        <v>0.69</v>
      </c>
      <c r="P141" s="99">
        <v>0.4</v>
      </c>
      <c r="Q141" s="99">
        <v>0.35</v>
      </c>
      <c r="R141" s="99">
        <v>0.54</v>
      </c>
      <c r="S141" s="99">
        <v>0.42</v>
      </c>
      <c r="T141" s="99">
        <v>0.56999999999999995</v>
      </c>
      <c r="U141" s="99">
        <v>0.48</v>
      </c>
      <c r="V141" s="99">
        <v>0.1</v>
      </c>
      <c r="W141" s="99">
        <v>0</v>
      </c>
      <c r="X141" s="99">
        <v>0.57999999999999996</v>
      </c>
      <c r="Y141" s="99">
        <v>0.63</v>
      </c>
      <c r="Z141" s="13" t="s">
        <v>287</v>
      </c>
      <c r="AA141" s="99">
        <v>0</v>
      </c>
      <c r="AB141" s="99">
        <v>0.39</v>
      </c>
      <c r="AC141" s="99">
        <v>0.38</v>
      </c>
      <c r="AD141" s="99">
        <v>0.66</v>
      </c>
      <c r="AE141" s="99">
        <v>0.51</v>
      </c>
      <c r="AF141" s="99">
        <v>0.72</v>
      </c>
      <c r="AG141" s="99">
        <v>0.44</v>
      </c>
      <c r="AH141" s="16">
        <v>54</v>
      </c>
      <c r="AI141" s="16">
        <v>6</v>
      </c>
      <c r="AJ141" s="66">
        <v>0</v>
      </c>
      <c r="AK141" s="66">
        <v>0.71</v>
      </c>
      <c r="AL141" s="66">
        <v>0.28999999999999998</v>
      </c>
      <c r="AM141" s="66">
        <v>0</v>
      </c>
      <c r="AN141" s="66">
        <v>0.17</v>
      </c>
      <c r="AO141" s="66">
        <v>0.44</v>
      </c>
      <c r="AP141" s="66">
        <v>0.7</v>
      </c>
      <c r="AQ141" s="66">
        <v>0.41</v>
      </c>
      <c r="AR141" s="66">
        <v>0.59</v>
      </c>
      <c r="AS141" s="66">
        <v>0.44</v>
      </c>
      <c r="AT141" s="66">
        <v>0.5</v>
      </c>
      <c r="AU141" s="66">
        <v>0.56000000000000005</v>
      </c>
      <c r="AV141" s="66">
        <v>0.49</v>
      </c>
      <c r="AW141" s="66">
        <v>0.27</v>
      </c>
      <c r="AX141" s="66">
        <v>0.6</v>
      </c>
      <c r="AY141" s="66">
        <v>0.25</v>
      </c>
      <c r="AZ141" s="66">
        <v>0.15</v>
      </c>
      <c r="BA141" s="66">
        <v>0.35</v>
      </c>
      <c r="BB141" s="66">
        <v>0.68</v>
      </c>
      <c r="BC141" s="66">
        <v>0.76</v>
      </c>
      <c r="BD141" s="66">
        <v>0.43</v>
      </c>
      <c r="BE141" s="66">
        <v>0.75</v>
      </c>
      <c r="BF141" s="66">
        <v>0.5</v>
      </c>
      <c r="BG141" s="66">
        <v>0.44</v>
      </c>
      <c r="BH141" s="66">
        <v>0.45</v>
      </c>
      <c r="BI141" s="66">
        <v>0.36</v>
      </c>
      <c r="BJ141" s="66">
        <v>0.28999999999999998</v>
      </c>
      <c r="BK141" s="66">
        <v>0.46</v>
      </c>
      <c r="BL141" s="66">
        <v>0.5</v>
      </c>
      <c r="BM141" s="16">
        <v>51</v>
      </c>
      <c r="BN141" s="16">
        <v>9</v>
      </c>
      <c r="BO141" s="99">
        <v>0.25</v>
      </c>
      <c r="BP141" s="99">
        <v>0.38</v>
      </c>
      <c r="BQ141" s="99">
        <v>0.38</v>
      </c>
      <c r="BR141" s="99">
        <v>0</v>
      </c>
      <c r="BS141" s="99">
        <v>0.4</v>
      </c>
      <c r="BT141" s="99">
        <v>0.33</v>
      </c>
      <c r="BU141" s="99">
        <v>0.38</v>
      </c>
      <c r="BV141" s="99">
        <v>0</v>
      </c>
      <c r="BW141" s="99">
        <v>0.75</v>
      </c>
      <c r="BX141" s="99">
        <v>0.27</v>
      </c>
      <c r="BY141" s="99">
        <v>0.64</v>
      </c>
      <c r="BZ141" s="99">
        <v>0.48</v>
      </c>
      <c r="CA141" s="99">
        <v>0.33</v>
      </c>
      <c r="CB141" s="99">
        <v>0.5</v>
      </c>
      <c r="CC141" s="99">
        <v>0.18</v>
      </c>
      <c r="CD141" s="99">
        <v>0.46</v>
      </c>
      <c r="CE141" s="99">
        <v>0.5</v>
      </c>
      <c r="CF141" s="99">
        <v>1</v>
      </c>
      <c r="CG141" s="99">
        <v>0.67</v>
      </c>
      <c r="CH141" s="99">
        <v>0.3</v>
      </c>
      <c r="CI141" s="99">
        <v>0.56000000000000005</v>
      </c>
      <c r="CJ141" s="99">
        <v>0.67</v>
      </c>
      <c r="CK141" s="99">
        <v>0.78</v>
      </c>
      <c r="CL141" s="99">
        <v>0.54</v>
      </c>
      <c r="CM141" s="99">
        <v>0.6</v>
      </c>
      <c r="CN141" s="99">
        <v>0.36</v>
      </c>
      <c r="CO141" s="99">
        <v>0.23</v>
      </c>
      <c r="CP141" s="99">
        <v>0.38</v>
      </c>
      <c r="CQ141" s="99">
        <v>0.56000000000000005</v>
      </c>
      <c r="CR141" s="99">
        <v>0.38</v>
      </c>
      <c r="CS141" s="16">
        <v>52</v>
      </c>
      <c r="CT141" s="16">
        <v>6</v>
      </c>
      <c r="CU141" s="96">
        <v>0.11</v>
      </c>
      <c r="CV141" s="96">
        <v>0.61</v>
      </c>
      <c r="CW141" s="96">
        <v>0.28000000000000003</v>
      </c>
      <c r="CX141" s="96">
        <v>0</v>
      </c>
      <c r="CY141" s="96">
        <v>0.64</v>
      </c>
      <c r="CZ141" s="96">
        <v>0.24</v>
      </c>
      <c r="DA141" s="96">
        <v>0.51</v>
      </c>
      <c r="DB141" s="96">
        <v>0.24</v>
      </c>
      <c r="DC141" s="96">
        <v>0.39</v>
      </c>
      <c r="DD141" s="96">
        <v>0.59</v>
      </c>
      <c r="DE141" s="96">
        <v>0.4</v>
      </c>
      <c r="DF141" s="96">
        <v>0.59</v>
      </c>
      <c r="DG141" s="96">
        <v>0.36</v>
      </c>
      <c r="DH141" s="96">
        <v>0.54</v>
      </c>
      <c r="DI141" s="96">
        <v>0.5</v>
      </c>
      <c r="DJ141" s="96">
        <v>0.43</v>
      </c>
      <c r="DK141" s="96">
        <v>0.38</v>
      </c>
      <c r="DL141" s="96">
        <v>0.2</v>
      </c>
      <c r="DM141" s="96">
        <v>0.37</v>
      </c>
      <c r="DN141" s="96">
        <v>0.6</v>
      </c>
      <c r="DO141" s="96">
        <v>0.28999999999999998</v>
      </c>
      <c r="DP141" s="96">
        <v>0.65</v>
      </c>
      <c r="DQ141" s="96">
        <v>0.42</v>
      </c>
      <c r="DR141" s="96">
        <v>0.18</v>
      </c>
      <c r="DS141" s="96">
        <v>0.19</v>
      </c>
      <c r="DT141" s="96">
        <v>0.57999999999999996</v>
      </c>
      <c r="DU141" s="96">
        <v>0.6</v>
      </c>
      <c r="DV141" s="96">
        <v>0.66</v>
      </c>
      <c r="DW141" s="96">
        <v>0.23</v>
      </c>
      <c r="DX141" s="61">
        <v>52</v>
      </c>
      <c r="DY141" s="61">
        <v>8</v>
      </c>
      <c r="DZ141" s="66">
        <v>0.08</v>
      </c>
      <c r="EA141" s="66">
        <v>0.6</v>
      </c>
      <c r="EB141" s="66">
        <v>0.32</v>
      </c>
      <c r="EC141" s="66">
        <v>0</v>
      </c>
      <c r="ED141" s="66">
        <v>0.49</v>
      </c>
      <c r="EE141" s="66">
        <v>0.45</v>
      </c>
      <c r="EF141" s="66">
        <v>0.61</v>
      </c>
      <c r="EG141" s="66">
        <v>0.33</v>
      </c>
      <c r="EH141" s="66">
        <v>0.24</v>
      </c>
      <c r="EI141" s="66">
        <v>0.37</v>
      </c>
      <c r="EJ141" s="66">
        <v>0.53</v>
      </c>
      <c r="EK141" s="66">
        <v>0.31</v>
      </c>
      <c r="EL141" s="66">
        <v>0.38</v>
      </c>
      <c r="EM141" s="66">
        <v>0.68</v>
      </c>
      <c r="EN141" s="66">
        <v>0.32</v>
      </c>
      <c r="EO141" s="66">
        <v>0.49</v>
      </c>
      <c r="EP141" s="66">
        <v>0.39</v>
      </c>
      <c r="EQ141" s="66">
        <v>0.16</v>
      </c>
      <c r="ER141" s="66">
        <v>0.6</v>
      </c>
      <c r="ES141" s="66">
        <v>0.4</v>
      </c>
      <c r="ET141" s="66">
        <v>0.28999999999999998</v>
      </c>
      <c r="EU141" s="66">
        <v>0.6</v>
      </c>
      <c r="EV141" s="66">
        <v>0.64</v>
      </c>
      <c r="EW141" s="66">
        <v>0.3</v>
      </c>
      <c r="EX141" s="66">
        <v>0.71</v>
      </c>
      <c r="EY141" s="66">
        <v>0.46</v>
      </c>
      <c r="EZ141" s="66">
        <v>0.08</v>
      </c>
      <c r="FA141" s="66">
        <v>0.56999999999999995</v>
      </c>
      <c r="FB141" s="349">
        <v>47</v>
      </c>
      <c r="FC141" s="348" t="s">
        <v>910</v>
      </c>
      <c r="FD141" s="349">
        <v>7</v>
      </c>
      <c r="FE141" s="348" t="s">
        <v>910</v>
      </c>
      <c r="FF141" s="371">
        <v>0.21</v>
      </c>
      <c r="FG141" s="371">
        <v>0.67</v>
      </c>
      <c r="FH141" s="371">
        <v>0.13</v>
      </c>
      <c r="FI141" s="371">
        <v>0</v>
      </c>
      <c r="FJ141" s="371">
        <v>0.51</v>
      </c>
      <c r="FK141" s="371">
        <v>0.69</v>
      </c>
      <c r="FL141" s="371">
        <v>0.49</v>
      </c>
      <c r="FM141" s="371">
        <v>0.36</v>
      </c>
      <c r="FN141" s="371">
        <v>0.32</v>
      </c>
      <c r="FO141" s="371">
        <v>0.38</v>
      </c>
      <c r="FP141" s="371">
        <v>0.38</v>
      </c>
      <c r="FQ141" s="371">
        <v>0.57999999999999996</v>
      </c>
      <c r="FR141" s="371">
        <v>0.57999999999999996</v>
      </c>
      <c r="FS141" s="371">
        <v>0.56000000000000005</v>
      </c>
      <c r="FT141" s="371">
        <v>0.57999999999999996</v>
      </c>
      <c r="FU141" s="371">
        <v>0.41</v>
      </c>
      <c r="FV141" s="371">
        <v>0.72</v>
      </c>
      <c r="FW141" s="371">
        <v>0.61</v>
      </c>
      <c r="FX141" s="371">
        <v>0.51</v>
      </c>
      <c r="FY141" s="371">
        <v>0.47</v>
      </c>
      <c r="FZ141" s="371">
        <v>0.51</v>
      </c>
      <c r="GA141" s="371">
        <v>0.47</v>
      </c>
      <c r="GB141" s="371">
        <v>0.65</v>
      </c>
      <c r="GC141" s="371">
        <v>0.5</v>
      </c>
      <c r="GD141" s="371">
        <v>0.7</v>
      </c>
      <c r="GE141" s="371">
        <v>0.46</v>
      </c>
      <c r="GF141" s="371">
        <v>0.5</v>
      </c>
      <c r="GG141" s="371">
        <v>0.62</v>
      </c>
      <c r="GH141" s="371">
        <v>0.62</v>
      </c>
      <c r="GI141" s="371">
        <v>0.28000000000000003</v>
      </c>
      <c r="GJ141" s="469">
        <v>53</v>
      </c>
      <c r="GK141" s="471" t="s">
        <v>910</v>
      </c>
      <c r="GL141" s="469">
        <v>9</v>
      </c>
      <c r="GM141" s="471" t="s">
        <v>910</v>
      </c>
      <c r="GN141" s="501">
        <v>0.1</v>
      </c>
      <c r="GO141" s="501">
        <v>0.45</v>
      </c>
      <c r="GP141" s="501">
        <v>0.45</v>
      </c>
      <c r="GQ141" s="501">
        <v>0</v>
      </c>
      <c r="GR141" s="501">
        <v>0.37</v>
      </c>
      <c r="GS141" s="501">
        <v>0.52</v>
      </c>
      <c r="GT141" s="501">
        <v>0.68</v>
      </c>
      <c r="GU141" s="501">
        <v>0.06</v>
      </c>
      <c r="GV141" s="501">
        <v>0.56999999999999995</v>
      </c>
      <c r="GW141" s="501">
        <v>0.3</v>
      </c>
      <c r="GX141" s="501">
        <v>0.42</v>
      </c>
      <c r="GY141" s="471" t="s">
        <v>287</v>
      </c>
      <c r="GZ141" s="501">
        <v>0.35</v>
      </c>
      <c r="HA141" s="501">
        <v>0.71</v>
      </c>
      <c r="HB141" s="501">
        <v>0.46</v>
      </c>
      <c r="HC141" s="501">
        <v>0.49</v>
      </c>
      <c r="HD141" s="501">
        <v>0.45</v>
      </c>
      <c r="HE141" s="501">
        <v>0.42</v>
      </c>
      <c r="HF141" s="501">
        <v>0.47</v>
      </c>
      <c r="HG141" s="501">
        <v>0.66</v>
      </c>
      <c r="HH141" s="501">
        <v>0.37</v>
      </c>
      <c r="HI141" s="501">
        <v>0.63</v>
      </c>
      <c r="HJ141" s="501">
        <v>0.56000000000000005</v>
      </c>
      <c r="HK141" s="501">
        <v>0.49</v>
      </c>
      <c r="HL141" s="501">
        <v>0.42</v>
      </c>
      <c r="HM141" s="501">
        <v>0.38</v>
      </c>
      <c r="HN141" s="501">
        <v>0.51</v>
      </c>
      <c r="HO141" s="501">
        <v>0.32</v>
      </c>
      <c r="HP141" s="471" t="s">
        <v>287</v>
      </c>
      <c r="HQ141" s="501">
        <v>0.19</v>
      </c>
      <c r="HR141" s="630">
        <v>52</v>
      </c>
      <c r="HS141" s="640" t="s">
        <v>910</v>
      </c>
      <c r="HT141" s="630">
        <v>8</v>
      </c>
      <c r="HU141" s="640" t="s">
        <v>910</v>
      </c>
      <c r="HV141" s="644">
        <v>0.06</v>
      </c>
      <c r="HW141" s="644">
        <v>0.53</v>
      </c>
      <c r="HX141" s="644">
        <v>0.4</v>
      </c>
      <c r="HY141" s="644">
        <v>0</v>
      </c>
      <c r="HZ141" s="644">
        <v>0.35</v>
      </c>
      <c r="IA141" s="644">
        <v>0.5</v>
      </c>
      <c r="IB141" s="644">
        <v>0.37</v>
      </c>
      <c r="IC141" s="644">
        <v>0.47</v>
      </c>
      <c r="ID141" s="644">
        <v>0.61</v>
      </c>
      <c r="IE141" s="644">
        <v>0.28000000000000003</v>
      </c>
      <c r="IF141" s="644">
        <v>0.42</v>
      </c>
      <c r="IG141" s="644">
        <v>0.57999999999999996</v>
      </c>
      <c r="IH141" s="644">
        <v>0.55000000000000004</v>
      </c>
      <c r="II141" s="644">
        <v>0.35</v>
      </c>
      <c r="IJ141" s="644">
        <v>0.18</v>
      </c>
      <c r="IK141" s="644">
        <v>0.63</v>
      </c>
      <c r="IL141" s="644">
        <v>0.36</v>
      </c>
      <c r="IM141" s="644">
        <v>0.59</v>
      </c>
      <c r="IN141" s="644">
        <v>0.4</v>
      </c>
      <c r="IO141" s="644">
        <v>0.53</v>
      </c>
      <c r="IP141" s="644">
        <v>0.24</v>
      </c>
      <c r="IQ141" s="644">
        <v>0.76</v>
      </c>
      <c r="IR141" s="644">
        <v>0.56000000000000005</v>
      </c>
      <c r="IS141" s="644">
        <v>0.45</v>
      </c>
      <c r="IT141" s="644">
        <v>0.44</v>
      </c>
      <c r="IU141" s="640" t="s">
        <v>287</v>
      </c>
      <c r="IV141" s="644">
        <v>0.56000000000000005</v>
      </c>
      <c r="IW141" s="644">
        <v>0.39</v>
      </c>
      <c r="IX141" s="644">
        <v>0.46</v>
      </c>
      <c r="IY141" s="644">
        <v>0.44</v>
      </c>
    </row>
    <row r="142" spans="1:259" ht="24.9" customHeight="1" x14ac:dyDescent="0.25">
      <c r="A142" s="188" t="s">
        <v>67</v>
      </c>
      <c r="B142" s="1" t="s">
        <v>222</v>
      </c>
      <c r="C142" s="2">
        <v>1</v>
      </c>
      <c r="D142" s="16">
        <v>54</v>
      </c>
      <c r="E142" s="16">
        <v>8</v>
      </c>
      <c r="F142" s="99">
        <v>0.06</v>
      </c>
      <c r="G142" s="99">
        <v>0.48</v>
      </c>
      <c r="H142" s="99">
        <v>0.45</v>
      </c>
      <c r="I142" s="99">
        <v>0.02</v>
      </c>
      <c r="J142" s="99">
        <v>0.45</v>
      </c>
      <c r="K142" s="99">
        <v>0.32</v>
      </c>
      <c r="L142" s="99">
        <v>0.71</v>
      </c>
      <c r="M142" s="99">
        <v>0.2</v>
      </c>
      <c r="N142" s="99">
        <v>0.31</v>
      </c>
      <c r="O142" s="99">
        <v>0.6</v>
      </c>
      <c r="P142" s="99">
        <v>0.33</v>
      </c>
      <c r="Q142" s="99">
        <v>0.44</v>
      </c>
      <c r="R142" s="99">
        <v>0.53</v>
      </c>
      <c r="S142" s="99">
        <v>0.61</v>
      </c>
      <c r="T142" s="99">
        <v>0.39</v>
      </c>
      <c r="U142" s="99">
        <v>0.6</v>
      </c>
      <c r="V142" s="99">
        <v>7.0000000000000007E-2</v>
      </c>
      <c r="W142" s="99">
        <v>0.2</v>
      </c>
      <c r="X142" s="99">
        <v>0.45</v>
      </c>
      <c r="Y142" s="99">
        <v>0.52</v>
      </c>
      <c r="Z142" s="99">
        <v>1</v>
      </c>
      <c r="AA142" s="99">
        <v>0.1</v>
      </c>
      <c r="AB142" s="99">
        <v>0.45</v>
      </c>
      <c r="AC142" s="99">
        <v>0.24</v>
      </c>
      <c r="AD142" s="99">
        <v>0.48</v>
      </c>
      <c r="AE142" s="99">
        <v>0.33</v>
      </c>
      <c r="AF142" s="99">
        <v>0.48</v>
      </c>
      <c r="AG142" s="99">
        <v>0.56999999999999995</v>
      </c>
      <c r="AH142" s="16">
        <v>55</v>
      </c>
      <c r="AI142" s="16">
        <v>9</v>
      </c>
      <c r="AJ142" s="66">
        <v>7.0000000000000007E-2</v>
      </c>
      <c r="AK142" s="66">
        <v>0.38</v>
      </c>
      <c r="AL142" s="66">
        <v>0.52</v>
      </c>
      <c r="AM142" s="66">
        <v>0.02</v>
      </c>
      <c r="AN142" s="66">
        <v>0.24</v>
      </c>
      <c r="AO142" s="66">
        <v>0.41</v>
      </c>
      <c r="AP142" s="66">
        <v>0.45</v>
      </c>
      <c r="AQ142" s="66">
        <v>0.3</v>
      </c>
      <c r="AR142" s="66">
        <v>0.5</v>
      </c>
      <c r="AS142" s="66">
        <v>0.47</v>
      </c>
      <c r="AT142" s="66">
        <v>0.49</v>
      </c>
      <c r="AU142" s="66">
        <v>0.45</v>
      </c>
      <c r="AV142" s="66">
        <v>0.56999999999999995</v>
      </c>
      <c r="AW142" s="66">
        <v>0.43</v>
      </c>
      <c r="AX142" s="66">
        <v>0.46</v>
      </c>
      <c r="AY142" s="66">
        <v>0.25</v>
      </c>
      <c r="AZ142" s="66">
        <v>0.24</v>
      </c>
      <c r="BA142" s="66">
        <v>0.44</v>
      </c>
      <c r="BB142" s="66">
        <v>0.55000000000000004</v>
      </c>
      <c r="BC142" s="66">
        <v>0.52</v>
      </c>
      <c r="BD142" s="66">
        <v>0.35</v>
      </c>
      <c r="BE142" s="66">
        <v>0.46</v>
      </c>
      <c r="BF142" s="66">
        <v>0.56000000000000005</v>
      </c>
      <c r="BG142" s="66">
        <v>0.42</v>
      </c>
      <c r="BH142" s="66">
        <v>0.38</v>
      </c>
      <c r="BI142" s="66">
        <v>0.33</v>
      </c>
      <c r="BJ142" s="66">
        <v>0.28000000000000003</v>
      </c>
      <c r="BK142" s="66">
        <v>0.38</v>
      </c>
      <c r="BL142" s="66">
        <v>0.44</v>
      </c>
      <c r="BM142" s="16">
        <v>52</v>
      </c>
      <c r="BN142" s="16">
        <v>8</v>
      </c>
      <c r="BO142" s="99">
        <v>7.0000000000000007E-2</v>
      </c>
      <c r="BP142" s="99">
        <v>0.57999999999999996</v>
      </c>
      <c r="BQ142" s="99">
        <v>0.33</v>
      </c>
      <c r="BR142" s="99">
        <v>0.02</v>
      </c>
      <c r="BS142" s="99">
        <v>0.26</v>
      </c>
      <c r="BT142" s="99">
        <v>0.55000000000000004</v>
      </c>
      <c r="BU142" s="99">
        <v>0.6</v>
      </c>
      <c r="BV142" s="99">
        <v>0.3</v>
      </c>
      <c r="BW142" s="99">
        <v>0.67</v>
      </c>
      <c r="BX142" s="99">
        <v>0.27</v>
      </c>
      <c r="BY142" s="99">
        <v>0.41</v>
      </c>
      <c r="BZ142" s="99">
        <v>0.5</v>
      </c>
      <c r="CA142" s="99">
        <v>0.47</v>
      </c>
      <c r="CB142" s="99">
        <v>0.36</v>
      </c>
      <c r="CC142" s="99">
        <v>0.17</v>
      </c>
      <c r="CD142" s="99">
        <v>0.35</v>
      </c>
      <c r="CE142" s="99">
        <v>0.32</v>
      </c>
      <c r="CF142" s="99">
        <v>0.69</v>
      </c>
      <c r="CG142" s="99">
        <v>0.56000000000000005</v>
      </c>
      <c r="CH142" s="99">
        <v>0.41</v>
      </c>
      <c r="CI142" s="99">
        <v>0.56000000000000005</v>
      </c>
      <c r="CJ142" s="99">
        <v>0.31</v>
      </c>
      <c r="CK142" s="99">
        <v>0.66</v>
      </c>
      <c r="CL142" s="99">
        <v>0.27</v>
      </c>
      <c r="CM142" s="99">
        <v>0.38</v>
      </c>
      <c r="CN142" s="99">
        <v>0.43</v>
      </c>
      <c r="CO142" s="99">
        <v>0.35</v>
      </c>
      <c r="CP142" s="99">
        <v>0.31</v>
      </c>
      <c r="CQ142" s="99">
        <v>0.55000000000000004</v>
      </c>
      <c r="CR142" s="99">
        <v>0.54</v>
      </c>
      <c r="CS142" s="16">
        <v>52</v>
      </c>
      <c r="CT142" s="16">
        <v>9</v>
      </c>
      <c r="CU142" s="96">
        <v>7.0000000000000007E-2</v>
      </c>
      <c r="CV142" s="96">
        <v>0.61</v>
      </c>
      <c r="CW142" s="96">
        <v>0.31</v>
      </c>
      <c r="CX142" s="96">
        <v>0.02</v>
      </c>
      <c r="CY142" s="96">
        <v>0.49</v>
      </c>
      <c r="CZ142" s="96">
        <v>0.23</v>
      </c>
      <c r="DA142" s="96">
        <v>0.53</v>
      </c>
      <c r="DB142" s="96">
        <v>0.32</v>
      </c>
      <c r="DC142" s="96">
        <v>0.44</v>
      </c>
      <c r="DD142" s="96">
        <v>0.55000000000000004</v>
      </c>
      <c r="DE142" s="96">
        <v>0.45</v>
      </c>
      <c r="DF142" s="96">
        <v>0.48</v>
      </c>
      <c r="DG142" s="96">
        <v>0.46</v>
      </c>
      <c r="DH142" s="96">
        <v>0.38</v>
      </c>
      <c r="DI142" s="96">
        <v>0.48</v>
      </c>
      <c r="DJ142" s="96">
        <v>0.49</v>
      </c>
      <c r="DK142" s="96">
        <v>0.32</v>
      </c>
      <c r="DL142" s="96">
        <v>0.32</v>
      </c>
      <c r="DM142" s="96">
        <v>0.52</v>
      </c>
      <c r="DN142" s="96">
        <v>0.47</v>
      </c>
      <c r="DO142" s="96">
        <v>0.38</v>
      </c>
      <c r="DP142" s="96">
        <v>0.38</v>
      </c>
      <c r="DQ142" s="96">
        <v>0.52</v>
      </c>
      <c r="DR142" s="96">
        <v>0.17</v>
      </c>
      <c r="DS142" s="96">
        <v>0.35</v>
      </c>
      <c r="DT142" s="96">
        <v>0.53</v>
      </c>
      <c r="DU142" s="96">
        <v>0.3</v>
      </c>
      <c r="DV142" s="96">
        <v>0.54</v>
      </c>
      <c r="DW142" s="96">
        <v>0.34</v>
      </c>
      <c r="DX142" s="61">
        <v>52</v>
      </c>
      <c r="DY142" s="61">
        <v>9</v>
      </c>
      <c r="DZ142" s="66">
        <v>0.09</v>
      </c>
      <c r="EA142" s="66">
        <v>0.56000000000000005</v>
      </c>
      <c r="EB142" s="66">
        <v>0.36</v>
      </c>
      <c r="EC142" s="66">
        <v>0</v>
      </c>
      <c r="ED142" s="66">
        <v>0.42</v>
      </c>
      <c r="EE142" s="66">
        <v>0.42</v>
      </c>
      <c r="EF142" s="66">
        <v>0.45</v>
      </c>
      <c r="EG142" s="66">
        <v>0.4</v>
      </c>
      <c r="EH142" s="66">
        <v>0.36</v>
      </c>
      <c r="EI142" s="66">
        <v>0.42</v>
      </c>
      <c r="EJ142" s="66">
        <v>0.57999999999999996</v>
      </c>
      <c r="EK142" s="66">
        <v>0.2</v>
      </c>
      <c r="EL142" s="66">
        <v>0.41</v>
      </c>
      <c r="EM142" s="66">
        <v>0.57999999999999996</v>
      </c>
      <c r="EN142" s="66">
        <v>0.38</v>
      </c>
      <c r="EO142" s="66">
        <v>0.53</v>
      </c>
      <c r="EP142" s="66">
        <v>0.28999999999999998</v>
      </c>
      <c r="EQ142" s="66">
        <v>0.19</v>
      </c>
      <c r="ER142" s="66">
        <v>0.59</v>
      </c>
      <c r="ES142" s="66">
        <v>0.46</v>
      </c>
      <c r="ET142" s="66">
        <v>0.28000000000000003</v>
      </c>
      <c r="EU142" s="66">
        <v>0.53</v>
      </c>
      <c r="EV142" s="66">
        <v>0.38</v>
      </c>
      <c r="EW142" s="66">
        <v>0.28999999999999998</v>
      </c>
      <c r="EX142" s="66">
        <v>0.68</v>
      </c>
      <c r="EY142" s="66">
        <v>0.56000000000000005</v>
      </c>
      <c r="EZ142" s="66">
        <v>0.11</v>
      </c>
      <c r="FA142" s="66">
        <v>0.56999999999999995</v>
      </c>
      <c r="FB142" s="349">
        <v>53</v>
      </c>
      <c r="FC142" s="348" t="s">
        <v>910</v>
      </c>
      <c r="FD142" s="349">
        <v>9</v>
      </c>
      <c r="FE142" s="348" t="s">
        <v>910</v>
      </c>
      <c r="FF142" s="371">
        <v>0.05</v>
      </c>
      <c r="FG142" s="371">
        <v>0.57999999999999996</v>
      </c>
      <c r="FH142" s="371">
        <v>0.33</v>
      </c>
      <c r="FI142" s="371">
        <v>0.04</v>
      </c>
      <c r="FJ142" s="371">
        <v>0.39</v>
      </c>
      <c r="FK142" s="371">
        <v>0.61</v>
      </c>
      <c r="FL142" s="371">
        <v>0.44</v>
      </c>
      <c r="FM142" s="371">
        <v>0.38</v>
      </c>
      <c r="FN142" s="371">
        <v>0.19</v>
      </c>
      <c r="FO142" s="371">
        <v>0.27</v>
      </c>
      <c r="FP142" s="371">
        <v>0.34</v>
      </c>
      <c r="FQ142" s="371">
        <v>0.39</v>
      </c>
      <c r="FR142" s="371">
        <v>0.56000000000000005</v>
      </c>
      <c r="FS142" s="371">
        <v>0.47</v>
      </c>
      <c r="FT142" s="371">
        <v>0.45</v>
      </c>
      <c r="FU142" s="371">
        <v>0.34</v>
      </c>
      <c r="FV142" s="371">
        <v>0.5</v>
      </c>
      <c r="FW142" s="371">
        <v>0.53</v>
      </c>
      <c r="FX142" s="371">
        <v>0.36</v>
      </c>
      <c r="FY142" s="371">
        <v>0.3</v>
      </c>
      <c r="FZ142" s="371">
        <v>0.42</v>
      </c>
      <c r="GA142" s="371">
        <v>0.46</v>
      </c>
      <c r="GB142" s="371">
        <v>0.43</v>
      </c>
      <c r="GC142" s="371">
        <v>0.35</v>
      </c>
      <c r="GD142" s="371">
        <v>0.56999999999999995</v>
      </c>
      <c r="GE142" s="371">
        <v>0.52</v>
      </c>
      <c r="GF142" s="371">
        <v>0.43</v>
      </c>
      <c r="GG142" s="371">
        <v>0.36</v>
      </c>
      <c r="GH142" s="371">
        <v>0.52</v>
      </c>
      <c r="GI142" s="371">
        <v>0.24</v>
      </c>
      <c r="GJ142" s="469">
        <v>54</v>
      </c>
      <c r="GK142" s="471" t="s">
        <v>910</v>
      </c>
      <c r="GL142" s="469">
        <v>10</v>
      </c>
      <c r="GM142" s="471" t="s">
        <v>910</v>
      </c>
      <c r="GN142" s="501">
        <v>0.13</v>
      </c>
      <c r="GO142" s="501">
        <v>0.41</v>
      </c>
      <c r="GP142" s="501">
        <v>0.45</v>
      </c>
      <c r="GQ142" s="501">
        <v>0.01</v>
      </c>
      <c r="GR142" s="501">
        <v>0.41</v>
      </c>
      <c r="GS142" s="501">
        <v>0.45</v>
      </c>
      <c r="GT142" s="501">
        <v>0.59</v>
      </c>
      <c r="GU142" s="501">
        <v>0.19</v>
      </c>
      <c r="GV142" s="501">
        <v>0.48</v>
      </c>
      <c r="GW142" s="501">
        <v>0.44</v>
      </c>
      <c r="GX142" s="501">
        <v>0.42</v>
      </c>
      <c r="GY142" s="471" t="s">
        <v>287</v>
      </c>
      <c r="GZ142" s="501">
        <v>0.24</v>
      </c>
      <c r="HA142" s="501">
        <v>0.68</v>
      </c>
      <c r="HB142" s="501">
        <v>0.4</v>
      </c>
      <c r="HC142" s="501">
        <v>0.48</v>
      </c>
      <c r="HD142" s="501">
        <v>0.48</v>
      </c>
      <c r="HE142" s="501">
        <v>0.42</v>
      </c>
      <c r="HF142" s="501">
        <v>0.41</v>
      </c>
      <c r="HG142" s="501">
        <v>0.54</v>
      </c>
      <c r="HH142" s="501">
        <v>0.31</v>
      </c>
      <c r="HI142" s="501">
        <v>0.55000000000000004</v>
      </c>
      <c r="HJ142" s="501">
        <v>0.51</v>
      </c>
      <c r="HK142" s="501">
        <v>0.49</v>
      </c>
      <c r="HL142" s="501">
        <v>0.4</v>
      </c>
      <c r="HM142" s="501">
        <v>0.45</v>
      </c>
      <c r="HN142" s="501">
        <v>0.43</v>
      </c>
      <c r="HO142" s="501">
        <v>0.33</v>
      </c>
      <c r="HP142" s="471" t="s">
        <v>287</v>
      </c>
      <c r="HQ142" s="501">
        <v>0.32</v>
      </c>
      <c r="HR142" s="630">
        <v>55</v>
      </c>
      <c r="HS142" s="640" t="s">
        <v>910</v>
      </c>
      <c r="HT142" s="630">
        <v>9</v>
      </c>
      <c r="HU142" s="640" t="s">
        <v>910</v>
      </c>
      <c r="HV142" s="644">
        <v>0.04</v>
      </c>
      <c r="HW142" s="644">
        <v>0.48</v>
      </c>
      <c r="HX142" s="644">
        <v>0.43</v>
      </c>
      <c r="HY142" s="644">
        <v>0.04</v>
      </c>
      <c r="HZ142" s="644">
        <v>0.27</v>
      </c>
      <c r="IA142" s="644">
        <v>0.39</v>
      </c>
      <c r="IB142" s="644">
        <v>0.24</v>
      </c>
      <c r="IC142" s="644">
        <v>0.46</v>
      </c>
      <c r="ID142" s="644">
        <v>0.56999999999999995</v>
      </c>
      <c r="IE142" s="644">
        <v>0.27</v>
      </c>
      <c r="IF142" s="644">
        <v>0.35</v>
      </c>
      <c r="IG142" s="644">
        <v>0.52</v>
      </c>
      <c r="IH142" s="644">
        <v>0.46</v>
      </c>
      <c r="II142" s="644">
        <v>0.26</v>
      </c>
      <c r="IJ142" s="644">
        <v>0.21</v>
      </c>
      <c r="IK142" s="644">
        <v>0.5</v>
      </c>
      <c r="IL142" s="644">
        <v>0.18</v>
      </c>
      <c r="IM142" s="644">
        <v>0.44</v>
      </c>
      <c r="IN142" s="644">
        <v>0.4</v>
      </c>
      <c r="IO142" s="644">
        <v>0.48</v>
      </c>
      <c r="IP142" s="644">
        <v>0.41</v>
      </c>
      <c r="IQ142" s="644">
        <v>0.6</v>
      </c>
      <c r="IR142" s="644">
        <v>0.49</v>
      </c>
      <c r="IS142" s="644">
        <v>0.46</v>
      </c>
      <c r="IT142" s="644">
        <v>0.41</v>
      </c>
      <c r="IU142" s="640" t="s">
        <v>287</v>
      </c>
      <c r="IV142" s="644">
        <v>0.56000000000000005</v>
      </c>
      <c r="IW142" s="644">
        <v>0.4</v>
      </c>
      <c r="IX142" s="644">
        <v>0.45</v>
      </c>
      <c r="IY142" s="644">
        <v>0.46</v>
      </c>
    </row>
    <row r="143" spans="1:259" s="461" customFormat="1" ht="24.9" customHeight="1" x14ac:dyDescent="0.25">
      <c r="A143" s="470" t="s">
        <v>928</v>
      </c>
      <c r="B143" s="1" t="s">
        <v>222</v>
      </c>
      <c r="C143" s="471">
        <v>6</v>
      </c>
      <c r="D143" s="502"/>
      <c r="E143" s="502"/>
      <c r="F143" s="508"/>
      <c r="G143" s="508"/>
      <c r="H143" s="508"/>
      <c r="I143" s="508"/>
      <c r="J143" s="508"/>
      <c r="K143" s="508"/>
      <c r="L143" s="508"/>
      <c r="M143" s="508"/>
      <c r="N143" s="508"/>
      <c r="O143" s="508"/>
      <c r="P143" s="508"/>
      <c r="Q143" s="508"/>
      <c r="R143" s="508"/>
      <c r="S143" s="508"/>
      <c r="T143" s="508"/>
      <c r="U143" s="508"/>
      <c r="V143" s="508"/>
      <c r="W143" s="508"/>
      <c r="X143" s="508"/>
      <c r="Y143" s="508"/>
      <c r="Z143" s="508"/>
      <c r="AA143" s="508"/>
      <c r="AB143" s="508"/>
      <c r="AC143" s="508"/>
      <c r="AD143" s="508"/>
      <c r="AE143" s="508"/>
      <c r="AF143" s="508"/>
      <c r="AG143" s="508"/>
      <c r="AH143" s="502"/>
      <c r="AI143" s="502"/>
      <c r="AJ143" s="506"/>
      <c r="AK143" s="506"/>
      <c r="AL143" s="506"/>
      <c r="AM143" s="506"/>
      <c r="AN143" s="506"/>
      <c r="AO143" s="506"/>
      <c r="AP143" s="506"/>
      <c r="AQ143" s="506"/>
      <c r="AR143" s="506"/>
      <c r="AS143" s="506"/>
      <c r="AT143" s="506"/>
      <c r="AU143" s="506"/>
      <c r="AV143" s="506"/>
      <c r="AW143" s="506"/>
      <c r="AX143" s="506"/>
      <c r="AY143" s="506"/>
      <c r="AZ143" s="506"/>
      <c r="BA143" s="506"/>
      <c r="BB143" s="506"/>
      <c r="BC143" s="506"/>
      <c r="BD143" s="506"/>
      <c r="BE143" s="506"/>
      <c r="BF143" s="506"/>
      <c r="BG143" s="506"/>
      <c r="BH143" s="506"/>
      <c r="BI143" s="506"/>
      <c r="BJ143" s="506"/>
      <c r="BK143" s="506"/>
      <c r="BL143" s="506"/>
      <c r="BM143" s="502"/>
      <c r="BN143" s="502"/>
      <c r="BO143" s="508"/>
      <c r="BP143" s="508"/>
      <c r="BQ143" s="508"/>
      <c r="BR143" s="508"/>
      <c r="BS143" s="508"/>
      <c r="BT143" s="508"/>
      <c r="BU143" s="508"/>
      <c r="BV143" s="508"/>
      <c r="BW143" s="508"/>
      <c r="BX143" s="508"/>
      <c r="BY143" s="508"/>
      <c r="BZ143" s="508"/>
      <c r="CA143" s="508"/>
      <c r="CB143" s="508"/>
      <c r="CC143" s="508"/>
      <c r="CD143" s="508"/>
      <c r="CE143" s="508"/>
      <c r="CF143" s="508"/>
      <c r="CG143" s="508"/>
      <c r="CH143" s="508"/>
      <c r="CI143" s="508"/>
      <c r="CJ143" s="508"/>
      <c r="CK143" s="508"/>
      <c r="CL143" s="508"/>
      <c r="CM143" s="508"/>
      <c r="CN143" s="508"/>
      <c r="CO143" s="508"/>
      <c r="CP143" s="508"/>
      <c r="CQ143" s="508"/>
      <c r="CR143" s="508"/>
      <c r="CS143" s="502"/>
      <c r="CT143" s="502"/>
      <c r="CU143" s="501"/>
      <c r="CV143" s="501"/>
      <c r="CW143" s="501"/>
      <c r="CX143" s="501"/>
      <c r="CY143" s="501"/>
      <c r="CZ143" s="501"/>
      <c r="DA143" s="501"/>
      <c r="DB143" s="501"/>
      <c r="DC143" s="501"/>
      <c r="DD143" s="501"/>
      <c r="DE143" s="501"/>
      <c r="DF143" s="501"/>
      <c r="DG143" s="501"/>
      <c r="DH143" s="501"/>
      <c r="DI143" s="501"/>
      <c r="DJ143" s="501"/>
      <c r="DK143" s="501"/>
      <c r="DL143" s="501"/>
      <c r="DM143" s="501"/>
      <c r="DN143" s="501"/>
      <c r="DO143" s="501"/>
      <c r="DP143" s="501"/>
      <c r="DQ143" s="501"/>
      <c r="DR143" s="501"/>
      <c r="DS143" s="501"/>
      <c r="DT143" s="501"/>
      <c r="DU143" s="501"/>
      <c r="DV143" s="501"/>
      <c r="DW143" s="501"/>
      <c r="DX143" s="472"/>
      <c r="DY143" s="472"/>
      <c r="DZ143" s="506"/>
      <c r="EA143" s="506"/>
      <c r="EB143" s="506"/>
      <c r="EC143" s="506"/>
      <c r="ED143" s="506"/>
      <c r="EE143" s="506"/>
      <c r="EF143" s="506"/>
      <c r="EG143" s="506"/>
      <c r="EH143" s="506"/>
      <c r="EI143" s="506"/>
      <c r="EJ143" s="506"/>
      <c r="EK143" s="506"/>
      <c r="EL143" s="506"/>
      <c r="EM143" s="506"/>
      <c r="EN143" s="506"/>
      <c r="EO143" s="506"/>
      <c r="EP143" s="506"/>
      <c r="EQ143" s="506"/>
      <c r="ER143" s="506"/>
      <c r="ES143" s="506"/>
      <c r="ET143" s="506"/>
      <c r="EU143" s="506"/>
      <c r="EV143" s="506"/>
      <c r="EW143" s="506"/>
      <c r="EX143" s="506"/>
      <c r="EY143" s="506"/>
      <c r="EZ143" s="506"/>
      <c r="FA143" s="506"/>
      <c r="FB143" s="475"/>
      <c r="FC143" s="493"/>
      <c r="FD143" s="475"/>
      <c r="FE143" s="493"/>
      <c r="FF143" s="507"/>
      <c r="FG143" s="507"/>
      <c r="FH143" s="507"/>
      <c r="FI143" s="507"/>
      <c r="FJ143" s="507"/>
      <c r="FK143" s="507"/>
      <c r="FL143" s="507"/>
      <c r="FM143" s="507"/>
      <c r="FN143" s="507"/>
      <c r="FO143" s="507"/>
      <c r="FP143" s="507"/>
      <c r="FQ143" s="507"/>
      <c r="FR143" s="507"/>
      <c r="FS143" s="507"/>
      <c r="FT143" s="507"/>
      <c r="FU143" s="507"/>
      <c r="FV143" s="507"/>
      <c r="FW143" s="507"/>
      <c r="FX143" s="507"/>
      <c r="FY143" s="507"/>
      <c r="FZ143" s="507"/>
      <c r="GA143" s="507"/>
      <c r="GB143" s="507"/>
      <c r="GC143" s="507"/>
      <c r="GD143" s="507"/>
      <c r="GE143" s="507"/>
      <c r="GF143" s="507"/>
      <c r="GG143" s="507"/>
      <c r="GH143" s="507"/>
      <c r="GI143" s="507"/>
      <c r="GJ143" s="469">
        <v>47</v>
      </c>
      <c r="GK143" s="471" t="s">
        <v>910</v>
      </c>
      <c r="GL143" s="469">
        <v>7</v>
      </c>
      <c r="GM143" s="471" t="s">
        <v>910</v>
      </c>
      <c r="GN143" s="501">
        <v>0.14000000000000001</v>
      </c>
      <c r="GO143" s="501">
        <v>0.86</v>
      </c>
      <c r="GP143" s="501">
        <v>0</v>
      </c>
      <c r="GQ143" s="501">
        <v>0</v>
      </c>
      <c r="GR143" s="501">
        <v>0.33</v>
      </c>
      <c r="GS143" s="501">
        <v>0.75</v>
      </c>
      <c r="GT143" s="501">
        <v>0.73</v>
      </c>
      <c r="GU143" s="501">
        <v>0</v>
      </c>
      <c r="GV143" s="501">
        <v>0.52</v>
      </c>
      <c r="GW143" s="501">
        <v>0.38</v>
      </c>
      <c r="GX143" s="501">
        <v>0.64</v>
      </c>
      <c r="GY143" s="471" t="s">
        <v>287</v>
      </c>
      <c r="GZ143" s="501">
        <v>0.45</v>
      </c>
      <c r="HA143" s="501">
        <v>0.67</v>
      </c>
      <c r="HB143" s="501">
        <v>0.68</v>
      </c>
      <c r="HC143" s="501">
        <v>0.38</v>
      </c>
      <c r="HD143" s="501">
        <v>0.68</v>
      </c>
      <c r="HE143" s="501">
        <v>0.63</v>
      </c>
      <c r="HF143" s="501">
        <v>0.48</v>
      </c>
      <c r="HG143" s="501">
        <v>0.75</v>
      </c>
      <c r="HH143" s="501">
        <v>0.57999999999999996</v>
      </c>
      <c r="HI143" s="501">
        <v>0.46</v>
      </c>
      <c r="HJ143" s="501">
        <v>0.78</v>
      </c>
      <c r="HK143" s="501">
        <v>0.43</v>
      </c>
      <c r="HL143" s="501">
        <v>0.27</v>
      </c>
      <c r="HM143" s="501">
        <v>0.88</v>
      </c>
      <c r="HN143" s="501">
        <v>0.41</v>
      </c>
      <c r="HO143" s="501">
        <v>0.6</v>
      </c>
      <c r="HP143" s="471" t="s">
        <v>287</v>
      </c>
      <c r="HQ143" s="501">
        <v>0.53</v>
      </c>
      <c r="HR143" s="630">
        <v>40</v>
      </c>
      <c r="HS143" s="640" t="s">
        <v>912</v>
      </c>
      <c r="HT143" s="630">
        <v>9</v>
      </c>
      <c r="HU143" s="640" t="s">
        <v>910</v>
      </c>
      <c r="HV143" s="644">
        <v>0.67</v>
      </c>
      <c r="HW143" s="644">
        <v>0.33</v>
      </c>
      <c r="HX143" s="644">
        <v>0</v>
      </c>
      <c r="HY143" s="644">
        <v>0</v>
      </c>
      <c r="HZ143" s="644">
        <v>0.54</v>
      </c>
      <c r="IA143" s="644">
        <v>0.65</v>
      </c>
      <c r="IB143" s="644">
        <v>0.71</v>
      </c>
      <c r="IC143" s="644">
        <v>0.81</v>
      </c>
      <c r="ID143" s="644">
        <v>0.56000000000000005</v>
      </c>
      <c r="IE143" s="644">
        <v>0.55000000000000004</v>
      </c>
      <c r="IF143" s="644">
        <v>0.82</v>
      </c>
      <c r="IG143" s="644">
        <v>0.31</v>
      </c>
      <c r="IH143" s="644">
        <v>0.57999999999999996</v>
      </c>
      <c r="II143" s="644">
        <v>1</v>
      </c>
      <c r="IJ143" s="644">
        <v>0.47</v>
      </c>
      <c r="IK143" s="644">
        <v>0.87</v>
      </c>
      <c r="IL143" s="644">
        <v>0.55000000000000004</v>
      </c>
      <c r="IM143" s="644">
        <v>0.76</v>
      </c>
      <c r="IN143" s="644">
        <v>0.71</v>
      </c>
      <c r="IO143" s="644">
        <v>0.62</v>
      </c>
      <c r="IP143" s="644">
        <v>0.44</v>
      </c>
      <c r="IQ143" s="644">
        <v>0.67</v>
      </c>
      <c r="IR143" s="644">
        <v>0.71</v>
      </c>
      <c r="IS143" s="644">
        <v>1</v>
      </c>
      <c r="IT143" s="644">
        <v>0.79</v>
      </c>
      <c r="IU143" s="640" t="s">
        <v>287</v>
      </c>
      <c r="IV143" s="644">
        <v>0.75</v>
      </c>
      <c r="IW143" s="644">
        <v>0.64</v>
      </c>
      <c r="IX143" s="644">
        <v>0.75</v>
      </c>
      <c r="IY143" s="644">
        <v>0.8</v>
      </c>
    </row>
    <row r="144" spans="1:259" ht="24.9" customHeight="1" x14ac:dyDescent="0.25">
      <c r="A144" s="188" t="s">
        <v>31</v>
      </c>
      <c r="B144" s="1" t="s">
        <v>222</v>
      </c>
      <c r="C144" s="2">
        <v>6</v>
      </c>
      <c r="D144" s="16">
        <v>56</v>
      </c>
      <c r="E144" s="16">
        <v>7</v>
      </c>
      <c r="F144" s="99">
        <v>0</v>
      </c>
      <c r="G144" s="99">
        <v>0.36</v>
      </c>
      <c r="H144" s="99">
        <v>0.64</v>
      </c>
      <c r="I144" s="99">
        <v>0</v>
      </c>
      <c r="J144" s="99">
        <v>0.38</v>
      </c>
      <c r="K144" s="99">
        <v>0.33</v>
      </c>
      <c r="L144" s="99">
        <v>0.67</v>
      </c>
      <c r="M144" s="99">
        <v>0.17</v>
      </c>
      <c r="N144" s="99">
        <v>0.27</v>
      </c>
      <c r="O144" s="99">
        <v>0.69</v>
      </c>
      <c r="P144" s="99">
        <v>0.3</v>
      </c>
      <c r="Q144" s="99">
        <v>0.42</v>
      </c>
      <c r="R144" s="99">
        <v>0.53</v>
      </c>
      <c r="S144" s="99">
        <v>0.48</v>
      </c>
      <c r="T144" s="99">
        <v>0.42</v>
      </c>
      <c r="U144" s="99">
        <v>0.17</v>
      </c>
      <c r="V144" s="99">
        <v>0</v>
      </c>
      <c r="W144" s="99">
        <v>0.13</v>
      </c>
      <c r="X144" s="99">
        <v>0.52</v>
      </c>
      <c r="Y144" s="99">
        <v>0.56000000000000005</v>
      </c>
      <c r="Z144" s="13" t="s">
        <v>287</v>
      </c>
      <c r="AA144" s="99">
        <v>0.08</v>
      </c>
      <c r="AB144" s="99">
        <v>0.46</v>
      </c>
      <c r="AC144" s="99">
        <v>0.04</v>
      </c>
      <c r="AD144" s="99">
        <v>0.45</v>
      </c>
      <c r="AE144" s="99">
        <v>0.4</v>
      </c>
      <c r="AF144" s="99">
        <v>0.48</v>
      </c>
      <c r="AG144" s="99">
        <v>0.56000000000000005</v>
      </c>
      <c r="AH144" s="16">
        <v>46</v>
      </c>
      <c r="AI144" s="16">
        <v>8</v>
      </c>
      <c r="AJ144" s="66">
        <v>0.33</v>
      </c>
      <c r="AK144" s="66">
        <v>0.5</v>
      </c>
      <c r="AL144" s="66">
        <v>0.17</v>
      </c>
      <c r="AM144" s="66">
        <v>0</v>
      </c>
      <c r="AN144" s="66">
        <v>0.5</v>
      </c>
      <c r="AO144" s="66">
        <v>0.45</v>
      </c>
      <c r="AP144" s="66">
        <v>0.71</v>
      </c>
      <c r="AQ144" s="66">
        <v>0.59</v>
      </c>
      <c r="AR144" s="66">
        <v>0.8</v>
      </c>
      <c r="AS144" s="66">
        <v>0.59</v>
      </c>
      <c r="AT144" s="66">
        <v>0.71</v>
      </c>
      <c r="AU144" s="66">
        <v>0.56999999999999995</v>
      </c>
      <c r="AV144" s="66">
        <v>0.65</v>
      </c>
      <c r="AW144" s="66">
        <v>0.55000000000000004</v>
      </c>
      <c r="AX144" s="66">
        <v>0.42</v>
      </c>
      <c r="AY144" s="66">
        <v>0.31</v>
      </c>
      <c r="AZ144" s="66">
        <v>0.5</v>
      </c>
      <c r="BA144" s="66">
        <v>0.41</v>
      </c>
      <c r="BB144" s="66">
        <v>0.89</v>
      </c>
      <c r="BC144" s="66">
        <v>0.75</v>
      </c>
      <c r="BD144" s="66">
        <v>0.46</v>
      </c>
      <c r="BE144" s="66">
        <v>1</v>
      </c>
      <c r="BF144" s="66">
        <v>0.6</v>
      </c>
      <c r="BG144" s="66">
        <v>0.67</v>
      </c>
      <c r="BH144" s="66">
        <v>0.55000000000000004</v>
      </c>
      <c r="BI144" s="66">
        <v>0.5</v>
      </c>
      <c r="BJ144" s="66">
        <v>0.67</v>
      </c>
      <c r="BK144" s="66">
        <v>0.64</v>
      </c>
      <c r="BL144" s="66">
        <v>0.17</v>
      </c>
      <c r="BM144" s="16">
        <v>49</v>
      </c>
      <c r="BN144" s="16">
        <v>13</v>
      </c>
      <c r="BO144" s="99">
        <v>0.13</v>
      </c>
      <c r="BP144" s="99">
        <v>0.63</v>
      </c>
      <c r="BQ144" s="99">
        <v>0.25</v>
      </c>
      <c r="BR144" s="99">
        <v>0</v>
      </c>
      <c r="BS144" s="99">
        <v>0.67</v>
      </c>
      <c r="BT144" s="99">
        <v>1</v>
      </c>
      <c r="BU144" s="99">
        <v>0.43</v>
      </c>
      <c r="BV144" s="99">
        <v>0</v>
      </c>
      <c r="BW144" s="99">
        <v>0.67</v>
      </c>
      <c r="BX144" s="99">
        <v>0.44</v>
      </c>
      <c r="BY144" s="99">
        <v>0.47</v>
      </c>
      <c r="BZ144" s="99">
        <v>0.48</v>
      </c>
      <c r="CA144" s="99">
        <v>0.46</v>
      </c>
      <c r="CB144" s="99">
        <v>0.31</v>
      </c>
      <c r="CC144" s="99">
        <v>0.27</v>
      </c>
      <c r="CD144" s="99">
        <v>0.6</v>
      </c>
      <c r="CE144" s="99">
        <v>0.47</v>
      </c>
      <c r="CF144" s="99">
        <v>0.89</v>
      </c>
      <c r="CG144" s="99">
        <v>0.45</v>
      </c>
      <c r="CH144" s="99">
        <v>0.38</v>
      </c>
      <c r="CI144" s="99">
        <v>0.52</v>
      </c>
      <c r="CJ144" s="99">
        <v>0.43</v>
      </c>
      <c r="CK144" s="99">
        <v>0.63</v>
      </c>
      <c r="CL144" s="99">
        <v>0.21</v>
      </c>
      <c r="CM144" s="99">
        <v>0.28999999999999998</v>
      </c>
      <c r="CN144" s="99">
        <v>0.52</v>
      </c>
      <c r="CO144" s="99">
        <v>0.64</v>
      </c>
      <c r="CP144" s="99">
        <v>0.46</v>
      </c>
      <c r="CQ144" s="99">
        <v>0.68</v>
      </c>
      <c r="CR144" s="99">
        <v>0.56999999999999995</v>
      </c>
      <c r="CS144" s="16">
        <v>47</v>
      </c>
      <c r="CT144" s="16">
        <v>4</v>
      </c>
      <c r="CU144" s="96">
        <v>0</v>
      </c>
      <c r="CV144" s="96">
        <v>1</v>
      </c>
      <c r="CW144" s="96">
        <v>0</v>
      </c>
      <c r="CX144" s="96">
        <v>0</v>
      </c>
      <c r="CY144" s="96">
        <v>0.5</v>
      </c>
      <c r="CZ144" s="96">
        <v>0.45</v>
      </c>
      <c r="DA144" s="96">
        <v>0.63</v>
      </c>
      <c r="DB144" s="96">
        <v>0.2</v>
      </c>
      <c r="DC144" s="96">
        <v>0.33</v>
      </c>
      <c r="DD144" s="96">
        <v>1</v>
      </c>
      <c r="DE144" s="96">
        <v>0</v>
      </c>
      <c r="DF144" s="96">
        <v>0.67</v>
      </c>
      <c r="DG144" s="96">
        <v>0.5</v>
      </c>
      <c r="DH144" s="96">
        <v>0.6</v>
      </c>
      <c r="DI144" s="96">
        <v>0.43</v>
      </c>
      <c r="DJ144" s="96">
        <v>0.67</v>
      </c>
      <c r="DK144" s="96">
        <v>0.6</v>
      </c>
      <c r="DL144" s="96">
        <v>0</v>
      </c>
      <c r="DM144" s="96">
        <v>0.63</v>
      </c>
      <c r="DN144" s="96">
        <v>0.67</v>
      </c>
      <c r="DO144" s="96">
        <v>0.5</v>
      </c>
      <c r="DP144" s="96">
        <v>0.63</v>
      </c>
      <c r="DQ144" s="96">
        <v>0.5</v>
      </c>
      <c r="DR144" s="96">
        <v>0.1</v>
      </c>
      <c r="DS144" s="96">
        <v>0.44</v>
      </c>
      <c r="DT144" s="96">
        <v>0.75</v>
      </c>
      <c r="DU144" s="96">
        <v>0.5</v>
      </c>
      <c r="DV144" s="96">
        <v>0.38</v>
      </c>
      <c r="DW144" s="96">
        <v>0.17</v>
      </c>
      <c r="DX144" s="61">
        <v>53</v>
      </c>
      <c r="DY144" s="61">
        <v>6</v>
      </c>
      <c r="DZ144" s="66">
        <v>0</v>
      </c>
      <c r="EA144" s="66">
        <v>0.75</v>
      </c>
      <c r="EB144" s="66">
        <v>0.25</v>
      </c>
      <c r="EC144" s="66">
        <v>0</v>
      </c>
      <c r="ED144" s="66">
        <v>0.75</v>
      </c>
      <c r="EE144" s="66">
        <v>0.56000000000000005</v>
      </c>
      <c r="EF144" s="66">
        <v>0.44</v>
      </c>
      <c r="EG144" s="66">
        <v>0.5</v>
      </c>
      <c r="EH144" s="66">
        <v>0.33</v>
      </c>
      <c r="EI144" s="66">
        <v>0.33</v>
      </c>
      <c r="EJ144" s="66">
        <v>0.25</v>
      </c>
      <c r="EK144" s="66">
        <v>0.2</v>
      </c>
      <c r="EL144" s="66">
        <v>0.25</v>
      </c>
      <c r="EM144" s="66">
        <v>0</v>
      </c>
      <c r="EN144" s="66">
        <v>0.4</v>
      </c>
      <c r="EO144" s="66">
        <v>0.56000000000000005</v>
      </c>
      <c r="EP144" s="66">
        <v>0.17</v>
      </c>
      <c r="EQ144" s="66">
        <v>0</v>
      </c>
      <c r="ER144" s="66">
        <v>0.43</v>
      </c>
      <c r="ES144" s="66">
        <v>0.44</v>
      </c>
      <c r="ET144" s="66">
        <v>0.23</v>
      </c>
      <c r="EU144" s="66">
        <v>0.5</v>
      </c>
      <c r="EV144" s="66">
        <v>0</v>
      </c>
      <c r="EW144" s="66">
        <v>0.5</v>
      </c>
      <c r="EX144" s="66">
        <v>1</v>
      </c>
      <c r="EY144" s="66">
        <v>0.62</v>
      </c>
      <c r="EZ144" s="66">
        <v>0</v>
      </c>
      <c r="FA144" s="66">
        <v>0.73</v>
      </c>
      <c r="FB144" s="349">
        <v>55</v>
      </c>
      <c r="FC144" s="348" t="s">
        <v>910</v>
      </c>
      <c r="FD144" s="349">
        <v>5</v>
      </c>
      <c r="FE144" s="348" t="s">
        <v>912</v>
      </c>
      <c r="FF144" s="371">
        <v>0</v>
      </c>
      <c r="FG144" s="371">
        <v>0.6</v>
      </c>
      <c r="FH144" s="371">
        <v>0.4</v>
      </c>
      <c r="FI144" s="371">
        <v>0</v>
      </c>
      <c r="FJ144" s="371">
        <v>0.36</v>
      </c>
      <c r="FK144" s="371">
        <v>0.64</v>
      </c>
      <c r="FL144" s="371">
        <v>0.43</v>
      </c>
      <c r="FM144" s="371">
        <v>0.17</v>
      </c>
      <c r="FN144" s="371">
        <v>0.2</v>
      </c>
      <c r="FO144" s="371">
        <v>0.14000000000000001</v>
      </c>
      <c r="FP144" s="371">
        <v>0.17</v>
      </c>
      <c r="FQ144" s="371">
        <v>0.27</v>
      </c>
      <c r="FR144" s="371">
        <v>0.62</v>
      </c>
      <c r="FS144" s="371">
        <v>0.5</v>
      </c>
      <c r="FT144" s="371">
        <v>0.44</v>
      </c>
      <c r="FU144" s="371">
        <v>0.25</v>
      </c>
      <c r="FV144" s="371">
        <v>0.7</v>
      </c>
      <c r="FW144" s="371">
        <v>0.64</v>
      </c>
      <c r="FX144" s="371">
        <v>0</v>
      </c>
      <c r="FY144" s="371">
        <v>0.27</v>
      </c>
      <c r="FZ144" s="371">
        <v>0.1</v>
      </c>
      <c r="GA144" s="371">
        <v>0.56000000000000005</v>
      </c>
      <c r="GB144" s="371">
        <v>0.28999999999999998</v>
      </c>
      <c r="GC144" s="371">
        <v>0.38</v>
      </c>
      <c r="GD144" s="371">
        <v>0.59</v>
      </c>
      <c r="GE144" s="371">
        <v>0.36</v>
      </c>
      <c r="GF144" s="371">
        <v>0.56999999999999995</v>
      </c>
      <c r="GG144" s="371">
        <v>0.27</v>
      </c>
      <c r="GH144" s="371">
        <v>0.5</v>
      </c>
      <c r="GI144" s="371">
        <v>0.17</v>
      </c>
      <c r="GJ144" s="469">
        <v>49</v>
      </c>
      <c r="GK144" s="471" t="s">
        <v>910</v>
      </c>
      <c r="GL144" s="469">
        <v>8</v>
      </c>
      <c r="GM144" s="471" t="s">
        <v>910</v>
      </c>
      <c r="GN144" s="501">
        <v>0.2</v>
      </c>
      <c r="GO144" s="501">
        <v>0.4</v>
      </c>
      <c r="GP144" s="501">
        <v>0.4</v>
      </c>
      <c r="GQ144" s="501">
        <v>0</v>
      </c>
      <c r="GR144" s="501">
        <v>0.19</v>
      </c>
      <c r="GS144" s="501">
        <v>0.5</v>
      </c>
      <c r="GT144" s="501">
        <v>0.61</v>
      </c>
      <c r="GU144" s="501">
        <v>0.67</v>
      </c>
      <c r="GV144" s="501">
        <v>0.56999999999999995</v>
      </c>
      <c r="GW144" s="501">
        <v>0.22</v>
      </c>
      <c r="GX144" s="501">
        <v>0.46</v>
      </c>
      <c r="GY144" s="471" t="s">
        <v>287</v>
      </c>
      <c r="GZ144" s="501">
        <v>0.21</v>
      </c>
      <c r="HA144" s="501">
        <v>0.63</v>
      </c>
      <c r="HB144" s="501">
        <v>0.49</v>
      </c>
      <c r="HC144" s="501">
        <v>0.55000000000000004</v>
      </c>
      <c r="HD144" s="501">
        <v>0.48</v>
      </c>
      <c r="HE144" s="501">
        <v>0.53</v>
      </c>
      <c r="HF144" s="501">
        <v>0.39</v>
      </c>
      <c r="HG144" s="501">
        <v>0.69</v>
      </c>
      <c r="HH144" s="501">
        <v>0.56000000000000005</v>
      </c>
      <c r="HI144" s="501">
        <v>0.62</v>
      </c>
      <c r="HJ144" s="501">
        <v>0.67</v>
      </c>
      <c r="HK144" s="501">
        <v>0.56000000000000005</v>
      </c>
      <c r="HL144" s="501">
        <v>0.6</v>
      </c>
      <c r="HM144" s="501">
        <v>0.5</v>
      </c>
      <c r="HN144" s="501">
        <v>0.6</v>
      </c>
      <c r="HO144" s="501">
        <v>0.5</v>
      </c>
      <c r="HP144" s="471" t="s">
        <v>287</v>
      </c>
      <c r="HQ144" s="501">
        <v>0.53</v>
      </c>
      <c r="HR144" s="630">
        <v>52</v>
      </c>
      <c r="HS144" s="640" t="s">
        <v>910</v>
      </c>
      <c r="HT144" s="630">
        <v>9</v>
      </c>
      <c r="HU144" s="640" t="s">
        <v>910</v>
      </c>
      <c r="HV144" s="644">
        <v>0.14000000000000001</v>
      </c>
      <c r="HW144" s="644">
        <v>0.56999999999999995</v>
      </c>
      <c r="HX144" s="644">
        <v>0.28999999999999998</v>
      </c>
      <c r="HY144" s="644">
        <v>0</v>
      </c>
      <c r="HZ144" s="644">
        <v>0.36</v>
      </c>
      <c r="IA144" s="644">
        <v>0.53</v>
      </c>
      <c r="IB144" s="644">
        <v>0.25</v>
      </c>
      <c r="IC144" s="644">
        <v>0.54</v>
      </c>
      <c r="ID144" s="644">
        <v>0.72</v>
      </c>
      <c r="IE144" s="644">
        <v>0.24</v>
      </c>
      <c r="IF144" s="644">
        <v>0.36</v>
      </c>
      <c r="IG144" s="644">
        <v>0.56999999999999995</v>
      </c>
      <c r="IH144" s="644">
        <v>0.28999999999999998</v>
      </c>
      <c r="II144" s="644">
        <v>0</v>
      </c>
      <c r="IJ144" s="644">
        <v>0.38</v>
      </c>
      <c r="IK144" s="644">
        <v>0.72</v>
      </c>
      <c r="IL144" s="644">
        <v>0.13</v>
      </c>
      <c r="IM144" s="644">
        <v>0.69</v>
      </c>
      <c r="IN144" s="644">
        <v>0.38</v>
      </c>
      <c r="IO144" s="644">
        <v>0.53</v>
      </c>
      <c r="IP144" s="644">
        <v>0.22</v>
      </c>
      <c r="IQ144" s="644">
        <v>0.5</v>
      </c>
      <c r="IR144" s="644">
        <v>0.69</v>
      </c>
      <c r="IS144" s="644">
        <v>0.61</v>
      </c>
      <c r="IT144" s="644">
        <v>0.32</v>
      </c>
      <c r="IU144" s="640" t="s">
        <v>287</v>
      </c>
      <c r="IV144" s="644">
        <v>0.9</v>
      </c>
      <c r="IW144" s="644">
        <v>0.42</v>
      </c>
      <c r="IX144" s="644">
        <v>0.45</v>
      </c>
      <c r="IY144" s="644">
        <v>0.5</v>
      </c>
    </row>
    <row r="145" spans="1:259" ht="24.9" customHeight="1" x14ac:dyDescent="0.25">
      <c r="A145" s="188" t="s">
        <v>54</v>
      </c>
      <c r="B145" s="1" t="s">
        <v>222</v>
      </c>
      <c r="C145" s="2">
        <v>6</v>
      </c>
      <c r="D145" s="16">
        <v>59</v>
      </c>
      <c r="E145" s="16">
        <v>6</v>
      </c>
      <c r="F145" s="99">
        <v>0</v>
      </c>
      <c r="G145" s="99">
        <v>0.25</v>
      </c>
      <c r="H145" s="99">
        <v>0.75</v>
      </c>
      <c r="I145" s="99">
        <v>0</v>
      </c>
      <c r="J145" s="99">
        <v>0.21</v>
      </c>
      <c r="K145" s="99">
        <v>0.32</v>
      </c>
      <c r="L145" s="99">
        <v>0.68</v>
      </c>
      <c r="M145" s="99">
        <v>0.12</v>
      </c>
      <c r="N145" s="99">
        <v>0.21</v>
      </c>
      <c r="O145" s="99">
        <v>0.44</v>
      </c>
      <c r="P145" s="99">
        <v>0.26</v>
      </c>
      <c r="Q145" s="99">
        <v>0.48</v>
      </c>
      <c r="R145" s="99">
        <v>0.49</v>
      </c>
      <c r="S145" s="99">
        <v>0.44</v>
      </c>
      <c r="T145" s="99">
        <v>0.38</v>
      </c>
      <c r="U145" s="99">
        <v>0.6</v>
      </c>
      <c r="V145" s="99">
        <v>0.06</v>
      </c>
      <c r="W145" s="99">
        <v>0</v>
      </c>
      <c r="X145" s="99">
        <v>0.39</v>
      </c>
      <c r="Y145" s="99">
        <v>0.44</v>
      </c>
      <c r="Z145" s="99">
        <v>1</v>
      </c>
      <c r="AA145" s="99">
        <v>7.0000000000000007E-2</v>
      </c>
      <c r="AB145" s="99">
        <v>0.26</v>
      </c>
      <c r="AC145" s="99">
        <v>0.09</v>
      </c>
      <c r="AD145" s="99">
        <v>0.26</v>
      </c>
      <c r="AE145" s="99">
        <v>0.22</v>
      </c>
      <c r="AF145" s="99">
        <v>0.36</v>
      </c>
      <c r="AG145" s="99">
        <v>0.32</v>
      </c>
      <c r="AH145" s="16">
        <v>60</v>
      </c>
      <c r="AI145" s="16">
        <v>8</v>
      </c>
      <c r="AJ145" s="66">
        <v>0</v>
      </c>
      <c r="AK145" s="66">
        <v>0.31</v>
      </c>
      <c r="AL145" s="66">
        <v>0.6</v>
      </c>
      <c r="AM145" s="66">
        <v>0.09</v>
      </c>
      <c r="AN145" s="66">
        <v>0.19</v>
      </c>
      <c r="AO145" s="66">
        <v>0.39</v>
      </c>
      <c r="AP145" s="66">
        <v>0.37</v>
      </c>
      <c r="AQ145" s="66">
        <v>0.27</v>
      </c>
      <c r="AR145" s="66">
        <v>0.39</v>
      </c>
      <c r="AS145" s="66">
        <v>0.44</v>
      </c>
      <c r="AT145" s="66">
        <v>0.4</v>
      </c>
      <c r="AU145" s="66">
        <v>0.35</v>
      </c>
      <c r="AV145" s="66">
        <v>0.38</v>
      </c>
      <c r="AW145" s="66">
        <v>0.3</v>
      </c>
      <c r="AX145" s="66">
        <v>0.2</v>
      </c>
      <c r="AY145" s="66">
        <v>0.2</v>
      </c>
      <c r="AZ145" s="66">
        <v>0.23</v>
      </c>
      <c r="BA145" s="66">
        <v>0.4</v>
      </c>
      <c r="BB145" s="66">
        <v>0.5</v>
      </c>
      <c r="BC145" s="66">
        <v>0.6</v>
      </c>
      <c r="BD145" s="66">
        <v>0.22</v>
      </c>
      <c r="BE145" s="66">
        <v>0.24</v>
      </c>
      <c r="BF145" s="66">
        <v>0.67</v>
      </c>
      <c r="BG145" s="66">
        <v>0.23</v>
      </c>
      <c r="BH145" s="66">
        <v>0.28999999999999998</v>
      </c>
      <c r="BI145" s="66">
        <v>0.28000000000000003</v>
      </c>
      <c r="BJ145" s="66">
        <v>0.18</v>
      </c>
      <c r="BK145" s="66">
        <v>0.33</v>
      </c>
      <c r="BL145" s="66">
        <v>0</v>
      </c>
      <c r="BM145" s="16">
        <v>56</v>
      </c>
      <c r="BN145" s="16">
        <v>6</v>
      </c>
      <c r="BO145" s="99">
        <v>0</v>
      </c>
      <c r="BP145" s="99">
        <v>0.4</v>
      </c>
      <c r="BQ145" s="99">
        <v>0.6</v>
      </c>
      <c r="BR145" s="99">
        <v>0</v>
      </c>
      <c r="BS145" s="99">
        <v>0.31</v>
      </c>
      <c r="BT145" s="99">
        <v>0.2</v>
      </c>
      <c r="BU145" s="99">
        <v>0.74</v>
      </c>
      <c r="BV145" s="99">
        <v>0.13</v>
      </c>
      <c r="BW145" s="99">
        <v>0.65</v>
      </c>
      <c r="BX145" s="99">
        <v>0.25</v>
      </c>
      <c r="BY145" s="99">
        <v>0.27</v>
      </c>
      <c r="BZ145" s="99">
        <v>0.35</v>
      </c>
      <c r="CA145" s="99">
        <v>0.4</v>
      </c>
      <c r="CB145" s="99">
        <v>0.18</v>
      </c>
      <c r="CC145" s="99">
        <v>0.1</v>
      </c>
      <c r="CD145" s="99">
        <v>0.32</v>
      </c>
      <c r="CE145" s="99">
        <v>0.19</v>
      </c>
      <c r="CF145" s="99">
        <v>0.48</v>
      </c>
      <c r="CG145" s="99">
        <v>0.47</v>
      </c>
      <c r="CH145" s="99">
        <v>0.37</v>
      </c>
      <c r="CI145" s="99">
        <v>0.52</v>
      </c>
      <c r="CJ145" s="99">
        <v>0.21</v>
      </c>
      <c r="CK145" s="99">
        <v>0.57999999999999996</v>
      </c>
      <c r="CL145" s="99">
        <v>0.13</v>
      </c>
      <c r="CM145" s="99">
        <v>0.37</v>
      </c>
      <c r="CN145" s="99">
        <v>0.34</v>
      </c>
      <c r="CO145" s="99">
        <v>0.33</v>
      </c>
      <c r="CP145" s="99">
        <v>0.26</v>
      </c>
      <c r="CQ145" s="99">
        <v>0.53</v>
      </c>
      <c r="CR145" s="99">
        <v>0.52</v>
      </c>
      <c r="CS145" s="16">
        <v>58</v>
      </c>
      <c r="CT145" s="16">
        <v>9</v>
      </c>
      <c r="CU145" s="96">
        <v>7.0000000000000007E-2</v>
      </c>
      <c r="CV145" s="96">
        <v>0.33</v>
      </c>
      <c r="CW145" s="96">
        <v>0.5</v>
      </c>
      <c r="CX145" s="96">
        <v>0.1</v>
      </c>
      <c r="CY145" s="96">
        <v>0.45</v>
      </c>
      <c r="CZ145" s="96">
        <v>0.16</v>
      </c>
      <c r="DA145" s="96">
        <v>0.48</v>
      </c>
      <c r="DB145" s="96">
        <v>0.19</v>
      </c>
      <c r="DC145" s="96">
        <v>0.27</v>
      </c>
      <c r="DD145" s="96">
        <v>0.51</v>
      </c>
      <c r="DE145" s="96">
        <v>0.16</v>
      </c>
      <c r="DF145" s="96">
        <v>0.4</v>
      </c>
      <c r="DG145" s="96">
        <v>0.39</v>
      </c>
      <c r="DH145" s="96">
        <v>0.19</v>
      </c>
      <c r="DI145" s="96">
        <v>0.26</v>
      </c>
      <c r="DJ145" s="96">
        <v>0.36</v>
      </c>
      <c r="DK145" s="96">
        <v>0.26</v>
      </c>
      <c r="DL145" s="96">
        <v>0.14000000000000001</v>
      </c>
      <c r="DM145" s="96">
        <v>0.3</v>
      </c>
      <c r="DN145" s="96">
        <v>0.31</v>
      </c>
      <c r="DO145" s="96">
        <v>0.31</v>
      </c>
      <c r="DP145" s="96">
        <v>0.37</v>
      </c>
      <c r="DQ145" s="96">
        <v>0.52</v>
      </c>
      <c r="DR145" s="96">
        <v>0.08</v>
      </c>
      <c r="DS145" s="96">
        <v>0.28999999999999998</v>
      </c>
      <c r="DT145" s="96">
        <v>0.44</v>
      </c>
      <c r="DU145" s="96">
        <v>0.33</v>
      </c>
      <c r="DV145" s="96">
        <v>0.38</v>
      </c>
      <c r="DW145" s="96">
        <v>0.25</v>
      </c>
      <c r="DX145" s="61">
        <v>54</v>
      </c>
      <c r="DY145" s="61">
        <v>8</v>
      </c>
      <c r="DZ145" s="66">
        <v>0</v>
      </c>
      <c r="EA145" s="66">
        <v>0.52</v>
      </c>
      <c r="EB145" s="66">
        <v>0.44</v>
      </c>
      <c r="EC145" s="66">
        <v>0.04</v>
      </c>
      <c r="ED145" s="66">
        <v>0.38</v>
      </c>
      <c r="EE145" s="66">
        <v>0.45</v>
      </c>
      <c r="EF145" s="66">
        <v>0.28999999999999998</v>
      </c>
      <c r="EG145" s="66">
        <v>0.33</v>
      </c>
      <c r="EH145" s="66">
        <v>0.28000000000000003</v>
      </c>
      <c r="EI145" s="66">
        <v>0.37</v>
      </c>
      <c r="EJ145" s="66">
        <v>0.52</v>
      </c>
      <c r="EK145" s="66">
        <v>0.19</v>
      </c>
      <c r="EL145" s="66">
        <v>0.53</v>
      </c>
      <c r="EM145" s="66">
        <v>0.6</v>
      </c>
      <c r="EN145" s="66">
        <v>0.23</v>
      </c>
      <c r="EO145" s="66">
        <v>0.51</v>
      </c>
      <c r="EP145" s="66">
        <v>0.36</v>
      </c>
      <c r="EQ145" s="66">
        <v>0.19</v>
      </c>
      <c r="ER145" s="66">
        <v>0.48</v>
      </c>
      <c r="ES145" s="66">
        <v>0.53</v>
      </c>
      <c r="ET145" s="66">
        <v>0.34</v>
      </c>
      <c r="EU145" s="66">
        <v>0.68</v>
      </c>
      <c r="EV145" s="66">
        <v>0.28999999999999998</v>
      </c>
      <c r="EW145" s="66">
        <v>0.2</v>
      </c>
      <c r="EX145" s="66">
        <v>0.56000000000000005</v>
      </c>
      <c r="EY145" s="66">
        <v>0.45</v>
      </c>
      <c r="EZ145" s="66">
        <v>0.11</v>
      </c>
      <c r="FA145" s="66">
        <v>0.56999999999999995</v>
      </c>
      <c r="FB145" s="349">
        <v>55</v>
      </c>
      <c r="FC145" s="348" t="s">
        <v>910</v>
      </c>
      <c r="FD145" s="349">
        <v>9</v>
      </c>
      <c r="FE145" s="348" t="s">
        <v>910</v>
      </c>
      <c r="FF145" s="371">
        <v>0.1</v>
      </c>
      <c r="FG145" s="371">
        <v>0.35</v>
      </c>
      <c r="FH145" s="371">
        <v>0.52</v>
      </c>
      <c r="FI145" s="371">
        <v>0.03</v>
      </c>
      <c r="FJ145" s="371">
        <v>0.31</v>
      </c>
      <c r="FK145" s="371">
        <v>0.6</v>
      </c>
      <c r="FL145" s="371">
        <v>0.32</v>
      </c>
      <c r="FM145" s="371">
        <v>0.2</v>
      </c>
      <c r="FN145" s="371">
        <v>0.27</v>
      </c>
      <c r="FO145" s="371">
        <v>0.36</v>
      </c>
      <c r="FP145" s="371">
        <v>0.28999999999999998</v>
      </c>
      <c r="FQ145" s="371">
        <v>0.34</v>
      </c>
      <c r="FR145" s="371">
        <v>0.49</v>
      </c>
      <c r="FS145" s="371">
        <v>0.24</v>
      </c>
      <c r="FT145" s="371">
        <v>0.4</v>
      </c>
      <c r="FU145" s="371">
        <v>0.16</v>
      </c>
      <c r="FV145" s="371">
        <v>0.48</v>
      </c>
      <c r="FW145" s="371">
        <v>0.45</v>
      </c>
      <c r="FX145" s="371">
        <v>0.3</v>
      </c>
      <c r="FY145" s="371">
        <v>0.28000000000000003</v>
      </c>
      <c r="FZ145" s="371">
        <v>0.37</v>
      </c>
      <c r="GA145" s="371">
        <v>0.51</v>
      </c>
      <c r="GB145" s="371">
        <v>0.4</v>
      </c>
      <c r="GC145" s="371">
        <v>0.41</v>
      </c>
      <c r="GD145" s="371">
        <v>0.48</v>
      </c>
      <c r="GE145" s="371">
        <v>0.38</v>
      </c>
      <c r="GF145" s="371">
        <v>0.41</v>
      </c>
      <c r="GG145" s="371">
        <v>0.41</v>
      </c>
      <c r="GH145" s="371">
        <v>0.43</v>
      </c>
      <c r="GI145" s="371">
        <v>0.26</v>
      </c>
      <c r="GJ145" s="469">
        <v>57</v>
      </c>
      <c r="GK145" s="471" t="s">
        <v>910</v>
      </c>
      <c r="GL145" s="469">
        <v>7</v>
      </c>
      <c r="GM145" s="471" t="s">
        <v>910</v>
      </c>
      <c r="GN145" s="501">
        <v>0</v>
      </c>
      <c r="GO145" s="501">
        <v>0.35</v>
      </c>
      <c r="GP145" s="501">
        <v>0.62</v>
      </c>
      <c r="GQ145" s="501">
        <v>0.04</v>
      </c>
      <c r="GR145" s="501">
        <v>0.33</v>
      </c>
      <c r="GS145" s="501">
        <v>0.34</v>
      </c>
      <c r="GT145" s="501">
        <v>0.46</v>
      </c>
      <c r="GU145" s="501">
        <v>0</v>
      </c>
      <c r="GV145" s="501">
        <v>0.45</v>
      </c>
      <c r="GW145" s="501">
        <v>0.23</v>
      </c>
      <c r="GX145" s="501">
        <v>0.34</v>
      </c>
      <c r="GY145" s="471" t="s">
        <v>287</v>
      </c>
      <c r="GZ145" s="501">
        <v>0.24</v>
      </c>
      <c r="HA145" s="501">
        <v>0.67</v>
      </c>
      <c r="HB145" s="501">
        <v>0.39</v>
      </c>
      <c r="HC145" s="501">
        <v>0.39</v>
      </c>
      <c r="HD145" s="501">
        <v>0.37</v>
      </c>
      <c r="HE145" s="501">
        <v>0.36</v>
      </c>
      <c r="HF145" s="501">
        <v>0.32</v>
      </c>
      <c r="HG145" s="501">
        <v>0.71</v>
      </c>
      <c r="HH145" s="501">
        <v>0.25</v>
      </c>
      <c r="HI145" s="501">
        <v>0.39</v>
      </c>
      <c r="HJ145" s="501">
        <v>0.48</v>
      </c>
      <c r="HK145" s="501">
        <v>0.44</v>
      </c>
      <c r="HL145" s="501">
        <v>0.38</v>
      </c>
      <c r="HM145" s="501">
        <v>0.3</v>
      </c>
      <c r="HN145" s="501">
        <v>0.35</v>
      </c>
      <c r="HO145" s="501">
        <v>0.2</v>
      </c>
      <c r="HP145" s="471" t="s">
        <v>287</v>
      </c>
      <c r="HQ145" s="501">
        <v>0.28000000000000003</v>
      </c>
      <c r="HR145" s="630">
        <v>58</v>
      </c>
      <c r="HS145" s="640" t="s">
        <v>910</v>
      </c>
      <c r="HT145" s="630">
        <v>9</v>
      </c>
      <c r="HU145" s="640" t="s">
        <v>910</v>
      </c>
      <c r="HV145" s="644">
        <v>0</v>
      </c>
      <c r="HW145" s="644">
        <v>0.35</v>
      </c>
      <c r="HX145" s="644">
        <v>0.56999999999999995</v>
      </c>
      <c r="HY145" s="644">
        <v>0.09</v>
      </c>
      <c r="HZ145" s="644">
        <v>0.23</v>
      </c>
      <c r="IA145" s="644">
        <v>0.42</v>
      </c>
      <c r="IB145" s="644">
        <v>0.24</v>
      </c>
      <c r="IC145" s="644">
        <v>0.45</v>
      </c>
      <c r="ID145" s="644">
        <v>0.48</v>
      </c>
      <c r="IE145" s="644">
        <v>0.34</v>
      </c>
      <c r="IF145" s="644">
        <v>0.31</v>
      </c>
      <c r="IG145" s="644">
        <v>0.43</v>
      </c>
      <c r="IH145" s="644">
        <v>0.46</v>
      </c>
      <c r="II145" s="644">
        <v>0.2</v>
      </c>
      <c r="IJ145" s="644">
        <v>0.12</v>
      </c>
      <c r="IK145" s="644">
        <v>0.38</v>
      </c>
      <c r="IL145" s="644">
        <v>0.18</v>
      </c>
      <c r="IM145" s="644">
        <v>0.44</v>
      </c>
      <c r="IN145" s="644">
        <v>0.24</v>
      </c>
      <c r="IO145" s="644">
        <v>0.45</v>
      </c>
      <c r="IP145" s="644">
        <v>0.32</v>
      </c>
      <c r="IQ145" s="644">
        <v>0.5</v>
      </c>
      <c r="IR145" s="644">
        <v>0.49</v>
      </c>
      <c r="IS145" s="644">
        <v>0.25</v>
      </c>
      <c r="IT145" s="644">
        <v>0.33</v>
      </c>
      <c r="IU145" s="640" t="s">
        <v>287</v>
      </c>
      <c r="IV145" s="644">
        <v>0.55000000000000004</v>
      </c>
      <c r="IW145" s="644">
        <v>0.34</v>
      </c>
      <c r="IX145" s="644">
        <v>0.39</v>
      </c>
      <c r="IY145" s="644">
        <v>0.47</v>
      </c>
    </row>
    <row r="146" spans="1:259" s="219" customFormat="1" ht="24.9" customHeight="1" x14ac:dyDescent="0.25">
      <c r="A146" s="188" t="s">
        <v>878</v>
      </c>
      <c r="B146" s="1" t="s">
        <v>222</v>
      </c>
      <c r="C146" s="2">
        <v>4</v>
      </c>
      <c r="D146" s="16"/>
      <c r="E146" s="16"/>
      <c r="F146" s="99"/>
      <c r="G146" s="99"/>
      <c r="H146" s="99"/>
      <c r="I146" s="99"/>
      <c r="J146" s="99"/>
      <c r="K146" s="99"/>
      <c r="L146" s="99"/>
      <c r="M146" s="99"/>
      <c r="N146" s="99"/>
      <c r="O146" s="99"/>
      <c r="P146" s="99"/>
      <c r="Q146" s="99"/>
      <c r="R146" s="99"/>
      <c r="S146" s="99"/>
      <c r="T146" s="99"/>
      <c r="U146" s="99"/>
      <c r="V146" s="99"/>
      <c r="W146" s="99"/>
      <c r="X146" s="99"/>
      <c r="Y146" s="99"/>
      <c r="Z146" s="99"/>
      <c r="AA146" s="99"/>
      <c r="AB146" s="99"/>
      <c r="AC146" s="99"/>
      <c r="AD146" s="99"/>
      <c r="AE146" s="99"/>
      <c r="AF146" s="99"/>
      <c r="AG146" s="99"/>
      <c r="AH146" s="16"/>
      <c r="AI146" s="16"/>
      <c r="AJ146" s="66"/>
      <c r="AK146" s="66"/>
      <c r="AL146" s="66"/>
      <c r="AM146" s="66"/>
      <c r="AN146" s="66"/>
      <c r="AO146" s="66"/>
      <c r="AP146" s="66"/>
      <c r="AQ146" s="66"/>
      <c r="AR146" s="66"/>
      <c r="AS146" s="66"/>
      <c r="AT146" s="66"/>
      <c r="AU146" s="66"/>
      <c r="AV146" s="66"/>
      <c r="AW146" s="66"/>
      <c r="AX146" s="66"/>
      <c r="AY146" s="66"/>
      <c r="AZ146" s="66"/>
      <c r="BA146" s="66"/>
      <c r="BB146" s="66"/>
      <c r="BC146" s="66"/>
      <c r="BD146" s="66"/>
      <c r="BE146" s="66"/>
      <c r="BF146" s="66"/>
      <c r="BG146" s="66"/>
      <c r="BH146" s="66"/>
      <c r="BI146" s="66"/>
      <c r="BJ146" s="66"/>
      <c r="BK146" s="66"/>
      <c r="BL146" s="66"/>
      <c r="BM146" s="16"/>
      <c r="BN146" s="16"/>
      <c r="BO146" s="99"/>
      <c r="BP146" s="99"/>
      <c r="BQ146" s="99"/>
      <c r="BR146" s="99"/>
      <c r="BS146" s="99"/>
      <c r="BT146" s="99"/>
      <c r="BU146" s="99"/>
      <c r="BV146" s="99"/>
      <c r="BW146" s="99"/>
      <c r="BX146" s="99"/>
      <c r="BY146" s="99"/>
      <c r="BZ146" s="99"/>
      <c r="CA146" s="99"/>
      <c r="CB146" s="99"/>
      <c r="CC146" s="99"/>
      <c r="CD146" s="99"/>
      <c r="CE146" s="99"/>
      <c r="CF146" s="99"/>
      <c r="CG146" s="99"/>
      <c r="CH146" s="99"/>
      <c r="CI146" s="99"/>
      <c r="CJ146" s="99"/>
      <c r="CK146" s="99"/>
      <c r="CL146" s="99"/>
      <c r="CM146" s="99"/>
      <c r="CN146" s="99"/>
      <c r="CO146" s="99"/>
      <c r="CP146" s="99"/>
      <c r="CQ146" s="99"/>
      <c r="CR146" s="99"/>
      <c r="CS146" s="16"/>
      <c r="CT146" s="16"/>
      <c r="CU146" s="96"/>
      <c r="CV146" s="96"/>
      <c r="CW146" s="96"/>
      <c r="CX146" s="96"/>
      <c r="CY146" s="96"/>
      <c r="CZ146" s="96"/>
      <c r="DA146" s="96"/>
      <c r="DB146" s="96"/>
      <c r="DC146" s="96"/>
      <c r="DD146" s="96"/>
      <c r="DE146" s="96"/>
      <c r="DF146" s="96"/>
      <c r="DG146" s="96"/>
      <c r="DH146" s="96"/>
      <c r="DI146" s="96"/>
      <c r="DJ146" s="96"/>
      <c r="DK146" s="96"/>
      <c r="DL146" s="96"/>
      <c r="DM146" s="96"/>
      <c r="DN146" s="96"/>
      <c r="DO146" s="96"/>
      <c r="DP146" s="96"/>
      <c r="DQ146" s="96"/>
      <c r="DR146" s="96"/>
      <c r="DS146" s="96"/>
      <c r="DT146" s="96"/>
      <c r="DU146" s="96"/>
      <c r="DV146" s="96"/>
      <c r="DW146" s="96"/>
      <c r="DX146" s="61"/>
      <c r="DY146" s="61"/>
      <c r="DZ146" s="66"/>
      <c r="EA146" s="66"/>
      <c r="EB146" s="66"/>
      <c r="EC146" s="66"/>
      <c r="ED146" s="66"/>
      <c r="EE146" s="66"/>
      <c r="EF146" s="66"/>
      <c r="EG146" s="66"/>
      <c r="EH146" s="66"/>
      <c r="EI146" s="66"/>
      <c r="EJ146" s="66"/>
      <c r="EK146" s="66"/>
      <c r="EL146" s="66"/>
      <c r="EM146" s="66"/>
      <c r="EN146" s="66"/>
      <c r="EO146" s="66"/>
      <c r="EP146" s="66"/>
      <c r="EQ146" s="66"/>
      <c r="ER146" s="66"/>
      <c r="ES146" s="66"/>
      <c r="ET146" s="66"/>
      <c r="EU146" s="66"/>
      <c r="EV146" s="66"/>
      <c r="EW146" s="66"/>
      <c r="EX146" s="66"/>
      <c r="EY146" s="66"/>
      <c r="EZ146" s="66"/>
      <c r="FA146" s="66"/>
      <c r="FC146" s="336"/>
      <c r="FE146" s="336"/>
      <c r="HR146" s="630">
        <v>50</v>
      </c>
      <c r="HS146" s="640" t="s">
        <v>910</v>
      </c>
      <c r="HT146" s="630">
        <v>8</v>
      </c>
      <c r="HU146" s="640" t="s">
        <v>910</v>
      </c>
      <c r="HV146" s="644">
        <v>0</v>
      </c>
      <c r="HW146" s="644">
        <v>0.75</v>
      </c>
      <c r="HX146" s="644">
        <v>0.25</v>
      </c>
      <c r="HY146" s="644">
        <v>0</v>
      </c>
      <c r="HZ146" s="644">
        <v>0.38</v>
      </c>
      <c r="IA146" s="644">
        <v>0.42</v>
      </c>
      <c r="IB146" s="644">
        <v>0.33</v>
      </c>
      <c r="IC146" s="644">
        <v>0.57999999999999996</v>
      </c>
      <c r="ID146" s="644">
        <v>0.74</v>
      </c>
      <c r="IE146" s="644">
        <v>0.25</v>
      </c>
      <c r="IF146" s="644">
        <v>0.56999999999999995</v>
      </c>
      <c r="IG146" s="644">
        <v>0.6</v>
      </c>
      <c r="IH146" s="644">
        <v>0.59</v>
      </c>
      <c r="II146" s="644">
        <v>0.33</v>
      </c>
      <c r="IJ146" s="644">
        <v>0.38</v>
      </c>
      <c r="IK146" s="644">
        <v>0.61</v>
      </c>
      <c r="IL146" s="644">
        <v>0.17</v>
      </c>
      <c r="IM146" s="644">
        <v>0.53</v>
      </c>
      <c r="IN146" s="644">
        <v>0.54</v>
      </c>
      <c r="IO146" s="644">
        <v>0.56999999999999995</v>
      </c>
      <c r="IP146" s="644">
        <v>0.53</v>
      </c>
      <c r="IQ146" s="644">
        <v>0.61</v>
      </c>
      <c r="IR146" s="644">
        <v>0.57999999999999996</v>
      </c>
      <c r="IS146" s="644">
        <v>0.5</v>
      </c>
      <c r="IT146" s="644">
        <v>0.48</v>
      </c>
      <c r="IU146" s="640" t="s">
        <v>287</v>
      </c>
      <c r="IV146" s="644">
        <v>0.68</v>
      </c>
      <c r="IW146" s="644">
        <v>0.25</v>
      </c>
      <c r="IX146" s="644">
        <v>0.38</v>
      </c>
      <c r="IY146" s="644">
        <v>0.52</v>
      </c>
    </row>
    <row r="147" spans="1:259" ht="24.9" customHeight="1" x14ac:dyDescent="0.25">
      <c r="A147" s="188" t="s">
        <v>142</v>
      </c>
      <c r="B147" s="1" t="s">
        <v>222</v>
      </c>
      <c r="C147" s="2">
        <v>2</v>
      </c>
      <c r="D147" s="16">
        <v>48</v>
      </c>
      <c r="E147" s="16">
        <v>8</v>
      </c>
      <c r="F147" s="99">
        <v>0.13</v>
      </c>
      <c r="G147" s="99">
        <v>0.69</v>
      </c>
      <c r="H147" s="99">
        <v>0.19</v>
      </c>
      <c r="I147" s="99">
        <v>0</v>
      </c>
      <c r="J147" s="99">
        <v>0.4</v>
      </c>
      <c r="K147" s="99">
        <v>0.45</v>
      </c>
      <c r="L147" s="99">
        <v>0.8</v>
      </c>
      <c r="M147" s="99">
        <v>0.43</v>
      </c>
      <c r="N147" s="99">
        <v>0.48</v>
      </c>
      <c r="O147" s="99">
        <v>0.82</v>
      </c>
      <c r="P147" s="99">
        <v>0.41</v>
      </c>
      <c r="Q147" s="99">
        <v>0.36</v>
      </c>
      <c r="R147" s="99">
        <v>0.64</v>
      </c>
      <c r="S147" s="99">
        <v>0.63</v>
      </c>
      <c r="T147" s="99">
        <v>0.56999999999999995</v>
      </c>
      <c r="U147" s="99">
        <v>0.78</v>
      </c>
      <c r="V147" s="99">
        <v>0.15</v>
      </c>
      <c r="W147" s="99">
        <v>0.37</v>
      </c>
      <c r="X147" s="99">
        <v>0.69</v>
      </c>
      <c r="Y147" s="99">
        <v>0.48</v>
      </c>
      <c r="Z147" s="13" t="s">
        <v>287</v>
      </c>
      <c r="AA147" s="99">
        <v>0.15</v>
      </c>
      <c r="AB147" s="99">
        <v>0.5</v>
      </c>
      <c r="AC147" s="99">
        <v>0.56000000000000005</v>
      </c>
      <c r="AD147" s="99">
        <v>0.49</v>
      </c>
      <c r="AE147" s="99">
        <v>0.45</v>
      </c>
      <c r="AF147" s="99">
        <v>0.64</v>
      </c>
      <c r="AG147" s="99">
        <v>0.62</v>
      </c>
      <c r="AH147" s="16">
        <v>52</v>
      </c>
      <c r="AI147" s="16">
        <v>7</v>
      </c>
      <c r="AJ147" s="66">
        <v>0</v>
      </c>
      <c r="AK147" s="66">
        <v>0.67</v>
      </c>
      <c r="AL147" s="66">
        <v>0.33</v>
      </c>
      <c r="AM147" s="66">
        <v>0</v>
      </c>
      <c r="AN147" s="66">
        <v>0.33</v>
      </c>
      <c r="AO147" s="66">
        <v>0.25</v>
      </c>
      <c r="AP147" s="66">
        <v>0.71</v>
      </c>
      <c r="AQ147" s="66">
        <v>0.22</v>
      </c>
      <c r="AR147" s="66">
        <v>0.36</v>
      </c>
      <c r="AS147" s="66">
        <v>0.63</v>
      </c>
      <c r="AT147" s="66">
        <v>0.33</v>
      </c>
      <c r="AU147" s="66">
        <v>0.56000000000000005</v>
      </c>
      <c r="AV147" s="66">
        <v>0.6</v>
      </c>
      <c r="AW147" s="61" t="s">
        <v>287</v>
      </c>
      <c r="AX147" s="66">
        <v>0.6</v>
      </c>
      <c r="AY147" s="66">
        <v>0.36</v>
      </c>
      <c r="AZ147" s="66">
        <v>0.13</v>
      </c>
      <c r="BA147" s="66">
        <v>0.44</v>
      </c>
      <c r="BB147" s="66">
        <v>0.68</v>
      </c>
      <c r="BC147" s="66">
        <v>0.63</v>
      </c>
      <c r="BD147" s="66">
        <v>0.5</v>
      </c>
      <c r="BE147" s="66">
        <v>0.28999999999999998</v>
      </c>
      <c r="BF147" s="66">
        <v>0.75</v>
      </c>
      <c r="BG147" s="66">
        <v>0.39</v>
      </c>
      <c r="BH147" s="66">
        <v>0.41</v>
      </c>
      <c r="BI147" s="66">
        <v>0.43</v>
      </c>
      <c r="BJ147" s="66">
        <v>0.19</v>
      </c>
      <c r="BK147" s="66">
        <v>0.39</v>
      </c>
      <c r="BL147" s="66">
        <v>0.4</v>
      </c>
      <c r="BM147" s="16">
        <v>50</v>
      </c>
      <c r="BN147" s="16">
        <v>5</v>
      </c>
      <c r="BO147" s="99">
        <v>7.0000000000000007E-2</v>
      </c>
      <c r="BP147" s="99">
        <v>0.8</v>
      </c>
      <c r="BQ147" s="99">
        <v>0.13</v>
      </c>
      <c r="BR147" s="99">
        <v>0</v>
      </c>
      <c r="BS147" s="99">
        <v>0.2</v>
      </c>
      <c r="BT147" s="99">
        <v>0.67</v>
      </c>
      <c r="BU147" s="99">
        <v>0.73</v>
      </c>
      <c r="BV147" s="99">
        <v>0.6</v>
      </c>
      <c r="BW147" s="99">
        <v>0.55000000000000004</v>
      </c>
      <c r="BX147" s="99">
        <v>0.46</v>
      </c>
      <c r="BY147" s="99">
        <v>0.52</v>
      </c>
      <c r="BZ147" s="99">
        <v>0.53</v>
      </c>
      <c r="CA147" s="99">
        <v>0.5</v>
      </c>
      <c r="CB147" s="99">
        <v>0.38</v>
      </c>
      <c r="CC147" s="99">
        <v>0.34</v>
      </c>
      <c r="CD147" s="99">
        <v>0.37</v>
      </c>
      <c r="CE147" s="99">
        <v>0.37</v>
      </c>
      <c r="CF147" s="99">
        <v>0.55000000000000004</v>
      </c>
      <c r="CG147" s="99">
        <v>0.79</v>
      </c>
      <c r="CH147" s="99">
        <v>0.42</v>
      </c>
      <c r="CI147" s="99">
        <v>0.74</v>
      </c>
      <c r="CJ147" s="99">
        <v>0.42</v>
      </c>
      <c r="CK147" s="99">
        <v>0.74</v>
      </c>
      <c r="CL147" s="99">
        <v>0.19</v>
      </c>
      <c r="CM147" s="99">
        <v>0.5</v>
      </c>
      <c r="CN147" s="99">
        <v>0.53</v>
      </c>
      <c r="CO147" s="99">
        <v>0.67</v>
      </c>
      <c r="CP147" s="99">
        <v>0.32</v>
      </c>
      <c r="CQ147" s="99">
        <v>0.45</v>
      </c>
      <c r="CR147" s="99">
        <v>0.37</v>
      </c>
      <c r="CS147" s="16">
        <v>41</v>
      </c>
      <c r="CT147" s="16">
        <v>10</v>
      </c>
      <c r="CU147" s="96">
        <v>0.45</v>
      </c>
      <c r="CV147" s="96">
        <v>0.45</v>
      </c>
      <c r="CW147" s="96">
        <v>0.09</v>
      </c>
      <c r="CX147" s="96">
        <v>0</v>
      </c>
      <c r="CY147" s="96">
        <v>0.54</v>
      </c>
      <c r="CZ147" s="96">
        <v>0.43</v>
      </c>
      <c r="DA147" s="96">
        <v>0.8</v>
      </c>
      <c r="DB147" s="96">
        <v>0.66</v>
      </c>
      <c r="DC147" s="96">
        <v>0.52</v>
      </c>
      <c r="DD147" s="96">
        <v>0.67</v>
      </c>
      <c r="DE147" s="96">
        <v>0.77</v>
      </c>
      <c r="DF147" s="96">
        <v>0.75</v>
      </c>
      <c r="DG147" s="96">
        <v>0.56000000000000005</v>
      </c>
      <c r="DH147" s="96">
        <v>0.57999999999999996</v>
      </c>
      <c r="DI147" s="96">
        <v>0.6</v>
      </c>
      <c r="DJ147" s="96">
        <v>0.77</v>
      </c>
      <c r="DK147" s="96">
        <v>0.65</v>
      </c>
      <c r="DL147" s="96">
        <v>0.56000000000000005</v>
      </c>
      <c r="DM147" s="96">
        <v>0.68</v>
      </c>
      <c r="DN147" s="96">
        <v>0.61</v>
      </c>
      <c r="DO147" s="96">
        <v>0.71</v>
      </c>
      <c r="DP147" s="96">
        <v>0.57999999999999996</v>
      </c>
      <c r="DQ147" s="96">
        <v>0.5</v>
      </c>
      <c r="DR147" s="96">
        <v>0.32</v>
      </c>
      <c r="DS147" s="96">
        <v>0.5</v>
      </c>
      <c r="DT147" s="96">
        <v>0.65</v>
      </c>
      <c r="DU147" s="96">
        <v>1</v>
      </c>
      <c r="DV147" s="96">
        <v>0.44</v>
      </c>
      <c r="DW147" s="96">
        <v>0.33</v>
      </c>
      <c r="DX147" s="61">
        <v>46</v>
      </c>
      <c r="DY147" s="61">
        <v>9</v>
      </c>
      <c r="DZ147" s="66">
        <v>0.36</v>
      </c>
      <c r="EA147" s="66">
        <v>0.5</v>
      </c>
      <c r="EB147" s="66">
        <v>0.14000000000000001</v>
      </c>
      <c r="EC147" s="66">
        <v>0</v>
      </c>
      <c r="ED147" s="66">
        <v>0.56999999999999995</v>
      </c>
      <c r="EE147" s="66">
        <v>0.5</v>
      </c>
      <c r="EF147" s="66">
        <v>0.56000000000000005</v>
      </c>
      <c r="EG147" s="66">
        <v>0.33</v>
      </c>
      <c r="EH147" s="66">
        <v>0.61</v>
      </c>
      <c r="EI147" s="66">
        <v>0.5</v>
      </c>
      <c r="EJ147" s="66">
        <v>0.6</v>
      </c>
      <c r="EK147" s="66">
        <v>0.33</v>
      </c>
      <c r="EL147" s="66">
        <v>0.6</v>
      </c>
      <c r="EM147" s="66">
        <v>0.59</v>
      </c>
      <c r="EN147" s="66">
        <v>0.63</v>
      </c>
      <c r="EO147" s="66">
        <v>0.61</v>
      </c>
      <c r="EP147" s="66">
        <v>0.6</v>
      </c>
      <c r="EQ147" s="66">
        <v>0.53</v>
      </c>
      <c r="ER147" s="66">
        <v>0.65</v>
      </c>
      <c r="ES147" s="66">
        <v>0.5</v>
      </c>
      <c r="ET147" s="66">
        <v>0.33</v>
      </c>
      <c r="EU147" s="66">
        <v>0.45</v>
      </c>
      <c r="EV147" s="66">
        <v>0.4</v>
      </c>
      <c r="EW147" s="66">
        <v>0.27</v>
      </c>
      <c r="EX147" s="66">
        <v>0.56999999999999995</v>
      </c>
      <c r="EY147" s="66">
        <v>0.69</v>
      </c>
      <c r="EZ147" s="66">
        <v>0.5</v>
      </c>
      <c r="FA147" s="66">
        <v>0.8</v>
      </c>
      <c r="FB147" s="349">
        <v>52</v>
      </c>
      <c r="FC147" s="348" t="s">
        <v>910</v>
      </c>
      <c r="FD147" s="349">
        <v>7</v>
      </c>
      <c r="FE147" s="348" t="s">
        <v>910</v>
      </c>
      <c r="FF147" s="371">
        <v>0</v>
      </c>
      <c r="FG147" s="371">
        <v>0.69</v>
      </c>
      <c r="FH147" s="371">
        <v>0.31</v>
      </c>
      <c r="FI147" s="371">
        <v>0</v>
      </c>
      <c r="FJ147" s="371">
        <v>0.32</v>
      </c>
      <c r="FK147" s="371">
        <v>0.74</v>
      </c>
      <c r="FL147" s="371">
        <v>0.41</v>
      </c>
      <c r="FM147" s="371">
        <v>0.45</v>
      </c>
      <c r="FN147" s="371">
        <v>0.27</v>
      </c>
      <c r="FO147" s="371">
        <v>0.24</v>
      </c>
      <c r="FP147" s="371">
        <v>0.34</v>
      </c>
      <c r="FQ147" s="371">
        <v>0.27</v>
      </c>
      <c r="FR147" s="371">
        <v>0.47</v>
      </c>
      <c r="FS147" s="371">
        <v>0.45</v>
      </c>
      <c r="FT147" s="371">
        <v>0.48</v>
      </c>
      <c r="FU147" s="371">
        <v>0.44</v>
      </c>
      <c r="FV147" s="371">
        <v>0.56000000000000005</v>
      </c>
      <c r="FW147" s="371">
        <v>0.44</v>
      </c>
      <c r="FX147" s="371">
        <v>0.53</v>
      </c>
      <c r="FY147" s="371">
        <v>0.33</v>
      </c>
      <c r="FZ147" s="371">
        <v>0.18</v>
      </c>
      <c r="GA147" s="371">
        <v>0.31</v>
      </c>
      <c r="GB147" s="371">
        <v>0.56999999999999995</v>
      </c>
      <c r="GC147" s="371">
        <v>0.41</v>
      </c>
      <c r="GD147" s="371">
        <v>0.6</v>
      </c>
      <c r="GE147" s="371">
        <v>0.55000000000000004</v>
      </c>
      <c r="GF147" s="371">
        <v>0.61</v>
      </c>
      <c r="GG147" s="371">
        <v>0.4</v>
      </c>
      <c r="GH147" s="371">
        <v>0.64</v>
      </c>
      <c r="GI147" s="371">
        <v>0.23</v>
      </c>
      <c r="GJ147" s="469">
        <v>52</v>
      </c>
      <c r="GK147" s="471" t="s">
        <v>910</v>
      </c>
      <c r="GL147" s="469">
        <v>6</v>
      </c>
      <c r="GM147" s="471" t="s">
        <v>910</v>
      </c>
      <c r="GN147" s="501">
        <v>0</v>
      </c>
      <c r="GO147" s="501">
        <v>0.64</v>
      </c>
      <c r="GP147" s="501">
        <v>0.36</v>
      </c>
      <c r="GQ147" s="501">
        <v>0</v>
      </c>
      <c r="GR147" s="501">
        <v>0.3</v>
      </c>
      <c r="GS147" s="501">
        <v>0.41</v>
      </c>
      <c r="GT147" s="501">
        <v>0.75</v>
      </c>
      <c r="GU147" s="501">
        <v>0.09</v>
      </c>
      <c r="GV147" s="501">
        <v>0.49</v>
      </c>
      <c r="GW147" s="501">
        <v>0.1</v>
      </c>
      <c r="GX147" s="501">
        <v>0.46</v>
      </c>
      <c r="GY147" s="471" t="s">
        <v>287</v>
      </c>
      <c r="GZ147" s="501">
        <v>0.2</v>
      </c>
      <c r="HA147" s="501">
        <v>0.43</v>
      </c>
      <c r="HB147" s="501">
        <v>0.4</v>
      </c>
      <c r="HC147" s="501">
        <v>0.45</v>
      </c>
      <c r="HD147" s="501">
        <v>0.56000000000000005</v>
      </c>
      <c r="HE147" s="501">
        <v>0.48</v>
      </c>
      <c r="HF147" s="501">
        <v>0.48</v>
      </c>
      <c r="HG147" s="501">
        <v>0.71</v>
      </c>
      <c r="HH147" s="501">
        <v>0.23</v>
      </c>
      <c r="HI147" s="501">
        <v>0.37</v>
      </c>
      <c r="HJ147" s="501">
        <v>0.56000000000000005</v>
      </c>
      <c r="HK147" s="501">
        <v>0.53</v>
      </c>
      <c r="HL147" s="501">
        <v>0.39</v>
      </c>
      <c r="HM147" s="501">
        <v>0.5</v>
      </c>
      <c r="HN147" s="501">
        <v>0.55000000000000004</v>
      </c>
      <c r="HO147" s="501">
        <v>0.43</v>
      </c>
      <c r="HP147" s="471" t="s">
        <v>287</v>
      </c>
      <c r="HQ147" s="501">
        <v>0.46</v>
      </c>
      <c r="HR147" s="630">
        <v>53</v>
      </c>
      <c r="HS147" s="640" t="s">
        <v>910</v>
      </c>
      <c r="HT147" s="630">
        <v>7</v>
      </c>
      <c r="HU147" s="640" t="s">
        <v>910</v>
      </c>
      <c r="HV147" s="644">
        <v>0.05</v>
      </c>
      <c r="HW147" s="644">
        <v>0.63</v>
      </c>
      <c r="HX147" s="644">
        <v>0.32</v>
      </c>
      <c r="HY147" s="644">
        <v>0</v>
      </c>
      <c r="HZ147" s="644">
        <v>0.41</v>
      </c>
      <c r="IA147" s="644">
        <v>0.4</v>
      </c>
      <c r="IB147" s="644">
        <v>0.14000000000000001</v>
      </c>
      <c r="IC147" s="644">
        <v>0.45</v>
      </c>
      <c r="ID147" s="644">
        <v>0.56000000000000005</v>
      </c>
      <c r="IE147" s="644">
        <v>0.34</v>
      </c>
      <c r="IF147" s="644">
        <v>0.38</v>
      </c>
      <c r="IG147" s="644">
        <v>0.61</v>
      </c>
      <c r="IH147" s="644">
        <v>0.39</v>
      </c>
      <c r="II147" s="644">
        <v>0.33</v>
      </c>
      <c r="IJ147" s="644">
        <v>0.28999999999999998</v>
      </c>
      <c r="IK147" s="644">
        <v>0.56000000000000005</v>
      </c>
      <c r="IL147" s="644">
        <v>0.37</v>
      </c>
      <c r="IM147" s="644">
        <v>0.66</v>
      </c>
      <c r="IN147" s="644">
        <v>0.28000000000000003</v>
      </c>
      <c r="IO147" s="644">
        <v>0.45</v>
      </c>
      <c r="IP147" s="644">
        <v>0.27</v>
      </c>
      <c r="IQ147" s="644">
        <v>0.56000000000000005</v>
      </c>
      <c r="IR147" s="644">
        <v>0.5</v>
      </c>
      <c r="IS147" s="644">
        <v>0.49</v>
      </c>
      <c r="IT147" s="644">
        <v>0.37</v>
      </c>
      <c r="IU147" s="640" t="s">
        <v>287</v>
      </c>
      <c r="IV147" s="644">
        <v>0.65</v>
      </c>
      <c r="IW147" s="644">
        <v>0.44</v>
      </c>
      <c r="IX147" s="644">
        <v>0.63</v>
      </c>
      <c r="IY147" s="644">
        <v>0.56000000000000005</v>
      </c>
    </row>
    <row r="148" spans="1:259" ht="24.9" customHeight="1" x14ac:dyDescent="0.25">
      <c r="A148" s="188" t="s">
        <v>149</v>
      </c>
      <c r="B148" s="1" t="s">
        <v>222</v>
      </c>
      <c r="C148" s="2">
        <v>5</v>
      </c>
      <c r="D148" s="16">
        <v>53</v>
      </c>
      <c r="E148" s="16">
        <v>7</v>
      </c>
      <c r="F148" s="99">
        <v>0.02</v>
      </c>
      <c r="G148" s="99">
        <v>0.64</v>
      </c>
      <c r="H148" s="99">
        <v>0.33</v>
      </c>
      <c r="I148" s="99">
        <v>0</v>
      </c>
      <c r="J148" s="99">
        <v>0.36</v>
      </c>
      <c r="K148" s="99">
        <v>0.54</v>
      </c>
      <c r="L148" s="99">
        <v>0.8</v>
      </c>
      <c r="M148" s="99">
        <v>0.19</v>
      </c>
      <c r="N148" s="99">
        <v>0.32</v>
      </c>
      <c r="O148" s="99">
        <v>0.78</v>
      </c>
      <c r="P148" s="99">
        <v>0.36</v>
      </c>
      <c r="Q148" s="99">
        <v>0.45</v>
      </c>
      <c r="R148" s="99">
        <v>0.59</v>
      </c>
      <c r="S148" s="99">
        <v>0.63</v>
      </c>
      <c r="T148" s="99">
        <v>0.54</v>
      </c>
      <c r="U148" s="99">
        <v>0.6</v>
      </c>
      <c r="V148" s="99">
        <v>0.09</v>
      </c>
      <c r="W148" s="99">
        <v>0.14000000000000001</v>
      </c>
      <c r="X148" s="99">
        <v>0.56000000000000005</v>
      </c>
      <c r="Y148" s="99">
        <v>0.51</v>
      </c>
      <c r="Z148" s="13" t="s">
        <v>287</v>
      </c>
      <c r="AA148" s="99">
        <v>0.15</v>
      </c>
      <c r="AB148" s="99">
        <v>0.45</v>
      </c>
      <c r="AC148" s="99">
        <v>0.35</v>
      </c>
      <c r="AD148" s="99">
        <v>0.41</v>
      </c>
      <c r="AE148" s="99">
        <v>0.35</v>
      </c>
      <c r="AF148" s="99">
        <v>0.49</v>
      </c>
      <c r="AG148" s="99">
        <v>0.49</v>
      </c>
      <c r="AH148" s="16">
        <v>49</v>
      </c>
      <c r="AI148" s="16">
        <v>9</v>
      </c>
      <c r="AJ148" s="66">
        <v>0.2</v>
      </c>
      <c r="AK148" s="66">
        <v>0.54</v>
      </c>
      <c r="AL148" s="66">
        <v>0.27</v>
      </c>
      <c r="AM148" s="66">
        <v>0</v>
      </c>
      <c r="AN148" s="66">
        <v>0.45</v>
      </c>
      <c r="AO148" s="66">
        <v>0.49</v>
      </c>
      <c r="AP148" s="66">
        <v>0.56000000000000005</v>
      </c>
      <c r="AQ148" s="66">
        <v>0.47</v>
      </c>
      <c r="AR148" s="66">
        <v>0.69</v>
      </c>
      <c r="AS148" s="66">
        <v>0.53</v>
      </c>
      <c r="AT148" s="66">
        <v>0.54</v>
      </c>
      <c r="AU148" s="66">
        <v>0.57999999999999996</v>
      </c>
      <c r="AV148" s="66">
        <v>0.65</v>
      </c>
      <c r="AW148" s="66">
        <v>0.6</v>
      </c>
      <c r="AX148" s="66">
        <v>0.67</v>
      </c>
      <c r="AY148" s="66">
        <v>0.42</v>
      </c>
      <c r="AZ148" s="66">
        <v>0.3</v>
      </c>
      <c r="BA148" s="66">
        <v>0.48</v>
      </c>
      <c r="BB148" s="66">
        <v>0.71</v>
      </c>
      <c r="BC148" s="66">
        <v>0.63</v>
      </c>
      <c r="BD148" s="66">
        <v>0.46</v>
      </c>
      <c r="BE148" s="66">
        <v>0.81</v>
      </c>
      <c r="BF148" s="66">
        <v>0.55000000000000004</v>
      </c>
      <c r="BG148" s="66">
        <v>0.49</v>
      </c>
      <c r="BH148" s="66">
        <v>0.51</v>
      </c>
      <c r="BI148" s="66">
        <v>0.44</v>
      </c>
      <c r="BJ148" s="66">
        <v>0.46</v>
      </c>
      <c r="BK148" s="66">
        <v>0.55000000000000004</v>
      </c>
      <c r="BL148" s="66">
        <v>0.52</v>
      </c>
      <c r="BM148" s="16">
        <v>45</v>
      </c>
      <c r="BN148" s="16">
        <v>8</v>
      </c>
      <c r="BO148" s="99">
        <v>0.31</v>
      </c>
      <c r="BP148" s="99">
        <v>0.59</v>
      </c>
      <c r="BQ148" s="99">
        <v>0.09</v>
      </c>
      <c r="BR148" s="99">
        <v>0</v>
      </c>
      <c r="BS148" s="99">
        <v>0.42</v>
      </c>
      <c r="BT148" s="99">
        <v>0.8</v>
      </c>
      <c r="BU148" s="99">
        <v>0.56000000000000005</v>
      </c>
      <c r="BV148" s="99">
        <v>0.44</v>
      </c>
      <c r="BW148" s="99">
        <v>0.74</v>
      </c>
      <c r="BX148" s="99">
        <v>0.43</v>
      </c>
      <c r="BY148" s="99">
        <v>0.48</v>
      </c>
      <c r="BZ148" s="99">
        <v>0.66</v>
      </c>
      <c r="CA148" s="99">
        <v>0.57999999999999996</v>
      </c>
      <c r="CB148" s="99">
        <v>0.52</v>
      </c>
      <c r="CC148" s="99">
        <v>0.45</v>
      </c>
      <c r="CD148" s="99">
        <v>0.48</v>
      </c>
      <c r="CE148" s="99">
        <v>0.49</v>
      </c>
      <c r="CF148" s="99">
        <v>0.84</v>
      </c>
      <c r="CG148" s="99">
        <v>0.71</v>
      </c>
      <c r="CH148" s="99">
        <v>0.59</v>
      </c>
      <c r="CI148" s="99">
        <v>0.61</v>
      </c>
      <c r="CJ148" s="99">
        <v>0.31</v>
      </c>
      <c r="CK148" s="99">
        <v>0.73</v>
      </c>
      <c r="CL148" s="99">
        <v>0.34</v>
      </c>
      <c r="CM148" s="99">
        <v>0.56000000000000005</v>
      </c>
      <c r="CN148" s="99">
        <v>0.63</v>
      </c>
      <c r="CO148" s="99">
        <v>0.52</v>
      </c>
      <c r="CP148" s="99">
        <v>0.44</v>
      </c>
      <c r="CQ148" s="99">
        <v>0.66</v>
      </c>
      <c r="CR148" s="99">
        <v>0.72</v>
      </c>
      <c r="CS148" s="16">
        <v>48</v>
      </c>
      <c r="CT148" s="16">
        <v>9</v>
      </c>
      <c r="CU148" s="96">
        <v>0.25</v>
      </c>
      <c r="CV148" s="96">
        <v>0.5</v>
      </c>
      <c r="CW148" s="96">
        <v>0.25</v>
      </c>
      <c r="CX148" s="96">
        <v>0</v>
      </c>
      <c r="CY148" s="96">
        <v>0.49</v>
      </c>
      <c r="CZ148" s="96">
        <v>0.31</v>
      </c>
      <c r="DA148" s="96">
        <v>0.65</v>
      </c>
      <c r="DB148" s="96">
        <v>0.33</v>
      </c>
      <c r="DC148" s="96">
        <v>0.4</v>
      </c>
      <c r="DD148" s="96">
        <v>0.71</v>
      </c>
      <c r="DE148" s="96">
        <v>0.47</v>
      </c>
      <c r="DF148" s="96">
        <v>0.62</v>
      </c>
      <c r="DG148" s="96">
        <v>0.48</v>
      </c>
      <c r="DH148" s="96">
        <v>0.39</v>
      </c>
      <c r="DI148" s="96">
        <v>0.55000000000000004</v>
      </c>
      <c r="DJ148" s="96">
        <v>0.51</v>
      </c>
      <c r="DK148" s="96">
        <v>0.23</v>
      </c>
      <c r="DL148" s="96">
        <v>0.4</v>
      </c>
      <c r="DM148" s="96">
        <v>0.6</v>
      </c>
      <c r="DN148" s="96">
        <v>0.52</v>
      </c>
      <c r="DO148" s="96">
        <v>0.48</v>
      </c>
      <c r="DP148" s="96">
        <v>0.41</v>
      </c>
      <c r="DQ148" s="96">
        <v>0.72</v>
      </c>
      <c r="DR148" s="96">
        <v>0.23</v>
      </c>
      <c r="DS148" s="96">
        <v>0.41</v>
      </c>
      <c r="DT148" s="96">
        <v>0.6</v>
      </c>
      <c r="DU148" s="96">
        <v>0.5</v>
      </c>
      <c r="DV148" s="96">
        <v>0.65</v>
      </c>
      <c r="DW148" s="96">
        <v>0.39</v>
      </c>
      <c r="DX148" s="61">
        <v>46</v>
      </c>
      <c r="DY148" s="61">
        <v>8</v>
      </c>
      <c r="DZ148" s="66">
        <v>0.26</v>
      </c>
      <c r="EA148" s="66">
        <v>0.65</v>
      </c>
      <c r="EB148" s="66">
        <v>0.09</v>
      </c>
      <c r="EC148" s="66">
        <v>0</v>
      </c>
      <c r="ED148" s="66">
        <v>0.46</v>
      </c>
      <c r="EE148" s="66">
        <v>0.46</v>
      </c>
      <c r="EF148" s="66">
        <v>0.61</v>
      </c>
      <c r="EG148" s="66">
        <v>0.64</v>
      </c>
      <c r="EH148" s="66">
        <v>0.51</v>
      </c>
      <c r="EI148" s="66">
        <v>0.57999999999999996</v>
      </c>
      <c r="EJ148" s="66">
        <v>0.66</v>
      </c>
      <c r="EK148" s="66">
        <v>0.3</v>
      </c>
      <c r="EL148" s="66">
        <v>0.52</v>
      </c>
      <c r="EM148" s="66">
        <v>0.72</v>
      </c>
      <c r="EN148" s="66">
        <v>0.48</v>
      </c>
      <c r="EO148" s="66">
        <v>0.55000000000000004</v>
      </c>
      <c r="EP148" s="66">
        <v>0.61</v>
      </c>
      <c r="EQ148" s="66">
        <v>0.5</v>
      </c>
      <c r="ER148" s="66">
        <v>0.65</v>
      </c>
      <c r="ES148" s="66">
        <v>0.45</v>
      </c>
      <c r="ET148" s="66">
        <v>0.42</v>
      </c>
      <c r="EU148" s="66">
        <v>0.63</v>
      </c>
      <c r="EV148" s="66">
        <v>0.5</v>
      </c>
      <c r="EW148" s="66">
        <v>0.37</v>
      </c>
      <c r="EX148" s="66">
        <v>0.64</v>
      </c>
      <c r="EY148" s="66">
        <v>0.64</v>
      </c>
      <c r="EZ148" s="66">
        <v>0.2</v>
      </c>
      <c r="FA148" s="66">
        <v>0.68</v>
      </c>
      <c r="FB148" s="349">
        <v>45</v>
      </c>
      <c r="FC148" s="348" t="s">
        <v>910</v>
      </c>
      <c r="FD148" s="349">
        <v>8</v>
      </c>
      <c r="FE148" s="348" t="s">
        <v>910</v>
      </c>
      <c r="FF148" s="371">
        <v>0.21</v>
      </c>
      <c r="FG148" s="371">
        <v>0.72</v>
      </c>
      <c r="FH148" s="371">
        <v>7.0000000000000007E-2</v>
      </c>
      <c r="FI148" s="371">
        <v>0</v>
      </c>
      <c r="FJ148" s="371">
        <v>0.49</v>
      </c>
      <c r="FK148" s="371">
        <v>0.71</v>
      </c>
      <c r="FL148" s="371">
        <v>0.56999999999999995</v>
      </c>
      <c r="FM148" s="371">
        <v>0.67</v>
      </c>
      <c r="FN148" s="371">
        <v>0.48</v>
      </c>
      <c r="FO148" s="371">
        <v>0.48</v>
      </c>
      <c r="FP148" s="371">
        <v>0.44</v>
      </c>
      <c r="FQ148" s="371">
        <v>0.45</v>
      </c>
      <c r="FR148" s="371">
        <v>0.66</v>
      </c>
      <c r="FS148" s="371">
        <v>0.63</v>
      </c>
      <c r="FT148" s="371">
        <v>0.63</v>
      </c>
      <c r="FU148" s="371">
        <v>0.55000000000000004</v>
      </c>
      <c r="FV148" s="371">
        <v>0.69</v>
      </c>
      <c r="FW148" s="371">
        <v>0.57999999999999996</v>
      </c>
      <c r="FX148" s="371">
        <v>0.54</v>
      </c>
      <c r="FY148" s="371">
        <v>0.48</v>
      </c>
      <c r="FZ148" s="371">
        <v>0.48</v>
      </c>
      <c r="GA148" s="371">
        <v>0.55000000000000004</v>
      </c>
      <c r="GB148" s="371">
        <v>0.57999999999999996</v>
      </c>
      <c r="GC148" s="371">
        <v>0.67</v>
      </c>
      <c r="GD148" s="371">
        <v>0.75</v>
      </c>
      <c r="GE148" s="371">
        <v>0.55000000000000004</v>
      </c>
      <c r="GF148" s="371">
        <v>0.65</v>
      </c>
      <c r="GG148" s="371">
        <v>0.56000000000000005</v>
      </c>
      <c r="GH148" s="371">
        <v>0.7</v>
      </c>
      <c r="GI148" s="371">
        <v>0.37</v>
      </c>
      <c r="GJ148" s="469">
        <v>47</v>
      </c>
      <c r="GK148" s="471" t="s">
        <v>910</v>
      </c>
      <c r="GL148" s="469">
        <v>8</v>
      </c>
      <c r="GM148" s="471" t="s">
        <v>910</v>
      </c>
      <c r="GN148" s="501">
        <v>0.19</v>
      </c>
      <c r="GO148" s="501">
        <v>0.65</v>
      </c>
      <c r="GP148" s="501">
        <v>0.15</v>
      </c>
      <c r="GQ148" s="501">
        <v>0</v>
      </c>
      <c r="GR148" s="501">
        <v>0.59</v>
      </c>
      <c r="GS148" s="501">
        <v>0.68</v>
      </c>
      <c r="GT148" s="501">
        <v>0.62</v>
      </c>
      <c r="GU148" s="501">
        <v>0.5</v>
      </c>
      <c r="GV148" s="501">
        <v>0.64</v>
      </c>
      <c r="GW148" s="501">
        <v>0.5</v>
      </c>
      <c r="GX148" s="501">
        <v>0.52</v>
      </c>
      <c r="GY148" s="471" t="s">
        <v>287</v>
      </c>
      <c r="GZ148" s="501">
        <v>0.43</v>
      </c>
      <c r="HA148" s="501">
        <v>0.63</v>
      </c>
      <c r="HB148" s="501">
        <v>0.56000000000000005</v>
      </c>
      <c r="HC148" s="501">
        <v>0.72</v>
      </c>
      <c r="HD148" s="501">
        <v>0.62</v>
      </c>
      <c r="HE148" s="501">
        <v>0.59</v>
      </c>
      <c r="HF148" s="501">
        <v>0.56999999999999995</v>
      </c>
      <c r="HG148" s="501">
        <v>0.74</v>
      </c>
      <c r="HH148" s="501">
        <v>0.31</v>
      </c>
      <c r="HI148" s="501">
        <v>0.54</v>
      </c>
      <c r="HJ148" s="501">
        <v>0.68</v>
      </c>
      <c r="HK148" s="501">
        <v>0.51</v>
      </c>
      <c r="HL148" s="501">
        <v>0.32</v>
      </c>
      <c r="HM148" s="501">
        <v>0.61</v>
      </c>
      <c r="HN148" s="501">
        <v>0.44</v>
      </c>
      <c r="HO148" s="501">
        <v>0.43</v>
      </c>
      <c r="HP148" s="471" t="s">
        <v>287</v>
      </c>
      <c r="HQ148" s="501">
        <v>0.43</v>
      </c>
      <c r="HR148" s="630">
        <v>49</v>
      </c>
      <c r="HS148" s="640" t="s">
        <v>910</v>
      </c>
      <c r="HT148" s="630">
        <v>9</v>
      </c>
      <c r="HU148" s="640" t="s">
        <v>910</v>
      </c>
      <c r="HV148" s="644">
        <v>0.2</v>
      </c>
      <c r="HW148" s="644">
        <v>0.56999999999999995</v>
      </c>
      <c r="HX148" s="644">
        <v>0.23</v>
      </c>
      <c r="HY148" s="644">
        <v>0</v>
      </c>
      <c r="HZ148" s="644">
        <v>0.35</v>
      </c>
      <c r="IA148" s="644">
        <v>0.56000000000000005</v>
      </c>
      <c r="IB148" s="644">
        <v>0.47</v>
      </c>
      <c r="IC148" s="644">
        <v>0.44</v>
      </c>
      <c r="ID148" s="644">
        <v>0.62</v>
      </c>
      <c r="IE148" s="644">
        <v>0.5</v>
      </c>
      <c r="IF148" s="644">
        <v>0.48</v>
      </c>
      <c r="IG148" s="644">
        <v>0.68</v>
      </c>
      <c r="IH148" s="644">
        <v>0.56000000000000005</v>
      </c>
      <c r="II148" s="644">
        <v>0.21</v>
      </c>
      <c r="IJ148" s="644">
        <v>0.28000000000000003</v>
      </c>
      <c r="IK148" s="644">
        <v>0.56999999999999995</v>
      </c>
      <c r="IL148" s="644">
        <v>0.35</v>
      </c>
      <c r="IM148" s="644">
        <v>0.67</v>
      </c>
      <c r="IN148" s="644">
        <v>0.47</v>
      </c>
      <c r="IO148" s="644">
        <v>0.48</v>
      </c>
      <c r="IP148" s="644">
        <v>0.44</v>
      </c>
      <c r="IQ148" s="644">
        <v>0.66</v>
      </c>
      <c r="IR148" s="644">
        <v>0.74</v>
      </c>
      <c r="IS148" s="644">
        <v>0.64</v>
      </c>
      <c r="IT148" s="644">
        <v>0.57999999999999996</v>
      </c>
      <c r="IU148" s="640" t="s">
        <v>287</v>
      </c>
      <c r="IV148" s="644">
        <v>0.57999999999999996</v>
      </c>
      <c r="IW148" s="644">
        <v>0.49</v>
      </c>
      <c r="IX148" s="644">
        <v>0.54</v>
      </c>
      <c r="IY148" s="644">
        <v>0.51</v>
      </c>
    </row>
    <row r="149" spans="1:259" ht="24.9" customHeight="1" x14ac:dyDescent="0.25">
      <c r="A149" s="188" t="s">
        <v>140</v>
      </c>
      <c r="B149" s="1" t="s">
        <v>222</v>
      </c>
      <c r="C149" s="2">
        <v>2</v>
      </c>
      <c r="D149" s="16">
        <v>52</v>
      </c>
      <c r="E149" s="16">
        <v>8</v>
      </c>
      <c r="F149" s="99">
        <v>0.13</v>
      </c>
      <c r="G149" s="99">
        <v>0.63</v>
      </c>
      <c r="H149" s="99">
        <v>0.25</v>
      </c>
      <c r="I149" s="99">
        <v>0</v>
      </c>
      <c r="J149" s="99">
        <v>0.5</v>
      </c>
      <c r="K149" s="99">
        <v>0.38</v>
      </c>
      <c r="L149" s="99">
        <v>0.63</v>
      </c>
      <c r="M149" s="99">
        <v>0.25</v>
      </c>
      <c r="N149" s="99">
        <v>0.35</v>
      </c>
      <c r="O149" s="99">
        <v>0.69</v>
      </c>
      <c r="P149" s="99">
        <v>0.38</v>
      </c>
      <c r="Q149" s="99">
        <v>0.38</v>
      </c>
      <c r="R149" s="99">
        <v>0.53</v>
      </c>
      <c r="S149" s="99">
        <v>0.5</v>
      </c>
      <c r="T149" s="99">
        <v>0.38</v>
      </c>
      <c r="U149" s="99">
        <v>0.88</v>
      </c>
      <c r="V149" s="99">
        <v>0.13</v>
      </c>
      <c r="W149" s="99">
        <v>0.38</v>
      </c>
      <c r="X149" s="99">
        <v>0.53</v>
      </c>
      <c r="Y149" s="99">
        <v>0.38</v>
      </c>
      <c r="Z149" s="13" t="s">
        <v>287</v>
      </c>
      <c r="AA149" s="99">
        <v>0</v>
      </c>
      <c r="AB149" s="99">
        <v>0.52</v>
      </c>
      <c r="AC149" s="99">
        <v>0.31</v>
      </c>
      <c r="AD149" s="99">
        <v>0.44</v>
      </c>
      <c r="AE149" s="99">
        <v>0.44</v>
      </c>
      <c r="AF149" s="99">
        <v>0.69</v>
      </c>
      <c r="AG149" s="99">
        <v>0.46</v>
      </c>
      <c r="AH149" s="16">
        <v>54</v>
      </c>
      <c r="AI149" s="16">
        <v>6</v>
      </c>
      <c r="AJ149" s="66">
        <v>0.05</v>
      </c>
      <c r="AK149" s="66">
        <v>0.3</v>
      </c>
      <c r="AL149" s="66">
        <v>0.65</v>
      </c>
      <c r="AM149" s="66">
        <v>0</v>
      </c>
      <c r="AN149" s="66">
        <v>0.26</v>
      </c>
      <c r="AO149" s="66">
        <v>0.37</v>
      </c>
      <c r="AP149" s="66">
        <v>0.45</v>
      </c>
      <c r="AQ149" s="66">
        <v>0.31</v>
      </c>
      <c r="AR149" s="66">
        <v>0.54</v>
      </c>
      <c r="AS149" s="66">
        <v>0.39</v>
      </c>
      <c r="AT149" s="66">
        <v>0.57999999999999996</v>
      </c>
      <c r="AU149" s="66">
        <v>0.45</v>
      </c>
      <c r="AV149" s="66">
        <v>0.62</v>
      </c>
      <c r="AW149" s="66">
        <v>0.75</v>
      </c>
      <c r="AX149" s="66">
        <v>0.5</v>
      </c>
      <c r="AY149" s="66">
        <v>0.23</v>
      </c>
      <c r="AZ149" s="66">
        <v>0.21</v>
      </c>
      <c r="BA149" s="66">
        <v>0.56000000000000005</v>
      </c>
      <c r="BB149" s="66">
        <v>0.7</v>
      </c>
      <c r="BC149" s="66">
        <v>0.56999999999999995</v>
      </c>
      <c r="BD149" s="66">
        <v>0.42</v>
      </c>
      <c r="BE149" s="66">
        <v>0.56000000000000005</v>
      </c>
      <c r="BF149" s="66">
        <v>0.83</v>
      </c>
      <c r="BG149" s="66">
        <v>0.49</v>
      </c>
      <c r="BH149" s="66">
        <v>0.42</v>
      </c>
      <c r="BI149" s="66">
        <v>0.44</v>
      </c>
      <c r="BJ149" s="66">
        <v>0.31</v>
      </c>
      <c r="BK149" s="66">
        <v>0.28999999999999998</v>
      </c>
      <c r="BL149" s="66">
        <v>0.6</v>
      </c>
      <c r="BM149" s="16">
        <v>52</v>
      </c>
      <c r="BN149" s="16">
        <v>10</v>
      </c>
      <c r="BO149" s="99">
        <v>0.09</v>
      </c>
      <c r="BP149" s="99">
        <v>0.56999999999999995</v>
      </c>
      <c r="BQ149" s="99">
        <v>0.3</v>
      </c>
      <c r="BR149" s="99">
        <v>0.04</v>
      </c>
      <c r="BS149" s="99">
        <v>0.38</v>
      </c>
      <c r="BT149" s="99">
        <v>0.27</v>
      </c>
      <c r="BU149" s="99">
        <v>0.68</v>
      </c>
      <c r="BV149" s="99">
        <v>0.31</v>
      </c>
      <c r="BW149" s="99">
        <v>0.61</v>
      </c>
      <c r="BX149" s="99">
        <v>0.32</v>
      </c>
      <c r="BY149" s="99">
        <v>0.43</v>
      </c>
      <c r="BZ149" s="99">
        <v>0.64</v>
      </c>
      <c r="CA149" s="99">
        <v>0.47</v>
      </c>
      <c r="CB149" s="99">
        <v>0.23</v>
      </c>
      <c r="CC149" s="99">
        <v>0.27</v>
      </c>
      <c r="CD149" s="99">
        <v>0.41</v>
      </c>
      <c r="CE149" s="99">
        <v>0.27</v>
      </c>
      <c r="CF149" s="99">
        <v>0.55000000000000004</v>
      </c>
      <c r="CG149" s="99">
        <v>0.53</v>
      </c>
      <c r="CH149" s="99">
        <v>0.47</v>
      </c>
      <c r="CI149" s="99">
        <v>0.62</v>
      </c>
      <c r="CJ149" s="99">
        <v>0.26</v>
      </c>
      <c r="CK149" s="99">
        <v>0.68</v>
      </c>
      <c r="CL149" s="99">
        <v>0.17</v>
      </c>
      <c r="CM149" s="99">
        <v>0.44</v>
      </c>
      <c r="CN149" s="99">
        <v>0.4</v>
      </c>
      <c r="CO149" s="99">
        <v>0.33</v>
      </c>
      <c r="CP149" s="99">
        <v>0.28000000000000003</v>
      </c>
      <c r="CQ149" s="99">
        <v>0.48</v>
      </c>
      <c r="CR149" s="99">
        <v>0.53</v>
      </c>
      <c r="CS149" s="16">
        <v>52</v>
      </c>
      <c r="CT149" s="16">
        <v>8</v>
      </c>
      <c r="CU149" s="96">
        <v>0.06</v>
      </c>
      <c r="CV149" s="96">
        <v>0.61</v>
      </c>
      <c r="CW149" s="96">
        <v>0.3</v>
      </c>
      <c r="CX149" s="96">
        <v>0.03</v>
      </c>
      <c r="CY149" s="96">
        <v>0.53</v>
      </c>
      <c r="CZ149" s="96">
        <v>0.24</v>
      </c>
      <c r="DA149" s="96">
        <v>0.48</v>
      </c>
      <c r="DB149" s="96">
        <v>0.28000000000000003</v>
      </c>
      <c r="DC149" s="96">
        <v>0.34</v>
      </c>
      <c r="DD149" s="96">
        <v>0.69</v>
      </c>
      <c r="DE149" s="96">
        <v>0.34</v>
      </c>
      <c r="DF149" s="96">
        <v>0.56000000000000005</v>
      </c>
      <c r="DG149" s="96">
        <v>0.43</v>
      </c>
      <c r="DH149" s="96">
        <v>0.35</v>
      </c>
      <c r="DI149" s="96">
        <v>0.5</v>
      </c>
      <c r="DJ149" s="96">
        <v>0.4</v>
      </c>
      <c r="DK149" s="96">
        <v>0.28999999999999998</v>
      </c>
      <c r="DL149" s="96">
        <v>0.13</v>
      </c>
      <c r="DM149" s="96">
        <v>0.44</v>
      </c>
      <c r="DN149" s="96">
        <v>0.4</v>
      </c>
      <c r="DO149" s="96">
        <v>0.5</v>
      </c>
      <c r="DP149" s="96">
        <v>0.45</v>
      </c>
      <c r="DQ149" s="96">
        <v>0.48</v>
      </c>
      <c r="DR149" s="96">
        <v>0.17</v>
      </c>
      <c r="DS149" s="96">
        <v>0.28000000000000003</v>
      </c>
      <c r="DT149" s="96">
        <v>0.62</v>
      </c>
      <c r="DU149" s="96">
        <v>0.52</v>
      </c>
      <c r="DV149" s="96">
        <v>0.65</v>
      </c>
      <c r="DW149" s="96">
        <v>0.43</v>
      </c>
      <c r="DX149" s="61">
        <v>48</v>
      </c>
      <c r="DY149" s="61">
        <v>8</v>
      </c>
      <c r="DZ149" s="66">
        <v>0.23</v>
      </c>
      <c r="EA149" s="66">
        <v>0.61</v>
      </c>
      <c r="EB149" s="66">
        <v>0.16</v>
      </c>
      <c r="EC149" s="66">
        <v>0</v>
      </c>
      <c r="ED149" s="66">
        <v>0.42</v>
      </c>
      <c r="EE149" s="66">
        <v>0.47</v>
      </c>
      <c r="EF149" s="66">
        <v>0.5</v>
      </c>
      <c r="EG149" s="66">
        <v>0.47</v>
      </c>
      <c r="EH149" s="66">
        <v>0.43</v>
      </c>
      <c r="EI149" s="66">
        <v>0.53</v>
      </c>
      <c r="EJ149" s="66">
        <v>0.59</v>
      </c>
      <c r="EK149" s="66">
        <v>0.26</v>
      </c>
      <c r="EL149" s="66">
        <v>0.46</v>
      </c>
      <c r="EM149" s="66">
        <v>0.79</v>
      </c>
      <c r="EN149" s="66">
        <v>0.49</v>
      </c>
      <c r="EO149" s="66">
        <v>0.59</v>
      </c>
      <c r="EP149" s="66">
        <v>0.45</v>
      </c>
      <c r="EQ149" s="66">
        <v>0.13</v>
      </c>
      <c r="ER149" s="66">
        <v>0.63</v>
      </c>
      <c r="ES149" s="66">
        <v>0.37</v>
      </c>
      <c r="ET149" s="66">
        <v>0.4</v>
      </c>
      <c r="EU149" s="66">
        <v>0.57999999999999996</v>
      </c>
      <c r="EV149" s="66">
        <v>0.33</v>
      </c>
      <c r="EW149" s="66">
        <v>0.25</v>
      </c>
      <c r="EX149" s="66">
        <v>0.75</v>
      </c>
      <c r="EY149" s="66">
        <v>0.6</v>
      </c>
      <c r="EZ149" s="66">
        <v>0.18</v>
      </c>
      <c r="FA149" s="66">
        <v>0.56999999999999995</v>
      </c>
      <c r="FB149" s="349">
        <v>49</v>
      </c>
      <c r="FC149" s="348" t="s">
        <v>910</v>
      </c>
      <c r="FD149" s="349">
        <v>8</v>
      </c>
      <c r="FE149" s="348" t="s">
        <v>910</v>
      </c>
      <c r="FF149" s="371">
        <v>0.15</v>
      </c>
      <c r="FG149" s="371">
        <v>0.71</v>
      </c>
      <c r="FH149" s="371">
        <v>0.15</v>
      </c>
      <c r="FI149" s="371">
        <v>0</v>
      </c>
      <c r="FJ149" s="371">
        <v>0.45</v>
      </c>
      <c r="FK149" s="371">
        <v>0.72</v>
      </c>
      <c r="FL149" s="371">
        <v>0.52</v>
      </c>
      <c r="FM149" s="371">
        <v>0.57999999999999996</v>
      </c>
      <c r="FN149" s="371">
        <v>0.39</v>
      </c>
      <c r="FO149" s="371">
        <v>0.36</v>
      </c>
      <c r="FP149" s="371">
        <v>0.48</v>
      </c>
      <c r="FQ149" s="371">
        <v>0.44</v>
      </c>
      <c r="FR149" s="371">
        <v>0.65</v>
      </c>
      <c r="FS149" s="371">
        <v>0.4</v>
      </c>
      <c r="FT149" s="371">
        <v>0.48</v>
      </c>
      <c r="FU149" s="371">
        <v>0.47</v>
      </c>
      <c r="FV149" s="371">
        <v>0.67</v>
      </c>
      <c r="FW149" s="371">
        <v>0.66</v>
      </c>
      <c r="FX149" s="371">
        <v>0.5</v>
      </c>
      <c r="FY149" s="371">
        <v>0.38</v>
      </c>
      <c r="FZ149" s="371">
        <v>0.42</v>
      </c>
      <c r="GA149" s="371">
        <v>0.51</v>
      </c>
      <c r="GB149" s="371">
        <v>0.4</v>
      </c>
      <c r="GC149" s="371">
        <v>0.52</v>
      </c>
      <c r="GD149" s="371">
        <v>0.63</v>
      </c>
      <c r="GE149" s="371">
        <v>0.56000000000000005</v>
      </c>
      <c r="GF149" s="371">
        <v>0.44</v>
      </c>
      <c r="GG149" s="371">
        <v>0.41</v>
      </c>
      <c r="GH149" s="371">
        <v>0.65</v>
      </c>
      <c r="GI149" s="371">
        <v>0.26</v>
      </c>
      <c r="GJ149" s="469">
        <v>51</v>
      </c>
      <c r="GK149" s="471" t="s">
        <v>910</v>
      </c>
      <c r="GL149" s="469">
        <v>8</v>
      </c>
      <c r="GM149" s="471" t="s">
        <v>910</v>
      </c>
      <c r="GN149" s="501">
        <v>0.05</v>
      </c>
      <c r="GO149" s="501">
        <v>0.65</v>
      </c>
      <c r="GP149" s="501">
        <v>0.3</v>
      </c>
      <c r="GQ149" s="501">
        <v>0</v>
      </c>
      <c r="GR149" s="501">
        <v>0.53</v>
      </c>
      <c r="GS149" s="501">
        <v>0.59</v>
      </c>
      <c r="GT149" s="501">
        <v>0.63</v>
      </c>
      <c r="GU149" s="501">
        <v>0.26</v>
      </c>
      <c r="GV149" s="501">
        <v>0.55000000000000004</v>
      </c>
      <c r="GW149" s="501">
        <v>0.53</v>
      </c>
      <c r="GX149" s="501">
        <v>0.43</v>
      </c>
      <c r="GY149" s="471" t="s">
        <v>287</v>
      </c>
      <c r="GZ149" s="501">
        <v>0.23</v>
      </c>
      <c r="HA149" s="501">
        <v>0.59</v>
      </c>
      <c r="HB149" s="501">
        <v>0.47</v>
      </c>
      <c r="HC149" s="501">
        <v>0.48</v>
      </c>
      <c r="HD149" s="501">
        <v>0.55000000000000004</v>
      </c>
      <c r="HE149" s="501">
        <v>0.45</v>
      </c>
      <c r="HF149" s="501">
        <v>0.49</v>
      </c>
      <c r="HG149" s="501">
        <v>0.71</v>
      </c>
      <c r="HH149" s="501">
        <v>0.42</v>
      </c>
      <c r="HI149" s="501">
        <v>0.55000000000000004</v>
      </c>
      <c r="HJ149" s="501">
        <v>0.57999999999999996</v>
      </c>
      <c r="HK149" s="501">
        <v>0.47</v>
      </c>
      <c r="HL149" s="501">
        <v>0.47</v>
      </c>
      <c r="HM149" s="501">
        <v>0.51</v>
      </c>
      <c r="HN149" s="501">
        <v>0.45</v>
      </c>
      <c r="HO149" s="501">
        <v>0.44</v>
      </c>
      <c r="HP149" s="471" t="s">
        <v>287</v>
      </c>
      <c r="HQ149" s="501">
        <v>0.47</v>
      </c>
      <c r="HR149" s="630">
        <v>51</v>
      </c>
      <c r="HS149" s="640" t="s">
        <v>910</v>
      </c>
      <c r="HT149" s="630">
        <v>9</v>
      </c>
      <c r="HU149" s="640" t="s">
        <v>910</v>
      </c>
      <c r="HV149" s="644">
        <v>0.12</v>
      </c>
      <c r="HW149" s="644">
        <v>0.56000000000000005</v>
      </c>
      <c r="HX149" s="644">
        <v>0.28999999999999998</v>
      </c>
      <c r="HY149" s="644">
        <v>0.02</v>
      </c>
      <c r="HZ149" s="644">
        <v>0.38</v>
      </c>
      <c r="IA149" s="644">
        <v>0.56999999999999995</v>
      </c>
      <c r="IB149" s="644">
        <v>0.3</v>
      </c>
      <c r="IC149" s="644">
        <v>0.51</v>
      </c>
      <c r="ID149" s="644">
        <v>0.57999999999999996</v>
      </c>
      <c r="IE149" s="644">
        <v>0.33</v>
      </c>
      <c r="IF149" s="644">
        <v>0.36</v>
      </c>
      <c r="IG149" s="644">
        <v>0.54</v>
      </c>
      <c r="IH149" s="644">
        <v>0.56999999999999995</v>
      </c>
      <c r="II149" s="644">
        <v>0.18</v>
      </c>
      <c r="IJ149" s="644">
        <v>0.27</v>
      </c>
      <c r="IK149" s="644">
        <v>0.61</v>
      </c>
      <c r="IL149" s="644">
        <v>0.34</v>
      </c>
      <c r="IM149" s="644">
        <v>0.55000000000000004</v>
      </c>
      <c r="IN149" s="644">
        <v>0.44</v>
      </c>
      <c r="IO149" s="644">
        <v>0.52</v>
      </c>
      <c r="IP149" s="644">
        <v>0.44</v>
      </c>
      <c r="IQ149" s="644">
        <v>0.64</v>
      </c>
      <c r="IR149" s="644">
        <v>0.57999999999999996</v>
      </c>
      <c r="IS149" s="644">
        <v>0.56000000000000005</v>
      </c>
      <c r="IT149" s="644">
        <v>0.44</v>
      </c>
      <c r="IU149" s="640" t="s">
        <v>287</v>
      </c>
      <c r="IV149" s="644">
        <v>0.73</v>
      </c>
      <c r="IW149" s="644">
        <v>0.42</v>
      </c>
      <c r="IX149" s="644">
        <v>0.61</v>
      </c>
      <c r="IY149" s="644">
        <v>0.5</v>
      </c>
    </row>
    <row r="150" spans="1:259" ht="24.9" customHeight="1" x14ac:dyDescent="0.25">
      <c r="A150" s="188" t="s">
        <v>122</v>
      </c>
      <c r="B150" s="1" t="s">
        <v>222</v>
      </c>
      <c r="C150" s="2">
        <v>6</v>
      </c>
      <c r="D150" s="16">
        <v>57</v>
      </c>
      <c r="E150" s="16">
        <v>7</v>
      </c>
      <c r="F150" s="99">
        <v>0.03</v>
      </c>
      <c r="G150" s="99">
        <v>0.37</v>
      </c>
      <c r="H150" s="99">
        <v>0.6</v>
      </c>
      <c r="I150" s="99">
        <v>0</v>
      </c>
      <c r="J150" s="99">
        <v>0.34</v>
      </c>
      <c r="K150" s="99">
        <v>0.31</v>
      </c>
      <c r="L150" s="99">
        <v>0.48</v>
      </c>
      <c r="M150" s="99">
        <v>0.23</v>
      </c>
      <c r="N150" s="99">
        <v>0.26</v>
      </c>
      <c r="O150" s="99">
        <v>0.71</v>
      </c>
      <c r="P150" s="99">
        <v>0.26</v>
      </c>
      <c r="Q150" s="99">
        <v>0.4</v>
      </c>
      <c r="R150" s="99">
        <v>0.47</v>
      </c>
      <c r="S150" s="99">
        <v>0.53</v>
      </c>
      <c r="T150" s="99">
        <v>0.37</v>
      </c>
      <c r="U150" s="99">
        <v>0.41</v>
      </c>
      <c r="V150" s="99">
        <v>0.03</v>
      </c>
      <c r="W150" s="99">
        <v>0.18</v>
      </c>
      <c r="X150" s="99">
        <v>0.4</v>
      </c>
      <c r="Y150" s="99">
        <v>0.41</v>
      </c>
      <c r="Z150" s="99">
        <v>0</v>
      </c>
      <c r="AA150" s="99">
        <v>0.14000000000000001</v>
      </c>
      <c r="AB150" s="99">
        <v>0.38</v>
      </c>
      <c r="AC150" s="99">
        <v>0.25</v>
      </c>
      <c r="AD150" s="99">
        <v>0.36</v>
      </c>
      <c r="AE150" s="99">
        <v>0.36</v>
      </c>
      <c r="AF150" s="99">
        <v>0.54</v>
      </c>
      <c r="AG150" s="99">
        <v>0.44</v>
      </c>
      <c r="AH150" s="16">
        <v>54</v>
      </c>
      <c r="AI150" s="16">
        <v>8</v>
      </c>
      <c r="AJ150" s="66">
        <v>0.04</v>
      </c>
      <c r="AK150" s="66">
        <v>0.53</v>
      </c>
      <c r="AL150" s="66">
        <v>0.4</v>
      </c>
      <c r="AM150" s="66">
        <v>0.03</v>
      </c>
      <c r="AN150" s="66">
        <v>0.22</v>
      </c>
      <c r="AO150" s="66">
        <v>0.42</v>
      </c>
      <c r="AP150" s="66">
        <v>0.5</v>
      </c>
      <c r="AQ150" s="66">
        <v>0.31</v>
      </c>
      <c r="AR150" s="66">
        <v>0.56000000000000005</v>
      </c>
      <c r="AS150" s="66">
        <v>0.48</v>
      </c>
      <c r="AT150" s="66">
        <v>0.45</v>
      </c>
      <c r="AU150" s="66">
        <v>0.44</v>
      </c>
      <c r="AV150" s="66">
        <v>0.53</v>
      </c>
      <c r="AW150" s="66">
        <v>0.48</v>
      </c>
      <c r="AX150" s="66">
        <v>0.54</v>
      </c>
      <c r="AY150" s="66">
        <v>0.31</v>
      </c>
      <c r="AZ150" s="66">
        <v>0.26</v>
      </c>
      <c r="BA150" s="66">
        <v>0.5</v>
      </c>
      <c r="BB150" s="66">
        <v>0.59</v>
      </c>
      <c r="BC150" s="66">
        <v>0.6</v>
      </c>
      <c r="BD150" s="66">
        <v>0.37</v>
      </c>
      <c r="BE150" s="66">
        <v>0.42</v>
      </c>
      <c r="BF150" s="66">
        <v>0.55000000000000004</v>
      </c>
      <c r="BG150" s="66">
        <v>0.41</v>
      </c>
      <c r="BH150" s="66">
        <v>0.4</v>
      </c>
      <c r="BI150" s="66">
        <v>0.37</v>
      </c>
      <c r="BJ150" s="66">
        <v>0.27</v>
      </c>
      <c r="BK150" s="66">
        <v>0.4</v>
      </c>
      <c r="BL150" s="66">
        <v>0.45</v>
      </c>
      <c r="BM150" s="16">
        <v>53</v>
      </c>
      <c r="BN150" s="16">
        <v>8</v>
      </c>
      <c r="BO150" s="99">
        <v>7.0000000000000007E-2</v>
      </c>
      <c r="BP150" s="99">
        <v>0.56000000000000005</v>
      </c>
      <c r="BQ150" s="99">
        <v>0.36</v>
      </c>
      <c r="BR150" s="99">
        <v>0.01</v>
      </c>
      <c r="BS150" s="99">
        <v>0.32</v>
      </c>
      <c r="BT150" s="99">
        <v>0.54</v>
      </c>
      <c r="BU150" s="99">
        <v>0.64</v>
      </c>
      <c r="BV150" s="99">
        <v>0.36</v>
      </c>
      <c r="BW150" s="99">
        <v>0.67</v>
      </c>
      <c r="BX150" s="99">
        <v>0.3</v>
      </c>
      <c r="BY150" s="99">
        <v>0.42</v>
      </c>
      <c r="BZ150" s="99">
        <v>0.49</v>
      </c>
      <c r="CA150" s="99">
        <v>0.41</v>
      </c>
      <c r="CB150" s="99">
        <v>0.32</v>
      </c>
      <c r="CC150" s="99">
        <v>0.15</v>
      </c>
      <c r="CD150" s="99">
        <v>0.34</v>
      </c>
      <c r="CE150" s="99">
        <v>0.28999999999999998</v>
      </c>
      <c r="CF150" s="99">
        <v>0.6</v>
      </c>
      <c r="CG150" s="99">
        <v>0.48</v>
      </c>
      <c r="CH150" s="99">
        <v>0.42</v>
      </c>
      <c r="CI150" s="99">
        <v>0.5</v>
      </c>
      <c r="CJ150" s="99">
        <v>0.25</v>
      </c>
      <c r="CK150" s="99">
        <v>0.63</v>
      </c>
      <c r="CL150" s="99">
        <v>0.31</v>
      </c>
      <c r="CM150" s="99">
        <v>0.4</v>
      </c>
      <c r="CN150" s="99">
        <v>0.41</v>
      </c>
      <c r="CO150" s="99">
        <v>0.4</v>
      </c>
      <c r="CP150" s="99">
        <v>0.32</v>
      </c>
      <c r="CQ150" s="99">
        <v>0.55000000000000004</v>
      </c>
      <c r="CR150" s="99">
        <v>0.5</v>
      </c>
      <c r="CS150" s="16">
        <v>50</v>
      </c>
      <c r="CT150" s="16">
        <v>9</v>
      </c>
      <c r="CU150" s="96">
        <v>0.15</v>
      </c>
      <c r="CV150" s="96">
        <v>0.56999999999999995</v>
      </c>
      <c r="CW150" s="96">
        <v>0.27</v>
      </c>
      <c r="CX150" s="96">
        <v>0.01</v>
      </c>
      <c r="CY150" s="96">
        <v>0.46</v>
      </c>
      <c r="CZ150" s="96">
        <v>0.3</v>
      </c>
      <c r="DA150" s="96">
        <v>0.56000000000000005</v>
      </c>
      <c r="DB150" s="96">
        <v>0.38</v>
      </c>
      <c r="DC150" s="96">
        <v>0.43</v>
      </c>
      <c r="DD150" s="96">
        <v>0.64</v>
      </c>
      <c r="DE150" s="96">
        <v>0.46</v>
      </c>
      <c r="DF150" s="96">
        <v>0.57999999999999996</v>
      </c>
      <c r="DG150" s="96">
        <v>0.44</v>
      </c>
      <c r="DH150" s="96">
        <v>0.39</v>
      </c>
      <c r="DI150" s="96">
        <v>0.53</v>
      </c>
      <c r="DJ150" s="96">
        <v>0.52</v>
      </c>
      <c r="DK150" s="96">
        <v>0.35</v>
      </c>
      <c r="DL150" s="96">
        <v>0.43</v>
      </c>
      <c r="DM150" s="96">
        <v>0.47</v>
      </c>
      <c r="DN150" s="96">
        <v>0.5</v>
      </c>
      <c r="DO150" s="96">
        <v>0.38</v>
      </c>
      <c r="DP150" s="96">
        <v>0.46</v>
      </c>
      <c r="DQ150" s="96">
        <v>0.54</v>
      </c>
      <c r="DR150" s="96">
        <v>0.16</v>
      </c>
      <c r="DS150" s="96">
        <v>0.39</v>
      </c>
      <c r="DT150" s="96">
        <v>0.53</v>
      </c>
      <c r="DU150" s="96">
        <v>0.44</v>
      </c>
      <c r="DV150" s="96">
        <v>0.6</v>
      </c>
      <c r="DW150" s="96">
        <v>0.33</v>
      </c>
      <c r="DX150" s="61">
        <v>48</v>
      </c>
      <c r="DY150" s="61">
        <v>9</v>
      </c>
      <c r="DZ150" s="66">
        <v>0.21</v>
      </c>
      <c r="EA150" s="66">
        <v>0.59</v>
      </c>
      <c r="EB150" s="66">
        <v>0.19</v>
      </c>
      <c r="EC150" s="66">
        <v>0.01</v>
      </c>
      <c r="ED150" s="66">
        <v>0.53</v>
      </c>
      <c r="EE150" s="66">
        <v>0.52</v>
      </c>
      <c r="EF150" s="66">
        <v>0.6</v>
      </c>
      <c r="EG150" s="66">
        <v>0.46</v>
      </c>
      <c r="EH150" s="66">
        <v>0.43</v>
      </c>
      <c r="EI150" s="66">
        <v>0.54</v>
      </c>
      <c r="EJ150" s="66">
        <v>0.56999999999999995</v>
      </c>
      <c r="EK150" s="66">
        <v>0.28999999999999998</v>
      </c>
      <c r="EL150" s="66">
        <v>0.45</v>
      </c>
      <c r="EM150" s="66">
        <v>0.63</v>
      </c>
      <c r="EN150" s="66">
        <v>0.46</v>
      </c>
      <c r="EO150" s="66">
        <v>0.59</v>
      </c>
      <c r="EP150" s="66">
        <v>0.38</v>
      </c>
      <c r="EQ150" s="66">
        <v>0.33</v>
      </c>
      <c r="ER150" s="66">
        <v>0.63</v>
      </c>
      <c r="ES150" s="66">
        <v>0.45</v>
      </c>
      <c r="ET150" s="66">
        <v>0.39</v>
      </c>
      <c r="EU150" s="66">
        <v>0.56999999999999995</v>
      </c>
      <c r="EV150" s="66">
        <v>0.44</v>
      </c>
      <c r="EW150" s="66">
        <v>0.43</v>
      </c>
      <c r="EX150" s="66">
        <v>0.68</v>
      </c>
      <c r="EY150" s="66">
        <v>0.65</v>
      </c>
      <c r="EZ150" s="66">
        <v>0.22</v>
      </c>
      <c r="FA150" s="66">
        <v>0.66</v>
      </c>
      <c r="FB150" s="349">
        <v>49</v>
      </c>
      <c r="FC150" s="348" t="s">
        <v>910</v>
      </c>
      <c r="FD150" s="349">
        <v>8</v>
      </c>
      <c r="FE150" s="348" t="s">
        <v>910</v>
      </c>
      <c r="FF150" s="371">
        <v>0.16</v>
      </c>
      <c r="FG150" s="371">
        <v>0.57999999999999996</v>
      </c>
      <c r="FH150" s="371">
        <v>0.26</v>
      </c>
      <c r="FI150" s="371">
        <v>0</v>
      </c>
      <c r="FJ150" s="371">
        <v>0.5</v>
      </c>
      <c r="FK150" s="371">
        <v>0.62</v>
      </c>
      <c r="FL150" s="371">
        <v>0.49</v>
      </c>
      <c r="FM150" s="371">
        <v>0.38</v>
      </c>
      <c r="FN150" s="371">
        <v>0.35</v>
      </c>
      <c r="FO150" s="371">
        <v>0.3</v>
      </c>
      <c r="FP150" s="371">
        <v>0.4</v>
      </c>
      <c r="FQ150" s="371">
        <v>0.44</v>
      </c>
      <c r="FR150" s="371">
        <v>0.57999999999999996</v>
      </c>
      <c r="FS150" s="371">
        <v>0.51</v>
      </c>
      <c r="FT150" s="371">
        <v>0.54</v>
      </c>
      <c r="FU150" s="371">
        <v>0.33</v>
      </c>
      <c r="FV150" s="371">
        <v>0.61</v>
      </c>
      <c r="FW150" s="371">
        <v>0.56999999999999995</v>
      </c>
      <c r="FX150" s="371">
        <v>0.49</v>
      </c>
      <c r="FY150" s="371">
        <v>0.45</v>
      </c>
      <c r="FZ150" s="371">
        <v>0.4</v>
      </c>
      <c r="GA150" s="371">
        <v>0.52</v>
      </c>
      <c r="GB150" s="371">
        <v>0.53</v>
      </c>
      <c r="GC150" s="371">
        <v>0.47</v>
      </c>
      <c r="GD150" s="371">
        <v>0.64</v>
      </c>
      <c r="GE150" s="371">
        <v>0.54</v>
      </c>
      <c r="GF150" s="371">
        <v>0.48</v>
      </c>
      <c r="GG150" s="371">
        <v>0.42</v>
      </c>
      <c r="GH150" s="371">
        <v>0.52</v>
      </c>
      <c r="GI150" s="371">
        <v>0.3</v>
      </c>
      <c r="GJ150" s="469">
        <v>50</v>
      </c>
      <c r="GK150" s="471" t="s">
        <v>910</v>
      </c>
      <c r="GL150" s="469">
        <v>10</v>
      </c>
      <c r="GM150" s="471" t="s">
        <v>910</v>
      </c>
      <c r="GN150" s="501">
        <v>0.18</v>
      </c>
      <c r="GO150" s="501">
        <v>0.52</v>
      </c>
      <c r="GP150" s="501">
        <v>0.28999999999999998</v>
      </c>
      <c r="GQ150" s="501">
        <v>0.02</v>
      </c>
      <c r="GR150" s="501">
        <v>0.48</v>
      </c>
      <c r="GS150" s="501">
        <v>0.51</v>
      </c>
      <c r="GT150" s="501">
        <v>0.62</v>
      </c>
      <c r="GU150" s="501">
        <v>0.23</v>
      </c>
      <c r="GV150" s="501">
        <v>0.53</v>
      </c>
      <c r="GW150" s="501">
        <v>0.49</v>
      </c>
      <c r="GX150" s="501">
        <v>0.48</v>
      </c>
      <c r="GY150" s="471" t="s">
        <v>287</v>
      </c>
      <c r="GZ150" s="501">
        <v>0.34</v>
      </c>
      <c r="HA150" s="501">
        <v>0.71</v>
      </c>
      <c r="HB150" s="501">
        <v>0.43</v>
      </c>
      <c r="HC150" s="501">
        <v>0.52</v>
      </c>
      <c r="HD150" s="501">
        <v>0.57999999999999996</v>
      </c>
      <c r="HE150" s="501">
        <v>0.5</v>
      </c>
      <c r="HF150" s="501">
        <v>0.48</v>
      </c>
      <c r="HG150" s="501">
        <v>0.67</v>
      </c>
      <c r="HH150" s="501">
        <v>0.4</v>
      </c>
      <c r="HI150" s="501">
        <v>0.52</v>
      </c>
      <c r="HJ150" s="501">
        <v>0.57999999999999996</v>
      </c>
      <c r="HK150" s="501">
        <v>0.51</v>
      </c>
      <c r="HL150" s="501">
        <v>0.41</v>
      </c>
      <c r="HM150" s="501">
        <v>0.5</v>
      </c>
      <c r="HN150" s="501">
        <v>0.5</v>
      </c>
      <c r="HO150" s="501">
        <v>0.44</v>
      </c>
      <c r="HP150" s="471" t="s">
        <v>287</v>
      </c>
      <c r="HQ150" s="501">
        <v>0.4</v>
      </c>
      <c r="HR150" s="630">
        <v>52</v>
      </c>
      <c r="HS150" s="640" t="s">
        <v>910</v>
      </c>
      <c r="HT150" s="630">
        <v>10</v>
      </c>
      <c r="HU150" s="640" t="s">
        <v>910</v>
      </c>
      <c r="HV150" s="644">
        <v>0.14000000000000001</v>
      </c>
      <c r="HW150" s="644">
        <v>0.49</v>
      </c>
      <c r="HX150" s="644">
        <v>0.34</v>
      </c>
      <c r="HY150" s="644">
        <v>0.03</v>
      </c>
      <c r="HZ150" s="644">
        <v>0.35</v>
      </c>
      <c r="IA150" s="644">
        <v>0.45</v>
      </c>
      <c r="IB150" s="644">
        <v>0.34</v>
      </c>
      <c r="IC150" s="644">
        <v>0.47</v>
      </c>
      <c r="ID150" s="644">
        <v>0.6</v>
      </c>
      <c r="IE150" s="644">
        <v>0.36</v>
      </c>
      <c r="IF150" s="644">
        <v>0.39</v>
      </c>
      <c r="IG150" s="644">
        <v>0.52</v>
      </c>
      <c r="IH150" s="644">
        <v>0.51</v>
      </c>
      <c r="II150" s="644">
        <v>0.34</v>
      </c>
      <c r="IJ150" s="644">
        <v>0.28000000000000003</v>
      </c>
      <c r="IK150" s="644">
        <v>0.55000000000000004</v>
      </c>
      <c r="IL150" s="644">
        <v>0.35</v>
      </c>
      <c r="IM150" s="644">
        <v>0.56000000000000005</v>
      </c>
      <c r="IN150" s="644">
        <v>0.44</v>
      </c>
      <c r="IO150" s="644">
        <v>0.45</v>
      </c>
      <c r="IP150" s="644">
        <v>0.44</v>
      </c>
      <c r="IQ150" s="644">
        <v>0.63</v>
      </c>
      <c r="IR150" s="644">
        <v>0.56999999999999995</v>
      </c>
      <c r="IS150" s="644">
        <v>0.54</v>
      </c>
      <c r="IT150" s="644">
        <v>0.38</v>
      </c>
      <c r="IU150" s="640" t="s">
        <v>287</v>
      </c>
      <c r="IV150" s="644">
        <v>0.55000000000000004</v>
      </c>
      <c r="IW150" s="644">
        <v>0.41</v>
      </c>
      <c r="IX150" s="644">
        <v>0.47</v>
      </c>
      <c r="IY150" s="644">
        <v>0.46</v>
      </c>
    </row>
    <row r="151" spans="1:259" ht="24.9" customHeight="1" x14ac:dyDescent="0.25">
      <c r="A151" s="188" t="s">
        <v>198</v>
      </c>
      <c r="B151" s="1" t="s">
        <v>222</v>
      </c>
      <c r="C151" s="2">
        <v>5</v>
      </c>
      <c r="D151" s="16">
        <v>62</v>
      </c>
      <c r="E151" s="16">
        <v>7</v>
      </c>
      <c r="F151" s="99">
        <v>0</v>
      </c>
      <c r="G151" s="99">
        <v>0.23</v>
      </c>
      <c r="H151" s="99">
        <v>0.7</v>
      </c>
      <c r="I151" s="99">
        <v>7.0000000000000007E-2</v>
      </c>
      <c r="J151" s="99">
        <v>0.05</v>
      </c>
      <c r="K151" s="99">
        <v>0.26</v>
      </c>
      <c r="L151" s="99">
        <v>0.36</v>
      </c>
      <c r="M151" s="99">
        <v>0.11</v>
      </c>
      <c r="N151" s="99">
        <v>0.22</v>
      </c>
      <c r="O151" s="99">
        <v>0.56999999999999995</v>
      </c>
      <c r="P151" s="99">
        <v>0.17</v>
      </c>
      <c r="Q151" s="99">
        <v>0.3</v>
      </c>
      <c r="R151" s="99">
        <v>0.42</v>
      </c>
      <c r="S151" s="99">
        <v>0.56000000000000005</v>
      </c>
      <c r="T151" s="99">
        <v>0.28000000000000003</v>
      </c>
      <c r="U151" s="99">
        <v>0.32</v>
      </c>
      <c r="V151" s="99">
        <v>0.04</v>
      </c>
      <c r="W151" s="99">
        <v>0.08</v>
      </c>
      <c r="X151" s="99">
        <v>0.25</v>
      </c>
      <c r="Y151" s="99">
        <v>0.4</v>
      </c>
      <c r="Z151" s="99">
        <v>1</v>
      </c>
      <c r="AA151" s="99">
        <v>0</v>
      </c>
      <c r="AB151" s="99">
        <v>0.38</v>
      </c>
      <c r="AC151" s="99">
        <v>0.13</v>
      </c>
      <c r="AD151" s="99">
        <v>0.25</v>
      </c>
      <c r="AE151" s="99">
        <v>0.25</v>
      </c>
      <c r="AF151" s="99">
        <v>0.46</v>
      </c>
      <c r="AG151" s="99">
        <v>0.38</v>
      </c>
      <c r="AH151" s="16">
        <v>60</v>
      </c>
      <c r="AI151" s="16">
        <v>7</v>
      </c>
      <c r="AJ151" s="66">
        <v>0.04</v>
      </c>
      <c r="AK151" s="66">
        <v>0.17</v>
      </c>
      <c r="AL151" s="66">
        <v>0.74</v>
      </c>
      <c r="AM151" s="66">
        <v>0.04</v>
      </c>
      <c r="AN151" s="66">
        <v>0.08</v>
      </c>
      <c r="AO151" s="66">
        <v>0.54</v>
      </c>
      <c r="AP151" s="66">
        <v>0.36</v>
      </c>
      <c r="AQ151" s="66">
        <v>0.23</v>
      </c>
      <c r="AR151" s="66">
        <v>0.49</v>
      </c>
      <c r="AS151" s="66">
        <v>0.38</v>
      </c>
      <c r="AT151" s="66">
        <v>0.38</v>
      </c>
      <c r="AU151" s="66">
        <v>0.33</v>
      </c>
      <c r="AV151" s="66">
        <v>0.32</v>
      </c>
      <c r="AW151" s="66">
        <v>0.2</v>
      </c>
      <c r="AX151" s="66">
        <v>0.35</v>
      </c>
      <c r="AY151" s="66">
        <v>0.2</v>
      </c>
      <c r="AZ151" s="66">
        <v>0.23</v>
      </c>
      <c r="BA151" s="66">
        <v>0.3</v>
      </c>
      <c r="BB151" s="66">
        <v>0.44</v>
      </c>
      <c r="BC151" s="66">
        <v>0.49</v>
      </c>
      <c r="BD151" s="66">
        <v>0.25</v>
      </c>
      <c r="BE151" s="66">
        <v>0.57999999999999996</v>
      </c>
      <c r="BF151" s="66">
        <v>0.25</v>
      </c>
      <c r="BG151" s="66">
        <v>0.42</v>
      </c>
      <c r="BH151" s="66">
        <v>0.27</v>
      </c>
      <c r="BI151" s="66">
        <v>0.28999999999999998</v>
      </c>
      <c r="BJ151" s="66">
        <v>0.24</v>
      </c>
      <c r="BK151" s="66">
        <v>0.23</v>
      </c>
      <c r="BL151" s="66">
        <v>0.15</v>
      </c>
      <c r="BM151" s="16">
        <v>59</v>
      </c>
      <c r="BN151" s="16">
        <v>9</v>
      </c>
      <c r="BO151" s="99">
        <v>0</v>
      </c>
      <c r="BP151" s="99">
        <v>0.37</v>
      </c>
      <c r="BQ151" s="99">
        <v>0.54</v>
      </c>
      <c r="BR151" s="99">
        <v>0.09</v>
      </c>
      <c r="BS151" s="99">
        <v>0.21</v>
      </c>
      <c r="BT151" s="99">
        <v>0.5</v>
      </c>
      <c r="BU151" s="99">
        <v>0.33</v>
      </c>
      <c r="BV151" s="99">
        <v>0.09</v>
      </c>
      <c r="BW151" s="99">
        <v>0.47</v>
      </c>
      <c r="BX151" s="99">
        <v>0.18</v>
      </c>
      <c r="BY151" s="99">
        <v>0.38</v>
      </c>
      <c r="BZ151" s="99">
        <v>0.36</v>
      </c>
      <c r="CA151" s="99">
        <v>0.3</v>
      </c>
      <c r="CB151" s="99">
        <v>0.17</v>
      </c>
      <c r="CC151" s="99">
        <v>0.12</v>
      </c>
      <c r="CD151" s="99">
        <v>0.27</v>
      </c>
      <c r="CE151" s="99">
        <v>0.15</v>
      </c>
      <c r="CF151" s="99">
        <v>0.61</v>
      </c>
      <c r="CG151" s="99">
        <v>0.36</v>
      </c>
      <c r="CH151" s="99">
        <v>0.26</v>
      </c>
      <c r="CI151" s="99">
        <v>0.45</v>
      </c>
      <c r="CJ151" s="99">
        <v>0.15</v>
      </c>
      <c r="CK151" s="99">
        <v>0.51</v>
      </c>
      <c r="CL151" s="99">
        <v>0.19</v>
      </c>
      <c r="CM151" s="99">
        <v>0.27</v>
      </c>
      <c r="CN151" s="99">
        <v>0.3</v>
      </c>
      <c r="CO151" s="99">
        <v>0.31</v>
      </c>
      <c r="CP151" s="99">
        <v>0.18</v>
      </c>
      <c r="CQ151" s="99">
        <v>0.36</v>
      </c>
      <c r="CR151" s="99">
        <v>0.4</v>
      </c>
      <c r="CS151" s="16">
        <v>56</v>
      </c>
      <c r="CT151" s="16">
        <v>11</v>
      </c>
      <c r="CU151" s="96">
        <v>0.09</v>
      </c>
      <c r="CV151" s="96">
        <v>0.37</v>
      </c>
      <c r="CW151" s="96">
        <v>0.48</v>
      </c>
      <c r="CX151" s="96">
        <v>7.0000000000000007E-2</v>
      </c>
      <c r="CY151" s="96">
        <v>0.41</v>
      </c>
      <c r="CZ151" s="96">
        <v>0.18</v>
      </c>
      <c r="DA151" s="96">
        <v>0.48</v>
      </c>
      <c r="DB151" s="96">
        <v>0.26</v>
      </c>
      <c r="DC151" s="96">
        <v>0.37</v>
      </c>
      <c r="DD151" s="96">
        <v>0.54</v>
      </c>
      <c r="DE151" s="96">
        <v>0.38</v>
      </c>
      <c r="DF151" s="96">
        <v>0.53</v>
      </c>
      <c r="DG151" s="96">
        <v>0.26</v>
      </c>
      <c r="DH151" s="96">
        <v>0.32</v>
      </c>
      <c r="DI151" s="96">
        <v>0.39</v>
      </c>
      <c r="DJ151" s="96">
        <v>0.44</v>
      </c>
      <c r="DK151" s="96">
        <v>0.22</v>
      </c>
      <c r="DL151" s="96">
        <v>0.28000000000000003</v>
      </c>
      <c r="DM151" s="96">
        <v>0.41</v>
      </c>
      <c r="DN151" s="96">
        <v>0.3</v>
      </c>
      <c r="DO151" s="96">
        <v>0.28999999999999998</v>
      </c>
      <c r="DP151" s="96">
        <v>0.41</v>
      </c>
      <c r="DQ151" s="96">
        <v>0.42</v>
      </c>
      <c r="DR151" s="96">
        <v>0.12</v>
      </c>
      <c r="DS151" s="96">
        <v>0.31</v>
      </c>
      <c r="DT151" s="96">
        <v>0.48</v>
      </c>
      <c r="DU151" s="96">
        <v>0.4</v>
      </c>
      <c r="DV151" s="96">
        <v>0.46</v>
      </c>
      <c r="DW151" s="96">
        <v>0.25</v>
      </c>
      <c r="DX151" s="61">
        <v>55</v>
      </c>
      <c r="DY151" s="61">
        <v>8</v>
      </c>
      <c r="DZ151" s="66">
        <v>0.04</v>
      </c>
      <c r="EA151" s="66">
        <v>0.5</v>
      </c>
      <c r="EB151" s="66">
        <v>0.44</v>
      </c>
      <c r="EC151" s="66">
        <v>0.02</v>
      </c>
      <c r="ED151" s="66">
        <v>0.41</v>
      </c>
      <c r="EE151" s="66">
        <v>0.45</v>
      </c>
      <c r="EF151" s="66">
        <v>0.42</v>
      </c>
      <c r="EG151" s="66">
        <v>0.28999999999999998</v>
      </c>
      <c r="EH151" s="66">
        <v>0.31</v>
      </c>
      <c r="EI151" s="66">
        <v>0.38</v>
      </c>
      <c r="EJ151" s="66">
        <v>0.56000000000000005</v>
      </c>
      <c r="EK151" s="66">
        <v>0.17</v>
      </c>
      <c r="EL151" s="66">
        <v>0.35</v>
      </c>
      <c r="EM151" s="66">
        <v>0.46</v>
      </c>
      <c r="EN151" s="66">
        <v>0.28000000000000003</v>
      </c>
      <c r="EO151" s="66">
        <v>0.5</v>
      </c>
      <c r="EP151" s="66">
        <v>0.25</v>
      </c>
      <c r="EQ151" s="66">
        <v>0.19</v>
      </c>
      <c r="ER151" s="66">
        <v>0.56000000000000005</v>
      </c>
      <c r="ES151" s="66">
        <v>0.36</v>
      </c>
      <c r="ET151" s="66">
        <v>0.27</v>
      </c>
      <c r="EU151" s="66">
        <v>0.4</v>
      </c>
      <c r="EV151" s="66">
        <v>0.2</v>
      </c>
      <c r="EW151" s="66">
        <v>0.18</v>
      </c>
      <c r="EX151" s="66">
        <v>0.7</v>
      </c>
      <c r="EY151" s="66">
        <v>0.51</v>
      </c>
      <c r="EZ151" s="66">
        <v>0.14000000000000001</v>
      </c>
      <c r="FA151" s="66">
        <v>0.55000000000000004</v>
      </c>
      <c r="FB151" s="349">
        <v>52</v>
      </c>
      <c r="FC151" s="348" t="s">
        <v>910</v>
      </c>
      <c r="FD151" s="349">
        <v>8</v>
      </c>
      <c r="FE151" s="348" t="s">
        <v>910</v>
      </c>
      <c r="FF151" s="371">
        <v>0.08</v>
      </c>
      <c r="FG151" s="371">
        <v>0.48</v>
      </c>
      <c r="FH151" s="371">
        <v>0.44</v>
      </c>
      <c r="FI151" s="371">
        <v>0</v>
      </c>
      <c r="FJ151" s="371">
        <v>0.41</v>
      </c>
      <c r="FK151" s="371">
        <v>0.62</v>
      </c>
      <c r="FL151" s="371">
        <v>0.5</v>
      </c>
      <c r="FM151" s="371">
        <v>0.33</v>
      </c>
      <c r="FN151" s="371">
        <v>0.28999999999999998</v>
      </c>
      <c r="FO151" s="371">
        <v>0.21</v>
      </c>
      <c r="FP151" s="371">
        <v>0.4</v>
      </c>
      <c r="FQ151" s="371">
        <v>0.34</v>
      </c>
      <c r="FR151" s="371">
        <v>0.57999999999999996</v>
      </c>
      <c r="FS151" s="371">
        <v>0.46</v>
      </c>
      <c r="FT151" s="371">
        <v>0.51</v>
      </c>
      <c r="FU151" s="371">
        <v>0.25</v>
      </c>
      <c r="FV151" s="371">
        <v>0.53</v>
      </c>
      <c r="FW151" s="371">
        <v>0.44</v>
      </c>
      <c r="FX151" s="371">
        <v>0.35</v>
      </c>
      <c r="FY151" s="371">
        <v>0.3</v>
      </c>
      <c r="FZ151" s="371">
        <v>0.33</v>
      </c>
      <c r="GA151" s="371">
        <v>0.53</v>
      </c>
      <c r="GB151" s="371">
        <v>0.45</v>
      </c>
      <c r="GC151" s="371">
        <v>0.45</v>
      </c>
      <c r="GD151" s="371">
        <v>0.65</v>
      </c>
      <c r="GE151" s="371">
        <v>0.36</v>
      </c>
      <c r="GF151" s="371">
        <v>0.42</v>
      </c>
      <c r="GG151" s="371">
        <v>0.4</v>
      </c>
      <c r="GH151" s="371">
        <v>0.55000000000000004</v>
      </c>
      <c r="GI151" s="371">
        <v>0.25</v>
      </c>
      <c r="GJ151" s="469">
        <v>56</v>
      </c>
      <c r="GK151" s="471" t="s">
        <v>910</v>
      </c>
      <c r="GL151" s="469">
        <v>9</v>
      </c>
      <c r="GM151" s="471" t="s">
        <v>910</v>
      </c>
      <c r="GN151" s="501">
        <v>0.11</v>
      </c>
      <c r="GO151" s="501">
        <v>0.3</v>
      </c>
      <c r="GP151" s="501">
        <v>0.56999999999999995</v>
      </c>
      <c r="GQ151" s="501">
        <v>0.02</v>
      </c>
      <c r="GR151" s="501">
        <v>0.38</v>
      </c>
      <c r="GS151" s="501">
        <v>0.41</v>
      </c>
      <c r="GT151" s="501">
        <v>0.56000000000000005</v>
      </c>
      <c r="GU151" s="501">
        <v>0.14000000000000001</v>
      </c>
      <c r="GV151" s="501">
        <v>0.46</v>
      </c>
      <c r="GW151" s="501">
        <v>0.26</v>
      </c>
      <c r="GX151" s="501">
        <v>0.36</v>
      </c>
      <c r="GY151" s="471" t="s">
        <v>287</v>
      </c>
      <c r="GZ151" s="501">
        <v>0.2</v>
      </c>
      <c r="HA151" s="501">
        <v>0.67</v>
      </c>
      <c r="HB151" s="501">
        <v>0.33</v>
      </c>
      <c r="HC151" s="501">
        <v>0.44</v>
      </c>
      <c r="HD151" s="501">
        <v>0.43</v>
      </c>
      <c r="HE151" s="501">
        <v>0.27</v>
      </c>
      <c r="HF151" s="501">
        <v>0.35</v>
      </c>
      <c r="HG151" s="501">
        <v>0.64</v>
      </c>
      <c r="HH151" s="501">
        <v>0.23</v>
      </c>
      <c r="HI151" s="501">
        <v>0.42</v>
      </c>
      <c r="HJ151" s="501">
        <v>0.49</v>
      </c>
      <c r="HK151" s="501">
        <v>0.48</v>
      </c>
      <c r="HL151" s="501">
        <v>0.23</v>
      </c>
      <c r="HM151" s="501">
        <v>0.4</v>
      </c>
      <c r="HN151" s="501">
        <v>0.39</v>
      </c>
      <c r="HO151" s="501">
        <v>0.22</v>
      </c>
      <c r="HP151" s="471" t="s">
        <v>287</v>
      </c>
      <c r="HQ151" s="501">
        <v>0.36</v>
      </c>
      <c r="HR151" s="630">
        <v>57</v>
      </c>
      <c r="HS151" s="640" t="s">
        <v>910</v>
      </c>
      <c r="HT151" s="630">
        <v>7</v>
      </c>
      <c r="HU151" s="640" t="s">
        <v>910</v>
      </c>
      <c r="HV151" s="644">
        <v>0.01</v>
      </c>
      <c r="HW151" s="644">
        <v>0.41</v>
      </c>
      <c r="HX151" s="644">
        <v>0.55000000000000004</v>
      </c>
      <c r="HY151" s="644">
        <v>0.03</v>
      </c>
      <c r="HZ151" s="644">
        <v>0.23</v>
      </c>
      <c r="IA151" s="644">
        <v>0.52</v>
      </c>
      <c r="IB151" s="644">
        <v>0.28999999999999998</v>
      </c>
      <c r="IC151" s="644">
        <v>0.41</v>
      </c>
      <c r="ID151" s="644">
        <v>0.59</v>
      </c>
      <c r="IE151" s="644">
        <v>0.18</v>
      </c>
      <c r="IF151" s="644">
        <v>0.28000000000000003</v>
      </c>
      <c r="IG151" s="644">
        <v>0.5</v>
      </c>
      <c r="IH151" s="644">
        <v>0.45</v>
      </c>
      <c r="II151" s="644">
        <v>0.18</v>
      </c>
      <c r="IJ151" s="644">
        <v>0.15</v>
      </c>
      <c r="IK151" s="644">
        <v>0.43</v>
      </c>
      <c r="IL151" s="644">
        <v>0.22</v>
      </c>
      <c r="IM151" s="644">
        <v>0.51</v>
      </c>
      <c r="IN151" s="644">
        <v>0.36</v>
      </c>
      <c r="IO151" s="644">
        <v>0.41</v>
      </c>
      <c r="IP151" s="644">
        <v>0.28999999999999998</v>
      </c>
      <c r="IQ151" s="644">
        <v>0.56000000000000005</v>
      </c>
      <c r="IR151" s="644">
        <v>0.46</v>
      </c>
      <c r="IS151" s="644">
        <v>0.41</v>
      </c>
      <c r="IT151" s="644">
        <v>0.27</v>
      </c>
      <c r="IU151" s="640" t="s">
        <v>287</v>
      </c>
      <c r="IV151" s="644">
        <v>0.44</v>
      </c>
      <c r="IW151" s="644">
        <v>0.34</v>
      </c>
      <c r="IX151" s="644">
        <v>0.36</v>
      </c>
      <c r="IY151" s="644">
        <v>0.37</v>
      </c>
    </row>
    <row r="152" spans="1:259" ht="24.9" customHeight="1" x14ac:dyDescent="0.25">
      <c r="A152" s="188" t="s">
        <v>165</v>
      </c>
      <c r="B152" s="1" t="s">
        <v>222</v>
      </c>
      <c r="C152" s="2">
        <v>1</v>
      </c>
      <c r="D152" s="16">
        <v>54</v>
      </c>
      <c r="E152" s="16">
        <v>8</v>
      </c>
      <c r="F152" s="99">
        <v>0.05</v>
      </c>
      <c r="G152" s="99">
        <v>0.53</v>
      </c>
      <c r="H152" s="99">
        <v>0.42</v>
      </c>
      <c r="I152" s="99">
        <v>0</v>
      </c>
      <c r="J152" s="99">
        <v>0.18</v>
      </c>
      <c r="K152" s="99">
        <v>0.26</v>
      </c>
      <c r="L152" s="99">
        <v>0.77</v>
      </c>
      <c r="M152" s="99">
        <v>0.24</v>
      </c>
      <c r="N152" s="99">
        <v>0.3</v>
      </c>
      <c r="O152" s="99">
        <v>0.66</v>
      </c>
      <c r="P152" s="99">
        <v>0.43</v>
      </c>
      <c r="Q152" s="99">
        <v>0.36</v>
      </c>
      <c r="R152" s="99">
        <v>0.51</v>
      </c>
      <c r="S152" s="99">
        <v>0.59</v>
      </c>
      <c r="T152" s="99">
        <v>0.54</v>
      </c>
      <c r="U152" s="99">
        <v>0.69</v>
      </c>
      <c r="V152" s="99">
        <v>0</v>
      </c>
      <c r="W152" s="99">
        <v>0.21</v>
      </c>
      <c r="X152" s="99">
        <v>0.53</v>
      </c>
      <c r="Y152" s="99">
        <v>0.47</v>
      </c>
      <c r="Z152" s="13" t="s">
        <v>287</v>
      </c>
      <c r="AA152" s="99">
        <v>0.08</v>
      </c>
      <c r="AB152" s="99">
        <v>0.38</v>
      </c>
      <c r="AC152" s="99">
        <v>0.23</v>
      </c>
      <c r="AD152" s="99">
        <v>0.47</v>
      </c>
      <c r="AE152" s="99">
        <v>0.42</v>
      </c>
      <c r="AF152" s="99">
        <v>0.51</v>
      </c>
      <c r="AG152" s="99">
        <v>0.56999999999999995</v>
      </c>
      <c r="AH152" s="16">
        <v>54</v>
      </c>
      <c r="AI152" s="16">
        <v>7</v>
      </c>
      <c r="AJ152" s="66">
        <v>0</v>
      </c>
      <c r="AK152" s="66">
        <v>0.57999999999999996</v>
      </c>
      <c r="AL152" s="66">
        <v>0.42</v>
      </c>
      <c r="AM152" s="66">
        <v>0</v>
      </c>
      <c r="AN152" s="66">
        <v>0.21</v>
      </c>
      <c r="AO152" s="66">
        <v>0.5</v>
      </c>
      <c r="AP152" s="66">
        <v>0.53</v>
      </c>
      <c r="AQ152" s="66">
        <v>0.41</v>
      </c>
      <c r="AR152" s="66">
        <v>0.51</v>
      </c>
      <c r="AS152" s="66">
        <v>0.52</v>
      </c>
      <c r="AT152" s="66">
        <v>0.44</v>
      </c>
      <c r="AU152" s="66">
        <v>0.48</v>
      </c>
      <c r="AV152" s="66">
        <v>0.61</v>
      </c>
      <c r="AW152" s="66">
        <v>0.53</v>
      </c>
      <c r="AX152" s="66">
        <v>0.53</v>
      </c>
      <c r="AY152" s="66">
        <v>0.24</v>
      </c>
      <c r="AZ152" s="66">
        <v>0.27</v>
      </c>
      <c r="BA152" s="66">
        <v>0.42</v>
      </c>
      <c r="BB152" s="66">
        <v>0.77</v>
      </c>
      <c r="BC152" s="66">
        <v>0.67</v>
      </c>
      <c r="BD152" s="66">
        <v>0.43</v>
      </c>
      <c r="BE152" s="66">
        <v>0.76</v>
      </c>
      <c r="BF152" s="66">
        <v>0.69</v>
      </c>
      <c r="BG152" s="66">
        <v>0.46</v>
      </c>
      <c r="BH152" s="66">
        <v>0.36</v>
      </c>
      <c r="BI152" s="66">
        <v>0.34</v>
      </c>
      <c r="BJ152" s="66">
        <v>0.27</v>
      </c>
      <c r="BK152" s="66">
        <v>0.39</v>
      </c>
      <c r="BL152" s="66">
        <v>0.41</v>
      </c>
      <c r="BM152" s="16">
        <v>51</v>
      </c>
      <c r="BN152" s="16">
        <v>7</v>
      </c>
      <c r="BO152" s="99">
        <v>0.05</v>
      </c>
      <c r="BP152" s="99">
        <v>0.55000000000000004</v>
      </c>
      <c r="BQ152" s="99">
        <v>0.4</v>
      </c>
      <c r="BR152" s="99">
        <v>0</v>
      </c>
      <c r="BS152" s="99">
        <v>0.38</v>
      </c>
      <c r="BT152" s="99">
        <v>0.63</v>
      </c>
      <c r="BU152" s="99">
        <v>0.67</v>
      </c>
      <c r="BV152" s="99">
        <v>0.2</v>
      </c>
      <c r="BW152" s="99">
        <v>0.57999999999999996</v>
      </c>
      <c r="BX152" s="99">
        <v>0.36</v>
      </c>
      <c r="BY152" s="99">
        <v>0.53</v>
      </c>
      <c r="BZ152" s="99">
        <v>0.44</v>
      </c>
      <c r="CA152" s="99">
        <v>0.56000000000000005</v>
      </c>
      <c r="CB152" s="99">
        <v>0.28999999999999998</v>
      </c>
      <c r="CC152" s="99">
        <v>0</v>
      </c>
      <c r="CD152" s="99">
        <v>0.38</v>
      </c>
      <c r="CE152" s="99">
        <v>0.39</v>
      </c>
      <c r="CF152" s="99">
        <v>0.7</v>
      </c>
      <c r="CG152" s="99">
        <v>0.67</v>
      </c>
      <c r="CH152" s="99">
        <v>0.44</v>
      </c>
      <c r="CI152" s="99">
        <v>0.66</v>
      </c>
      <c r="CJ152" s="99">
        <v>0.38</v>
      </c>
      <c r="CK152" s="99">
        <v>0.53</v>
      </c>
      <c r="CL152" s="99">
        <v>0.24</v>
      </c>
      <c r="CM152" s="99">
        <v>0.48</v>
      </c>
      <c r="CN152" s="99">
        <v>0.52</v>
      </c>
      <c r="CO152" s="99">
        <v>0.44</v>
      </c>
      <c r="CP152" s="99">
        <v>0.38</v>
      </c>
      <c r="CQ152" s="99">
        <v>0.59</v>
      </c>
      <c r="CR152" s="99">
        <v>0.53</v>
      </c>
      <c r="CS152" s="16">
        <v>50</v>
      </c>
      <c r="CT152" s="16">
        <v>9</v>
      </c>
      <c r="CU152" s="96">
        <v>0.16</v>
      </c>
      <c r="CV152" s="96">
        <v>0.56000000000000005</v>
      </c>
      <c r="CW152" s="96">
        <v>0.28000000000000003</v>
      </c>
      <c r="CX152" s="96">
        <v>0</v>
      </c>
      <c r="CY152" s="96">
        <v>0.42</v>
      </c>
      <c r="CZ152" s="96">
        <v>0.28999999999999998</v>
      </c>
      <c r="DA152" s="96">
        <v>0.55000000000000004</v>
      </c>
      <c r="DB152" s="96">
        <v>0.28999999999999998</v>
      </c>
      <c r="DC152" s="96">
        <v>0.38</v>
      </c>
      <c r="DD152" s="96">
        <v>0.62</v>
      </c>
      <c r="DE152" s="96">
        <v>0.44</v>
      </c>
      <c r="DF152" s="96">
        <v>0.5</v>
      </c>
      <c r="DG152" s="96">
        <v>0.41</v>
      </c>
      <c r="DH152" s="96">
        <v>0.4</v>
      </c>
      <c r="DI152" s="96">
        <v>0.5</v>
      </c>
      <c r="DJ152" s="96">
        <v>0.57999999999999996</v>
      </c>
      <c r="DK152" s="96">
        <v>0.33</v>
      </c>
      <c r="DL152" s="96">
        <v>0.08</v>
      </c>
      <c r="DM152" s="96">
        <v>0.59</v>
      </c>
      <c r="DN152" s="96">
        <v>0.56000000000000005</v>
      </c>
      <c r="DO152" s="96">
        <v>0.48</v>
      </c>
      <c r="DP152" s="96">
        <v>0.38</v>
      </c>
      <c r="DQ152" s="96">
        <v>0.61</v>
      </c>
      <c r="DR152" s="96">
        <v>0.2</v>
      </c>
      <c r="DS152" s="96">
        <v>0.4</v>
      </c>
      <c r="DT152" s="96">
        <v>0.44</v>
      </c>
      <c r="DU152" s="96">
        <v>0.5</v>
      </c>
      <c r="DV152" s="96">
        <v>0.6</v>
      </c>
      <c r="DW152" s="96">
        <v>0.38</v>
      </c>
      <c r="DX152" s="61">
        <v>48</v>
      </c>
      <c r="DY152" s="61">
        <v>8</v>
      </c>
      <c r="DZ152" s="66">
        <v>0.2</v>
      </c>
      <c r="EA152" s="66">
        <v>0.61</v>
      </c>
      <c r="EB152" s="66">
        <v>0.18</v>
      </c>
      <c r="EC152" s="66">
        <v>0</v>
      </c>
      <c r="ED152" s="66">
        <v>0.56000000000000005</v>
      </c>
      <c r="EE152" s="66">
        <v>0.51</v>
      </c>
      <c r="EF152" s="66">
        <v>0.52</v>
      </c>
      <c r="EG152" s="66">
        <v>0.5</v>
      </c>
      <c r="EH152" s="66">
        <v>0.48</v>
      </c>
      <c r="EI152" s="66">
        <v>0.63</v>
      </c>
      <c r="EJ152" s="66">
        <v>0.64</v>
      </c>
      <c r="EK152" s="66">
        <v>0.17</v>
      </c>
      <c r="EL152" s="66">
        <v>0.45</v>
      </c>
      <c r="EM152" s="66">
        <v>0.56000000000000005</v>
      </c>
      <c r="EN152" s="66">
        <v>0.46</v>
      </c>
      <c r="EO152" s="66">
        <v>0.57999999999999996</v>
      </c>
      <c r="EP152" s="66">
        <v>0.46</v>
      </c>
      <c r="EQ152" s="66">
        <v>0.27</v>
      </c>
      <c r="ER152" s="66">
        <v>0.61</v>
      </c>
      <c r="ES152" s="66">
        <v>0.52</v>
      </c>
      <c r="ET152" s="66">
        <v>0.32</v>
      </c>
      <c r="EU152" s="66">
        <v>0.73</v>
      </c>
      <c r="EV152" s="66">
        <v>0.43</v>
      </c>
      <c r="EW152" s="66">
        <v>0.34</v>
      </c>
      <c r="EX152" s="66">
        <v>0.75</v>
      </c>
      <c r="EY152" s="66">
        <v>0.71</v>
      </c>
      <c r="EZ152" s="66">
        <v>0.22</v>
      </c>
      <c r="FA152" s="66">
        <v>0.5</v>
      </c>
      <c r="FB152" s="349">
        <v>48</v>
      </c>
      <c r="FC152" s="348" t="s">
        <v>910</v>
      </c>
      <c r="FD152" s="349">
        <v>8</v>
      </c>
      <c r="FE152" s="348" t="s">
        <v>910</v>
      </c>
      <c r="FF152" s="371">
        <v>0.11</v>
      </c>
      <c r="FG152" s="371">
        <v>0.71</v>
      </c>
      <c r="FH152" s="371">
        <v>0.18</v>
      </c>
      <c r="FI152" s="371">
        <v>0</v>
      </c>
      <c r="FJ152" s="371">
        <v>0.53</v>
      </c>
      <c r="FK152" s="371">
        <v>0.68</v>
      </c>
      <c r="FL152" s="371">
        <v>0.49</v>
      </c>
      <c r="FM152" s="371">
        <v>0.43</v>
      </c>
      <c r="FN152" s="371">
        <v>0.24</v>
      </c>
      <c r="FO152" s="371">
        <v>0.38</v>
      </c>
      <c r="FP152" s="371">
        <v>0.39</v>
      </c>
      <c r="FQ152" s="371">
        <v>0.42</v>
      </c>
      <c r="FR152" s="371">
        <v>0.59</v>
      </c>
      <c r="FS152" s="371">
        <v>0.65</v>
      </c>
      <c r="FT152" s="371">
        <v>0.49</v>
      </c>
      <c r="FU152" s="371">
        <v>0.47</v>
      </c>
      <c r="FV152" s="371">
        <v>0.68</v>
      </c>
      <c r="FW152" s="371">
        <v>0.55000000000000004</v>
      </c>
      <c r="FX152" s="371">
        <v>0.57999999999999996</v>
      </c>
      <c r="FY152" s="371">
        <v>0.42</v>
      </c>
      <c r="FZ152" s="371">
        <v>0.44</v>
      </c>
      <c r="GA152" s="371">
        <v>0.54</v>
      </c>
      <c r="GB152" s="371">
        <v>0.6</v>
      </c>
      <c r="GC152" s="371">
        <v>0.48</v>
      </c>
      <c r="GD152" s="371">
        <v>0.66</v>
      </c>
      <c r="GE152" s="371">
        <v>0.63</v>
      </c>
      <c r="GF152" s="371">
        <v>0.52</v>
      </c>
      <c r="GG152" s="371">
        <v>0.43</v>
      </c>
      <c r="GH152" s="371">
        <v>0.56000000000000005</v>
      </c>
      <c r="GI152" s="371">
        <v>0.38</v>
      </c>
      <c r="GJ152" s="469">
        <v>50</v>
      </c>
      <c r="GK152" s="471" t="s">
        <v>910</v>
      </c>
      <c r="GL152" s="469">
        <v>9</v>
      </c>
      <c r="GM152" s="471" t="s">
        <v>910</v>
      </c>
      <c r="GN152" s="501">
        <v>0.19</v>
      </c>
      <c r="GO152" s="501">
        <v>0.56000000000000005</v>
      </c>
      <c r="GP152" s="501">
        <v>0.23</v>
      </c>
      <c r="GQ152" s="501">
        <v>0.02</v>
      </c>
      <c r="GR152" s="501">
        <v>0.55000000000000004</v>
      </c>
      <c r="GS152" s="501">
        <v>0.54</v>
      </c>
      <c r="GT152" s="501">
        <v>0.56000000000000005</v>
      </c>
      <c r="GU152" s="501">
        <v>0.24</v>
      </c>
      <c r="GV152" s="501">
        <v>0.55000000000000004</v>
      </c>
      <c r="GW152" s="501">
        <v>0.6</v>
      </c>
      <c r="GX152" s="501">
        <v>0.5</v>
      </c>
      <c r="GY152" s="471" t="s">
        <v>287</v>
      </c>
      <c r="GZ152" s="501">
        <v>0.34</v>
      </c>
      <c r="HA152" s="501">
        <v>0.72</v>
      </c>
      <c r="HB152" s="501">
        <v>0.43</v>
      </c>
      <c r="HC152" s="501">
        <v>0.51</v>
      </c>
      <c r="HD152" s="501">
        <v>0.64</v>
      </c>
      <c r="HE152" s="501">
        <v>0.41</v>
      </c>
      <c r="HF152" s="501">
        <v>0.53</v>
      </c>
      <c r="HG152" s="501">
        <v>0.64</v>
      </c>
      <c r="HH152" s="501">
        <v>0.43</v>
      </c>
      <c r="HI152" s="501">
        <v>0.4</v>
      </c>
      <c r="HJ152" s="501">
        <v>0.65</v>
      </c>
      <c r="HK152" s="501">
        <v>0.51</v>
      </c>
      <c r="HL152" s="501">
        <v>0.41</v>
      </c>
      <c r="HM152" s="501">
        <v>0.56000000000000005</v>
      </c>
      <c r="HN152" s="501">
        <v>0.56000000000000005</v>
      </c>
      <c r="HO152" s="501">
        <v>0.46</v>
      </c>
      <c r="HP152" s="471" t="s">
        <v>287</v>
      </c>
      <c r="HQ152" s="501">
        <v>0.43</v>
      </c>
      <c r="HR152" s="630">
        <v>51</v>
      </c>
      <c r="HS152" s="640" t="s">
        <v>910</v>
      </c>
      <c r="HT152" s="630">
        <v>8</v>
      </c>
      <c r="HU152" s="640" t="s">
        <v>910</v>
      </c>
      <c r="HV152" s="644">
        <v>0.15</v>
      </c>
      <c r="HW152" s="644">
        <v>0.56000000000000005</v>
      </c>
      <c r="HX152" s="644">
        <v>0.28999999999999998</v>
      </c>
      <c r="HY152" s="644">
        <v>0</v>
      </c>
      <c r="HZ152" s="644">
        <v>0.37</v>
      </c>
      <c r="IA152" s="644">
        <v>0.54</v>
      </c>
      <c r="IB152" s="644">
        <v>0.31</v>
      </c>
      <c r="IC152" s="644">
        <v>0.53</v>
      </c>
      <c r="ID152" s="644">
        <v>0.56000000000000005</v>
      </c>
      <c r="IE152" s="644">
        <v>0.45</v>
      </c>
      <c r="IF152" s="644">
        <v>0.37</v>
      </c>
      <c r="IG152" s="644">
        <v>0.49</v>
      </c>
      <c r="IH152" s="644">
        <v>0.43</v>
      </c>
      <c r="II152" s="644">
        <v>0.27</v>
      </c>
      <c r="IJ152" s="644">
        <v>0.26</v>
      </c>
      <c r="IK152" s="644">
        <v>0.65</v>
      </c>
      <c r="IL152" s="644">
        <v>0.35</v>
      </c>
      <c r="IM152" s="644">
        <v>0.64</v>
      </c>
      <c r="IN152" s="644">
        <v>0.41</v>
      </c>
      <c r="IO152" s="644">
        <v>0.5</v>
      </c>
      <c r="IP152" s="644">
        <v>0.43</v>
      </c>
      <c r="IQ152" s="644">
        <v>0.65</v>
      </c>
      <c r="IR152" s="644">
        <v>0.53</v>
      </c>
      <c r="IS152" s="644">
        <v>0.62</v>
      </c>
      <c r="IT152" s="644">
        <v>0.46</v>
      </c>
      <c r="IU152" s="640" t="s">
        <v>287</v>
      </c>
      <c r="IV152" s="644">
        <v>0.7</v>
      </c>
      <c r="IW152" s="644">
        <v>0.51</v>
      </c>
      <c r="IX152" s="644">
        <v>0.47</v>
      </c>
      <c r="IY152" s="644">
        <v>0.54</v>
      </c>
    </row>
    <row r="153" spans="1:259" ht="24.9" customHeight="1" x14ac:dyDescent="0.25">
      <c r="A153" s="188" t="s">
        <v>230</v>
      </c>
      <c r="B153" s="1" t="s">
        <v>222</v>
      </c>
      <c r="C153" s="2">
        <v>6</v>
      </c>
      <c r="D153" s="13" t="s">
        <v>226</v>
      </c>
      <c r="E153" s="13" t="s">
        <v>226</v>
      </c>
      <c r="F153" s="13"/>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13"/>
      <c r="AF153" s="13"/>
      <c r="AG153" s="13"/>
      <c r="AH153" s="16">
        <v>51</v>
      </c>
      <c r="AI153" s="16">
        <v>13</v>
      </c>
      <c r="AJ153" s="66">
        <v>0.33</v>
      </c>
      <c r="AK153" s="66">
        <v>0.33</v>
      </c>
      <c r="AL153" s="66">
        <v>0.33</v>
      </c>
      <c r="AM153" s="66">
        <v>0</v>
      </c>
      <c r="AN153" s="66">
        <v>0.25</v>
      </c>
      <c r="AO153" s="66">
        <v>0.57999999999999996</v>
      </c>
      <c r="AP153" s="66">
        <v>0.25</v>
      </c>
      <c r="AQ153" s="66">
        <v>0.42</v>
      </c>
      <c r="AR153" s="66">
        <v>0.4</v>
      </c>
      <c r="AS153" s="66">
        <v>0.47</v>
      </c>
      <c r="AT153" s="66">
        <v>0.62</v>
      </c>
      <c r="AU153" s="66">
        <v>0.82</v>
      </c>
      <c r="AV153" s="66">
        <v>0.77</v>
      </c>
      <c r="AW153" s="66">
        <v>0.67</v>
      </c>
      <c r="AX153" s="66">
        <v>0.5</v>
      </c>
      <c r="AY153" s="66">
        <v>0.42</v>
      </c>
      <c r="AZ153" s="66">
        <v>0.63</v>
      </c>
      <c r="BA153" s="66">
        <v>0.45</v>
      </c>
      <c r="BB153" s="66">
        <v>0.62</v>
      </c>
      <c r="BC153" s="66">
        <v>0.73</v>
      </c>
      <c r="BD153" s="66">
        <v>0.44</v>
      </c>
      <c r="BE153" s="66">
        <v>0.6</v>
      </c>
      <c r="BF153" s="66">
        <v>1</v>
      </c>
      <c r="BG153" s="66">
        <v>0.6</v>
      </c>
      <c r="BH153" s="66">
        <v>0.46</v>
      </c>
      <c r="BI153" s="66">
        <v>0.38</v>
      </c>
      <c r="BJ153" s="66">
        <v>0.31</v>
      </c>
      <c r="BK153" s="66">
        <v>0.43</v>
      </c>
      <c r="BL153" s="66">
        <v>0.67</v>
      </c>
      <c r="BM153" s="16">
        <v>45</v>
      </c>
      <c r="BN153" s="16">
        <v>11</v>
      </c>
      <c r="BO153" s="99">
        <v>0.25</v>
      </c>
      <c r="BP153" s="99">
        <v>0.75</v>
      </c>
      <c r="BQ153" s="99">
        <v>0</v>
      </c>
      <c r="BR153" s="99">
        <v>0</v>
      </c>
      <c r="BS153" s="99">
        <v>0.33</v>
      </c>
      <c r="BT153" s="99">
        <v>0.5</v>
      </c>
      <c r="BU153" s="99">
        <v>0.75</v>
      </c>
      <c r="BV153" s="99">
        <v>0</v>
      </c>
      <c r="BW153" s="99">
        <v>0.4</v>
      </c>
      <c r="BX153" s="99">
        <v>0.43</v>
      </c>
      <c r="BY153" s="99">
        <v>0.5</v>
      </c>
      <c r="BZ153" s="99">
        <v>0.6</v>
      </c>
      <c r="CA153" s="99">
        <v>0.8</v>
      </c>
      <c r="CB153" s="99">
        <v>0.28999999999999998</v>
      </c>
      <c r="CC153" s="99">
        <v>0.44</v>
      </c>
      <c r="CD153" s="99">
        <v>0.73</v>
      </c>
      <c r="CE153" s="99">
        <v>0.33</v>
      </c>
      <c r="CF153" s="99">
        <v>0.56999999999999995</v>
      </c>
      <c r="CG153" s="99">
        <v>0.86</v>
      </c>
      <c r="CH153" s="99">
        <v>0.4</v>
      </c>
      <c r="CI153" s="99">
        <v>0.82</v>
      </c>
      <c r="CJ153" s="99">
        <v>0.67</v>
      </c>
      <c r="CK153" s="99">
        <v>0.64</v>
      </c>
      <c r="CL153" s="99">
        <v>0.71</v>
      </c>
      <c r="CM153" s="99">
        <v>0.56999999999999995</v>
      </c>
      <c r="CN153" s="99">
        <v>0.73</v>
      </c>
      <c r="CO153" s="99">
        <v>0.5</v>
      </c>
      <c r="CP153" s="99">
        <v>0.33</v>
      </c>
      <c r="CQ153" s="99">
        <v>0.64</v>
      </c>
      <c r="CR153" s="99">
        <v>0.83</v>
      </c>
      <c r="CS153" s="16">
        <v>45</v>
      </c>
      <c r="CT153" s="16">
        <v>1</v>
      </c>
      <c r="CU153" s="96">
        <v>0</v>
      </c>
      <c r="CV153" s="96">
        <v>1</v>
      </c>
      <c r="CW153" s="96">
        <v>0</v>
      </c>
      <c r="CX153" s="96">
        <v>0</v>
      </c>
      <c r="CY153" s="96">
        <v>0.5</v>
      </c>
      <c r="CZ153" s="96">
        <v>0.5</v>
      </c>
      <c r="DA153" s="96">
        <v>1</v>
      </c>
      <c r="DB153" s="96">
        <v>0.75</v>
      </c>
      <c r="DC153" s="96">
        <v>0.8</v>
      </c>
      <c r="DD153" s="96">
        <v>0.33</v>
      </c>
      <c r="DE153" s="96">
        <v>0.67</v>
      </c>
      <c r="DF153" s="96">
        <v>0.71</v>
      </c>
      <c r="DG153" s="96">
        <v>0</v>
      </c>
      <c r="DH153" s="96">
        <v>0.67</v>
      </c>
      <c r="DI153" s="96">
        <v>0.67</v>
      </c>
      <c r="DJ153" s="96">
        <v>0.75</v>
      </c>
      <c r="DK153" s="96">
        <v>0.5</v>
      </c>
      <c r="DL153" s="96">
        <v>1</v>
      </c>
      <c r="DM153" s="96">
        <v>0.67</v>
      </c>
      <c r="DN153" s="96">
        <v>0.75</v>
      </c>
      <c r="DO153" s="96">
        <v>0.5</v>
      </c>
      <c r="DP153" s="96">
        <v>0.5</v>
      </c>
      <c r="DQ153" s="96">
        <v>0.44</v>
      </c>
      <c r="DR153" s="96">
        <v>0</v>
      </c>
      <c r="DS153" s="96">
        <v>0.25</v>
      </c>
      <c r="DT153" s="96">
        <v>0.75</v>
      </c>
      <c r="DU153" s="96">
        <v>0</v>
      </c>
      <c r="DV153" s="96">
        <v>1</v>
      </c>
      <c r="DW153" s="96">
        <v>0</v>
      </c>
      <c r="DX153" s="61">
        <v>36</v>
      </c>
      <c r="DY153" s="61">
        <v>7</v>
      </c>
      <c r="DZ153" s="66">
        <v>0.5</v>
      </c>
      <c r="EA153" s="66">
        <v>0.5</v>
      </c>
      <c r="EB153" s="66">
        <v>0</v>
      </c>
      <c r="EC153" s="66">
        <v>0</v>
      </c>
      <c r="ED153" s="66">
        <v>0.75</v>
      </c>
      <c r="EE153" s="66">
        <v>0.4</v>
      </c>
      <c r="EF153" s="66">
        <v>0.75</v>
      </c>
      <c r="EG153" s="66">
        <v>1</v>
      </c>
      <c r="EH153" s="66">
        <v>0.67</v>
      </c>
      <c r="EI153" s="66">
        <v>1</v>
      </c>
      <c r="EJ153" s="66">
        <v>0.5</v>
      </c>
      <c r="EK153" s="66">
        <v>0.5</v>
      </c>
      <c r="EL153" s="66">
        <v>0.75</v>
      </c>
      <c r="EM153" s="66">
        <v>1</v>
      </c>
      <c r="EN153" s="66">
        <v>0.67</v>
      </c>
      <c r="EO153" s="66">
        <v>0.4</v>
      </c>
      <c r="EP153" s="66">
        <v>1</v>
      </c>
      <c r="EQ153" s="66">
        <v>1</v>
      </c>
      <c r="ER153" s="66">
        <v>1</v>
      </c>
      <c r="ES153" s="66">
        <v>0.8</v>
      </c>
      <c r="ET153" s="66">
        <v>0.67</v>
      </c>
      <c r="EU153" s="66">
        <v>0.5</v>
      </c>
      <c r="EV153" s="66">
        <v>0</v>
      </c>
      <c r="EW153" s="66">
        <v>0.67</v>
      </c>
      <c r="EX153" s="61" t="s">
        <v>287</v>
      </c>
      <c r="EY153" s="66">
        <v>1</v>
      </c>
      <c r="EZ153" s="66">
        <v>0</v>
      </c>
      <c r="FA153" s="66">
        <v>1</v>
      </c>
    </row>
    <row r="154" spans="1:259" ht="24.9" customHeight="1" x14ac:dyDescent="0.25">
      <c r="A154" s="188" t="s">
        <v>212</v>
      </c>
      <c r="B154" s="1" t="s">
        <v>222</v>
      </c>
      <c r="C154" s="2">
        <v>3</v>
      </c>
      <c r="D154" s="16">
        <v>55</v>
      </c>
      <c r="E154" s="16">
        <v>9</v>
      </c>
      <c r="F154" s="99">
        <v>0.06</v>
      </c>
      <c r="G154" s="99">
        <v>0.5</v>
      </c>
      <c r="H154" s="99">
        <v>0.44</v>
      </c>
      <c r="I154" s="99">
        <v>0</v>
      </c>
      <c r="J154" s="99">
        <v>0.31</v>
      </c>
      <c r="K154" s="99">
        <v>0.5</v>
      </c>
      <c r="L154" s="99">
        <v>0.78</v>
      </c>
      <c r="M154" s="99">
        <v>0.23</v>
      </c>
      <c r="N154" s="99">
        <v>0.24</v>
      </c>
      <c r="O154" s="99">
        <v>0.59</v>
      </c>
      <c r="P154" s="99">
        <v>0.34</v>
      </c>
      <c r="Q154" s="99">
        <v>0.41</v>
      </c>
      <c r="R154" s="99">
        <v>0.49</v>
      </c>
      <c r="S154" s="99">
        <v>0.7</v>
      </c>
      <c r="T154" s="99">
        <v>0.5</v>
      </c>
      <c r="U154" s="99">
        <v>0.56000000000000005</v>
      </c>
      <c r="V154" s="99">
        <v>0.05</v>
      </c>
      <c r="W154" s="99">
        <v>0.17</v>
      </c>
      <c r="X154" s="99">
        <v>0.53</v>
      </c>
      <c r="Y154" s="99">
        <v>0.36</v>
      </c>
      <c r="Z154" s="13" t="s">
        <v>287</v>
      </c>
      <c r="AA154" s="99">
        <v>0</v>
      </c>
      <c r="AB154" s="99">
        <v>0.45</v>
      </c>
      <c r="AC154" s="99">
        <v>0.28999999999999998</v>
      </c>
      <c r="AD154" s="99">
        <v>0.43</v>
      </c>
      <c r="AE154" s="99">
        <v>0.54</v>
      </c>
      <c r="AF154" s="99">
        <v>0.41</v>
      </c>
      <c r="AG154" s="99">
        <v>0.51</v>
      </c>
      <c r="AH154" s="16">
        <v>49</v>
      </c>
      <c r="AI154" s="16">
        <v>6</v>
      </c>
      <c r="AJ154" s="66">
        <v>7.0000000000000007E-2</v>
      </c>
      <c r="AK154" s="66">
        <v>0.87</v>
      </c>
      <c r="AL154" s="66">
        <v>7.0000000000000007E-2</v>
      </c>
      <c r="AM154" s="66">
        <v>0</v>
      </c>
      <c r="AN154" s="66">
        <v>0.28999999999999998</v>
      </c>
      <c r="AO154" s="66">
        <v>0.55000000000000004</v>
      </c>
      <c r="AP154" s="66">
        <v>0.69</v>
      </c>
      <c r="AQ154" s="66">
        <v>0.38</v>
      </c>
      <c r="AR154" s="66">
        <v>0.71</v>
      </c>
      <c r="AS154" s="66">
        <v>0.55000000000000004</v>
      </c>
      <c r="AT154" s="66">
        <v>0.62</v>
      </c>
      <c r="AU154" s="66">
        <v>0.61</v>
      </c>
      <c r="AV154" s="66">
        <v>0.69</v>
      </c>
      <c r="AW154" s="66">
        <v>1</v>
      </c>
      <c r="AX154" s="66">
        <v>0.69</v>
      </c>
      <c r="AY154" s="66">
        <v>0.36</v>
      </c>
      <c r="AZ154" s="66">
        <v>0.26</v>
      </c>
      <c r="BA154" s="66">
        <v>0.46</v>
      </c>
      <c r="BB154" s="66">
        <v>0.68</v>
      </c>
      <c r="BC154" s="66">
        <v>0.67</v>
      </c>
      <c r="BD154" s="66">
        <v>0.45</v>
      </c>
      <c r="BE154" s="66">
        <v>0.67</v>
      </c>
      <c r="BF154" s="66">
        <v>1</v>
      </c>
      <c r="BG154" s="66">
        <v>0.54</v>
      </c>
      <c r="BH154" s="66">
        <v>0.55000000000000004</v>
      </c>
      <c r="BI154" s="66">
        <v>0.35</v>
      </c>
      <c r="BJ154" s="66">
        <v>0.36</v>
      </c>
      <c r="BK154" s="66">
        <v>0.6</v>
      </c>
      <c r="BL154" s="66">
        <v>0.63</v>
      </c>
      <c r="BM154" s="16">
        <v>50</v>
      </c>
      <c r="BN154" s="16">
        <v>9</v>
      </c>
      <c r="BO154" s="99">
        <v>0.13</v>
      </c>
      <c r="BP154" s="99">
        <v>0.56000000000000005</v>
      </c>
      <c r="BQ154" s="99">
        <v>0.31</v>
      </c>
      <c r="BR154" s="99">
        <v>0</v>
      </c>
      <c r="BS154" s="99">
        <v>0.3</v>
      </c>
      <c r="BT154" s="99">
        <v>0.78</v>
      </c>
      <c r="BU154" s="99">
        <v>0.73</v>
      </c>
      <c r="BV154" s="99">
        <v>0.31</v>
      </c>
      <c r="BW154" s="99">
        <v>0.6</v>
      </c>
      <c r="BX154" s="99">
        <v>0.32</v>
      </c>
      <c r="BY154" s="99">
        <v>0.42</v>
      </c>
      <c r="BZ154" s="99">
        <v>0.49</v>
      </c>
      <c r="CA154" s="99">
        <v>0.39</v>
      </c>
      <c r="CB154" s="99">
        <v>0.48</v>
      </c>
      <c r="CC154" s="99">
        <v>0.31</v>
      </c>
      <c r="CD154" s="99">
        <v>0.53</v>
      </c>
      <c r="CE154" s="99">
        <v>0.3</v>
      </c>
      <c r="CF154" s="99">
        <v>0.53</v>
      </c>
      <c r="CG154" s="99">
        <v>0.61</v>
      </c>
      <c r="CH154" s="99">
        <v>0.38</v>
      </c>
      <c r="CI154" s="99">
        <v>0.49</v>
      </c>
      <c r="CJ154" s="99">
        <v>0.54</v>
      </c>
      <c r="CK154" s="99">
        <v>0.68</v>
      </c>
      <c r="CL154" s="99">
        <v>0.23</v>
      </c>
      <c r="CM154" s="99">
        <v>0.44</v>
      </c>
      <c r="CN154" s="99">
        <v>0.43</v>
      </c>
      <c r="CO154" s="99">
        <v>0.48</v>
      </c>
      <c r="CP154" s="99">
        <v>0.48</v>
      </c>
      <c r="CQ154" s="99">
        <v>0.6</v>
      </c>
      <c r="CR154" s="99">
        <v>0.65</v>
      </c>
      <c r="CS154" s="16">
        <v>52</v>
      </c>
      <c r="CT154" s="16">
        <v>7</v>
      </c>
      <c r="CU154" s="96">
        <v>0.05</v>
      </c>
      <c r="CV154" s="96">
        <v>0.6</v>
      </c>
      <c r="CW154" s="96">
        <v>0.35</v>
      </c>
      <c r="CX154" s="96">
        <v>0</v>
      </c>
      <c r="CY154" s="96">
        <v>0.45</v>
      </c>
      <c r="CZ154" s="96">
        <v>0.34</v>
      </c>
      <c r="DA154" s="96">
        <v>0.6</v>
      </c>
      <c r="DB154" s="96">
        <v>0.31</v>
      </c>
      <c r="DC154" s="96">
        <v>0.38</v>
      </c>
      <c r="DD154" s="96">
        <v>0.62</v>
      </c>
      <c r="DE154" s="96">
        <v>0.39</v>
      </c>
      <c r="DF154" s="96">
        <v>0.51</v>
      </c>
      <c r="DG154" s="96">
        <v>0.39</v>
      </c>
      <c r="DH154" s="96">
        <v>0.3</v>
      </c>
      <c r="DI154" s="96">
        <v>0.4</v>
      </c>
      <c r="DJ154" s="96">
        <v>0.43</v>
      </c>
      <c r="DK154" s="96">
        <v>0.3</v>
      </c>
      <c r="DL154" s="96">
        <v>0.33</v>
      </c>
      <c r="DM154" s="96">
        <v>0.47</v>
      </c>
      <c r="DN154" s="96">
        <v>0.38</v>
      </c>
      <c r="DO154" s="96">
        <v>0.43</v>
      </c>
      <c r="DP154" s="96">
        <v>0.4</v>
      </c>
      <c r="DQ154" s="96">
        <v>0.56000000000000005</v>
      </c>
      <c r="DR154" s="96">
        <v>0.2</v>
      </c>
      <c r="DS154" s="96">
        <v>0.44</v>
      </c>
      <c r="DT154" s="96">
        <v>0.5</v>
      </c>
      <c r="DU154" s="96">
        <v>0.62</v>
      </c>
      <c r="DV154" s="96">
        <v>0.6</v>
      </c>
      <c r="DW154" s="96">
        <v>0.26</v>
      </c>
      <c r="DX154" s="61">
        <v>51</v>
      </c>
      <c r="DY154" s="61">
        <v>9</v>
      </c>
      <c r="DZ154" s="66">
        <v>0.12</v>
      </c>
      <c r="EA154" s="66">
        <v>0.54</v>
      </c>
      <c r="EB154" s="66">
        <v>0.35</v>
      </c>
      <c r="EC154" s="66">
        <v>0</v>
      </c>
      <c r="ED154" s="66">
        <v>0.38</v>
      </c>
      <c r="EE154" s="66">
        <v>0.45</v>
      </c>
      <c r="EF154" s="66">
        <v>0.51</v>
      </c>
      <c r="EG154" s="66">
        <v>0.21</v>
      </c>
      <c r="EH154" s="66">
        <v>0.48</v>
      </c>
      <c r="EI154" s="66">
        <v>0.51</v>
      </c>
      <c r="EJ154" s="66">
        <v>0.53</v>
      </c>
      <c r="EK154" s="66">
        <v>0.33</v>
      </c>
      <c r="EL154" s="66">
        <v>0.43</v>
      </c>
      <c r="EM154" s="66">
        <v>0.56999999999999995</v>
      </c>
      <c r="EN154" s="66">
        <v>0.44</v>
      </c>
      <c r="EO154" s="66">
        <v>0.65</v>
      </c>
      <c r="EP154" s="66">
        <v>0.35</v>
      </c>
      <c r="EQ154" s="66">
        <v>0.18</v>
      </c>
      <c r="ER154" s="66">
        <v>0.52</v>
      </c>
      <c r="ES154" s="66">
        <v>0.43</v>
      </c>
      <c r="ET154" s="66">
        <v>0.26</v>
      </c>
      <c r="EU154" s="66">
        <v>0.39</v>
      </c>
      <c r="EV154" s="66">
        <v>0.36</v>
      </c>
      <c r="EW154" s="66">
        <v>0.37</v>
      </c>
      <c r="EX154" s="66">
        <v>0.5</v>
      </c>
      <c r="EY154" s="66">
        <v>0.62</v>
      </c>
      <c r="EZ154" s="66">
        <v>7.0000000000000007E-2</v>
      </c>
      <c r="FA154" s="66">
        <v>0.64</v>
      </c>
      <c r="FB154" s="349">
        <v>50</v>
      </c>
      <c r="FC154" s="348" t="s">
        <v>910</v>
      </c>
      <c r="FD154" s="349">
        <v>8</v>
      </c>
      <c r="FE154" s="348" t="s">
        <v>910</v>
      </c>
      <c r="FF154" s="371">
        <v>0.12</v>
      </c>
      <c r="FG154" s="371">
        <v>0.72</v>
      </c>
      <c r="FH154" s="371">
        <v>0.16</v>
      </c>
      <c r="FI154" s="371">
        <v>0</v>
      </c>
      <c r="FJ154" s="371">
        <v>0.46</v>
      </c>
      <c r="FK154" s="371">
        <v>0.66</v>
      </c>
      <c r="FL154" s="371">
        <v>0.63</v>
      </c>
      <c r="FM154" s="371">
        <v>0.45</v>
      </c>
      <c r="FN154" s="371">
        <v>0.19</v>
      </c>
      <c r="FO154" s="371">
        <v>0.35</v>
      </c>
      <c r="FP154" s="371">
        <v>0.41</v>
      </c>
      <c r="FQ154" s="371">
        <v>0.43</v>
      </c>
      <c r="FR154" s="371">
        <v>0.68</v>
      </c>
      <c r="FS154" s="371">
        <v>0.5</v>
      </c>
      <c r="FT154" s="371">
        <v>0.45</v>
      </c>
      <c r="FU154" s="371">
        <v>0.28999999999999998</v>
      </c>
      <c r="FV154" s="371">
        <v>0.42</v>
      </c>
      <c r="FW154" s="371">
        <v>0.68</v>
      </c>
      <c r="FX154" s="371">
        <v>0.41</v>
      </c>
      <c r="FY154" s="371">
        <v>0.28999999999999998</v>
      </c>
      <c r="FZ154" s="371">
        <v>0.32</v>
      </c>
      <c r="GA154" s="371">
        <v>0.41</v>
      </c>
      <c r="GB154" s="371">
        <v>0.45</v>
      </c>
      <c r="GC154" s="371">
        <v>0.45</v>
      </c>
      <c r="GD154" s="371">
        <v>0.67</v>
      </c>
      <c r="GE154" s="371">
        <v>0.61</v>
      </c>
      <c r="GF154" s="371">
        <v>0.48</v>
      </c>
      <c r="GG154" s="371">
        <v>0.48</v>
      </c>
      <c r="GH154" s="371">
        <v>0.46</v>
      </c>
      <c r="GI154" s="371">
        <v>0.2</v>
      </c>
      <c r="GJ154" s="469">
        <v>47</v>
      </c>
      <c r="GK154" s="471" t="s">
        <v>910</v>
      </c>
      <c r="GL154" s="469">
        <v>9</v>
      </c>
      <c r="GM154" s="471" t="s">
        <v>910</v>
      </c>
      <c r="GN154" s="501">
        <v>0.18</v>
      </c>
      <c r="GO154" s="501">
        <v>0.56999999999999995</v>
      </c>
      <c r="GP154" s="501">
        <v>0.25</v>
      </c>
      <c r="GQ154" s="501">
        <v>0</v>
      </c>
      <c r="GR154" s="501">
        <v>0.51</v>
      </c>
      <c r="GS154" s="501">
        <v>0.52</v>
      </c>
      <c r="GT154" s="501">
        <v>0.71</v>
      </c>
      <c r="GU154" s="501">
        <v>0.53</v>
      </c>
      <c r="GV154" s="501">
        <v>0.57999999999999996</v>
      </c>
      <c r="GW154" s="501">
        <v>0.45</v>
      </c>
      <c r="GX154" s="501">
        <v>0.54</v>
      </c>
      <c r="GY154" s="471" t="s">
        <v>287</v>
      </c>
      <c r="GZ154" s="501">
        <v>0.24</v>
      </c>
      <c r="HA154" s="501">
        <v>0.67</v>
      </c>
      <c r="HB154" s="501">
        <v>0.47</v>
      </c>
      <c r="HC154" s="501">
        <v>0.62</v>
      </c>
      <c r="HD154" s="501">
        <v>0.55000000000000004</v>
      </c>
      <c r="HE154" s="501">
        <v>0.57999999999999996</v>
      </c>
      <c r="HF154" s="501">
        <v>0.61</v>
      </c>
      <c r="HG154" s="501">
        <v>0.77</v>
      </c>
      <c r="HH154" s="501">
        <v>0.51</v>
      </c>
      <c r="HI154" s="501">
        <v>0.57999999999999996</v>
      </c>
      <c r="HJ154" s="501">
        <v>0.68</v>
      </c>
      <c r="HK154" s="501">
        <v>0.67</v>
      </c>
      <c r="HL154" s="501">
        <v>0.47</v>
      </c>
      <c r="HM154" s="501">
        <v>0.53</v>
      </c>
      <c r="HN154" s="501">
        <v>0.46</v>
      </c>
      <c r="HO154" s="501">
        <v>0.51</v>
      </c>
      <c r="HP154" s="471" t="s">
        <v>287</v>
      </c>
      <c r="HQ154" s="501">
        <v>0.56999999999999995</v>
      </c>
      <c r="HR154" s="630">
        <v>52</v>
      </c>
      <c r="HS154" s="640" t="s">
        <v>910</v>
      </c>
      <c r="HT154" s="630">
        <v>7</v>
      </c>
      <c r="HU154" s="640" t="s">
        <v>910</v>
      </c>
      <c r="HV154" s="644">
        <v>0.12</v>
      </c>
      <c r="HW154" s="644">
        <v>0.62</v>
      </c>
      <c r="HX154" s="644">
        <v>0.27</v>
      </c>
      <c r="HY154" s="644">
        <v>0</v>
      </c>
      <c r="HZ154" s="644">
        <v>0.35</v>
      </c>
      <c r="IA154" s="644">
        <v>0.5</v>
      </c>
      <c r="IB154" s="644">
        <v>0.2</v>
      </c>
      <c r="IC154" s="644">
        <v>0.47</v>
      </c>
      <c r="ID154" s="644">
        <v>0.59</v>
      </c>
      <c r="IE154" s="644">
        <v>0.34</v>
      </c>
      <c r="IF154" s="644">
        <v>0.46</v>
      </c>
      <c r="IG154" s="644">
        <v>0.47</v>
      </c>
      <c r="IH154" s="644">
        <v>0.61</v>
      </c>
      <c r="II154" s="644">
        <v>0.31</v>
      </c>
      <c r="IJ154" s="644">
        <v>0.27</v>
      </c>
      <c r="IK154" s="644">
        <v>0.56000000000000005</v>
      </c>
      <c r="IL154" s="644">
        <v>0.3</v>
      </c>
      <c r="IM154" s="644">
        <v>0.54</v>
      </c>
      <c r="IN154" s="644">
        <v>0.51</v>
      </c>
      <c r="IO154" s="644">
        <v>0.5</v>
      </c>
      <c r="IP154" s="644">
        <v>0.44</v>
      </c>
      <c r="IQ154" s="644">
        <v>0.69</v>
      </c>
      <c r="IR154" s="644">
        <v>0.63</v>
      </c>
      <c r="IS154" s="644">
        <v>0.56999999999999995</v>
      </c>
      <c r="IT154" s="644">
        <v>0.44</v>
      </c>
      <c r="IU154" s="640" t="s">
        <v>287</v>
      </c>
      <c r="IV154" s="644">
        <v>0.65</v>
      </c>
      <c r="IW154" s="644">
        <v>0.43</v>
      </c>
      <c r="IX154" s="644">
        <v>0.51</v>
      </c>
      <c r="IY154" s="644">
        <v>0.51</v>
      </c>
    </row>
    <row r="155" spans="1:259" ht="24.9" customHeight="1" x14ac:dyDescent="0.25">
      <c r="A155" s="188" t="s">
        <v>57</v>
      </c>
      <c r="B155" s="1" t="s">
        <v>222</v>
      </c>
      <c r="C155" s="2">
        <v>3</v>
      </c>
      <c r="D155" s="16">
        <v>52</v>
      </c>
      <c r="E155" s="16">
        <v>8</v>
      </c>
      <c r="F155" s="99">
        <v>7.0000000000000007E-2</v>
      </c>
      <c r="G155" s="99">
        <v>0.59</v>
      </c>
      <c r="H155" s="99">
        <v>0.34</v>
      </c>
      <c r="I155" s="99">
        <v>0</v>
      </c>
      <c r="J155" s="99">
        <v>0.36</v>
      </c>
      <c r="K155" s="99">
        <v>0.39</v>
      </c>
      <c r="L155" s="99">
        <v>0.8</v>
      </c>
      <c r="M155" s="99">
        <v>0.18</v>
      </c>
      <c r="N155" s="99">
        <v>0.36</v>
      </c>
      <c r="O155" s="99">
        <v>0.66</v>
      </c>
      <c r="P155" s="99">
        <v>0.37</v>
      </c>
      <c r="Q155" s="99">
        <v>0.41</v>
      </c>
      <c r="R155" s="99">
        <v>0.56999999999999995</v>
      </c>
      <c r="S155" s="99">
        <v>0.67</v>
      </c>
      <c r="T155" s="99">
        <v>0.61</v>
      </c>
      <c r="U155" s="99">
        <v>0.64</v>
      </c>
      <c r="V155" s="99">
        <v>0.11</v>
      </c>
      <c r="W155" s="99">
        <v>0.21</v>
      </c>
      <c r="X155" s="99">
        <v>0.52</v>
      </c>
      <c r="Y155" s="99">
        <v>0.59</v>
      </c>
      <c r="Z155" s="13" t="s">
        <v>287</v>
      </c>
      <c r="AA155" s="99">
        <v>0.1</v>
      </c>
      <c r="AB155" s="99">
        <v>0.51</v>
      </c>
      <c r="AC155" s="99">
        <v>0.33</v>
      </c>
      <c r="AD155" s="99">
        <v>0.48</v>
      </c>
      <c r="AE155" s="99">
        <v>0.44</v>
      </c>
      <c r="AF155" s="99">
        <v>0.48</v>
      </c>
      <c r="AG155" s="99">
        <v>0.56999999999999995</v>
      </c>
      <c r="AH155" s="16">
        <v>52</v>
      </c>
      <c r="AI155" s="16">
        <v>8</v>
      </c>
      <c r="AJ155" s="66">
        <v>0.08</v>
      </c>
      <c r="AK155" s="66">
        <v>0.5</v>
      </c>
      <c r="AL155" s="66">
        <v>0.42</v>
      </c>
      <c r="AM155" s="66">
        <v>0</v>
      </c>
      <c r="AN155" s="66">
        <v>0.14000000000000001</v>
      </c>
      <c r="AO155" s="66">
        <v>0.41</v>
      </c>
      <c r="AP155" s="66">
        <v>0.51</v>
      </c>
      <c r="AQ155" s="66">
        <v>0.44</v>
      </c>
      <c r="AR155" s="66">
        <v>0.57999999999999996</v>
      </c>
      <c r="AS155" s="66">
        <v>0.57999999999999996</v>
      </c>
      <c r="AT155" s="66">
        <v>0.51</v>
      </c>
      <c r="AU155" s="66">
        <v>0.61</v>
      </c>
      <c r="AV155" s="66">
        <v>0.7</v>
      </c>
      <c r="AW155" s="66">
        <v>0.38</v>
      </c>
      <c r="AX155" s="66">
        <v>0.54</v>
      </c>
      <c r="AY155" s="66">
        <v>0.33</v>
      </c>
      <c r="AZ155" s="66">
        <v>0.41</v>
      </c>
      <c r="BA155" s="66">
        <v>0.52</v>
      </c>
      <c r="BB155" s="66">
        <v>0.68</v>
      </c>
      <c r="BC155" s="66">
        <v>0.67</v>
      </c>
      <c r="BD155" s="66">
        <v>0.34</v>
      </c>
      <c r="BE155" s="66">
        <v>0.7</v>
      </c>
      <c r="BF155" s="66">
        <v>0.57999999999999996</v>
      </c>
      <c r="BG155" s="66">
        <v>0.53</v>
      </c>
      <c r="BH155" s="66">
        <v>0.4</v>
      </c>
      <c r="BI155" s="66">
        <v>0.35</v>
      </c>
      <c r="BJ155" s="66">
        <v>0.4</v>
      </c>
      <c r="BK155" s="66">
        <v>0.42</v>
      </c>
      <c r="BL155" s="66">
        <v>0.33</v>
      </c>
      <c r="BM155" s="16">
        <v>48</v>
      </c>
      <c r="BN155" s="16">
        <v>7</v>
      </c>
      <c r="BO155" s="99">
        <v>0.15</v>
      </c>
      <c r="BP155" s="99">
        <v>0.65</v>
      </c>
      <c r="BQ155" s="99">
        <v>0.21</v>
      </c>
      <c r="BR155" s="99">
        <v>0</v>
      </c>
      <c r="BS155" s="99">
        <v>0.51</v>
      </c>
      <c r="BT155" s="99">
        <v>0.52</v>
      </c>
      <c r="BU155" s="99">
        <v>0.74</v>
      </c>
      <c r="BV155" s="99">
        <v>0.23</v>
      </c>
      <c r="BW155" s="99">
        <v>0.74</v>
      </c>
      <c r="BX155" s="99">
        <v>0.47</v>
      </c>
      <c r="BY155" s="99">
        <v>0.47</v>
      </c>
      <c r="BZ155" s="99">
        <v>0.6</v>
      </c>
      <c r="CA155" s="99">
        <v>0.4</v>
      </c>
      <c r="CB155" s="99">
        <v>0.4</v>
      </c>
      <c r="CC155" s="99">
        <v>0.16</v>
      </c>
      <c r="CD155" s="99">
        <v>0.42</v>
      </c>
      <c r="CE155" s="99">
        <v>0.39</v>
      </c>
      <c r="CF155" s="99">
        <v>0.54</v>
      </c>
      <c r="CG155" s="99">
        <v>0.71</v>
      </c>
      <c r="CH155" s="99">
        <v>0.55000000000000004</v>
      </c>
      <c r="CI155" s="99">
        <v>0.59</v>
      </c>
      <c r="CJ155" s="99">
        <v>0.42</v>
      </c>
      <c r="CK155" s="99">
        <v>0.7</v>
      </c>
      <c r="CL155" s="99">
        <v>0.28999999999999998</v>
      </c>
      <c r="CM155" s="99">
        <v>0.52</v>
      </c>
      <c r="CN155" s="99">
        <v>0.5</v>
      </c>
      <c r="CO155" s="99">
        <v>0.53</v>
      </c>
      <c r="CP155" s="99">
        <v>0.51</v>
      </c>
      <c r="CQ155" s="99">
        <v>0.47</v>
      </c>
      <c r="CR155" s="99">
        <v>0.6</v>
      </c>
      <c r="CS155" s="16">
        <v>49</v>
      </c>
      <c r="CT155" s="16">
        <v>9</v>
      </c>
      <c r="CU155" s="96">
        <v>0.11</v>
      </c>
      <c r="CV155" s="96">
        <v>0.67</v>
      </c>
      <c r="CW155" s="96">
        <v>0.22</v>
      </c>
      <c r="CX155" s="96">
        <v>0</v>
      </c>
      <c r="CY155" s="96">
        <v>0.5</v>
      </c>
      <c r="CZ155" s="96">
        <v>0.36</v>
      </c>
      <c r="DA155" s="96">
        <v>0.57999999999999996</v>
      </c>
      <c r="DB155" s="96">
        <v>0.45</v>
      </c>
      <c r="DC155" s="96">
        <v>0.5</v>
      </c>
      <c r="DD155" s="96">
        <v>0.63</v>
      </c>
      <c r="DE155" s="96">
        <v>0.45</v>
      </c>
      <c r="DF155" s="96">
        <v>0.49</v>
      </c>
      <c r="DG155" s="96">
        <v>0.45</v>
      </c>
      <c r="DH155" s="96">
        <v>0.28999999999999998</v>
      </c>
      <c r="DI155" s="96">
        <v>0.42</v>
      </c>
      <c r="DJ155" s="96">
        <v>0.49</v>
      </c>
      <c r="DK155" s="96">
        <v>0.4</v>
      </c>
      <c r="DL155" s="96">
        <v>0.39</v>
      </c>
      <c r="DM155" s="96">
        <v>0.45</v>
      </c>
      <c r="DN155" s="96">
        <v>0.46</v>
      </c>
      <c r="DO155" s="96">
        <v>0.39</v>
      </c>
      <c r="DP155" s="96">
        <v>0.5</v>
      </c>
      <c r="DQ155" s="96">
        <v>0.63</v>
      </c>
      <c r="DR155" s="96">
        <v>0.23</v>
      </c>
      <c r="DS155" s="96">
        <v>0.42</v>
      </c>
      <c r="DT155" s="96">
        <v>0.65</v>
      </c>
      <c r="DU155" s="96">
        <v>0.39</v>
      </c>
      <c r="DV155" s="96">
        <v>0.63</v>
      </c>
      <c r="DW155" s="96">
        <v>0.3</v>
      </c>
      <c r="DX155" s="61">
        <v>48</v>
      </c>
      <c r="DY155" s="61">
        <v>7</v>
      </c>
      <c r="DZ155" s="66">
        <v>0.21</v>
      </c>
      <c r="EA155" s="66">
        <v>0.63</v>
      </c>
      <c r="EB155" s="66">
        <v>0.17</v>
      </c>
      <c r="EC155" s="66">
        <v>0</v>
      </c>
      <c r="ED155" s="66">
        <v>0.43</v>
      </c>
      <c r="EE155" s="66">
        <v>0.47</v>
      </c>
      <c r="EF155" s="66">
        <v>0.63</v>
      </c>
      <c r="EG155" s="66">
        <v>0.33</v>
      </c>
      <c r="EH155" s="66">
        <v>0.38</v>
      </c>
      <c r="EI155" s="66">
        <v>0.55000000000000004</v>
      </c>
      <c r="EJ155" s="66">
        <v>0.66</v>
      </c>
      <c r="EK155" s="66">
        <v>0.22</v>
      </c>
      <c r="EL155" s="66">
        <v>0.49</v>
      </c>
      <c r="EM155" s="66">
        <v>0.64</v>
      </c>
      <c r="EN155" s="66">
        <v>0.5</v>
      </c>
      <c r="EO155" s="66">
        <v>0.59</v>
      </c>
      <c r="EP155" s="66">
        <v>0.3</v>
      </c>
      <c r="EQ155" s="66">
        <v>0.26</v>
      </c>
      <c r="ER155" s="66">
        <v>0.65</v>
      </c>
      <c r="ES155" s="66">
        <v>0.51</v>
      </c>
      <c r="ET155" s="66">
        <v>0.32</v>
      </c>
      <c r="EU155" s="66">
        <v>0.75</v>
      </c>
      <c r="EV155" s="66">
        <v>0.64</v>
      </c>
      <c r="EW155" s="66">
        <v>0.38</v>
      </c>
      <c r="EX155" s="66">
        <v>0.79</v>
      </c>
      <c r="EY155" s="66">
        <v>0.64</v>
      </c>
      <c r="EZ155" s="66">
        <v>0.17</v>
      </c>
      <c r="FA155" s="66">
        <v>0.73</v>
      </c>
      <c r="FB155" s="349">
        <v>48</v>
      </c>
      <c r="FC155" s="348" t="s">
        <v>910</v>
      </c>
      <c r="FD155" s="349">
        <v>9</v>
      </c>
      <c r="FE155" s="348" t="s">
        <v>910</v>
      </c>
      <c r="FF155" s="371">
        <v>0.21</v>
      </c>
      <c r="FG155" s="371">
        <v>0.56999999999999995</v>
      </c>
      <c r="FH155" s="371">
        <v>0.21</v>
      </c>
      <c r="FI155" s="371">
        <v>0</v>
      </c>
      <c r="FJ155" s="371">
        <v>0.39</v>
      </c>
      <c r="FK155" s="371">
        <v>0.71</v>
      </c>
      <c r="FL155" s="371">
        <v>0.51</v>
      </c>
      <c r="FM155" s="371">
        <v>0.41</v>
      </c>
      <c r="FN155" s="371">
        <v>0.28000000000000003</v>
      </c>
      <c r="FO155" s="371">
        <v>0.42</v>
      </c>
      <c r="FP155" s="371">
        <v>0.44</v>
      </c>
      <c r="FQ155" s="371">
        <v>0.43</v>
      </c>
      <c r="FR155" s="371">
        <v>0.66</v>
      </c>
      <c r="FS155" s="371">
        <v>0.49</v>
      </c>
      <c r="FT155" s="371">
        <v>0.68</v>
      </c>
      <c r="FU155" s="371">
        <v>0.5</v>
      </c>
      <c r="FV155" s="371">
        <v>0.63</v>
      </c>
      <c r="FW155" s="371">
        <v>0.62</v>
      </c>
      <c r="FX155" s="371">
        <v>0.47</v>
      </c>
      <c r="FY155" s="371">
        <v>0.43</v>
      </c>
      <c r="FZ155" s="371">
        <v>0.45</v>
      </c>
      <c r="GA155" s="371">
        <v>0.56999999999999995</v>
      </c>
      <c r="GB155" s="371">
        <v>0.56000000000000005</v>
      </c>
      <c r="GC155" s="371">
        <v>0.49</v>
      </c>
      <c r="GD155" s="371">
        <v>0.57999999999999996</v>
      </c>
      <c r="GE155" s="371">
        <v>0.56000000000000005</v>
      </c>
      <c r="GF155" s="371">
        <v>0.52</v>
      </c>
      <c r="GG155" s="371">
        <v>0.45</v>
      </c>
      <c r="GH155" s="371">
        <v>0.61</v>
      </c>
      <c r="GI155" s="371">
        <v>0.31</v>
      </c>
      <c r="GJ155" s="469">
        <v>51</v>
      </c>
      <c r="GK155" s="471" t="s">
        <v>910</v>
      </c>
      <c r="GL155" s="469">
        <v>9</v>
      </c>
      <c r="GM155" s="471" t="s">
        <v>910</v>
      </c>
      <c r="GN155" s="501">
        <v>0.11</v>
      </c>
      <c r="GO155" s="501">
        <v>0.5</v>
      </c>
      <c r="GP155" s="501">
        <v>0.39</v>
      </c>
      <c r="GQ155" s="501">
        <v>0</v>
      </c>
      <c r="GR155" s="501">
        <v>0.56999999999999995</v>
      </c>
      <c r="GS155" s="501">
        <v>0.63</v>
      </c>
      <c r="GT155" s="501">
        <v>0.63</v>
      </c>
      <c r="GU155" s="501">
        <v>0.15</v>
      </c>
      <c r="GV155" s="501">
        <v>0.48</v>
      </c>
      <c r="GW155" s="501">
        <v>0.63</v>
      </c>
      <c r="GX155" s="501">
        <v>0.46</v>
      </c>
      <c r="GY155" s="471" t="s">
        <v>287</v>
      </c>
      <c r="GZ155" s="501">
        <v>0.35</v>
      </c>
      <c r="HA155" s="501">
        <v>0.63</v>
      </c>
      <c r="HB155" s="501">
        <v>0.5</v>
      </c>
      <c r="HC155" s="501">
        <v>0.49</v>
      </c>
      <c r="HD155" s="501">
        <v>0.51</v>
      </c>
      <c r="HE155" s="501">
        <v>0.41</v>
      </c>
      <c r="HF155" s="501">
        <v>0.49</v>
      </c>
      <c r="HG155" s="501">
        <v>0.71</v>
      </c>
      <c r="HH155" s="501">
        <v>0.38</v>
      </c>
      <c r="HI155" s="501">
        <v>0.56000000000000005</v>
      </c>
      <c r="HJ155" s="501">
        <v>0.6</v>
      </c>
      <c r="HK155" s="501">
        <v>0.54</v>
      </c>
      <c r="HL155" s="501">
        <v>0.45</v>
      </c>
      <c r="HM155" s="501">
        <v>0.46</v>
      </c>
      <c r="HN155" s="501">
        <v>0.48</v>
      </c>
      <c r="HO155" s="501">
        <v>0.34</v>
      </c>
      <c r="HP155" s="471" t="s">
        <v>287</v>
      </c>
      <c r="HQ155" s="501">
        <v>0.41</v>
      </c>
      <c r="HR155" s="630">
        <v>49</v>
      </c>
      <c r="HS155" s="640" t="s">
        <v>910</v>
      </c>
      <c r="HT155" s="630">
        <v>10</v>
      </c>
      <c r="HU155" s="640" t="s">
        <v>910</v>
      </c>
      <c r="HV155" s="644">
        <v>0.24</v>
      </c>
      <c r="HW155" s="644">
        <v>0.53</v>
      </c>
      <c r="HX155" s="644">
        <v>0.24</v>
      </c>
      <c r="HY155" s="644">
        <v>0</v>
      </c>
      <c r="HZ155" s="644">
        <v>0.51</v>
      </c>
      <c r="IA155" s="644">
        <v>0.55000000000000004</v>
      </c>
      <c r="IB155" s="644">
        <v>0.3</v>
      </c>
      <c r="IC155" s="644">
        <v>0.57999999999999996</v>
      </c>
      <c r="ID155" s="644">
        <v>0.63</v>
      </c>
      <c r="IE155" s="644">
        <v>0.43</v>
      </c>
      <c r="IF155" s="644">
        <v>0.44</v>
      </c>
      <c r="IG155" s="644">
        <v>0.65</v>
      </c>
      <c r="IH155" s="644">
        <v>0.61</v>
      </c>
      <c r="II155" s="644">
        <v>0.33</v>
      </c>
      <c r="IJ155" s="644">
        <v>0.35</v>
      </c>
      <c r="IK155" s="644">
        <v>0.62</v>
      </c>
      <c r="IL155" s="644">
        <v>0.43</v>
      </c>
      <c r="IM155" s="644">
        <v>0.67</v>
      </c>
      <c r="IN155" s="644">
        <v>0.42</v>
      </c>
      <c r="IO155" s="644">
        <v>0.59</v>
      </c>
      <c r="IP155" s="644">
        <v>0.43</v>
      </c>
      <c r="IQ155" s="644">
        <v>0.75</v>
      </c>
      <c r="IR155" s="644">
        <v>0.54</v>
      </c>
      <c r="IS155" s="644">
        <v>0.46</v>
      </c>
      <c r="IT155" s="644">
        <v>0.36</v>
      </c>
      <c r="IU155" s="640" t="s">
        <v>287</v>
      </c>
      <c r="IV155" s="644">
        <v>0.59</v>
      </c>
      <c r="IW155" s="644">
        <v>0.41</v>
      </c>
      <c r="IX155" s="644">
        <v>0.47</v>
      </c>
      <c r="IY155" s="644">
        <v>0.55000000000000004</v>
      </c>
    </row>
    <row r="156" spans="1:259" ht="24.9" customHeight="1" x14ac:dyDescent="0.25">
      <c r="A156" s="188" t="s">
        <v>196</v>
      </c>
      <c r="B156" s="1" t="s">
        <v>222</v>
      </c>
      <c r="C156" s="2">
        <v>5</v>
      </c>
      <c r="D156" s="16">
        <v>60</v>
      </c>
      <c r="E156" s="16">
        <v>5</v>
      </c>
      <c r="F156" s="99">
        <v>0</v>
      </c>
      <c r="G156" s="99">
        <v>0.2</v>
      </c>
      <c r="H156" s="99">
        <v>0.8</v>
      </c>
      <c r="I156" s="99">
        <v>0</v>
      </c>
      <c r="J156" s="99">
        <v>0.23</v>
      </c>
      <c r="K156" s="99">
        <v>0.18</v>
      </c>
      <c r="L156" s="99">
        <v>0.7</v>
      </c>
      <c r="M156" s="99">
        <v>0.05</v>
      </c>
      <c r="N156" s="99">
        <v>0.2</v>
      </c>
      <c r="O156" s="99">
        <v>0.68</v>
      </c>
      <c r="P156" s="99">
        <v>0.24</v>
      </c>
      <c r="Q156" s="99">
        <v>0.26</v>
      </c>
      <c r="R156" s="99">
        <v>0.51</v>
      </c>
      <c r="S156" s="99">
        <v>0.54</v>
      </c>
      <c r="T156" s="99">
        <v>0.35</v>
      </c>
      <c r="U156" s="99">
        <v>0.35</v>
      </c>
      <c r="V156" s="99">
        <v>0</v>
      </c>
      <c r="W156" s="99">
        <v>0</v>
      </c>
      <c r="X156" s="99">
        <v>0.35</v>
      </c>
      <c r="Y156" s="99">
        <v>0.39</v>
      </c>
      <c r="Z156" s="99">
        <v>1</v>
      </c>
      <c r="AA156" s="99">
        <v>0</v>
      </c>
      <c r="AB156" s="99">
        <v>0.28999999999999998</v>
      </c>
      <c r="AC156" s="99">
        <v>0.08</v>
      </c>
      <c r="AD156" s="99">
        <v>0.27</v>
      </c>
      <c r="AE156" s="99">
        <v>0.35</v>
      </c>
      <c r="AF156" s="99">
        <v>0.47</v>
      </c>
      <c r="AG156" s="99">
        <v>0.45</v>
      </c>
      <c r="AH156" s="16">
        <v>59</v>
      </c>
      <c r="AI156" s="16">
        <v>9</v>
      </c>
      <c r="AJ156" s="66">
        <v>0.12</v>
      </c>
      <c r="AK156" s="66">
        <v>0.12</v>
      </c>
      <c r="AL156" s="66">
        <v>0.76</v>
      </c>
      <c r="AM156" s="66">
        <v>0</v>
      </c>
      <c r="AN156" s="66">
        <v>0.05</v>
      </c>
      <c r="AO156" s="66">
        <v>0.41</v>
      </c>
      <c r="AP156" s="66">
        <v>0.24</v>
      </c>
      <c r="AQ156" s="66">
        <v>0.23</v>
      </c>
      <c r="AR156" s="66">
        <v>0.42</v>
      </c>
      <c r="AS156" s="66">
        <v>0.39</v>
      </c>
      <c r="AT156" s="66">
        <v>0.53</v>
      </c>
      <c r="AU156" s="66">
        <v>0.53</v>
      </c>
      <c r="AV156" s="66">
        <v>0.22</v>
      </c>
      <c r="AW156" s="66">
        <v>0.56999999999999995</v>
      </c>
      <c r="AX156" s="66">
        <v>0.17</v>
      </c>
      <c r="AY156" s="66">
        <v>0.22</v>
      </c>
      <c r="AZ156" s="66">
        <v>0.14000000000000001</v>
      </c>
      <c r="BA156" s="66">
        <v>0.28000000000000003</v>
      </c>
      <c r="BB156" s="66">
        <v>0.66</v>
      </c>
      <c r="BC156" s="66">
        <v>0.35</v>
      </c>
      <c r="BD156" s="66">
        <v>0.34</v>
      </c>
      <c r="BE156" s="66">
        <v>0.5</v>
      </c>
      <c r="BF156" s="66">
        <v>0.63</v>
      </c>
      <c r="BG156" s="66">
        <v>0.31</v>
      </c>
      <c r="BH156" s="66">
        <v>0.31</v>
      </c>
      <c r="BI156" s="66">
        <v>0.33</v>
      </c>
      <c r="BJ156" s="66">
        <v>0.43</v>
      </c>
      <c r="BK156" s="66">
        <v>0.25</v>
      </c>
      <c r="BL156" s="66">
        <v>0.44</v>
      </c>
      <c r="BM156" s="16">
        <v>63</v>
      </c>
      <c r="BN156" s="16">
        <v>11</v>
      </c>
      <c r="BO156" s="99">
        <v>0</v>
      </c>
      <c r="BP156" s="99">
        <v>0.26</v>
      </c>
      <c r="BQ156" s="99">
        <v>0.57999999999999996</v>
      </c>
      <c r="BR156" s="99">
        <v>0.16</v>
      </c>
      <c r="BS156" s="99">
        <v>0.16</v>
      </c>
      <c r="BT156" s="99">
        <v>0.27</v>
      </c>
      <c r="BU156" s="99">
        <v>0.27</v>
      </c>
      <c r="BV156" s="99">
        <v>0.18</v>
      </c>
      <c r="BW156" s="99">
        <v>0.5</v>
      </c>
      <c r="BX156" s="99">
        <v>0.16</v>
      </c>
      <c r="BY156" s="99">
        <v>0.17</v>
      </c>
      <c r="BZ156" s="99">
        <v>0.4</v>
      </c>
      <c r="CA156" s="99">
        <v>0.45</v>
      </c>
      <c r="CB156" s="99">
        <v>0.14000000000000001</v>
      </c>
      <c r="CC156" s="99">
        <v>0.13</v>
      </c>
      <c r="CD156" s="99">
        <v>0.22</v>
      </c>
      <c r="CE156" s="99">
        <v>0.15</v>
      </c>
      <c r="CF156" s="99">
        <v>0.53</v>
      </c>
      <c r="CG156" s="99">
        <v>0.41</v>
      </c>
      <c r="CH156" s="99">
        <v>0.27</v>
      </c>
      <c r="CI156" s="99">
        <v>0.35</v>
      </c>
      <c r="CJ156" s="99">
        <v>0.11</v>
      </c>
      <c r="CK156" s="99">
        <v>0.36</v>
      </c>
      <c r="CL156" s="99">
        <v>7.0000000000000007E-2</v>
      </c>
      <c r="CM156" s="99">
        <v>0.31</v>
      </c>
      <c r="CN156" s="99">
        <v>0.12</v>
      </c>
      <c r="CO156" s="99">
        <v>0.16</v>
      </c>
      <c r="CP156" s="99">
        <v>0.17</v>
      </c>
      <c r="CQ156" s="99">
        <v>0.31</v>
      </c>
      <c r="CR156" s="99">
        <v>0.23</v>
      </c>
      <c r="CS156" s="16">
        <v>59</v>
      </c>
      <c r="CT156" s="16">
        <v>8</v>
      </c>
      <c r="CU156" s="96">
        <v>0</v>
      </c>
      <c r="CV156" s="96">
        <v>0.33</v>
      </c>
      <c r="CW156" s="96">
        <v>0.54</v>
      </c>
      <c r="CX156" s="96">
        <v>0.13</v>
      </c>
      <c r="CY156" s="96">
        <v>0.42</v>
      </c>
      <c r="CZ156" s="96">
        <v>0.12</v>
      </c>
      <c r="DA156" s="96">
        <v>0.31</v>
      </c>
      <c r="DB156" s="96">
        <v>0.17</v>
      </c>
      <c r="DC156" s="96">
        <v>0.37</v>
      </c>
      <c r="DD156" s="96">
        <v>0.47</v>
      </c>
      <c r="DE156" s="96">
        <v>0.45</v>
      </c>
      <c r="DF156" s="96">
        <v>0.32</v>
      </c>
      <c r="DG156" s="96">
        <v>0.38</v>
      </c>
      <c r="DH156" s="96">
        <v>0.23</v>
      </c>
      <c r="DI156" s="96">
        <v>0.26</v>
      </c>
      <c r="DJ156" s="96">
        <v>0.22</v>
      </c>
      <c r="DK156" s="96">
        <v>0.25</v>
      </c>
      <c r="DL156" s="96">
        <v>0.13</v>
      </c>
      <c r="DM156" s="96">
        <v>0.27</v>
      </c>
      <c r="DN156" s="96">
        <v>0.38</v>
      </c>
      <c r="DO156" s="96">
        <v>0.48</v>
      </c>
      <c r="DP156" s="96">
        <v>0.2</v>
      </c>
      <c r="DQ156" s="96">
        <v>0.4</v>
      </c>
      <c r="DR156" s="96">
        <v>0.04</v>
      </c>
      <c r="DS156" s="96">
        <v>0.24</v>
      </c>
      <c r="DT156" s="96">
        <v>0.39</v>
      </c>
      <c r="DU156" s="96">
        <v>0.28999999999999998</v>
      </c>
      <c r="DV156" s="96">
        <v>0.56999999999999995</v>
      </c>
      <c r="DW156" s="96">
        <v>0.15</v>
      </c>
      <c r="DX156" s="61">
        <v>57</v>
      </c>
      <c r="DY156" s="61">
        <v>7</v>
      </c>
      <c r="DZ156" s="66">
        <v>0</v>
      </c>
      <c r="EA156" s="66">
        <v>0.34</v>
      </c>
      <c r="EB156" s="66">
        <v>0.63</v>
      </c>
      <c r="EC156" s="66">
        <v>0.03</v>
      </c>
      <c r="ED156" s="66">
        <v>0.39</v>
      </c>
      <c r="EE156" s="66">
        <v>0.36</v>
      </c>
      <c r="EF156" s="66">
        <v>0.33</v>
      </c>
      <c r="EG156" s="66">
        <v>0.17</v>
      </c>
      <c r="EH156" s="66">
        <v>0.28000000000000003</v>
      </c>
      <c r="EI156" s="66">
        <v>0.43</v>
      </c>
      <c r="EJ156" s="66">
        <v>0.42</v>
      </c>
      <c r="EK156" s="66">
        <v>0.21</v>
      </c>
      <c r="EL156" s="66">
        <v>0.31</v>
      </c>
      <c r="EM156" s="66">
        <v>0.74</v>
      </c>
      <c r="EN156" s="66">
        <v>0.26</v>
      </c>
      <c r="EO156" s="66">
        <v>0.45</v>
      </c>
      <c r="EP156" s="66">
        <v>0.22</v>
      </c>
      <c r="EQ156" s="66">
        <v>0.08</v>
      </c>
      <c r="ER156" s="66">
        <v>0.5</v>
      </c>
      <c r="ES156" s="66">
        <v>0.26</v>
      </c>
      <c r="ET156" s="66">
        <v>0.2</v>
      </c>
      <c r="EU156" s="66">
        <v>0.54</v>
      </c>
      <c r="EV156" s="66">
        <v>7.0000000000000007E-2</v>
      </c>
      <c r="EW156" s="66">
        <v>0.11</v>
      </c>
      <c r="EX156" s="66">
        <v>0.88</v>
      </c>
      <c r="EY156" s="66">
        <v>0.41</v>
      </c>
      <c r="EZ156" s="66">
        <v>0.13</v>
      </c>
      <c r="FA156" s="66">
        <v>0.34</v>
      </c>
      <c r="FB156" s="349">
        <v>59</v>
      </c>
      <c r="FC156" s="348" t="s">
        <v>911</v>
      </c>
      <c r="FD156" s="349">
        <v>8</v>
      </c>
      <c r="FE156" s="348" t="s">
        <v>910</v>
      </c>
      <c r="FF156" s="371">
        <v>0</v>
      </c>
      <c r="FG156" s="371">
        <v>0.27</v>
      </c>
      <c r="FH156" s="371">
        <v>0.65</v>
      </c>
      <c r="FI156" s="371">
        <v>0.08</v>
      </c>
      <c r="FJ156" s="371">
        <v>0.26</v>
      </c>
      <c r="FK156" s="371">
        <v>0.52</v>
      </c>
      <c r="FL156" s="371">
        <v>0.32</v>
      </c>
      <c r="FM156" s="371">
        <v>0.15</v>
      </c>
      <c r="FN156" s="371">
        <v>0.14000000000000001</v>
      </c>
      <c r="FO156" s="371">
        <v>0.11</v>
      </c>
      <c r="FP156" s="371">
        <v>0.21</v>
      </c>
      <c r="FQ156" s="371">
        <v>0.23</v>
      </c>
      <c r="FR156" s="371">
        <v>0.4</v>
      </c>
      <c r="FS156" s="371">
        <v>0.31</v>
      </c>
      <c r="FT156" s="371">
        <v>0.31</v>
      </c>
      <c r="FU156" s="371">
        <v>0.24</v>
      </c>
      <c r="FV156" s="371">
        <v>0.38</v>
      </c>
      <c r="FW156" s="371">
        <v>0.35</v>
      </c>
      <c r="FX156" s="371">
        <v>0.26</v>
      </c>
      <c r="FY156" s="371">
        <v>0.24</v>
      </c>
      <c r="FZ156" s="371">
        <v>0.26</v>
      </c>
      <c r="GA156" s="371">
        <v>0.38</v>
      </c>
      <c r="GB156" s="371">
        <v>0.37</v>
      </c>
      <c r="GC156" s="371">
        <v>0.36</v>
      </c>
      <c r="GD156" s="371">
        <v>0.37</v>
      </c>
      <c r="GE156" s="371">
        <v>0.35</v>
      </c>
      <c r="GF156" s="371">
        <v>0.35</v>
      </c>
      <c r="GG156" s="371">
        <v>0.21</v>
      </c>
      <c r="GH156" s="371">
        <v>0.32</v>
      </c>
      <c r="GI156" s="371">
        <v>0.13</v>
      </c>
      <c r="GJ156" s="469">
        <v>57</v>
      </c>
      <c r="GK156" s="471" t="s">
        <v>910</v>
      </c>
      <c r="GL156" s="469">
        <v>10</v>
      </c>
      <c r="GM156" s="471" t="s">
        <v>910</v>
      </c>
      <c r="GN156" s="501">
        <v>0.09</v>
      </c>
      <c r="GO156" s="501">
        <v>0.32</v>
      </c>
      <c r="GP156" s="501">
        <v>0.55000000000000004</v>
      </c>
      <c r="GQ156" s="501">
        <v>0.05</v>
      </c>
      <c r="GR156" s="501">
        <v>0.42</v>
      </c>
      <c r="GS156" s="501">
        <v>0.37</v>
      </c>
      <c r="GT156" s="501">
        <v>0.49</v>
      </c>
      <c r="GU156" s="501">
        <v>0.15</v>
      </c>
      <c r="GV156" s="501">
        <v>0.56999999999999995</v>
      </c>
      <c r="GW156" s="501">
        <v>0.26</v>
      </c>
      <c r="GX156" s="501">
        <v>0.46</v>
      </c>
      <c r="GY156" s="471" t="s">
        <v>287</v>
      </c>
      <c r="GZ156" s="501">
        <v>0.14000000000000001</v>
      </c>
      <c r="HA156" s="501">
        <v>0.75</v>
      </c>
      <c r="HB156" s="501">
        <v>0.35</v>
      </c>
      <c r="HC156" s="501">
        <v>0.41</v>
      </c>
      <c r="HD156" s="501">
        <v>0.39</v>
      </c>
      <c r="HE156" s="501">
        <v>0.33</v>
      </c>
      <c r="HF156" s="501">
        <v>0.32</v>
      </c>
      <c r="HG156" s="501">
        <v>0.56999999999999995</v>
      </c>
      <c r="HH156" s="501">
        <v>0.28000000000000003</v>
      </c>
      <c r="HI156" s="501">
        <v>0.27</v>
      </c>
      <c r="HJ156" s="501">
        <v>0.51</v>
      </c>
      <c r="HK156" s="501">
        <v>0.53</v>
      </c>
      <c r="HL156" s="501">
        <v>0.26</v>
      </c>
      <c r="HM156" s="501">
        <v>0.54</v>
      </c>
      <c r="HN156" s="501">
        <v>0.28999999999999998</v>
      </c>
      <c r="HO156" s="501">
        <v>0.4</v>
      </c>
      <c r="HP156" s="471" t="s">
        <v>287</v>
      </c>
      <c r="HQ156" s="501">
        <v>0.17</v>
      </c>
      <c r="HR156" s="630">
        <v>62</v>
      </c>
      <c r="HS156" s="640" t="s">
        <v>911</v>
      </c>
      <c r="HT156" s="630">
        <v>6</v>
      </c>
      <c r="HU156" s="640" t="s">
        <v>910</v>
      </c>
      <c r="HV156" s="644">
        <v>0</v>
      </c>
      <c r="HW156" s="644">
        <v>0.12</v>
      </c>
      <c r="HX156" s="644">
        <v>0.76</v>
      </c>
      <c r="HY156" s="644">
        <v>0.12</v>
      </c>
      <c r="HZ156" s="644">
        <v>0.26</v>
      </c>
      <c r="IA156" s="644">
        <v>0.28999999999999998</v>
      </c>
      <c r="IB156" s="644">
        <v>0.25</v>
      </c>
      <c r="IC156" s="644">
        <v>0.34</v>
      </c>
      <c r="ID156" s="644">
        <v>0.45</v>
      </c>
      <c r="IE156" s="644">
        <v>0.11</v>
      </c>
      <c r="IF156" s="644">
        <v>0.2</v>
      </c>
      <c r="IG156" s="644">
        <v>0.26</v>
      </c>
      <c r="IH156" s="644">
        <v>0.37</v>
      </c>
      <c r="II156" s="644">
        <v>0</v>
      </c>
      <c r="IJ156" s="644">
        <v>0.05</v>
      </c>
      <c r="IK156" s="644">
        <v>0.37</v>
      </c>
      <c r="IL156" s="644">
        <v>0.22</v>
      </c>
      <c r="IM156" s="644">
        <v>0.49</v>
      </c>
      <c r="IN156" s="644">
        <v>0.24</v>
      </c>
      <c r="IO156" s="644">
        <v>0.48</v>
      </c>
      <c r="IP156" s="644">
        <v>0.26</v>
      </c>
      <c r="IQ156" s="644">
        <v>0.57999999999999996</v>
      </c>
      <c r="IR156" s="644">
        <v>0.35</v>
      </c>
      <c r="IS156" s="644">
        <v>0.12</v>
      </c>
      <c r="IT156" s="644">
        <v>0.26</v>
      </c>
      <c r="IU156" s="640" t="s">
        <v>287</v>
      </c>
      <c r="IV156" s="644">
        <v>0.45</v>
      </c>
      <c r="IW156" s="644">
        <v>0.18</v>
      </c>
      <c r="IX156" s="644">
        <v>0.19</v>
      </c>
      <c r="IY156" s="644">
        <v>0.26</v>
      </c>
    </row>
    <row r="157" spans="1:259" ht="24.9" customHeight="1" x14ac:dyDescent="0.25">
      <c r="A157" s="188" t="s">
        <v>19</v>
      </c>
      <c r="B157" s="1" t="s">
        <v>222</v>
      </c>
      <c r="C157" s="2">
        <v>5</v>
      </c>
      <c r="D157" s="16">
        <v>59</v>
      </c>
      <c r="E157" s="16">
        <v>7</v>
      </c>
      <c r="F157" s="99">
        <v>0</v>
      </c>
      <c r="G157" s="99">
        <v>0.32</v>
      </c>
      <c r="H157" s="99">
        <v>0.65</v>
      </c>
      <c r="I157" s="99">
        <v>0.03</v>
      </c>
      <c r="J157" s="99">
        <v>0.22</v>
      </c>
      <c r="K157" s="99">
        <v>0.18</v>
      </c>
      <c r="L157" s="99">
        <v>0.56999999999999995</v>
      </c>
      <c r="M157" s="99">
        <v>0.08</v>
      </c>
      <c r="N157" s="99">
        <v>0.18</v>
      </c>
      <c r="O157" s="99">
        <v>0.5</v>
      </c>
      <c r="P157" s="99">
        <v>0.24</v>
      </c>
      <c r="Q157" s="99">
        <v>0.23</v>
      </c>
      <c r="R157" s="99">
        <v>0.43</v>
      </c>
      <c r="S157" s="99">
        <v>0.48</v>
      </c>
      <c r="T157" s="99">
        <v>0.42</v>
      </c>
      <c r="U157" s="99">
        <v>0.36</v>
      </c>
      <c r="V157" s="99">
        <v>0</v>
      </c>
      <c r="W157" s="99">
        <v>0.1</v>
      </c>
      <c r="X157" s="99">
        <v>0.34</v>
      </c>
      <c r="Y157" s="99">
        <v>0.39</v>
      </c>
      <c r="Z157" s="99">
        <v>1</v>
      </c>
      <c r="AA157" s="99">
        <v>0.03</v>
      </c>
      <c r="AB157" s="99">
        <v>0.41</v>
      </c>
      <c r="AC157" s="99">
        <v>0.13</v>
      </c>
      <c r="AD157" s="99">
        <v>0.3</v>
      </c>
      <c r="AE157" s="99">
        <v>0.28999999999999998</v>
      </c>
      <c r="AF157" s="99">
        <v>0.49</v>
      </c>
      <c r="AG157" s="99">
        <v>0.38</v>
      </c>
      <c r="AH157" s="16">
        <v>59</v>
      </c>
      <c r="AI157" s="16">
        <v>7</v>
      </c>
      <c r="AJ157" s="66">
        <v>0.02</v>
      </c>
      <c r="AK157" s="66">
        <v>0.28999999999999998</v>
      </c>
      <c r="AL157" s="66">
        <v>0.66</v>
      </c>
      <c r="AM157" s="66">
        <v>0.03</v>
      </c>
      <c r="AN157" s="66">
        <v>0.17</v>
      </c>
      <c r="AO157" s="66">
        <v>0.34</v>
      </c>
      <c r="AP157" s="66">
        <v>0.41</v>
      </c>
      <c r="AQ157" s="66">
        <v>0.19</v>
      </c>
      <c r="AR157" s="66">
        <v>0.45</v>
      </c>
      <c r="AS157" s="66">
        <v>0.39</v>
      </c>
      <c r="AT157" s="66">
        <v>0.4</v>
      </c>
      <c r="AU157" s="66">
        <v>0.28000000000000003</v>
      </c>
      <c r="AV157" s="66">
        <v>0.47</v>
      </c>
      <c r="AW157" s="66">
        <v>0.23</v>
      </c>
      <c r="AX157" s="66">
        <v>0.36</v>
      </c>
      <c r="AY157" s="66">
        <v>0.19</v>
      </c>
      <c r="AZ157" s="66">
        <v>0.14000000000000001</v>
      </c>
      <c r="BA157" s="66">
        <v>0.35</v>
      </c>
      <c r="BB157" s="66">
        <v>0.53</v>
      </c>
      <c r="BC157" s="66">
        <v>0.52</v>
      </c>
      <c r="BD157" s="66">
        <v>0.32</v>
      </c>
      <c r="BE157" s="66">
        <v>0.56999999999999995</v>
      </c>
      <c r="BF157" s="66">
        <v>0.6</v>
      </c>
      <c r="BG157" s="66">
        <v>0.36</v>
      </c>
      <c r="BH157" s="66">
        <v>0.34</v>
      </c>
      <c r="BI157" s="66">
        <v>0.32</v>
      </c>
      <c r="BJ157" s="66">
        <v>0.24</v>
      </c>
      <c r="BK157" s="66">
        <v>0.34</v>
      </c>
      <c r="BL157" s="66">
        <v>0.52</v>
      </c>
      <c r="BM157" s="16">
        <v>57</v>
      </c>
      <c r="BN157" s="16">
        <v>7</v>
      </c>
      <c r="BO157" s="99">
        <v>0.03</v>
      </c>
      <c r="BP157" s="99">
        <v>0.33</v>
      </c>
      <c r="BQ157" s="99">
        <v>0.61</v>
      </c>
      <c r="BR157" s="99">
        <v>0.03</v>
      </c>
      <c r="BS157" s="99">
        <v>0.18</v>
      </c>
      <c r="BT157" s="99">
        <v>0.56999999999999995</v>
      </c>
      <c r="BU157" s="99">
        <v>0.63</v>
      </c>
      <c r="BV157" s="99">
        <v>0.11</v>
      </c>
      <c r="BW157" s="99">
        <v>0.56999999999999995</v>
      </c>
      <c r="BX157" s="99">
        <v>0.22</v>
      </c>
      <c r="BY157" s="99">
        <v>0.31</v>
      </c>
      <c r="BZ157" s="99">
        <v>0.48</v>
      </c>
      <c r="CA157" s="99">
        <v>0.36</v>
      </c>
      <c r="CB157" s="99">
        <v>0.2</v>
      </c>
      <c r="CC157" s="99">
        <v>0.11</v>
      </c>
      <c r="CD157" s="99">
        <v>0.3</v>
      </c>
      <c r="CE157" s="99">
        <v>0.13</v>
      </c>
      <c r="CF157" s="99">
        <v>0.52</v>
      </c>
      <c r="CG157" s="99">
        <v>0.39</v>
      </c>
      <c r="CH157" s="99">
        <v>0.34</v>
      </c>
      <c r="CI157" s="99">
        <v>0.49</v>
      </c>
      <c r="CJ157" s="99">
        <v>0.23</v>
      </c>
      <c r="CK157" s="99">
        <v>0.49</v>
      </c>
      <c r="CL157" s="99">
        <v>0.19</v>
      </c>
      <c r="CM157" s="99">
        <v>0.28000000000000003</v>
      </c>
      <c r="CN157" s="99">
        <v>0.27</v>
      </c>
      <c r="CO157" s="99">
        <v>0.39</v>
      </c>
      <c r="CP157" s="99">
        <v>0.25</v>
      </c>
      <c r="CQ157" s="99">
        <v>0.43</v>
      </c>
      <c r="CR157" s="99">
        <v>0.34</v>
      </c>
      <c r="CS157" s="16">
        <v>55</v>
      </c>
      <c r="CT157" s="16">
        <v>7</v>
      </c>
      <c r="CU157" s="96">
        <v>0.02</v>
      </c>
      <c r="CV157" s="96">
        <v>0.45</v>
      </c>
      <c r="CW157" s="96">
        <v>0.5</v>
      </c>
      <c r="CX157" s="96">
        <v>0.04</v>
      </c>
      <c r="CY157" s="96">
        <v>0.39</v>
      </c>
      <c r="CZ157" s="96">
        <v>0.17</v>
      </c>
      <c r="DA157" s="96">
        <v>0.52</v>
      </c>
      <c r="DB157" s="96">
        <v>0.3</v>
      </c>
      <c r="DC157" s="96">
        <v>0.33</v>
      </c>
      <c r="DD157" s="96">
        <v>0.69</v>
      </c>
      <c r="DE157" s="96">
        <v>0.39</v>
      </c>
      <c r="DF157" s="96">
        <v>0.43</v>
      </c>
      <c r="DG157" s="96">
        <v>0.3</v>
      </c>
      <c r="DH157" s="96">
        <v>0.21</v>
      </c>
      <c r="DI157" s="96">
        <v>0.41</v>
      </c>
      <c r="DJ157" s="96">
        <v>0.32</v>
      </c>
      <c r="DK157" s="96">
        <v>0.23</v>
      </c>
      <c r="DL157" s="96">
        <v>0.16</v>
      </c>
      <c r="DM157" s="96">
        <v>0.45</v>
      </c>
      <c r="DN157" s="96">
        <v>0.38</v>
      </c>
      <c r="DO157" s="96">
        <v>0.26</v>
      </c>
      <c r="DP157" s="96">
        <v>0.39</v>
      </c>
      <c r="DQ157" s="96">
        <v>0.51</v>
      </c>
      <c r="DR157" s="96">
        <v>0.1</v>
      </c>
      <c r="DS157" s="96">
        <v>0.34</v>
      </c>
      <c r="DT157" s="96">
        <v>0.47</v>
      </c>
      <c r="DU157" s="96">
        <v>0.36</v>
      </c>
      <c r="DV157" s="96">
        <v>0.5</v>
      </c>
      <c r="DW157" s="96">
        <v>0.31</v>
      </c>
      <c r="DX157" s="61">
        <v>55</v>
      </c>
      <c r="DY157" s="61">
        <v>8</v>
      </c>
      <c r="DZ157" s="66">
        <v>0.09</v>
      </c>
      <c r="EA157" s="66">
        <v>0.43</v>
      </c>
      <c r="EB157" s="66">
        <v>0.47</v>
      </c>
      <c r="EC157" s="66">
        <v>0.01</v>
      </c>
      <c r="ED157" s="66">
        <v>0.43</v>
      </c>
      <c r="EE157" s="66">
        <v>0.41</v>
      </c>
      <c r="EF157" s="66">
        <v>0.46</v>
      </c>
      <c r="EG157" s="66">
        <v>0.41</v>
      </c>
      <c r="EH157" s="66">
        <v>0.36</v>
      </c>
      <c r="EI157" s="66">
        <v>0.43</v>
      </c>
      <c r="EJ157" s="66">
        <v>0.55000000000000004</v>
      </c>
      <c r="EK157" s="66">
        <v>0.24</v>
      </c>
      <c r="EL157" s="66">
        <v>0.35</v>
      </c>
      <c r="EM157" s="66">
        <v>0.61</v>
      </c>
      <c r="EN157" s="66">
        <v>0.27</v>
      </c>
      <c r="EO157" s="66">
        <v>0.53</v>
      </c>
      <c r="EP157" s="66">
        <v>0.22</v>
      </c>
      <c r="EQ157" s="66">
        <v>0.13</v>
      </c>
      <c r="ER157" s="66">
        <v>0.53</v>
      </c>
      <c r="ES157" s="66">
        <v>0.33</v>
      </c>
      <c r="ET157" s="66">
        <v>0.26</v>
      </c>
      <c r="EU157" s="66">
        <v>0.51</v>
      </c>
      <c r="EV157" s="66">
        <v>0.39</v>
      </c>
      <c r="EW157" s="66">
        <v>0.2</v>
      </c>
      <c r="EX157" s="66">
        <v>0.59</v>
      </c>
      <c r="EY157" s="66">
        <v>0.45</v>
      </c>
      <c r="EZ157" s="66">
        <v>0.17</v>
      </c>
      <c r="FA157" s="66">
        <v>0.44</v>
      </c>
      <c r="FB157" s="349">
        <v>56</v>
      </c>
      <c r="FC157" s="348" t="s">
        <v>910</v>
      </c>
      <c r="FD157" s="349">
        <v>9</v>
      </c>
      <c r="FE157" s="348" t="s">
        <v>910</v>
      </c>
      <c r="FF157" s="371">
        <v>0.02</v>
      </c>
      <c r="FG157" s="371">
        <v>0.52</v>
      </c>
      <c r="FH157" s="371">
        <v>0.41</v>
      </c>
      <c r="FI157" s="371">
        <v>0.06</v>
      </c>
      <c r="FJ157" s="371">
        <v>0.36</v>
      </c>
      <c r="FK157" s="371">
        <v>0.54</v>
      </c>
      <c r="FL157" s="371">
        <v>0.38</v>
      </c>
      <c r="FM157" s="371">
        <v>0.32</v>
      </c>
      <c r="FN157" s="371">
        <v>0.1</v>
      </c>
      <c r="FO157" s="371">
        <v>0.22</v>
      </c>
      <c r="FP157" s="371">
        <v>0.28000000000000003</v>
      </c>
      <c r="FQ157" s="371">
        <v>0.33</v>
      </c>
      <c r="FR157" s="371">
        <v>0.46</v>
      </c>
      <c r="FS157" s="371">
        <v>0.36</v>
      </c>
      <c r="FT157" s="371">
        <v>0.4</v>
      </c>
      <c r="FU157" s="371">
        <v>0.35</v>
      </c>
      <c r="FV157" s="371">
        <v>0.48</v>
      </c>
      <c r="FW157" s="371">
        <v>0.44</v>
      </c>
      <c r="FX157" s="371">
        <v>0.25</v>
      </c>
      <c r="FY157" s="371">
        <v>0.28999999999999998</v>
      </c>
      <c r="FZ157" s="371">
        <v>0.36</v>
      </c>
      <c r="GA157" s="371">
        <v>0.54</v>
      </c>
      <c r="GB157" s="371">
        <v>0.37</v>
      </c>
      <c r="GC157" s="371">
        <v>0.35</v>
      </c>
      <c r="GD157" s="371">
        <v>0.42</v>
      </c>
      <c r="GE157" s="371">
        <v>0.35</v>
      </c>
      <c r="GF157" s="371">
        <v>0.28999999999999998</v>
      </c>
      <c r="GG157" s="371">
        <v>0.3</v>
      </c>
      <c r="GH157" s="371">
        <v>0.43</v>
      </c>
      <c r="GI157" s="371">
        <v>0.28999999999999998</v>
      </c>
      <c r="GJ157" s="469">
        <v>54</v>
      </c>
      <c r="GK157" s="471" t="s">
        <v>910</v>
      </c>
      <c r="GL157" s="469">
        <v>9</v>
      </c>
      <c r="GM157" s="471" t="s">
        <v>910</v>
      </c>
      <c r="GN157" s="501">
        <v>0.05</v>
      </c>
      <c r="GO157" s="501">
        <v>0.51</v>
      </c>
      <c r="GP157" s="501">
        <v>0.4</v>
      </c>
      <c r="GQ157" s="501">
        <v>0.04</v>
      </c>
      <c r="GR157" s="501">
        <v>0.51</v>
      </c>
      <c r="GS157" s="501">
        <v>0.4</v>
      </c>
      <c r="GT157" s="501">
        <v>0.46</v>
      </c>
      <c r="GU157" s="501">
        <v>0.16</v>
      </c>
      <c r="GV157" s="501">
        <v>0.44</v>
      </c>
      <c r="GW157" s="501">
        <v>0.4</v>
      </c>
      <c r="GX157" s="501">
        <v>0.4</v>
      </c>
      <c r="GY157" s="471" t="s">
        <v>287</v>
      </c>
      <c r="GZ157" s="501">
        <v>0.21</v>
      </c>
      <c r="HA157" s="501">
        <v>0.76</v>
      </c>
      <c r="HB157" s="501">
        <v>0.46</v>
      </c>
      <c r="HC157" s="501">
        <v>0.53</v>
      </c>
      <c r="HD157" s="501">
        <v>0.49</v>
      </c>
      <c r="HE157" s="501">
        <v>0.38</v>
      </c>
      <c r="HF157" s="501">
        <v>0.43</v>
      </c>
      <c r="HG157" s="501">
        <v>0.6</v>
      </c>
      <c r="HH157" s="501">
        <v>0.38</v>
      </c>
      <c r="HI157" s="501">
        <v>0.44</v>
      </c>
      <c r="HJ157" s="501">
        <v>0.49</v>
      </c>
      <c r="HK157" s="501">
        <v>0.44</v>
      </c>
      <c r="HL157" s="501">
        <v>0.38</v>
      </c>
      <c r="HM157" s="501">
        <v>0.4</v>
      </c>
      <c r="HN157" s="501">
        <v>0.44</v>
      </c>
      <c r="HO157" s="501">
        <v>0.35</v>
      </c>
      <c r="HP157" s="471" t="s">
        <v>287</v>
      </c>
      <c r="HQ157" s="501">
        <v>0.3</v>
      </c>
      <c r="HR157" s="630">
        <v>56</v>
      </c>
      <c r="HS157" s="640" t="s">
        <v>910</v>
      </c>
      <c r="HT157" s="630">
        <v>8</v>
      </c>
      <c r="HU157" s="640" t="s">
        <v>910</v>
      </c>
      <c r="HV157" s="644">
        <v>0.02</v>
      </c>
      <c r="HW157" s="644">
        <v>0.43</v>
      </c>
      <c r="HX157" s="644">
        <v>0.52</v>
      </c>
      <c r="HY157" s="644">
        <v>0.02</v>
      </c>
      <c r="HZ157" s="644">
        <v>0.28999999999999998</v>
      </c>
      <c r="IA157" s="644">
        <v>0.46</v>
      </c>
      <c r="IB157" s="644">
        <v>0.32</v>
      </c>
      <c r="IC157" s="644">
        <v>0.42</v>
      </c>
      <c r="ID157" s="644">
        <v>0.61</v>
      </c>
      <c r="IE157" s="644">
        <v>0.17</v>
      </c>
      <c r="IF157" s="644">
        <v>0.35</v>
      </c>
      <c r="IG157" s="644">
        <v>0.46</v>
      </c>
      <c r="IH157" s="644">
        <v>0.36</v>
      </c>
      <c r="II157" s="644">
        <v>0.27</v>
      </c>
      <c r="IJ157" s="644">
        <v>0.19</v>
      </c>
      <c r="IK157" s="644">
        <v>0.52</v>
      </c>
      <c r="IL157" s="644">
        <v>0.25</v>
      </c>
      <c r="IM157" s="644">
        <v>0.46</v>
      </c>
      <c r="IN157" s="644">
        <v>0.28999999999999998</v>
      </c>
      <c r="IO157" s="644">
        <v>0.42</v>
      </c>
      <c r="IP157" s="644">
        <v>0.36</v>
      </c>
      <c r="IQ157" s="644">
        <v>0.56000000000000005</v>
      </c>
      <c r="IR157" s="644">
        <v>0.46</v>
      </c>
      <c r="IS157" s="644">
        <v>0.51</v>
      </c>
      <c r="IT157" s="644">
        <v>0.28000000000000003</v>
      </c>
      <c r="IU157" s="640" t="s">
        <v>287</v>
      </c>
      <c r="IV157" s="644">
        <v>0.53</v>
      </c>
      <c r="IW157" s="644">
        <v>0.34</v>
      </c>
      <c r="IX157" s="644">
        <v>0.5</v>
      </c>
      <c r="IY157" s="644">
        <v>0.35</v>
      </c>
    </row>
    <row r="158" spans="1:259" ht="24.9" customHeight="1" x14ac:dyDescent="0.25">
      <c r="A158" s="188" t="s">
        <v>118</v>
      </c>
      <c r="B158" s="1" t="s">
        <v>222</v>
      </c>
      <c r="C158" s="2">
        <v>3</v>
      </c>
      <c r="D158" s="16">
        <v>56</v>
      </c>
      <c r="E158" s="16">
        <v>7</v>
      </c>
      <c r="F158" s="99">
        <v>0.03</v>
      </c>
      <c r="G158" s="99">
        <v>0.47</v>
      </c>
      <c r="H158" s="99">
        <v>0.5</v>
      </c>
      <c r="I158" s="99">
        <v>0</v>
      </c>
      <c r="J158" s="99">
        <v>0.25</v>
      </c>
      <c r="K158" s="99">
        <v>0.38</v>
      </c>
      <c r="L158" s="99">
        <v>0.76</v>
      </c>
      <c r="M158" s="99">
        <v>0.21</v>
      </c>
      <c r="N158" s="99">
        <v>0.26</v>
      </c>
      <c r="O158" s="99">
        <v>0.74</v>
      </c>
      <c r="P158" s="99">
        <v>0.34</v>
      </c>
      <c r="Q158" s="99">
        <v>0.35</v>
      </c>
      <c r="R158" s="99">
        <v>0.49</v>
      </c>
      <c r="S158" s="99">
        <v>0.52</v>
      </c>
      <c r="T158" s="99">
        <v>0.38</v>
      </c>
      <c r="U158" s="99">
        <v>0.4</v>
      </c>
      <c r="V158" s="99">
        <v>7.0000000000000007E-2</v>
      </c>
      <c r="W158" s="99">
        <v>0.14000000000000001</v>
      </c>
      <c r="X158" s="99">
        <v>0.49</v>
      </c>
      <c r="Y158" s="99">
        <v>0.5</v>
      </c>
      <c r="Z158" s="13" t="s">
        <v>287</v>
      </c>
      <c r="AA158" s="99">
        <v>7.0000000000000007E-2</v>
      </c>
      <c r="AB158" s="99">
        <v>0.41</v>
      </c>
      <c r="AC158" s="99">
        <v>0.25</v>
      </c>
      <c r="AD158" s="99">
        <v>0.47</v>
      </c>
      <c r="AE158" s="99">
        <v>0.49</v>
      </c>
      <c r="AF158" s="99">
        <v>0.43</v>
      </c>
      <c r="AG158" s="99">
        <v>0.5</v>
      </c>
      <c r="AH158" s="16">
        <v>52</v>
      </c>
      <c r="AI158" s="16">
        <v>6</v>
      </c>
      <c r="AJ158" s="66">
        <v>0</v>
      </c>
      <c r="AK158" s="66">
        <v>0.71</v>
      </c>
      <c r="AL158" s="66">
        <v>0.28999999999999998</v>
      </c>
      <c r="AM158" s="66">
        <v>0</v>
      </c>
      <c r="AN158" s="66">
        <v>0.14000000000000001</v>
      </c>
      <c r="AO158" s="66">
        <v>0.49</v>
      </c>
      <c r="AP158" s="66">
        <v>0.64</v>
      </c>
      <c r="AQ158" s="66">
        <v>0.38</v>
      </c>
      <c r="AR158" s="66">
        <v>0.62</v>
      </c>
      <c r="AS158" s="66">
        <v>0.57999999999999996</v>
      </c>
      <c r="AT158" s="66">
        <v>0.48</v>
      </c>
      <c r="AU158" s="66">
        <v>0.46</v>
      </c>
      <c r="AV158" s="66">
        <v>0.57999999999999996</v>
      </c>
      <c r="AW158" s="66">
        <v>0.42</v>
      </c>
      <c r="AX158" s="66">
        <v>0.73</v>
      </c>
      <c r="AY158" s="66">
        <v>0.28999999999999998</v>
      </c>
      <c r="AZ158" s="66">
        <v>0.3</v>
      </c>
      <c r="BA158" s="66">
        <v>0.48</v>
      </c>
      <c r="BB158" s="66">
        <v>0.79</v>
      </c>
      <c r="BC158" s="66">
        <v>0.75</v>
      </c>
      <c r="BD158" s="66">
        <v>0.37</v>
      </c>
      <c r="BE158" s="66">
        <v>0.54</v>
      </c>
      <c r="BF158" s="66">
        <v>0.57999999999999996</v>
      </c>
      <c r="BG158" s="66">
        <v>0.37</v>
      </c>
      <c r="BH158" s="66">
        <v>0.41</v>
      </c>
      <c r="BI158" s="66">
        <v>0.31</v>
      </c>
      <c r="BJ158" s="66">
        <v>0.31</v>
      </c>
      <c r="BK158" s="66">
        <v>0.47</v>
      </c>
      <c r="BL158" s="66">
        <v>0.53</v>
      </c>
      <c r="BM158" s="16">
        <v>51</v>
      </c>
      <c r="BN158" s="16">
        <v>6</v>
      </c>
      <c r="BO158" s="99">
        <v>0.04</v>
      </c>
      <c r="BP158" s="99">
        <v>0.71</v>
      </c>
      <c r="BQ158" s="99">
        <v>0.25</v>
      </c>
      <c r="BR158" s="99">
        <v>0</v>
      </c>
      <c r="BS158" s="99">
        <v>0.26</v>
      </c>
      <c r="BT158" s="99">
        <v>0.41</v>
      </c>
      <c r="BU158" s="99">
        <v>0.56999999999999995</v>
      </c>
      <c r="BV158" s="99">
        <v>0.2</v>
      </c>
      <c r="BW158" s="99">
        <v>0.6</v>
      </c>
      <c r="BX158" s="99">
        <v>0.42</v>
      </c>
      <c r="BY158" s="99">
        <v>0.47</v>
      </c>
      <c r="BZ158" s="99">
        <v>0.47</v>
      </c>
      <c r="CA158" s="99">
        <v>0.56999999999999995</v>
      </c>
      <c r="CB158" s="99">
        <v>0.42</v>
      </c>
      <c r="CC158" s="99">
        <v>0.28999999999999998</v>
      </c>
      <c r="CD158" s="99">
        <v>0.45</v>
      </c>
      <c r="CE158" s="99">
        <v>0.25</v>
      </c>
      <c r="CF158" s="99">
        <v>0.56999999999999995</v>
      </c>
      <c r="CG158" s="99">
        <v>0.59</v>
      </c>
      <c r="CH158" s="99">
        <v>0.39</v>
      </c>
      <c r="CI158" s="99">
        <v>0.69</v>
      </c>
      <c r="CJ158" s="99">
        <v>0.4</v>
      </c>
      <c r="CK158" s="99">
        <v>0.73</v>
      </c>
      <c r="CL158" s="99">
        <v>0.32</v>
      </c>
      <c r="CM158" s="99">
        <v>0.45</v>
      </c>
      <c r="CN158" s="99">
        <v>0.39</v>
      </c>
      <c r="CO158" s="99">
        <v>0.37</v>
      </c>
      <c r="CP158" s="99">
        <v>0.23</v>
      </c>
      <c r="CQ158" s="99">
        <v>0.59</v>
      </c>
      <c r="CR158" s="99">
        <v>0.62</v>
      </c>
      <c r="CS158" s="16">
        <v>52</v>
      </c>
      <c r="CT158" s="16">
        <v>8</v>
      </c>
      <c r="CU158" s="96">
        <v>0.03</v>
      </c>
      <c r="CV158" s="96">
        <v>0.72</v>
      </c>
      <c r="CW158" s="96">
        <v>0.24</v>
      </c>
      <c r="CX158" s="96">
        <v>0</v>
      </c>
      <c r="CY158" s="96">
        <v>0.55000000000000004</v>
      </c>
      <c r="CZ158" s="96">
        <v>0.31</v>
      </c>
      <c r="DA158" s="96">
        <v>0.64</v>
      </c>
      <c r="DB158" s="96">
        <v>0.33</v>
      </c>
      <c r="DC158" s="96">
        <v>0.39</v>
      </c>
      <c r="DD158" s="96">
        <v>0.59</v>
      </c>
      <c r="DE158" s="96">
        <v>0.59</v>
      </c>
      <c r="DF158" s="96">
        <v>0.49</v>
      </c>
      <c r="DG158" s="96">
        <v>0.42</v>
      </c>
      <c r="DH158" s="96">
        <v>0.28999999999999998</v>
      </c>
      <c r="DI158" s="96">
        <v>0.43</v>
      </c>
      <c r="DJ158" s="96">
        <v>0.45</v>
      </c>
      <c r="DK158" s="96">
        <v>0.38</v>
      </c>
      <c r="DL158" s="96">
        <v>0.5</v>
      </c>
      <c r="DM158" s="96">
        <v>0.46</v>
      </c>
      <c r="DN158" s="96">
        <v>0.47</v>
      </c>
      <c r="DO158" s="96">
        <v>0.41</v>
      </c>
      <c r="DP158" s="96">
        <v>0.48</v>
      </c>
      <c r="DQ158" s="96">
        <v>0.55000000000000004</v>
      </c>
      <c r="DR158" s="96">
        <v>0.05</v>
      </c>
      <c r="DS158" s="96">
        <v>0.35</v>
      </c>
      <c r="DT158" s="96">
        <v>0.54</v>
      </c>
      <c r="DU158" s="96">
        <v>0.56000000000000005</v>
      </c>
      <c r="DV158" s="96">
        <v>0.51</v>
      </c>
      <c r="DW158" s="96">
        <v>0.33</v>
      </c>
      <c r="DX158" s="61">
        <v>46</v>
      </c>
      <c r="DY158" s="61">
        <v>9</v>
      </c>
      <c r="DZ158" s="66">
        <v>0.28000000000000003</v>
      </c>
      <c r="EA158" s="66">
        <v>0.55000000000000004</v>
      </c>
      <c r="EB158" s="66">
        <v>0.17</v>
      </c>
      <c r="EC158" s="66">
        <v>0</v>
      </c>
      <c r="ED158" s="66">
        <v>0.56999999999999995</v>
      </c>
      <c r="EE158" s="66">
        <v>0.44</v>
      </c>
      <c r="EF158" s="66">
        <v>0.47</v>
      </c>
      <c r="EG158" s="66">
        <v>0.56999999999999995</v>
      </c>
      <c r="EH158" s="66">
        <v>0.48</v>
      </c>
      <c r="EI158" s="66">
        <v>0.56999999999999995</v>
      </c>
      <c r="EJ158" s="66">
        <v>0.67</v>
      </c>
      <c r="EK158" s="66">
        <v>0.32</v>
      </c>
      <c r="EL158" s="66">
        <v>0.55000000000000004</v>
      </c>
      <c r="EM158" s="66">
        <v>0.57999999999999996</v>
      </c>
      <c r="EN158" s="66">
        <v>0.56000000000000005</v>
      </c>
      <c r="EO158" s="66">
        <v>0.6</v>
      </c>
      <c r="EP158" s="66">
        <v>0.46</v>
      </c>
      <c r="EQ158" s="66">
        <v>0.51</v>
      </c>
      <c r="ER158" s="66">
        <v>0.66</v>
      </c>
      <c r="ES158" s="66">
        <v>0.6</v>
      </c>
      <c r="ET158" s="66">
        <v>0.46</v>
      </c>
      <c r="EU158" s="66">
        <v>0.61</v>
      </c>
      <c r="EV158" s="66">
        <v>0.5</v>
      </c>
      <c r="EW158" s="66">
        <v>0.4</v>
      </c>
      <c r="EX158" s="66">
        <v>0.83</v>
      </c>
      <c r="EY158" s="66">
        <v>0.66</v>
      </c>
      <c r="EZ158" s="66">
        <v>0.33</v>
      </c>
      <c r="FA158" s="66">
        <v>0.65</v>
      </c>
      <c r="FB158" s="349">
        <v>52</v>
      </c>
      <c r="FC158" s="348" t="s">
        <v>910</v>
      </c>
      <c r="FD158" s="349">
        <v>7</v>
      </c>
      <c r="FE158" s="348" t="s">
        <v>910</v>
      </c>
      <c r="FF158" s="371">
        <v>0.05</v>
      </c>
      <c r="FG158" s="371">
        <v>0.59</v>
      </c>
      <c r="FH158" s="371">
        <v>0.35</v>
      </c>
      <c r="FI158" s="371">
        <v>0</v>
      </c>
      <c r="FJ158" s="371">
        <v>0.42</v>
      </c>
      <c r="FK158" s="371">
        <v>0.72</v>
      </c>
      <c r="FL158" s="371">
        <v>0.42</v>
      </c>
      <c r="FM158" s="371">
        <v>0.43</v>
      </c>
      <c r="FN158" s="371">
        <v>0.31</v>
      </c>
      <c r="FO158" s="371">
        <v>0.22</v>
      </c>
      <c r="FP158" s="371">
        <v>0.38</v>
      </c>
      <c r="FQ158" s="371">
        <v>0.35</v>
      </c>
      <c r="FR158" s="371">
        <v>0.61</v>
      </c>
      <c r="FS158" s="371">
        <v>0.52</v>
      </c>
      <c r="FT158" s="371">
        <v>0.47</v>
      </c>
      <c r="FU158" s="371">
        <v>0.34</v>
      </c>
      <c r="FV158" s="371">
        <v>0.56000000000000005</v>
      </c>
      <c r="FW158" s="371">
        <v>0.33</v>
      </c>
      <c r="FX158" s="371">
        <v>0.45</v>
      </c>
      <c r="FY158" s="371">
        <v>0.28000000000000003</v>
      </c>
      <c r="FZ158" s="371">
        <v>0.42</v>
      </c>
      <c r="GA158" s="371">
        <v>0.41</v>
      </c>
      <c r="GB158" s="371">
        <v>0.55000000000000004</v>
      </c>
      <c r="GC158" s="371">
        <v>0.34</v>
      </c>
      <c r="GD158" s="371">
        <v>0.61</v>
      </c>
      <c r="GE158" s="371">
        <v>0.5</v>
      </c>
      <c r="GF158" s="371">
        <v>0.46</v>
      </c>
      <c r="GG158" s="371">
        <v>0.4</v>
      </c>
      <c r="GH158" s="371">
        <v>0.55000000000000004</v>
      </c>
      <c r="GI158" s="371">
        <v>0.25</v>
      </c>
      <c r="GJ158" s="469">
        <v>52</v>
      </c>
      <c r="GK158" s="471" t="s">
        <v>910</v>
      </c>
      <c r="GL158" s="469">
        <v>8</v>
      </c>
      <c r="GM158" s="471" t="s">
        <v>910</v>
      </c>
      <c r="GN158" s="501">
        <v>0.05</v>
      </c>
      <c r="GO158" s="501">
        <v>0.6</v>
      </c>
      <c r="GP158" s="501">
        <v>0.35</v>
      </c>
      <c r="GQ158" s="501">
        <v>0</v>
      </c>
      <c r="GR158" s="501">
        <v>0.56999999999999995</v>
      </c>
      <c r="GS158" s="501">
        <v>0.44</v>
      </c>
      <c r="GT158" s="501">
        <v>0.56000000000000005</v>
      </c>
      <c r="GU158" s="501">
        <v>0.19</v>
      </c>
      <c r="GV158" s="501">
        <v>0.56999999999999995</v>
      </c>
      <c r="GW158" s="501">
        <v>0.56000000000000005</v>
      </c>
      <c r="GX158" s="501">
        <v>0.4</v>
      </c>
      <c r="GY158" s="471" t="s">
        <v>287</v>
      </c>
      <c r="GZ158" s="501">
        <v>0.26</v>
      </c>
      <c r="HA158" s="501">
        <v>0.74</v>
      </c>
      <c r="HB158" s="501">
        <v>0.43</v>
      </c>
      <c r="HC158" s="501">
        <v>0.55000000000000004</v>
      </c>
      <c r="HD158" s="501">
        <v>0.5</v>
      </c>
      <c r="HE158" s="501">
        <v>0.56999999999999995</v>
      </c>
      <c r="HF158" s="501">
        <v>0.39</v>
      </c>
      <c r="HG158" s="501">
        <v>0.66</v>
      </c>
      <c r="HH158" s="501">
        <v>0.38</v>
      </c>
      <c r="HI158" s="501">
        <v>0.51</v>
      </c>
      <c r="HJ158" s="501">
        <v>0.59</v>
      </c>
      <c r="HK158" s="501">
        <v>0.49</v>
      </c>
      <c r="HL158" s="501">
        <v>0.44</v>
      </c>
      <c r="HM158" s="501">
        <v>0.41</v>
      </c>
      <c r="HN158" s="501">
        <v>0.43</v>
      </c>
      <c r="HO158" s="501">
        <v>0.28999999999999998</v>
      </c>
      <c r="HP158" s="471" t="s">
        <v>287</v>
      </c>
      <c r="HQ158" s="501">
        <v>0.4</v>
      </c>
      <c r="HR158" s="630">
        <v>50</v>
      </c>
      <c r="HS158" s="640" t="s">
        <v>910</v>
      </c>
      <c r="HT158" s="630">
        <v>8</v>
      </c>
      <c r="HU158" s="640" t="s">
        <v>910</v>
      </c>
      <c r="HV158" s="644">
        <v>0.1</v>
      </c>
      <c r="HW158" s="644">
        <v>0.63</v>
      </c>
      <c r="HX158" s="644">
        <v>0.27</v>
      </c>
      <c r="HY158" s="644">
        <v>0</v>
      </c>
      <c r="HZ158" s="644">
        <v>0.4</v>
      </c>
      <c r="IA158" s="644">
        <v>0.56999999999999995</v>
      </c>
      <c r="IB158" s="644">
        <v>0.41</v>
      </c>
      <c r="IC158" s="644">
        <v>0.46</v>
      </c>
      <c r="ID158" s="644">
        <v>0.65</v>
      </c>
      <c r="IE158" s="644">
        <v>0.28000000000000003</v>
      </c>
      <c r="IF158" s="644">
        <v>0.37</v>
      </c>
      <c r="IG158" s="644">
        <v>0.66</v>
      </c>
      <c r="IH158" s="644">
        <v>0.48</v>
      </c>
      <c r="II158" s="644">
        <v>0.4</v>
      </c>
      <c r="IJ158" s="644">
        <v>0.28000000000000003</v>
      </c>
      <c r="IK158" s="644">
        <v>0.59</v>
      </c>
      <c r="IL158" s="644">
        <v>0.38</v>
      </c>
      <c r="IM158" s="644">
        <v>0.52</v>
      </c>
      <c r="IN158" s="644">
        <v>0.45</v>
      </c>
      <c r="IO158" s="644">
        <v>0.59</v>
      </c>
      <c r="IP158" s="644">
        <v>0.42</v>
      </c>
      <c r="IQ158" s="644">
        <v>0.71</v>
      </c>
      <c r="IR158" s="644">
        <v>0.62</v>
      </c>
      <c r="IS158" s="644">
        <v>0.66</v>
      </c>
      <c r="IT158" s="644">
        <v>0.45</v>
      </c>
      <c r="IU158" s="640" t="s">
        <v>287</v>
      </c>
      <c r="IV158" s="644">
        <v>0.59</v>
      </c>
      <c r="IW158" s="644">
        <v>0.5</v>
      </c>
      <c r="IX158" s="644">
        <v>0.48</v>
      </c>
      <c r="IY158" s="644">
        <v>0.59</v>
      </c>
    </row>
    <row r="159" spans="1:259" ht="24.9" customHeight="1" x14ac:dyDescent="0.25">
      <c r="A159" s="188" t="s">
        <v>206</v>
      </c>
      <c r="B159" s="1" t="s">
        <v>222</v>
      </c>
      <c r="C159" s="2">
        <v>5</v>
      </c>
      <c r="D159" s="16">
        <v>54</v>
      </c>
      <c r="E159" s="16">
        <v>8</v>
      </c>
      <c r="F159" s="99">
        <v>0.09</v>
      </c>
      <c r="G159" s="99">
        <v>0.56000000000000005</v>
      </c>
      <c r="H159" s="99">
        <v>0.31</v>
      </c>
      <c r="I159" s="99">
        <v>0.03</v>
      </c>
      <c r="J159" s="99">
        <v>0.45</v>
      </c>
      <c r="K159" s="99">
        <v>0.35</v>
      </c>
      <c r="L159" s="99">
        <v>0.74</v>
      </c>
      <c r="M159" s="99">
        <v>0.17</v>
      </c>
      <c r="N159" s="99">
        <v>0.3</v>
      </c>
      <c r="O159" s="99">
        <v>0.7</v>
      </c>
      <c r="P159" s="99">
        <v>0.37</v>
      </c>
      <c r="Q159" s="99">
        <v>0.33</v>
      </c>
      <c r="R159" s="99">
        <v>0.59</v>
      </c>
      <c r="S159" s="99">
        <v>0.69</v>
      </c>
      <c r="T159" s="99">
        <v>0.43</v>
      </c>
      <c r="U159" s="99">
        <v>0.75</v>
      </c>
      <c r="V159" s="99">
        <v>0.16</v>
      </c>
      <c r="W159" s="99">
        <v>0.18</v>
      </c>
      <c r="X159" s="99">
        <v>0.49</v>
      </c>
      <c r="Y159" s="99">
        <v>0.47</v>
      </c>
      <c r="Z159" s="13" t="s">
        <v>287</v>
      </c>
      <c r="AA159" s="99">
        <v>0.1</v>
      </c>
      <c r="AB159" s="99">
        <v>0.48</v>
      </c>
      <c r="AC159" s="99">
        <v>0.26</v>
      </c>
      <c r="AD159" s="99">
        <v>0.41</v>
      </c>
      <c r="AE159" s="99">
        <v>0.33</v>
      </c>
      <c r="AF159" s="99">
        <v>0.44</v>
      </c>
      <c r="AG159" s="99">
        <v>0.65</v>
      </c>
      <c r="AH159" s="16">
        <v>56</v>
      </c>
      <c r="AI159" s="16">
        <v>8</v>
      </c>
      <c r="AJ159" s="66">
        <v>0.08</v>
      </c>
      <c r="AK159" s="66">
        <v>0.38</v>
      </c>
      <c r="AL159" s="66">
        <v>0.53</v>
      </c>
      <c r="AM159" s="66">
        <v>0.03</v>
      </c>
      <c r="AN159" s="66">
        <v>0.13</v>
      </c>
      <c r="AO159" s="66">
        <v>0.46</v>
      </c>
      <c r="AP159" s="66">
        <v>0.44</v>
      </c>
      <c r="AQ159" s="66">
        <v>0.24</v>
      </c>
      <c r="AR159" s="66">
        <v>0.65</v>
      </c>
      <c r="AS159" s="66">
        <v>0.48</v>
      </c>
      <c r="AT159" s="66">
        <v>0.44</v>
      </c>
      <c r="AU159" s="66">
        <v>0.44</v>
      </c>
      <c r="AV159" s="66">
        <v>0.46</v>
      </c>
      <c r="AW159" s="66">
        <v>0.53</v>
      </c>
      <c r="AX159" s="66">
        <v>0.53</v>
      </c>
      <c r="AY159" s="66">
        <v>0.27</v>
      </c>
      <c r="AZ159" s="66">
        <v>0.14000000000000001</v>
      </c>
      <c r="BA159" s="66">
        <v>0.35</v>
      </c>
      <c r="BB159" s="66">
        <v>0.57999999999999996</v>
      </c>
      <c r="BC159" s="66">
        <v>0.61</v>
      </c>
      <c r="BD159" s="66">
        <v>0.36</v>
      </c>
      <c r="BE159" s="66">
        <v>0.45</v>
      </c>
      <c r="BF159" s="66">
        <v>0.55000000000000004</v>
      </c>
      <c r="BG159" s="66">
        <v>0.46</v>
      </c>
      <c r="BH159" s="66">
        <v>0.42</v>
      </c>
      <c r="BI159" s="66">
        <v>0.37</v>
      </c>
      <c r="BJ159" s="66">
        <v>0.35</v>
      </c>
      <c r="BK159" s="66">
        <v>0.36</v>
      </c>
      <c r="BL159" s="66">
        <v>0.55000000000000004</v>
      </c>
      <c r="BM159" s="16">
        <v>54</v>
      </c>
      <c r="BN159" s="16">
        <v>9</v>
      </c>
      <c r="BO159" s="99">
        <v>0.04</v>
      </c>
      <c r="BP159" s="99">
        <v>0.56999999999999995</v>
      </c>
      <c r="BQ159" s="99">
        <v>0.35</v>
      </c>
      <c r="BR159" s="99">
        <v>0.04</v>
      </c>
      <c r="BS159" s="99">
        <v>0.36</v>
      </c>
      <c r="BT159" s="99">
        <v>0.41</v>
      </c>
      <c r="BU159" s="99">
        <v>0.55000000000000004</v>
      </c>
      <c r="BV159" s="99">
        <v>0.27</v>
      </c>
      <c r="BW159" s="99">
        <v>0.65</v>
      </c>
      <c r="BX159" s="99">
        <v>0.26</v>
      </c>
      <c r="BY159" s="99">
        <v>0.4</v>
      </c>
      <c r="BZ159" s="99">
        <v>0.5</v>
      </c>
      <c r="CA159" s="99">
        <v>0.36</v>
      </c>
      <c r="CB159" s="99">
        <v>0.33</v>
      </c>
      <c r="CC159" s="99">
        <v>0.08</v>
      </c>
      <c r="CD159" s="99">
        <v>0.37</v>
      </c>
      <c r="CE159" s="99">
        <v>0.21</v>
      </c>
      <c r="CF159" s="99">
        <v>0.57999999999999996</v>
      </c>
      <c r="CG159" s="99">
        <v>0.62</v>
      </c>
      <c r="CH159" s="99">
        <v>0.37</v>
      </c>
      <c r="CI159" s="99">
        <v>0.56000000000000005</v>
      </c>
      <c r="CJ159" s="99">
        <v>0.46</v>
      </c>
      <c r="CK159" s="99">
        <v>0.62</v>
      </c>
      <c r="CL159" s="99">
        <v>0.25</v>
      </c>
      <c r="CM159" s="99">
        <v>0.45</v>
      </c>
      <c r="CN159" s="99">
        <v>0.38</v>
      </c>
      <c r="CO159" s="99">
        <v>0.28999999999999998</v>
      </c>
      <c r="CP159" s="99">
        <v>0.32</v>
      </c>
      <c r="CQ159" s="99">
        <v>0.44</v>
      </c>
      <c r="CR159" s="99">
        <v>0.51</v>
      </c>
      <c r="CS159" s="16">
        <v>53</v>
      </c>
      <c r="CT159" s="16">
        <v>9</v>
      </c>
      <c r="CU159" s="96">
        <v>0.13</v>
      </c>
      <c r="CV159" s="96">
        <v>0.4</v>
      </c>
      <c r="CW159" s="96">
        <v>0.45</v>
      </c>
      <c r="CX159" s="96">
        <v>0.02</v>
      </c>
      <c r="CY159" s="96">
        <v>0.45</v>
      </c>
      <c r="CZ159" s="96">
        <v>0.23</v>
      </c>
      <c r="DA159" s="96">
        <v>0.47</v>
      </c>
      <c r="DB159" s="96">
        <v>0.28999999999999998</v>
      </c>
      <c r="DC159" s="96">
        <v>0.5</v>
      </c>
      <c r="DD159" s="96">
        <v>0.51</v>
      </c>
      <c r="DE159" s="96">
        <v>0.46</v>
      </c>
      <c r="DF159" s="96">
        <v>0.42</v>
      </c>
      <c r="DG159" s="96">
        <v>0.36</v>
      </c>
      <c r="DH159" s="96">
        <v>0.37</v>
      </c>
      <c r="DI159" s="96">
        <v>0.53</v>
      </c>
      <c r="DJ159" s="96">
        <v>0.4</v>
      </c>
      <c r="DK159" s="96">
        <v>0.22</v>
      </c>
      <c r="DL159" s="96">
        <v>0.39</v>
      </c>
      <c r="DM159" s="96">
        <v>0.49</v>
      </c>
      <c r="DN159" s="96">
        <v>0.41</v>
      </c>
      <c r="DO159" s="96">
        <v>0.38</v>
      </c>
      <c r="DP159" s="96">
        <v>0.42</v>
      </c>
      <c r="DQ159" s="96">
        <v>0.5</v>
      </c>
      <c r="DR159" s="96">
        <v>0.11</v>
      </c>
      <c r="DS159" s="96">
        <v>0.33</v>
      </c>
      <c r="DT159" s="96">
        <v>0.52</v>
      </c>
      <c r="DU159" s="96">
        <v>0.45</v>
      </c>
      <c r="DV159" s="96">
        <v>0.61</v>
      </c>
      <c r="DW159" s="96">
        <v>0.22</v>
      </c>
      <c r="DX159" s="61">
        <v>54</v>
      </c>
      <c r="DY159" s="61">
        <v>8</v>
      </c>
      <c r="DZ159" s="66">
        <v>0.08</v>
      </c>
      <c r="EA159" s="66">
        <v>0.46</v>
      </c>
      <c r="EB159" s="66">
        <v>0.46</v>
      </c>
      <c r="EC159" s="66">
        <v>0</v>
      </c>
      <c r="ED159" s="66">
        <v>0.49</v>
      </c>
      <c r="EE159" s="66">
        <v>0.42</v>
      </c>
      <c r="EF159" s="66">
        <v>0.46</v>
      </c>
      <c r="EG159" s="66">
        <v>0.11</v>
      </c>
      <c r="EH159" s="66">
        <v>0.22</v>
      </c>
      <c r="EI159" s="66">
        <v>0.48</v>
      </c>
      <c r="EJ159" s="66">
        <v>0.48</v>
      </c>
      <c r="EK159" s="66">
        <v>0.28000000000000003</v>
      </c>
      <c r="EL159" s="66">
        <v>0.4</v>
      </c>
      <c r="EM159" s="66">
        <v>0.49</v>
      </c>
      <c r="EN159" s="66">
        <v>0.32</v>
      </c>
      <c r="EO159" s="66">
        <v>0.49</v>
      </c>
      <c r="EP159" s="66">
        <v>0.33</v>
      </c>
      <c r="EQ159" s="66">
        <v>0.2</v>
      </c>
      <c r="ER159" s="66">
        <v>0.54</v>
      </c>
      <c r="ES159" s="66">
        <v>0.36</v>
      </c>
      <c r="ET159" s="66">
        <v>0.18</v>
      </c>
      <c r="EU159" s="66">
        <v>0.47</v>
      </c>
      <c r="EV159" s="66">
        <v>0.28999999999999998</v>
      </c>
      <c r="EW159" s="66">
        <v>0.32</v>
      </c>
      <c r="EX159" s="66">
        <v>0.7</v>
      </c>
      <c r="EY159" s="66">
        <v>0.47</v>
      </c>
      <c r="EZ159" s="66">
        <v>0</v>
      </c>
      <c r="FA159" s="66">
        <v>0.52</v>
      </c>
      <c r="FB159" s="349">
        <v>52</v>
      </c>
      <c r="FC159" s="348" t="s">
        <v>910</v>
      </c>
      <c r="FD159" s="349">
        <v>9</v>
      </c>
      <c r="FE159" s="348" t="s">
        <v>910</v>
      </c>
      <c r="FF159" s="371">
        <v>0.12</v>
      </c>
      <c r="FG159" s="371">
        <v>0.55000000000000004</v>
      </c>
      <c r="FH159" s="371">
        <v>0.33</v>
      </c>
      <c r="FI159" s="371">
        <v>0</v>
      </c>
      <c r="FJ159" s="371">
        <v>0.36</v>
      </c>
      <c r="FK159" s="371">
        <v>0.65</v>
      </c>
      <c r="FL159" s="371">
        <v>0.52</v>
      </c>
      <c r="FM159" s="371">
        <v>0.41</v>
      </c>
      <c r="FN159" s="371">
        <v>0.34</v>
      </c>
      <c r="FO159" s="371">
        <v>0.3</v>
      </c>
      <c r="FP159" s="371">
        <v>0.33</v>
      </c>
      <c r="FQ159" s="371">
        <v>0.36</v>
      </c>
      <c r="FR159" s="371">
        <v>0.51</v>
      </c>
      <c r="FS159" s="371">
        <v>0.53</v>
      </c>
      <c r="FT159" s="371">
        <v>0.52</v>
      </c>
      <c r="FU159" s="371">
        <v>0.41</v>
      </c>
      <c r="FV159" s="371">
        <v>0.49</v>
      </c>
      <c r="FW159" s="371">
        <v>0.56000000000000005</v>
      </c>
      <c r="FX159" s="371">
        <v>0.36</v>
      </c>
      <c r="FY159" s="371">
        <v>0.28999999999999998</v>
      </c>
      <c r="FZ159" s="371">
        <v>0.39</v>
      </c>
      <c r="GA159" s="371">
        <v>0.48</v>
      </c>
      <c r="GB159" s="371">
        <v>0.47</v>
      </c>
      <c r="GC159" s="371">
        <v>0.32</v>
      </c>
      <c r="GD159" s="371">
        <v>0.52</v>
      </c>
      <c r="GE159" s="371">
        <v>0.43</v>
      </c>
      <c r="GF159" s="371">
        <v>0.4</v>
      </c>
      <c r="GG159" s="371">
        <v>0.4</v>
      </c>
      <c r="GH159" s="371">
        <v>0.52</v>
      </c>
      <c r="GI159" s="371">
        <v>0.26</v>
      </c>
      <c r="GJ159" s="469">
        <v>57</v>
      </c>
      <c r="GK159" s="471" t="s">
        <v>910</v>
      </c>
      <c r="GL159" s="469">
        <v>9</v>
      </c>
      <c r="GM159" s="471" t="s">
        <v>910</v>
      </c>
      <c r="GN159" s="501">
        <v>0</v>
      </c>
      <c r="GO159" s="501">
        <v>0.4</v>
      </c>
      <c r="GP159" s="501">
        <v>0.51</v>
      </c>
      <c r="GQ159" s="501">
        <v>0.09</v>
      </c>
      <c r="GR159" s="501">
        <v>0.38</v>
      </c>
      <c r="GS159" s="501">
        <v>0.4</v>
      </c>
      <c r="GT159" s="501">
        <v>0.5</v>
      </c>
      <c r="GU159" s="501">
        <v>0.06</v>
      </c>
      <c r="GV159" s="501">
        <v>0.48</v>
      </c>
      <c r="GW159" s="501">
        <v>0.33</v>
      </c>
      <c r="GX159" s="501">
        <v>0.32</v>
      </c>
      <c r="GY159" s="471" t="s">
        <v>287</v>
      </c>
      <c r="GZ159" s="501">
        <v>0.13</v>
      </c>
      <c r="HA159" s="501">
        <v>0.67</v>
      </c>
      <c r="HB159" s="501">
        <v>0.34</v>
      </c>
      <c r="HC159" s="501">
        <v>0.36</v>
      </c>
      <c r="HD159" s="501">
        <v>0.47</v>
      </c>
      <c r="HE159" s="501">
        <v>0.28999999999999998</v>
      </c>
      <c r="HF159" s="501">
        <v>0.32</v>
      </c>
      <c r="HG159" s="501">
        <v>0.56000000000000005</v>
      </c>
      <c r="HH159" s="501">
        <v>0.21</v>
      </c>
      <c r="HI159" s="501">
        <v>0.44</v>
      </c>
      <c r="HJ159" s="501">
        <v>0.5</v>
      </c>
      <c r="HK159" s="501">
        <v>0.45</v>
      </c>
      <c r="HL159" s="501">
        <v>0.23</v>
      </c>
      <c r="HM159" s="501">
        <v>0.33</v>
      </c>
      <c r="HN159" s="501">
        <v>0.46</v>
      </c>
      <c r="HO159" s="501">
        <v>0.35</v>
      </c>
      <c r="HP159" s="471" t="s">
        <v>287</v>
      </c>
      <c r="HQ159" s="501">
        <v>0.33</v>
      </c>
      <c r="HR159" s="630">
        <v>55</v>
      </c>
      <c r="HS159" s="640" t="s">
        <v>910</v>
      </c>
      <c r="HT159" s="630">
        <v>8</v>
      </c>
      <c r="HU159" s="640" t="s">
        <v>910</v>
      </c>
      <c r="HV159" s="644">
        <v>0.02</v>
      </c>
      <c r="HW159" s="644">
        <v>0.53</v>
      </c>
      <c r="HX159" s="644">
        <v>0.42</v>
      </c>
      <c r="HY159" s="644">
        <v>0.02</v>
      </c>
      <c r="HZ159" s="644">
        <v>0.33</v>
      </c>
      <c r="IA159" s="644">
        <v>0.46</v>
      </c>
      <c r="IB159" s="644">
        <v>0.32</v>
      </c>
      <c r="IC159" s="644">
        <v>0.52</v>
      </c>
      <c r="ID159" s="644">
        <v>0.54</v>
      </c>
      <c r="IE159" s="644">
        <v>0.36</v>
      </c>
      <c r="IF159" s="644">
        <v>0.34</v>
      </c>
      <c r="IG159" s="644">
        <v>0.51</v>
      </c>
      <c r="IH159" s="644">
        <v>0.35</v>
      </c>
      <c r="II159" s="644">
        <v>0.13</v>
      </c>
      <c r="IJ159" s="644">
        <v>0.19</v>
      </c>
      <c r="IK159" s="644">
        <v>0.49</v>
      </c>
      <c r="IL159" s="644">
        <v>0.26</v>
      </c>
      <c r="IM159" s="644">
        <v>0.46</v>
      </c>
      <c r="IN159" s="644">
        <v>0.28000000000000003</v>
      </c>
      <c r="IO159" s="644">
        <v>0.41</v>
      </c>
      <c r="IP159" s="644">
        <v>0.31</v>
      </c>
      <c r="IQ159" s="644">
        <v>0.57999999999999996</v>
      </c>
      <c r="IR159" s="644">
        <v>0.49</v>
      </c>
      <c r="IS159" s="644">
        <v>0.43</v>
      </c>
      <c r="IT159" s="644">
        <v>0.42</v>
      </c>
      <c r="IU159" s="640" t="s">
        <v>287</v>
      </c>
      <c r="IV159" s="644">
        <v>0.56999999999999995</v>
      </c>
      <c r="IW159" s="644">
        <v>0.38</v>
      </c>
      <c r="IX159" s="644">
        <v>0.41</v>
      </c>
      <c r="IY159" s="644">
        <v>0.42</v>
      </c>
    </row>
    <row r="160" spans="1:259" ht="24.9" customHeight="1" x14ac:dyDescent="0.25">
      <c r="A160" s="188" t="s">
        <v>202</v>
      </c>
      <c r="B160" s="1" t="s">
        <v>222</v>
      </c>
      <c r="C160" s="2">
        <v>5</v>
      </c>
      <c r="D160" s="16">
        <v>55</v>
      </c>
      <c r="E160" s="16">
        <v>7</v>
      </c>
      <c r="F160" s="99">
        <v>0.02</v>
      </c>
      <c r="G160" s="99">
        <v>0.49</v>
      </c>
      <c r="H160" s="99">
        <v>0.48</v>
      </c>
      <c r="I160" s="99">
        <v>0.01</v>
      </c>
      <c r="J160" s="99">
        <v>0.43</v>
      </c>
      <c r="K160" s="99">
        <v>0.34</v>
      </c>
      <c r="L160" s="99">
        <v>0.69</v>
      </c>
      <c r="M160" s="99">
        <v>0.22</v>
      </c>
      <c r="N160" s="99">
        <v>0.27</v>
      </c>
      <c r="O160" s="99">
        <v>0.56000000000000005</v>
      </c>
      <c r="P160" s="99">
        <v>0.28999999999999998</v>
      </c>
      <c r="Q160" s="99">
        <v>0.28999999999999998</v>
      </c>
      <c r="R160" s="99">
        <v>0.5</v>
      </c>
      <c r="S160" s="99">
        <v>0.49</v>
      </c>
      <c r="T160" s="99">
        <v>0.37</v>
      </c>
      <c r="U160" s="99">
        <v>0.55000000000000004</v>
      </c>
      <c r="V160" s="99">
        <v>0.03</v>
      </c>
      <c r="W160" s="99">
        <v>0.09</v>
      </c>
      <c r="X160" s="99">
        <v>0.49</v>
      </c>
      <c r="Y160" s="99">
        <v>0.52</v>
      </c>
      <c r="Z160" s="99">
        <v>0.5</v>
      </c>
      <c r="AA160" s="99">
        <v>0.14000000000000001</v>
      </c>
      <c r="AB160" s="99">
        <v>0.36</v>
      </c>
      <c r="AC160" s="99">
        <v>0.21</v>
      </c>
      <c r="AD160" s="99">
        <v>0.46</v>
      </c>
      <c r="AE160" s="99">
        <v>0.37</v>
      </c>
      <c r="AF160" s="99">
        <v>0.59</v>
      </c>
      <c r="AG160" s="99">
        <v>0.42</v>
      </c>
      <c r="AH160" s="16">
        <v>57</v>
      </c>
      <c r="AI160" s="16">
        <v>7</v>
      </c>
      <c r="AJ160" s="66">
        <v>0.02</v>
      </c>
      <c r="AK160" s="66">
        <v>0.43</v>
      </c>
      <c r="AL160" s="66">
        <v>0.52</v>
      </c>
      <c r="AM160" s="66">
        <v>0.03</v>
      </c>
      <c r="AN160" s="66">
        <v>0.21</v>
      </c>
      <c r="AO160" s="66">
        <v>0.41</v>
      </c>
      <c r="AP160" s="66">
        <v>0.53</v>
      </c>
      <c r="AQ160" s="66">
        <v>0.28000000000000003</v>
      </c>
      <c r="AR160" s="66">
        <v>0.52</v>
      </c>
      <c r="AS160" s="66">
        <v>0.42</v>
      </c>
      <c r="AT160" s="66">
        <v>0.47</v>
      </c>
      <c r="AU160" s="66">
        <v>0.39</v>
      </c>
      <c r="AV160" s="66">
        <v>0.56999999999999995</v>
      </c>
      <c r="AW160" s="66">
        <v>0.4</v>
      </c>
      <c r="AX160" s="66">
        <v>0.44</v>
      </c>
      <c r="AY160" s="66">
        <v>0.21</v>
      </c>
      <c r="AZ160" s="66">
        <v>0.18</v>
      </c>
      <c r="BA160" s="66">
        <v>0.47</v>
      </c>
      <c r="BB160" s="66">
        <v>0.63</v>
      </c>
      <c r="BC160" s="66">
        <v>0.56999999999999995</v>
      </c>
      <c r="BD160" s="66">
        <v>0.32</v>
      </c>
      <c r="BE160" s="66">
        <v>0.44</v>
      </c>
      <c r="BF160" s="66">
        <v>0.42</v>
      </c>
      <c r="BG160" s="66">
        <v>0.42</v>
      </c>
      <c r="BH160" s="66">
        <v>0.36</v>
      </c>
      <c r="BI160" s="66">
        <v>0.31</v>
      </c>
      <c r="BJ160" s="66">
        <v>0.21</v>
      </c>
      <c r="BK160" s="66">
        <v>0.36</v>
      </c>
      <c r="BL160" s="66">
        <v>0.2</v>
      </c>
      <c r="BM160" s="16">
        <v>53</v>
      </c>
      <c r="BN160" s="16">
        <v>8</v>
      </c>
      <c r="BO160" s="99">
        <v>7.0000000000000007E-2</v>
      </c>
      <c r="BP160" s="99">
        <v>0.53</v>
      </c>
      <c r="BQ160" s="99">
        <v>0.39</v>
      </c>
      <c r="BR160" s="99">
        <v>0.02</v>
      </c>
      <c r="BS160" s="99">
        <v>0.21</v>
      </c>
      <c r="BT160" s="99">
        <v>0.51</v>
      </c>
      <c r="BU160" s="99">
        <v>0.62</v>
      </c>
      <c r="BV160" s="99">
        <v>0.13</v>
      </c>
      <c r="BW160" s="99">
        <v>0.65</v>
      </c>
      <c r="BX160" s="99">
        <v>0.3</v>
      </c>
      <c r="BY160" s="99">
        <v>0.41</v>
      </c>
      <c r="BZ160" s="99">
        <v>0.53</v>
      </c>
      <c r="CA160" s="99">
        <v>0.39</v>
      </c>
      <c r="CB160" s="99">
        <v>0.3</v>
      </c>
      <c r="CC160" s="99">
        <v>0.18</v>
      </c>
      <c r="CD160" s="99">
        <v>0.4</v>
      </c>
      <c r="CE160" s="99">
        <v>0.27</v>
      </c>
      <c r="CF160" s="99">
        <v>0.63</v>
      </c>
      <c r="CG160" s="99">
        <v>0.56999999999999995</v>
      </c>
      <c r="CH160" s="99">
        <v>0.38</v>
      </c>
      <c r="CI160" s="99">
        <v>0.5</v>
      </c>
      <c r="CJ160" s="99">
        <v>0.28000000000000003</v>
      </c>
      <c r="CK160" s="99">
        <v>0.69</v>
      </c>
      <c r="CL160" s="99">
        <v>0.2</v>
      </c>
      <c r="CM160" s="99">
        <v>0.33</v>
      </c>
      <c r="CN160" s="99">
        <v>0.35</v>
      </c>
      <c r="CO160" s="99">
        <v>0.37</v>
      </c>
      <c r="CP160" s="99">
        <v>0.34</v>
      </c>
      <c r="CQ160" s="99">
        <v>0.52</v>
      </c>
      <c r="CR160" s="99">
        <v>0.5</v>
      </c>
      <c r="CS160" s="16">
        <v>55</v>
      </c>
      <c r="CT160" s="16">
        <v>8</v>
      </c>
      <c r="CU160" s="96">
        <v>0.02</v>
      </c>
      <c r="CV160" s="96">
        <v>0.55000000000000004</v>
      </c>
      <c r="CW160" s="96">
        <v>0.39</v>
      </c>
      <c r="CX160" s="96">
        <v>0.04</v>
      </c>
      <c r="CY160" s="96">
        <v>0.42</v>
      </c>
      <c r="CZ160" s="96">
        <v>0.22</v>
      </c>
      <c r="DA160" s="96">
        <v>0.5</v>
      </c>
      <c r="DB160" s="96">
        <v>0.23</v>
      </c>
      <c r="DC160" s="96">
        <v>0.39</v>
      </c>
      <c r="DD160" s="96">
        <v>0.56000000000000005</v>
      </c>
      <c r="DE160" s="96">
        <v>0.39</v>
      </c>
      <c r="DF160" s="96">
        <v>0.46</v>
      </c>
      <c r="DG160" s="96">
        <v>0.39</v>
      </c>
      <c r="DH160" s="96">
        <v>0.33</v>
      </c>
      <c r="DI160" s="96">
        <v>0.39</v>
      </c>
      <c r="DJ160" s="96">
        <v>0.37</v>
      </c>
      <c r="DK160" s="96">
        <v>0.27</v>
      </c>
      <c r="DL160" s="96">
        <v>0.25</v>
      </c>
      <c r="DM160" s="96">
        <v>0.37</v>
      </c>
      <c r="DN160" s="96">
        <v>0.43</v>
      </c>
      <c r="DO160" s="96">
        <v>0.28000000000000003</v>
      </c>
      <c r="DP160" s="96">
        <v>0.44</v>
      </c>
      <c r="DQ160" s="96">
        <v>0.44</v>
      </c>
      <c r="DR160" s="96">
        <v>0.16</v>
      </c>
      <c r="DS160" s="96">
        <v>0.3</v>
      </c>
      <c r="DT160" s="96">
        <v>0.53</v>
      </c>
      <c r="DU160" s="96">
        <v>0.42</v>
      </c>
      <c r="DV160" s="96">
        <v>0.51</v>
      </c>
      <c r="DW160" s="96">
        <v>0.27</v>
      </c>
      <c r="DX160" s="61">
        <v>57</v>
      </c>
      <c r="DY160" s="61">
        <v>8</v>
      </c>
      <c r="DZ160" s="66">
        <v>0.02</v>
      </c>
      <c r="EA160" s="66">
        <v>0.38</v>
      </c>
      <c r="EB160" s="66">
        <v>0.56000000000000005</v>
      </c>
      <c r="EC160" s="66">
        <v>0.04</v>
      </c>
      <c r="ED160" s="66">
        <v>0.37</v>
      </c>
      <c r="EE160" s="66">
        <v>0.34</v>
      </c>
      <c r="EF160" s="66">
        <v>0.4</v>
      </c>
      <c r="EG160" s="66">
        <v>0.26</v>
      </c>
      <c r="EH160" s="66">
        <v>0.31</v>
      </c>
      <c r="EI160" s="66">
        <v>0.36</v>
      </c>
      <c r="EJ160" s="66">
        <v>0.45</v>
      </c>
      <c r="EK160" s="66">
        <v>0.1</v>
      </c>
      <c r="EL160" s="66">
        <v>0.27</v>
      </c>
      <c r="EM160" s="66">
        <v>0.53</v>
      </c>
      <c r="EN160" s="66">
        <v>0.28999999999999998</v>
      </c>
      <c r="EO160" s="66">
        <v>0.46</v>
      </c>
      <c r="EP160" s="66">
        <v>0.21</v>
      </c>
      <c r="EQ160" s="66">
        <v>0.1</v>
      </c>
      <c r="ER160" s="66">
        <v>0.54</v>
      </c>
      <c r="ES160" s="66">
        <v>0.35</v>
      </c>
      <c r="ET160" s="66">
        <v>0.19</v>
      </c>
      <c r="EU160" s="66">
        <v>0.49</v>
      </c>
      <c r="EV160" s="66">
        <v>0.19</v>
      </c>
      <c r="EW160" s="66">
        <v>0.19</v>
      </c>
      <c r="EX160" s="66">
        <v>0.49</v>
      </c>
      <c r="EY160" s="66">
        <v>0.43</v>
      </c>
      <c r="EZ160" s="66">
        <v>0.11</v>
      </c>
      <c r="FA160" s="66">
        <v>0.48</v>
      </c>
      <c r="FB160" s="349">
        <v>54</v>
      </c>
      <c r="FC160" s="348" t="s">
        <v>910</v>
      </c>
      <c r="FD160" s="349">
        <v>8</v>
      </c>
      <c r="FE160" s="348" t="s">
        <v>910</v>
      </c>
      <c r="FF160" s="371">
        <v>0.05</v>
      </c>
      <c r="FG160" s="371">
        <v>0.53</v>
      </c>
      <c r="FH160" s="371">
        <v>0.43</v>
      </c>
      <c r="FI160" s="371">
        <v>0</v>
      </c>
      <c r="FJ160" s="371">
        <v>0.37</v>
      </c>
      <c r="FK160" s="371">
        <v>0.66</v>
      </c>
      <c r="FL160" s="371">
        <v>0.38</v>
      </c>
      <c r="FM160" s="371">
        <v>0.36</v>
      </c>
      <c r="FN160" s="371">
        <v>0.2</v>
      </c>
      <c r="FO160" s="371">
        <v>0.23</v>
      </c>
      <c r="FP160" s="371">
        <v>0.28999999999999998</v>
      </c>
      <c r="FQ160" s="371">
        <v>0.32</v>
      </c>
      <c r="FR160" s="371">
        <v>0.57999999999999996</v>
      </c>
      <c r="FS160" s="371">
        <v>0.41</v>
      </c>
      <c r="FT160" s="371">
        <v>0.42</v>
      </c>
      <c r="FU160" s="371">
        <v>0.28999999999999998</v>
      </c>
      <c r="FV160" s="371">
        <v>0.52</v>
      </c>
      <c r="FW160" s="371">
        <v>0.49</v>
      </c>
      <c r="FX160" s="371">
        <v>0.31</v>
      </c>
      <c r="FY160" s="371">
        <v>0.24</v>
      </c>
      <c r="FZ160" s="371">
        <v>0.34</v>
      </c>
      <c r="GA160" s="371">
        <v>0.46</v>
      </c>
      <c r="GB160" s="371">
        <v>0.5</v>
      </c>
      <c r="GC160" s="371">
        <v>0.37</v>
      </c>
      <c r="GD160" s="371">
        <v>0.5</v>
      </c>
      <c r="GE160" s="371">
        <v>0.5</v>
      </c>
      <c r="GF160" s="371">
        <v>0.37</v>
      </c>
      <c r="GG160" s="371">
        <v>0.4</v>
      </c>
      <c r="GH160" s="371">
        <v>0.49</v>
      </c>
      <c r="GI160" s="371">
        <v>0.2</v>
      </c>
      <c r="GJ160" s="469">
        <v>57</v>
      </c>
      <c r="GK160" s="471" t="s">
        <v>910</v>
      </c>
      <c r="GL160" s="469">
        <v>8</v>
      </c>
      <c r="GM160" s="471" t="s">
        <v>910</v>
      </c>
      <c r="GN160" s="501">
        <v>0.02</v>
      </c>
      <c r="GO160" s="501">
        <v>0.39</v>
      </c>
      <c r="GP160" s="501">
        <v>0.53</v>
      </c>
      <c r="GQ160" s="501">
        <v>0.06</v>
      </c>
      <c r="GR160" s="501">
        <v>0.4</v>
      </c>
      <c r="GS160" s="501">
        <v>0.37</v>
      </c>
      <c r="GT160" s="501">
        <v>0.51</v>
      </c>
      <c r="GU160" s="501">
        <v>0.25</v>
      </c>
      <c r="GV160" s="501">
        <v>0.42</v>
      </c>
      <c r="GW160" s="501">
        <v>0.34</v>
      </c>
      <c r="GX160" s="501">
        <v>0.34</v>
      </c>
      <c r="GY160" s="471" t="s">
        <v>287</v>
      </c>
      <c r="GZ160" s="501">
        <v>0.19</v>
      </c>
      <c r="HA160" s="501">
        <v>0.49</v>
      </c>
      <c r="HB160" s="501">
        <v>0.32</v>
      </c>
      <c r="HC160" s="501">
        <v>0.46</v>
      </c>
      <c r="HD160" s="501">
        <v>0.41</v>
      </c>
      <c r="HE160" s="501">
        <v>0.3</v>
      </c>
      <c r="HF160" s="501">
        <v>0.38</v>
      </c>
      <c r="HG160" s="501">
        <v>0.56999999999999995</v>
      </c>
      <c r="HH160" s="501">
        <v>0.2</v>
      </c>
      <c r="HI160" s="501">
        <v>0.43</v>
      </c>
      <c r="HJ160" s="501">
        <v>0.54</v>
      </c>
      <c r="HK160" s="501">
        <v>0.39</v>
      </c>
      <c r="HL160" s="501">
        <v>0.32</v>
      </c>
      <c r="HM160" s="501">
        <v>0.4</v>
      </c>
      <c r="HN160" s="501">
        <v>0.35</v>
      </c>
      <c r="HO160" s="501">
        <v>0.24</v>
      </c>
      <c r="HP160" s="471" t="s">
        <v>287</v>
      </c>
      <c r="HQ160" s="501">
        <v>0.25</v>
      </c>
      <c r="HR160" s="630">
        <v>55</v>
      </c>
      <c r="HS160" s="640" t="s">
        <v>910</v>
      </c>
      <c r="HT160" s="630">
        <v>8</v>
      </c>
      <c r="HU160" s="640" t="s">
        <v>910</v>
      </c>
      <c r="HV160" s="644">
        <v>0.04</v>
      </c>
      <c r="HW160" s="644">
        <v>0.45</v>
      </c>
      <c r="HX160" s="644">
        <v>0.49</v>
      </c>
      <c r="HY160" s="644">
        <v>0.02</v>
      </c>
      <c r="HZ160" s="644">
        <v>0.35</v>
      </c>
      <c r="IA160" s="644">
        <v>0.43</v>
      </c>
      <c r="IB160" s="644">
        <v>0.25</v>
      </c>
      <c r="IC160" s="644">
        <v>0.4</v>
      </c>
      <c r="ID160" s="644">
        <v>0.61</v>
      </c>
      <c r="IE160" s="644">
        <v>0.24</v>
      </c>
      <c r="IF160" s="644">
        <v>0.33</v>
      </c>
      <c r="IG160" s="644">
        <v>0.47</v>
      </c>
      <c r="IH160" s="644">
        <v>0.45</v>
      </c>
      <c r="II160" s="644">
        <v>0.23</v>
      </c>
      <c r="IJ160" s="644">
        <v>0.18</v>
      </c>
      <c r="IK160" s="644">
        <v>0.48</v>
      </c>
      <c r="IL160" s="644">
        <v>0.23</v>
      </c>
      <c r="IM160" s="644">
        <v>0.6</v>
      </c>
      <c r="IN160" s="644">
        <v>0.43</v>
      </c>
      <c r="IO160" s="644">
        <v>0.46</v>
      </c>
      <c r="IP160" s="644">
        <v>0.28999999999999998</v>
      </c>
      <c r="IQ160" s="644">
        <v>0.63</v>
      </c>
      <c r="IR160" s="644">
        <v>0.4</v>
      </c>
      <c r="IS160" s="644">
        <v>0.48</v>
      </c>
      <c r="IT160" s="644">
        <v>0.38</v>
      </c>
      <c r="IU160" s="640" t="s">
        <v>287</v>
      </c>
      <c r="IV160" s="644">
        <v>0.65</v>
      </c>
      <c r="IW160" s="644">
        <v>0.31</v>
      </c>
      <c r="IX160" s="644">
        <v>0.48</v>
      </c>
      <c r="IY160" s="644">
        <v>0.43</v>
      </c>
    </row>
    <row r="161" spans="1:259" ht="24.9" customHeight="1" x14ac:dyDescent="0.25">
      <c r="A161" s="188" t="s">
        <v>880</v>
      </c>
      <c r="B161" s="1" t="s">
        <v>222</v>
      </c>
      <c r="C161" s="2">
        <v>5</v>
      </c>
      <c r="D161" s="16">
        <v>59</v>
      </c>
      <c r="E161" s="16">
        <v>6</v>
      </c>
      <c r="F161" s="99">
        <v>0</v>
      </c>
      <c r="G161" s="99">
        <v>0.21</v>
      </c>
      <c r="H161" s="99">
        <v>0.79</v>
      </c>
      <c r="I161" s="99">
        <v>0</v>
      </c>
      <c r="J161" s="99">
        <v>0.2</v>
      </c>
      <c r="K161" s="99">
        <v>0.28999999999999998</v>
      </c>
      <c r="L161" s="99">
        <v>0.61</v>
      </c>
      <c r="M161" s="99">
        <v>0.08</v>
      </c>
      <c r="N161" s="99">
        <v>0.22</v>
      </c>
      <c r="O161" s="99">
        <v>0.64</v>
      </c>
      <c r="P161" s="99">
        <v>0.38</v>
      </c>
      <c r="Q161" s="99">
        <v>0.49</v>
      </c>
      <c r="R161" s="99">
        <v>0.43</v>
      </c>
      <c r="S161" s="99">
        <v>0.51</v>
      </c>
      <c r="T161" s="99">
        <v>0.38</v>
      </c>
      <c r="U161" s="99">
        <v>0.33</v>
      </c>
      <c r="V161" s="99">
        <v>0</v>
      </c>
      <c r="W161" s="99">
        <v>0</v>
      </c>
      <c r="X161" s="99">
        <v>0.37</v>
      </c>
      <c r="Y161" s="99">
        <v>0.33</v>
      </c>
      <c r="Z161" s="99">
        <v>0</v>
      </c>
      <c r="AA161" s="99">
        <v>0.2</v>
      </c>
      <c r="AB161" s="99">
        <v>0.36</v>
      </c>
      <c r="AC161" s="99">
        <v>0.31</v>
      </c>
      <c r="AD161" s="99">
        <v>0.37</v>
      </c>
      <c r="AE161" s="99">
        <v>0.27</v>
      </c>
      <c r="AF161" s="99">
        <v>0.56000000000000005</v>
      </c>
      <c r="AG161" s="99">
        <v>0.43</v>
      </c>
      <c r="AH161" s="16">
        <v>60</v>
      </c>
      <c r="AI161" s="16">
        <v>5</v>
      </c>
      <c r="AJ161" s="66">
        <v>0</v>
      </c>
      <c r="AK161" s="66">
        <v>0.21</v>
      </c>
      <c r="AL161" s="66">
        <v>0.79</v>
      </c>
      <c r="AM161" s="66">
        <v>0</v>
      </c>
      <c r="AN161" s="66">
        <v>0.21</v>
      </c>
      <c r="AO161" s="66">
        <v>0.3</v>
      </c>
      <c r="AP161" s="66">
        <v>0.33</v>
      </c>
      <c r="AQ161" s="66">
        <v>0.12</v>
      </c>
      <c r="AR161" s="66">
        <v>0.32</v>
      </c>
      <c r="AS161" s="66">
        <v>0.38</v>
      </c>
      <c r="AT161" s="66">
        <v>0.26</v>
      </c>
      <c r="AU161" s="66">
        <v>0.32</v>
      </c>
      <c r="AV161" s="66">
        <v>0.42</v>
      </c>
      <c r="AW161" s="66">
        <v>0.33</v>
      </c>
      <c r="AX161" s="66">
        <v>0.38</v>
      </c>
      <c r="AY161" s="66">
        <v>0.12</v>
      </c>
      <c r="AZ161" s="66">
        <v>0.13</v>
      </c>
      <c r="BA161" s="66">
        <v>0.21</v>
      </c>
      <c r="BB161" s="66">
        <v>0.52</v>
      </c>
      <c r="BC161" s="66">
        <v>0.62</v>
      </c>
      <c r="BD161" s="66">
        <v>0.28000000000000003</v>
      </c>
      <c r="BE161" s="66">
        <v>0.45</v>
      </c>
      <c r="BF161" s="66">
        <v>0.28999999999999998</v>
      </c>
      <c r="BG161" s="66">
        <v>0.52</v>
      </c>
      <c r="BH161" s="66">
        <v>0.39</v>
      </c>
      <c r="BI161" s="66">
        <v>0.27</v>
      </c>
      <c r="BJ161" s="66">
        <v>0.11</v>
      </c>
      <c r="BK161" s="66">
        <v>0.31</v>
      </c>
      <c r="BL161" s="66">
        <v>0.25</v>
      </c>
      <c r="BM161" s="16">
        <v>59</v>
      </c>
      <c r="BN161" s="16">
        <v>10</v>
      </c>
      <c r="BO161" s="99">
        <v>0.03</v>
      </c>
      <c r="BP161" s="99">
        <v>0.34</v>
      </c>
      <c r="BQ161" s="99">
        <v>0.56999999999999995</v>
      </c>
      <c r="BR161" s="99">
        <v>0.06</v>
      </c>
      <c r="BS161" s="99">
        <v>0.21</v>
      </c>
      <c r="BT161" s="99">
        <v>0.5</v>
      </c>
      <c r="BU161" s="99">
        <v>0.53</v>
      </c>
      <c r="BV161" s="99">
        <v>0.13</v>
      </c>
      <c r="BW161" s="99">
        <v>0.49</v>
      </c>
      <c r="BX161" s="99">
        <v>0.22</v>
      </c>
      <c r="BY161" s="99">
        <v>0.31</v>
      </c>
      <c r="BZ161" s="99">
        <v>0.45</v>
      </c>
      <c r="CA161" s="99">
        <v>0.48</v>
      </c>
      <c r="CB161" s="99">
        <v>0.15</v>
      </c>
      <c r="CC161" s="99">
        <v>0.13</v>
      </c>
      <c r="CD161" s="99">
        <v>0.22</v>
      </c>
      <c r="CE161" s="99">
        <v>0.25</v>
      </c>
      <c r="CF161" s="99">
        <v>0.51</v>
      </c>
      <c r="CG161" s="99">
        <v>0.44</v>
      </c>
      <c r="CH161" s="99">
        <v>0.26</v>
      </c>
      <c r="CI161" s="99">
        <v>0.5</v>
      </c>
      <c r="CJ161" s="99">
        <v>0.23</v>
      </c>
      <c r="CK161" s="99">
        <v>0.5</v>
      </c>
      <c r="CL161" s="99">
        <v>0.14000000000000001</v>
      </c>
      <c r="CM161" s="99">
        <v>0.37</v>
      </c>
      <c r="CN161" s="99">
        <v>0.23</v>
      </c>
      <c r="CO161" s="99">
        <v>0.31</v>
      </c>
      <c r="CP161" s="99">
        <v>0.28000000000000003</v>
      </c>
      <c r="CQ161" s="99">
        <v>0.33</v>
      </c>
      <c r="CR161" s="99">
        <v>0.37</v>
      </c>
      <c r="CS161" s="16">
        <v>56</v>
      </c>
      <c r="CT161" s="16">
        <v>7</v>
      </c>
      <c r="CU161" s="96">
        <v>0</v>
      </c>
      <c r="CV161" s="96">
        <v>0.55000000000000004</v>
      </c>
      <c r="CW161" s="96">
        <v>0.45</v>
      </c>
      <c r="CX161" s="96">
        <v>0</v>
      </c>
      <c r="CY161" s="96">
        <v>0.46</v>
      </c>
      <c r="CZ161" s="96">
        <v>0.2</v>
      </c>
      <c r="DA161" s="96">
        <v>0.4</v>
      </c>
      <c r="DB161" s="96">
        <v>0.19</v>
      </c>
      <c r="DC161" s="96">
        <v>0.41</v>
      </c>
      <c r="DD161" s="96">
        <v>0.52</v>
      </c>
      <c r="DE161" s="96">
        <v>0.36</v>
      </c>
      <c r="DF161" s="96">
        <v>0.56000000000000005</v>
      </c>
      <c r="DG161" s="96">
        <v>0.28999999999999998</v>
      </c>
      <c r="DH161" s="96">
        <v>0.39</v>
      </c>
      <c r="DI161" s="96">
        <v>0.53</v>
      </c>
      <c r="DJ161" s="96">
        <v>0.25</v>
      </c>
      <c r="DK161" s="96">
        <v>0.12</v>
      </c>
      <c r="DL161" s="96">
        <v>0</v>
      </c>
      <c r="DM161" s="96">
        <v>0.5</v>
      </c>
      <c r="DN161" s="96">
        <v>0.46</v>
      </c>
      <c r="DO161" s="96">
        <v>0.35</v>
      </c>
      <c r="DP161" s="96">
        <v>0.38</v>
      </c>
      <c r="DQ161" s="96">
        <v>0.46</v>
      </c>
      <c r="DR161" s="96">
        <v>0.05</v>
      </c>
      <c r="DS161" s="96">
        <v>0.21</v>
      </c>
      <c r="DT161" s="96">
        <v>0.61</v>
      </c>
      <c r="DU161" s="96">
        <v>0.5</v>
      </c>
      <c r="DV161" s="96">
        <v>0.53</v>
      </c>
      <c r="DW161" s="96">
        <v>0.34</v>
      </c>
      <c r="DX161" s="61">
        <v>55</v>
      </c>
      <c r="DY161" s="61">
        <v>6</v>
      </c>
      <c r="DZ161" s="66">
        <v>0</v>
      </c>
      <c r="EA161" s="66">
        <v>0.56000000000000005</v>
      </c>
      <c r="EB161" s="66">
        <v>0.44</v>
      </c>
      <c r="EC161" s="66">
        <v>0</v>
      </c>
      <c r="ED161" s="66">
        <v>0.47</v>
      </c>
      <c r="EE161" s="66">
        <v>0.36</v>
      </c>
      <c r="EF161" s="66">
        <v>0.51</v>
      </c>
      <c r="EG161" s="66">
        <v>0.09</v>
      </c>
      <c r="EH161" s="66">
        <v>0.32</v>
      </c>
      <c r="EI161" s="66">
        <v>0.48</v>
      </c>
      <c r="EJ161" s="66">
        <v>0.47</v>
      </c>
      <c r="EK161" s="66">
        <v>0.2</v>
      </c>
      <c r="EL161" s="66">
        <v>0.37</v>
      </c>
      <c r="EM161" s="66">
        <v>0.51</v>
      </c>
      <c r="EN161" s="66">
        <v>0.33</v>
      </c>
      <c r="EO161" s="66">
        <v>0.47</v>
      </c>
      <c r="EP161" s="66">
        <v>0.22</v>
      </c>
      <c r="EQ161" s="66">
        <v>0.14000000000000001</v>
      </c>
      <c r="ER161" s="66">
        <v>0.59</v>
      </c>
      <c r="ES161" s="66">
        <v>0.37</v>
      </c>
      <c r="ET161" s="66">
        <v>0.2</v>
      </c>
      <c r="EU161" s="66">
        <v>0.56999999999999995</v>
      </c>
      <c r="EV161" s="66">
        <v>0.24</v>
      </c>
      <c r="EW161" s="66">
        <v>0.3</v>
      </c>
      <c r="EX161" s="66">
        <v>0.69</v>
      </c>
      <c r="EY161" s="66">
        <v>0.46</v>
      </c>
      <c r="EZ161" s="66">
        <v>0.11</v>
      </c>
      <c r="FA161" s="66">
        <v>0.51</v>
      </c>
      <c r="FB161" s="349">
        <v>55</v>
      </c>
      <c r="FC161" s="348" t="s">
        <v>910</v>
      </c>
      <c r="FD161" s="349">
        <v>9</v>
      </c>
      <c r="FE161" s="348" t="s">
        <v>910</v>
      </c>
      <c r="FF161" s="371">
        <v>0.05</v>
      </c>
      <c r="FG161" s="371">
        <v>0.47</v>
      </c>
      <c r="FH161" s="371">
        <v>0.49</v>
      </c>
      <c r="FI161" s="371">
        <v>0</v>
      </c>
      <c r="FJ161" s="371">
        <v>0.35</v>
      </c>
      <c r="FK161" s="371">
        <v>0.61</v>
      </c>
      <c r="FL161" s="371">
        <v>0.39</v>
      </c>
      <c r="FM161" s="371">
        <v>0.28999999999999998</v>
      </c>
      <c r="FN161" s="371">
        <v>0.22</v>
      </c>
      <c r="FO161" s="371">
        <v>0.14000000000000001</v>
      </c>
      <c r="FP161" s="371">
        <v>0.34</v>
      </c>
      <c r="FQ161" s="371">
        <v>0.39</v>
      </c>
      <c r="FR161" s="371">
        <v>0.49</v>
      </c>
      <c r="FS161" s="371">
        <v>0.42</v>
      </c>
      <c r="FT161" s="371">
        <v>0.42</v>
      </c>
      <c r="FU161" s="371">
        <v>0.21</v>
      </c>
      <c r="FV161" s="371">
        <v>0.42</v>
      </c>
      <c r="FW161" s="371">
        <v>0.52</v>
      </c>
      <c r="FX161" s="371">
        <v>0.32</v>
      </c>
      <c r="FY161" s="371">
        <v>0.27</v>
      </c>
      <c r="FZ161" s="371">
        <v>0.28999999999999998</v>
      </c>
      <c r="GA161" s="371">
        <v>0.51</v>
      </c>
      <c r="GB161" s="371">
        <v>0.42</v>
      </c>
      <c r="GC161" s="371">
        <v>0.4</v>
      </c>
      <c r="GD161" s="371">
        <v>0.53</v>
      </c>
      <c r="GE161" s="371">
        <v>0.4</v>
      </c>
      <c r="GF161" s="371">
        <v>0.44</v>
      </c>
      <c r="GG161" s="371">
        <v>0.36</v>
      </c>
      <c r="GH161" s="371">
        <v>0.53</v>
      </c>
      <c r="GI161" s="371">
        <v>0.22</v>
      </c>
      <c r="GJ161" s="469">
        <v>56</v>
      </c>
      <c r="GK161" s="471" t="s">
        <v>910</v>
      </c>
      <c r="GL161" s="469">
        <v>9</v>
      </c>
      <c r="GM161" s="471" t="s">
        <v>910</v>
      </c>
      <c r="GN161" s="501">
        <v>0.08</v>
      </c>
      <c r="GO161" s="501">
        <v>0.39</v>
      </c>
      <c r="GP161" s="501">
        <v>0.47</v>
      </c>
      <c r="GQ161" s="501">
        <v>0.05</v>
      </c>
      <c r="GR161" s="501">
        <v>0.45</v>
      </c>
      <c r="GS161" s="501">
        <v>0.46</v>
      </c>
      <c r="GT161" s="501">
        <v>0.52</v>
      </c>
      <c r="GU161" s="501">
        <v>0.14000000000000001</v>
      </c>
      <c r="GV161" s="501">
        <v>0.4</v>
      </c>
      <c r="GW161" s="501">
        <v>0.24</v>
      </c>
      <c r="GX161" s="501">
        <v>0.36</v>
      </c>
      <c r="GY161" s="471" t="s">
        <v>287</v>
      </c>
      <c r="GZ161" s="501">
        <v>0.28999999999999998</v>
      </c>
      <c r="HA161" s="501">
        <v>0.56000000000000005</v>
      </c>
      <c r="HB161" s="501">
        <v>0.4</v>
      </c>
      <c r="HC161" s="501">
        <v>0.45</v>
      </c>
      <c r="HD161" s="501">
        <v>0.39</v>
      </c>
      <c r="HE161" s="501">
        <v>0.36</v>
      </c>
      <c r="HF161" s="501">
        <v>0.35</v>
      </c>
      <c r="HG161" s="501">
        <v>0.6</v>
      </c>
      <c r="HH161" s="501">
        <v>0.28999999999999998</v>
      </c>
      <c r="HI161" s="501">
        <v>0.45</v>
      </c>
      <c r="HJ161" s="501">
        <v>0.47</v>
      </c>
      <c r="HK161" s="501">
        <v>0.31</v>
      </c>
      <c r="HL161" s="501">
        <v>0.36</v>
      </c>
      <c r="HM161" s="501">
        <v>0.43</v>
      </c>
      <c r="HN161" s="501">
        <v>0.49</v>
      </c>
      <c r="HO161" s="501">
        <v>0.35</v>
      </c>
      <c r="HP161" s="471" t="s">
        <v>287</v>
      </c>
      <c r="HQ161" s="501">
        <v>0.24</v>
      </c>
      <c r="HR161" s="630">
        <v>58</v>
      </c>
      <c r="HS161" s="640" t="s">
        <v>910</v>
      </c>
      <c r="HT161" s="630">
        <v>8</v>
      </c>
      <c r="HU161" s="640" t="s">
        <v>910</v>
      </c>
      <c r="HV161" s="644">
        <v>0.03</v>
      </c>
      <c r="HW161" s="644">
        <v>0.36</v>
      </c>
      <c r="HX161" s="644">
        <v>0.55000000000000004</v>
      </c>
      <c r="HY161" s="644">
        <v>0.05</v>
      </c>
      <c r="HZ161" s="644">
        <v>0.28000000000000003</v>
      </c>
      <c r="IA161" s="644">
        <v>0.43</v>
      </c>
      <c r="IB161" s="644">
        <v>0.23</v>
      </c>
      <c r="IC161" s="644">
        <v>0.33</v>
      </c>
      <c r="ID161" s="644">
        <v>0.6</v>
      </c>
      <c r="IE161" s="644">
        <v>0.26</v>
      </c>
      <c r="IF161" s="644">
        <v>0.3</v>
      </c>
      <c r="IG161" s="644">
        <v>0.43</v>
      </c>
      <c r="IH161" s="644">
        <v>0.37</v>
      </c>
      <c r="II161" s="644">
        <v>0.17</v>
      </c>
      <c r="IJ161" s="644">
        <v>0.18</v>
      </c>
      <c r="IK161" s="644">
        <v>0.49</v>
      </c>
      <c r="IL161" s="644">
        <v>0.26</v>
      </c>
      <c r="IM161" s="644">
        <v>0.42</v>
      </c>
      <c r="IN161" s="644">
        <v>0.34</v>
      </c>
      <c r="IO161" s="644">
        <v>0.5</v>
      </c>
      <c r="IP161" s="644">
        <v>0.22</v>
      </c>
      <c r="IQ161" s="644">
        <v>0.51</v>
      </c>
      <c r="IR161" s="644">
        <v>0.44</v>
      </c>
      <c r="IS161" s="644">
        <v>0.32</v>
      </c>
      <c r="IT161" s="644">
        <v>0.26</v>
      </c>
      <c r="IU161" s="640" t="s">
        <v>287</v>
      </c>
      <c r="IV161" s="644">
        <v>0.53</v>
      </c>
      <c r="IW161" s="644">
        <v>0.36</v>
      </c>
      <c r="IX161" s="644">
        <v>0.36</v>
      </c>
      <c r="IY161" s="644">
        <v>0.4</v>
      </c>
    </row>
    <row r="162" spans="1:259" ht="24.9" customHeight="1" x14ac:dyDescent="0.25">
      <c r="A162" s="188" t="s">
        <v>177</v>
      </c>
      <c r="B162" s="1" t="s">
        <v>222</v>
      </c>
      <c r="C162" s="2">
        <v>5</v>
      </c>
      <c r="D162" s="16">
        <v>56</v>
      </c>
      <c r="E162" s="16">
        <v>5</v>
      </c>
      <c r="F162" s="99">
        <v>0</v>
      </c>
      <c r="G162" s="99">
        <v>0.56999999999999995</v>
      </c>
      <c r="H162" s="99">
        <v>0.43</v>
      </c>
      <c r="I162" s="99">
        <v>0</v>
      </c>
      <c r="J162" s="99">
        <v>0.36</v>
      </c>
      <c r="K162" s="99">
        <v>0.23</v>
      </c>
      <c r="L162" s="99">
        <v>0.68</v>
      </c>
      <c r="M162" s="99">
        <v>0.05</v>
      </c>
      <c r="N162" s="99">
        <v>0.18</v>
      </c>
      <c r="O162" s="99">
        <v>0.53</v>
      </c>
      <c r="P162" s="99">
        <v>0.28000000000000003</v>
      </c>
      <c r="Q162" s="99">
        <v>0.51</v>
      </c>
      <c r="R162" s="99">
        <v>0.6</v>
      </c>
      <c r="S162" s="99">
        <v>0.47</v>
      </c>
      <c r="T162" s="99">
        <v>0.32</v>
      </c>
      <c r="U162" s="99">
        <v>0.49</v>
      </c>
      <c r="V162" s="99">
        <v>0.09</v>
      </c>
      <c r="W162" s="99">
        <v>0.22</v>
      </c>
      <c r="X162" s="99">
        <v>0.49</v>
      </c>
      <c r="Y162" s="99">
        <v>0.46</v>
      </c>
      <c r="Z162" s="99">
        <v>1</v>
      </c>
      <c r="AA162" s="99">
        <v>0</v>
      </c>
      <c r="AB162" s="99">
        <v>0.42</v>
      </c>
      <c r="AC162" s="99">
        <v>0.09</v>
      </c>
      <c r="AD162" s="99">
        <v>0.4</v>
      </c>
      <c r="AE162" s="99">
        <v>0.31</v>
      </c>
      <c r="AF162" s="99">
        <v>0.59</v>
      </c>
      <c r="AG162" s="99">
        <v>0.51</v>
      </c>
      <c r="AH162" s="16">
        <v>55</v>
      </c>
      <c r="AI162" s="16">
        <v>7</v>
      </c>
      <c r="AJ162" s="66">
        <v>0.03</v>
      </c>
      <c r="AK162" s="66">
        <v>0.48</v>
      </c>
      <c r="AL162" s="66">
        <v>0.48</v>
      </c>
      <c r="AM162" s="66">
        <v>0</v>
      </c>
      <c r="AN162" s="66">
        <v>0.14000000000000001</v>
      </c>
      <c r="AO162" s="66">
        <v>0.38</v>
      </c>
      <c r="AP162" s="66">
        <v>0.63</v>
      </c>
      <c r="AQ162" s="66">
        <v>0.31</v>
      </c>
      <c r="AR162" s="66">
        <v>0.51</v>
      </c>
      <c r="AS162" s="66">
        <v>0.42</v>
      </c>
      <c r="AT162" s="66">
        <v>0.35</v>
      </c>
      <c r="AU162" s="66">
        <v>0.56000000000000005</v>
      </c>
      <c r="AV162" s="66">
        <v>0.57999999999999996</v>
      </c>
      <c r="AW162" s="66">
        <v>0.64</v>
      </c>
      <c r="AX162" s="66">
        <v>0.43</v>
      </c>
      <c r="AY162" s="66">
        <v>0.25</v>
      </c>
      <c r="AZ162" s="66">
        <v>0.21</v>
      </c>
      <c r="BA162" s="66">
        <v>0.33</v>
      </c>
      <c r="BB162" s="66">
        <v>0.51</v>
      </c>
      <c r="BC162" s="66">
        <v>0.54</v>
      </c>
      <c r="BD162" s="66">
        <v>0.36</v>
      </c>
      <c r="BE162" s="66">
        <v>0.79</v>
      </c>
      <c r="BF162" s="66">
        <v>0.64</v>
      </c>
      <c r="BG162" s="66">
        <v>0.52</v>
      </c>
      <c r="BH162" s="66">
        <v>0.43</v>
      </c>
      <c r="BI162" s="66">
        <v>0.31</v>
      </c>
      <c r="BJ162" s="66">
        <v>0.36</v>
      </c>
      <c r="BK162" s="66">
        <v>0.36</v>
      </c>
      <c r="BL162" s="66">
        <v>0.47</v>
      </c>
      <c r="BM162" s="16">
        <v>57</v>
      </c>
      <c r="BN162" s="16">
        <v>5</v>
      </c>
      <c r="BO162" s="99">
        <v>0</v>
      </c>
      <c r="BP162" s="99">
        <v>0.28000000000000003</v>
      </c>
      <c r="BQ162" s="99">
        <v>0.72</v>
      </c>
      <c r="BR162" s="99">
        <v>0</v>
      </c>
      <c r="BS162" s="99">
        <v>0.14000000000000001</v>
      </c>
      <c r="BT162" s="99">
        <v>0.78</v>
      </c>
      <c r="BU162" s="99">
        <v>0.56000000000000005</v>
      </c>
      <c r="BV162" s="99">
        <v>0.09</v>
      </c>
      <c r="BW162" s="99">
        <v>0.8</v>
      </c>
      <c r="BX162" s="99">
        <v>0.27</v>
      </c>
      <c r="BY162" s="99">
        <v>0.26</v>
      </c>
      <c r="BZ162" s="99">
        <v>0.41</v>
      </c>
      <c r="CA162" s="99">
        <v>0.38</v>
      </c>
      <c r="CB162" s="99">
        <v>0.19</v>
      </c>
      <c r="CC162" s="99">
        <v>0.08</v>
      </c>
      <c r="CD162" s="99">
        <v>0.14000000000000001</v>
      </c>
      <c r="CE162" s="99">
        <v>0.11</v>
      </c>
      <c r="CF162" s="99">
        <v>0.5</v>
      </c>
      <c r="CG162" s="99">
        <v>0.5</v>
      </c>
      <c r="CH162" s="99">
        <v>0.28999999999999998</v>
      </c>
      <c r="CI162" s="99">
        <v>0.49</v>
      </c>
      <c r="CJ162" s="99">
        <v>0.26</v>
      </c>
      <c r="CK162" s="99">
        <v>0.49</v>
      </c>
      <c r="CL162" s="99">
        <v>0.18</v>
      </c>
      <c r="CM162" s="99">
        <v>0.2</v>
      </c>
      <c r="CN162" s="99">
        <v>0.3</v>
      </c>
      <c r="CO162" s="99">
        <v>0.38</v>
      </c>
      <c r="CP162" s="99">
        <v>0.18</v>
      </c>
      <c r="CQ162" s="99">
        <v>0.48</v>
      </c>
      <c r="CR162" s="99">
        <v>0.47</v>
      </c>
      <c r="CS162" s="16">
        <v>53</v>
      </c>
      <c r="CT162" s="16">
        <v>8</v>
      </c>
      <c r="CU162" s="96">
        <v>0.05</v>
      </c>
      <c r="CV162" s="96">
        <v>0.5</v>
      </c>
      <c r="CW162" s="96">
        <v>0.4</v>
      </c>
      <c r="CX162" s="96">
        <v>0.05</v>
      </c>
      <c r="CY162" s="96">
        <v>0.44</v>
      </c>
      <c r="CZ162" s="96">
        <v>0.23</v>
      </c>
      <c r="DA162" s="96">
        <v>0.49</v>
      </c>
      <c r="DB162" s="96">
        <v>0.32</v>
      </c>
      <c r="DC162" s="96">
        <v>0.39</v>
      </c>
      <c r="DD162" s="96">
        <v>0.62</v>
      </c>
      <c r="DE162" s="96">
        <v>0.43</v>
      </c>
      <c r="DF162" s="96">
        <v>0.46</v>
      </c>
      <c r="DG162" s="96">
        <v>0.43</v>
      </c>
      <c r="DH162" s="96">
        <v>0.28999999999999998</v>
      </c>
      <c r="DI162" s="96">
        <v>0.38</v>
      </c>
      <c r="DJ162" s="96">
        <v>0.36</v>
      </c>
      <c r="DK162" s="96">
        <v>0.33</v>
      </c>
      <c r="DL162" s="96">
        <v>0.4</v>
      </c>
      <c r="DM162" s="96">
        <v>0.49</v>
      </c>
      <c r="DN162" s="96">
        <v>0.38</v>
      </c>
      <c r="DO162" s="96">
        <v>0.38</v>
      </c>
      <c r="DP162" s="96">
        <v>0.43</v>
      </c>
      <c r="DQ162" s="96">
        <v>0.5</v>
      </c>
      <c r="DR162" s="96">
        <v>0.15</v>
      </c>
      <c r="DS162" s="96">
        <v>0.33</v>
      </c>
      <c r="DT162" s="96">
        <v>0.61</v>
      </c>
      <c r="DU162" s="96">
        <v>0.56000000000000005</v>
      </c>
      <c r="DV162" s="96">
        <v>0.4</v>
      </c>
      <c r="DW162" s="96">
        <v>0.24</v>
      </c>
      <c r="DX162" s="61">
        <v>56</v>
      </c>
      <c r="DY162" s="61">
        <v>6</v>
      </c>
      <c r="DZ162" s="66">
        <v>0.05</v>
      </c>
      <c r="EA162" s="66">
        <v>0.28999999999999998</v>
      </c>
      <c r="EB162" s="66">
        <v>0.67</v>
      </c>
      <c r="EC162" s="66">
        <v>0</v>
      </c>
      <c r="ED162" s="66">
        <v>0.48</v>
      </c>
      <c r="EE162" s="66">
        <v>0.39</v>
      </c>
      <c r="EF162" s="66">
        <v>0.44</v>
      </c>
      <c r="EG162" s="66">
        <v>0.08</v>
      </c>
      <c r="EH162" s="66">
        <v>0.23</v>
      </c>
      <c r="EI162" s="66">
        <v>0.37</v>
      </c>
      <c r="EJ162" s="66">
        <v>0.59</v>
      </c>
      <c r="EK162" s="66">
        <v>0.15</v>
      </c>
      <c r="EL162" s="66">
        <v>0.34</v>
      </c>
      <c r="EM162" s="66">
        <v>0.47</v>
      </c>
      <c r="EN162" s="66">
        <v>0.27</v>
      </c>
      <c r="EO162" s="66">
        <v>0.48</v>
      </c>
      <c r="EP162" s="66">
        <v>0.33</v>
      </c>
      <c r="EQ162" s="66">
        <v>0.08</v>
      </c>
      <c r="ER162" s="66">
        <v>0.35</v>
      </c>
      <c r="ES162" s="66">
        <v>0.38</v>
      </c>
      <c r="ET162" s="66">
        <v>0.24</v>
      </c>
      <c r="EU162" s="66">
        <v>0.32</v>
      </c>
      <c r="EV162" s="66">
        <v>0.13</v>
      </c>
      <c r="EW162" s="66">
        <v>0.21</v>
      </c>
      <c r="EX162" s="66">
        <v>0.55000000000000004</v>
      </c>
      <c r="EY162" s="66">
        <v>0.45</v>
      </c>
      <c r="EZ162" s="66">
        <v>0</v>
      </c>
      <c r="FA162" s="66">
        <v>0.47</v>
      </c>
      <c r="FB162" s="349">
        <v>54</v>
      </c>
      <c r="FC162" s="348" t="s">
        <v>910</v>
      </c>
      <c r="FD162" s="349">
        <v>9</v>
      </c>
      <c r="FE162" s="348" t="s">
        <v>910</v>
      </c>
      <c r="FF162" s="371">
        <v>7.0000000000000007E-2</v>
      </c>
      <c r="FG162" s="371">
        <v>0.56999999999999995</v>
      </c>
      <c r="FH162" s="371">
        <v>0.36</v>
      </c>
      <c r="FI162" s="371">
        <v>0</v>
      </c>
      <c r="FJ162" s="371">
        <v>0.45</v>
      </c>
      <c r="FK162" s="371">
        <v>0.56000000000000005</v>
      </c>
      <c r="FL162" s="371">
        <v>0.42</v>
      </c>
      <c r="FM162" s="371">
        <v>0.42</v>
      </c>
      <c r="FN162" s="371">
        <v>0.2</v>
      </c>
      <c r="FO162" s="371">
        <v>0.05</v>
      </c>
      <c r="FP162" s="371">
        <v>0.3</v>
      </c>
      <c r="FQ162" s="371">
        <v>0.35</v>
      </c>
      <c r="FR162" s="371">
        <v>0.48</v>
      </c>
      <c r="FS162" s="371">
        <v>0.48</v>
      </c>
      <c r="FT162" s="371">
        <v>0.45</v>
      </c>
      <c r="FU162" s="371">
        <v>0.28999999999999998</v>
      </c>
      <c r="FV162" s="371">
        <v>0.52</v>
      </c>
      <c r="FW162" s="371">
        <v>0.6</v>
      </c>
      <c r="FX162" s="371">
        <v>0.44</v>
      </c>
      <c r="FY162" s="371">
        <v>0.4</v>
      </c>
      <c r="FZ162" s="371">
        <v>0.15</v>
      </c>
      <c r="GA162" s="371">
        <v>0.28999999999999998</v>
      </c>
      <c r="GB162" s="371">
        <v>0.5</v>
      </c>
      <c r="GC162" s="371">
        <v>0.26</v>
      </c>
      <c r="GD162" s="371">
        <v>0.67</v>
      </c>
      <c r="GE162" s="371">
        <v>0.5</v>
      </c>
      <c r="GF162" s="371">
        <v>0.36</v>
      </c>
      <c r="GG162" s="371">
        <v>0.26</v>
      </c>
      <c r="GH162" s="371">
        <v>0.41</v>
      </c>
      <c r="GI162" s="371">
        <v>0.26</v>
      </c>
      <c r="GJ162" s="469">
        <v>57</v>
      </c>
      <c r="GK162" s="471" t="s">
        <v>910</v>
      </c>
      <c r="GL162" s="469">
        <v>6</v>
      </c>
      <c r="GM162" s="471" t="s">
        <v>910</v>
      </c>
      <c r="GN162" s="501">
        <v>0</v>
      </c>
      <c r="GO162" s="501">
        <v>0.35</v>
      </c>
      <c r="GP162" s="501">
        <v>0.65</v>
      </c>
      <c r="GQ162" s="501">
        <v>0</v>
      </c>
      <c r="GR162" s="501">
        <v>0.33</v>
      </c>
      <c r="GS162" s="501">
        <v>0.44</v>
      </c>
      <c r="GT162" s="501">
        <v>0.59</v>
      </c>
      <c r="GU162" s="501">
        <v>0.09</v>
      </c>
      <c r="GV162" s="501">
        <v>0.41</v>
      </c>
      <c r="GW162" s="501">
        <v>0.21</v>
      </c>
      <c r="GX162" s="501">
        <v>0.35</v>
      </c>
      <c r="GY162" s="471" t="s">
        <v>287</v>
      </c>
      <c r="GZ162" s="501">
        <v>0.15</v>
      </c>
      <c r="HA162" s="501">
        <v>0.56999999999999995</v>
      </c>
      <c r="HB162" s="501">
        <v>0.35</v>
      </c>
      <c r="HC162" s="501">
        <v>0.49</v>
      </c>
      <c r="HD162" s="501">
        <v>0.41</v>
      </c>
      <c r="HE162" s="501">
        <v>0.23</v>
      </c>
      <c r="HF162" s="501">
        <v>0.37</v>
      </c>
      <c r="HG162" s="501">
        <v>0.65</v>
      </c>
      <c r="HH162" s="501">
        <v>0.24</v>
      </c>
      <c r="HI162" s="501">
        <v>0.44</v>
      </c>
      <c r="HJ162" s="501">
        <v>0.52</v>
      </c>
      <c r="HK162" s="501">
        <v>0.2</v>
      </c>
      <c r="HL162" s="501">
        <v>0.28000000000000003</v>
      </c>
      <c r="HM162" s="501">
        <v>0.43</v>
      </c>
      <c r="HN162" s="501">
        <v>0.4</v>
      </c>
      <c r="HO162" s="501">
        <v>0.31</v>
      </c>
      <c r="HP162" s="471" t="s">
        <v>287</v>
      </c>
      <c r="HQ162" s="501">
        <v>0.27</v>
      </c>
      <c r="HR162" s="630">
        <v>55</v>
      </c>
      <c r="HS162" s="640" t="s">
        <v>910</v>
      </c>
      <c r="HT162" s="630">
        <v>8</v>
      </c>
      <c r="HU162" s="640" t="s">
        <v>910</v>
      </c>
      <c r="HV162" s="644">
        <v>7.0000000000000007E-2</v>
      </c>
      <c r="HW162" s="644">
        <v>0.55000000000000004</v>
      </c>
      <c r="HX162" s="644">
        <v>0.33</v>
      </c>
      <c r="HY162" s="644">
        <v>0.05</v>
      </c>
      <c r="HZ162" s="644">
        <v>0.26</v>
      </c>
      <c r="IA162" s="644">
        <v>0.38</v>
      </c>
      <c r="IB162" s="644">
        <v>0.25</v>
      </c>
      <c r="IC162" s="644">
        <v>0.44</v>
      </c>
      <c r="ID162" s="644">
        <v>0.56999999999999995</v>
      </c>
      <c r="IE162" s="644">
        <v>0.28000000000000003</v>
      </c>
      <c r="IF162" s="644">
        <v>0.4</v>
      </c>
      <c r="IG162" s="644">
        <v>0.47</v>
      </c>
      <c r="IH162" s="644">
        <v>0.48</v>
      </c>
      <c r="II162" s="644">
        <v>0.19</v>
      </c>
      <c r="IJ162" s="644">
        <v>0.28000000000000003</v>
      </c>
      <c r="IK162" s="644">
        <v>0.5</v>
      </c>
      <c r="IL162" s="644">
        <v>0.33</v>
      </c>
      <c r="IM162" s="644">
        <v>0.53</v>
      </c>
      <c r="IN162" s="644">
        <v>0.41</v>
      </c>
      <c r="IO162" s="644">
        <v>0.44</v>
      </c>
      <c r="IP162" s="644">
        <v>0.33</v>
      </c>
      <c r="IQ162" s="644">
        <v>0.54</v>
      </c>
      <c r="IR162" s="644">
        <v>0.43</v>
      </c>
      <c r="IS162" s="644">
        <v>0.47</v>
      </c>
      <c r="IT162" s="644">
        <v>0.32</v>
      </c>
      <c r="IU162" s="640" t="s">
        <v>287</v>
      </c>
      <c r="IV162" s="644">
        <v>0.55000000000000004</v>
      </c>
      <c r="IW162" s="644">
        <v>0.35</v>
      </c>
      <c r="IX162" s="644">
        <v>0.34</v>
      </c>
      <c r="IY162" s="644">
        <v>0.4</v>
      </c>
    </row>
    <row r="163" spans="1:259" ht="24.9" customHeight="1" x14ac:dyDescent="0.25">
      <c r="A163" s="188" t="s">
        <v>289</v>
      </c>
      <c r="B163" s="1" t="s">
        <v>222</v>
      </c>
      <c r="C163" s="2">
        <v>4</v>
      </c>
      <c r="D163" s="16">
        <v>43</v>
      </c>
      <c r="E163" s="16">
        <v>7</v>
      </c>
      <c r="F163" s="99">
        <v>0.5</v>
      </c>
      <c r="G163" s="99">
        <v>0.5</v>
      </c>
      <c r="H163" s="99">
        <v>0</v>
      </c>
      <c r="I163" s="99">
        <v>0</v>
      </c>
      <c r="J163" s="99">
        <v>1</v>
      </c>
      <c r="K163" s="99">
        <v>1</v>
      </c>
      <c r="L163" s="99">
        <v>1</v>
      </c>
      <c r="M163" s="99">
        <v>0.5</v>
      </c>
      <c r="N163" s="99">
        <v>0.5</v>
      </c>
      <c r="O163" s="99">
        <v>0.67</v>
      </c>
      <c r="P163" s="99">
        <v>0.5</v>
      </c>
      <c r="Q163" s="99">
        <v>0.25</v>
      </c>
      <c r="R163" s="99">
        <v>0.5</v>
      </c>
      <c r="S163" s="99">
        <v>0.25</v>
      </c>
      <c r="T163" s="99">
        <v>0.5</v>
      </c>
      <c r="U163" s="99">
        <v>1</v>
      </c>
      <c r="V163" s="99">
        <v>0</v>
      </c>
      <c r="W163" s="99">
        <v>0.5</v>
      </c>
      <c r="X163" s="99">
        <v>1</v>
      </c>
      <c r="Y163" s="99">
        <v>1</v>
      </c>
      <c r="Z163" s="13" t="s">
        <v>287</v>
      </c>
      <c r="AA163" s="99">
        <v>0.5</v>
      </c>
      <c r="AB163" s="99">
        <v>0.83</v>
      </c>
      <c r="AC163" s="99">
        <v>0.75</v>
      </c>
      <c r="AD163" s="99">
        <v>1</v>
      </c>
      <c r="AE163" s="99">
        <v>1</v>
      </c>
      <c r="AF163" s="99">
        <v>0.25</v>
      </c>
      <c r="AG163" s="99">
        <v>0.67</v>
      </c>
      <c r="AH163" s="16">
        <v>42</v>
      </c>
      <c r="AI163" s="16">
        <v>7</v>
      </c>
      <c r="AJ163" s="66">
        <v>0.4</v>
      </c>
      <c r="AK163" s="66">
        <v>0.6</v>
      </c>
      <c r="AL163" s="66">
        <v>0</v>
      </c>
      <c r="AM163" s="66">
        <v>0</v>
      </c>
      <c r="AN163" s="66">
        <v>0.44</v>
      </c>
      <c r="AO163" s="66">
        <v>0.69</v>
      </c>
      <c r="AP163" s="66">
        <v>0.86</v>
      </c>
      <c r="AQ163" s="66">
        <v>0.4</v>
      </c>
      <c r="AR163" s="66">
        <v>0.63</v>
      </c>
      <c r="AS163" s="66">
        <v>0.62</v>
      </c>
      <c r="AT163" s="66">
        <v>0.7</v>
      </c>
      <c r="AU163" s="66">
        <v>0.77</v>
      </c>
      <c r="AV163" s="66">
        <v>0.61</v>
      </c>
      <c r="AW163" s="66">
        <v>0.63</v>
      </c>
      <c r="AX163" s="66">
        <v>0.63</v>
      </c>
      <c r="AY163" s="66">
        <v>0.52</v>
      </c>
      <c r="AZ163" s="66">
        <v>0.73</v>
      </c>
      <c r="BA163" s="66">
        <v>0.57999999999999996</v>
      </c>
      <c r="BB163" s="66">
        <v>0.69</v>
      </c>
      <c r="BC163" s="66">
        <v>0.71</v>
      </c>
      <c r="BD163" s="66">
        <v>0.72</v>
      </c>
      <c r="BE163" s="66">
        <v>1</v>
      </c>
      <c r="BF163" s="66">
        <v>0.67</v>
      </c>
      <c r="BG163" s="66">
        <v>0.79</v>
      </c>
      <c r="BH163" s="66">
        <v>0.71</v>
      </c>
      <c r="BI163" s="66">
        <v>0.5</v>
      </c>
      <c r="BJ163" s="66">
        <v>0.6</v>
      </c>
      <c r="BK163" s="66">
        <v>0.75</v>
      </c>
      <c r="BL163" s="66">
        <v>0.25</v>
      </c>
      <c r="BM163" s="16">
        <v>43</v>
      </c>
      <c r="BN163" s="16">
        <v>5</v>
      </c>
      <c r="BO163" s="99">
        <v>0.38</v>
      </c>
      <c r="BP163" s="99">
        <v>0.63</v>
      </c>
      <c r="BQ163" s="99">
        <v>0</v>
      </c>
      <c r="BR163" s="99">
        <v>0</v>
      </c>
      <c r="BS163" s="99">
        <v>0.38</v>
      </c>
      <c r="BT163" s="99">
        <v>1</v>
      </c>
      <c r="BU163" s="99">
        <v>0.6</v>
      </c>
      <c r="BV163" s="99">
        <v>0.5</v>
      </c>
      <c r="BW163" s="99">
        <v>0.77</v>
      </c>
      <c r="BX163" s="99">
        <v>0.53</v>
      </c>
      <c r="BY163" s="99">
        <v>0.92</v>
      </c>
      <c r="BZ163" s="99">
        <v>0.67</v>
      </c>
      <c r="CA163" s="99">
        <v>0.54</v>
      </c>
      <c r="CB163" s="99">
        <v>0.7</v>
      </c>
      <c r="CC163" s="99">
        <v>0.18</v>
      </c>
      <c r="CD163" s="99">
        <v>0.57999999999999996</v>
      </c>
      <c r="CE163" s="99">
        <v>0.55000000000000004</v>
      </c>
      <c r="CF163" s="99">
        <v>0.71</v>
      </c>
      <c r="CG163" s="99">
        <v>0.71</v>
      </c>
      <c r="CH163" s="99">
        <v>0.59</v>
      </c>
      <c r="CI163" s="99">
        <v>0.81</v>
      </c>
      <c r="CJ163" s="99">
        <v>0.33</v>
      </c>
      <c r="CK163" s="99">
        <v>0.69</v>
      </c>
      <c r="CL163" s="99">
        <v>0.55000000000000004</v>
      </c>
      <c r="CM163" s="99">
        <v>0.56999999999999995</v>
      </c>
      <c r="CN163" s="99">
        <v>0.64</v>
      </c>
      <c r="CO163" s="99">
        <v>0.8</v>
      </c>
      <c r="CP163" s="99">
        <v>0.57999999999999996</v>
      </c>
      <c r="CQ163" s="99">
        <v>0.61</v>
      </c>
      <c r="CR163" s="99">
        <v>0.76</v>
      </c>
      <c r="CS163" s="16">
        <v>43</v>
      </c>
      <c r="CT163" s="16">
        <v>5</v>
      </c>
      <c r="CU163" s="96">
        <v>0.25</v>
      </c>
      <c r="CV163" s="96">
        <v>0.75</v>
      </c>
      <c r="CW163" s="96">
        <v>0</v>
      </c>
      <c r="CX163" s="96">
        <v>0</v>
      </c>
      <c r="CY163" s="96">
        <v>0.53</v>
      </c>
      <c r="CZ163" s="96">
        <v>0.47</v>
      </c>
      <c r="DA163" s="96">
        <v>0.67</v>
      </c>
      <c r="DB163" s="96">
        <v>0.83</v>
      </c>
      <c r="DC163" s="96">
        <v>0.44</v>
      </c>
      <c r="DD163" s="96">
        <v>0.75</v>
      </c>
      <c r="DE163" s="96">
        <v>0.6</v>
      </c>
      <c r="DF163" s="96">
        <v>0.54</v>
      </c>
      <c r="DG163" s="96">
        <v>0.4</v>
      </c>
      <c r="DH163" s="96">
        <v>0.63</v>
      </c>
      <c r="DI163" s="96">
        <v>0.63</v>
      </c>
      <c r="DJ163" s="96">
        <v>0.9</v>
      </c>
      <c r="DK163" s="96">
        <v>0.5</v>
      </c>
      <c r="DL163" s="96">
        <v>1</v>
      </c>
      <c r="DM163" s="96">
        <v>0.6</v>
      </c>
      <c r="DN163" s="96">
        <v>0.67</v>
      </c>
      <c r="DO163" s="96">
        <v>0.75</v>
      </c>
      <c r="DP163" s="96">
        <v>0.71</v>
      </c>
      <c r="DQ163" s="96">
        <v>0.65</v>
      </c>
      <c r="DR163" s="96">
        <v>0.33</v>
      </c>
      <c r="DS163" s="96">
        <v>0.5</v>
      </c>
      <c r="DT163" s="96">
        <v>0.56999999999999995</v>
      </c>
      <c r="DU163" s="96">
        <v>0</v>
      </c>
      <c r="DV163" s="96">
        <v>0.44</v>
      </c>
      <c r="DW163" s="96">
        <v>0.33</v>
      </c>
      <c r="DX163" s="61">
        <v>40</v>
      </c>
      <c r="DY163" s="61">
        <v>5</v>
      </c>
      <c r="DZ163" s="66">
        <v>0.5</v>
      </c>
      <c r="EA163" s="66">
        <v>0.5</v>
      </c>
      <c r="EB163" s="66">
        <v>0</v>
      </c>
      <c r="EC163" s="66">
        <v>0</v>
      </c>
      <c r="ED163" s="66">
        <v>0.62</v>
      </c>
      <c r="EE163" s="66">
        <v>0.5</v>
      </c>
      <c r="EF163" s="66">
        <v>0.67</v>
      </c>
      <c r="EG163" s="66">
        <v>0.5</v>
      </c>
      <c r="EH163" s="66">
        <v>0.5</v>
      </c>
      <c r="EI163" s="66">
        <v>0.9</v>
      </c>
      <c r="EJ163" s="66">
        <v>0.5</v>
      </c>
      <c r="EK163" s="66">
        <v>0.2</v>
      </c>
      <c r="EL163" s="66">
        <v>0.82</v>
      </c>
      <c r="EM163" s="66">
        <v>0.83</v>
      </c>
      <c r="EN163" s="66">
        <v>0.75</v>
      </c>
      <c r="EO163" s="66">
        <v>0.88</v>
      </c>
      <c r="EP163" s="66">
        <v>0.36</v>
      </c>
      <c r="EQ163" s="66">
        <v>0.5</v>
      </c>
      <c r="ER163" s="66">
        <v>0.73</v>
      </c>
      <c r="ES163" s="66">
        <v>0.73</v>
      </c>
      <c r="ET163" s="66">
        <v>0.5</v>
      </c>
      <c r="EU163" s="66">
        <v>0.4</v>
      </c>
      <c r="EV163" s="66">
        <v>1</v>
      </c>
      <c r="EW163" s="66">
        <v>0.63</v>
      </c>
      <c r="EX163" s="66">
        <v>1</v>
      </c>
      <c r="EY163" s="66">
        <v>0.81</v>
      </c>
      <c r="EZ163" s="66">
        <v>0</v>
      </c>
      <c r="FA163" s="66">
        <v>1</v>
      </c>
      <c r="FB163" s="349">
        <v>45</v>
      </c>
      <c r="FC163" s="348" t="s">
        <v>910</v>
      </c>
      <c r="FD163" s="349">
        <v>7</v>
      </c>
      <c r="FE163" s="348" t="s">
        <v>910</v>
      </c>
      <c r="FF163" s="371">
        <v>0.36</v>
      </c>
      <c r="FG163" s="371">
        <v>0.55000000000000004</v>
      </c>
      <c r="FH163" s="371">
        <v>0.09</v>
      </c>
      <c r="FI163" s="371">
        <v>0</v>
      </c>
      <c r="FJ163" s="371">
        <v>0.59</v>
      </c>
      <c r="FK163" s="371">
        <v>0.75</v>
      </c>
      <c r="FL163" s="371">
        <v>0.45</v>
      </c>
      <c r="FM163" s="371">
        <v>0.44</v>
      </c>
      <c r="FN163" s="371">
        <v>0.55000000000000004</v>
      </c>
      <c r="FO163" s="371">
        <v>0.28999999999999998</v>
      </c>
      <c r="FP163" s="371">
        <v>0.56999999999999995</v>
      </c>
      <c r="FQ163" s="371">
        <v>0.48</v>
      </c>
      <c r="FR163" s="371">
        <v>0.63</v>
      </c>
      <c r="FS163" s="371">
        <v>0.44</v>
      </c>
      <c r="FT163" s="371">
        <v>0.83</v>
      </c>
      <c r="FU163" s="371">
        <v>0.6</v>
      </c>
      <c r="FV163" s="371">
        <v>0.73</v>
      </c>
      <c r="FW163" s="371">
        <v>0.67</v>
      </c>
      <c r="FX163" s="371">
        <v>0.67</v>
      </c>
      <c r="FY163" s="371">
        <v>0.44</v>
      </c>
      <c r="FZ163" s="371">
        <v>0.47</v>
      </c>
      <c r="GA163" s="371">
        <v>0.44</v>
      </c>
      <c r="GB163" s="371">
        <v>0.5</v>
      </c>
      <c r="GC163" s="371">
        <v>0.5</v>
      </c>
      <c r="GD163" s="371">
        <v>0.76</v>
      </c>
      <c r="GE163" s="371">
        <v>0.64</v>
      </c>
      <c r="GF163" s="371">
        <v>0.5</v>
      </c>
      <c r="GG163" s="371">
        <v>0.67</v>
      </c>
      <c r="GH163" s="371">
        <v>0.63</v>
      </c>
      <c r="GI163" s="371">
        <v>0.41</v>
      </c>
      <c r="GJ163" s="469">
        <v>48</v>
      </c>
      <c r="GK163" s="471" t="s">
        <v>910</v>
      </c>
      <c r="GL163" s="469">
        <v>7</v>
      </c>
      <c r="GM163" s="471" t="s">
        <v>910</v>
      </c>
      <c r="GN163" s="501">
        <v>0.09</v>
      </c>
      <c r="GO163" s="501">
        <v>0.82</v>
      </c>
      <c r="GP163" s="501">
        <v>0.09</v>
      </c>
      <c r="GQ163" s="501">
        <v>0</v>
      </c>
      <c r="GR163" s="501">
        <v>0.54</v>
      </c>
      <c r="GS163" s="501">
        <v>0.65</v>
      </c>
      <c r="GT163" s="501">
        <v>0.73</v>
      </c>
      <c r="GU163" s="501">
        <v>0</v>
      </c>
      <c r="GV163" s="501">
        <v>0.75</v>
      </c>
      <c r="GW163" s="501">
        <v>0.42</v>
      </c>
      <c r="GX163" s="501">
        <v>0.47</v>
      </c>
      <c r="GY163" s="471" t="s">
        <v>287</v>
      </c>
      <c r="GZ163" s="501">
        <v>0.2</v>
      </c>
      <c r="HA163" s="501">
        <v>0.5</v>
      </c>
      <c r="HB163" s="501">
        <v>0.56000000000000005</v>
      </c>
      <c r="HC163" s="501">
        <v>0.53</v>
      </c>
      <c r="HD163" s="501">
        <v>0.59</v>
      </c>
      <c r="HE163" s="501">
        <v>0.38</v>
      </c>
      <c r="HF163" s="501">
        <v>0.55000000000000004</v>
      </c>
      <c r="HG163" s="501">
        <v>0.57999999999999996</v>
      </c>
      <c r="HH163" s="501">
        <v>0.45</v>
      </c>
      <c r="HI163" s="501">
        <v>0.71</v>
      </c>
      <c r="HJ163" s="501">
        <v>0.5</v>
      </c>
      <c r="HK163" s="501">
        <v>0.65</v>
      </c>
      <c r="HL163" s="501">
        <v>0.52</v>
      </c>
      <c r="HM163" s="501">
        <v>0.56000000000000005</v>
      </c>
      <c r="HN163" s="501">
        <v>0.47</v>
      </c>
      <c r="HO163" s="501">
        <v>0.53</v>
      </c>
      <c r="HP163" s="471" t="s">
        <v>287</v>
      </c>
      <c r="HQ163" s="501">
        <v>0.45</v>
      </c>
      <c r="HR163" s="630">
        <v>43</v>
      </c>
      <c r="HS163" s="640" t="s">
        <v>912</v>
      </c>
      <c r="HT163" s="630">
        <v>7</v>
      </c>
      <c r="HU163" s="640" t="s">
        <v>910</v>
      </c>
      <c r="HV163" s="644">
        <v>0.3</v>
      </c>
      <c r="HW163" s="644">
        <v>0.6</v>
      </c>
      <c r="HX163" s="644">
        <v>0.1</v>
      </c>
      <c r="HY163" s="644">
        <v>0</v>
      </c>
      <c r="HZ163" s="644">
        <v>0.5</v>
      </c>
      <c r="IA163" s="644">
        <v>0.7</v>
      </c>
      <c r="IB163" s="644">
        <v>0.5</v>
      </c>
      <c r="IC163" s="644">
        <v>0.65</v>
      </c>
      <c r="ID163" s="644">
        <v>0.73</v>
      </c>
      <c r="IE163" s="644">
        <v>0.7</v>
      </c>
      <c r="IF163" s="644">
        <v>0.55000000000000004</v>
      </c>
      <c r="IG163" s="644">
        <v>0.65</v>
      </c>
      <c r="IH163" s="644">
        <v>0.83</v>
      </c>
      <c r="II163" s="644">
        <v>0.6</v>
      </c>
      <c r="IJ163" s="644">
        <v>0.36</v>
      </c>
      <c r="IK163" s="644">
        <v>0.52</v>
      </c>
      <c r="IL163" s="644">
        <v>0.27</v>
      </c>
      <c r="IM163" s="644">
        <v>0.78</v>
      </c>
      <c r="IN163" s="644">
        <v>0.62</v>
      </c>
      <c r="IO163" s="644">
        <v>0.68</v>
      </c>
      <c r="IP163" s="644">
        <v>0.46</v>
      </c>
      <c r="IQ163" s="644">
        <v>0.82</v>
      </c>
      <c r="IR163" s="644">
        <v>0.57999999999999996</v>
      </c>
      <c r="IS163" s="644">
        <v>0.71</v>
      </c>
      <c r="IT163" s="644">
        <v>0.57999999999999996</v>
      </c>
      <c r="IU163" s="640" t="s">
        <v>287</v>
      </c>
      <c r="IV163" s="644">
        <v>0.64</v>
      </c>
      <c r="IW163" s="644">
        <v>0.5</v>
      </c>
      <c r="IX163" s="644">
        <v>0.63</v>
      </c>
      <c r="IY163" s="644">
        <v>0.48</v>
      </c>
    </row>
    <row r="164" spans="1:259" ht="24.9" customHeight="1" x14ac:dyDescent="0.25">
      <c r="A164" s="188" t="s">
        <v>71</v>
      </c>
      <c r="B164" s="1" t="s">
        <v>222</v>
      </c>
      <c r="C164" s="2">
        <v>6</v>
      </c>
      <c r="D164" s="16">
        <v>56</v>
      </c>
      <c r="E164" s="16">
        <v>6</v>
      </c>
      <c r="F164" s="99">
        <v>0.01</v>
      </c>
      <c r="G164" s="99">
        <v>0.51</v>
      </c>
      <c r="H164" s="99">
        <v>0.46</v>
      </c>
      <c r="I164" s="99">
        <v>0.01</v>
      </c>
      <c r="J164" s="99">
        <v>0.5</v>
      </c>
      <c r="K164" s="99">
        <v>0.21</v>
      </c>
      <c r="L164" s="99">
        <v>0.83</v>
      </c>
      <c r="M164" s="99">
        <v>0.13</v>
      </c>
      <c r="N164" s="99">
        <v>0.26</v>
      </c>
      <c r="O164" s="99">
        <v>0.53</v>
      </c>
      <c r="P164" s="99">
        <v>0.37</v>
      </c>
      <c r="Q164" s="99">
        <v>0.27</v>
      </c>
      <c r="R164" s="99">
        <v>0.48</v>
      </c>
      <c r="S164" s="99">
        <v>0.62</v>
      </c>
      <c r="T164" s="99">
        <v>0.46</v>
      </c>
      <c r="U164" s="99">
        <v>0.48</v>
      </c>
      <c r="V164" s="99">
        <v>7.0000000000000007E-2</v>
      </c>
      <c r="W164" s="99">
        <v>0.05</v>
      </c>
      <c r="X164" s="99">
        <v>0.43</v>
      </c>
      <c r="Y164" s="99">
        <v>0.42</v>
      </c>
      <c r="Z164" s="99">
        <v>0</v>
      </c>
      <c r="AA164" s="99">
        <v>0.05</v>
      </c>
      <c r="AB164" s="99">
        <v>0.33</v>
      </c>
      <c r="AC164" s="99">
        <v>0.13</v>
      </c>
      <c r="AD164" s="99">
        <v>0.42</v>
      </c>
      <c r="AE164" s="99">
        <v>0.43</v>
      </c>
      <c r="AF164" s="99">
        <v>0.56999999999999995</v>
      </c>
      <c r="AG164" s="99">
        <v>0.38</v>
      </c>
      <c r="AH164" s="16">
        <v>53</v>
      </c>
      <c r="AI164" s="16">
        <v>8</v>
      </c>
      <c r="AJ164" s="66">
        <v>0.06</v>
      </c>
      <c r="AK164" s="66">
        <v>0.55000000000000004</v>
      </c>
      <c r="AL164" s="66">
        <v>0.38</v>
      </c>
      <c r="AM164" s="66">
        <v>0.01</v>
      </c>
      <c r="AN164" s="66">
        <v>0.23</v>
      </c>
      <c r="AO164" s="66">
        <v>0.41</v>
      </c>
      <c r="AP164" s="66">
        <v>0.62</v>
      </c>
      <c r="AQ164" s="66">
        <v>0.39</v>
      </c>
      <c r="AR164" s="66">
        <v>0.5</v>
      </c>
      <c r="AS164" s="66">
        <v>0.49</v>
      </c>
      <c r="AT164" s="66">
        <v>0.44</v>
      </c>
      <c r="AU164" s="66">
        <v>0.41</v>
      </c>
      <c r="AV164" s="66">
        <v>0.63</v>
      </c>
      <c r="AW164" s="66">
        <v>0.49</v>
      </c>
      <c r="AX164" s="66">
        <v>0.53</v>
      </c>
      <c r="AY164" s="66">
        <v>0.3</v>
      </c>
      <c r="AZ164" s="66">
        <v>0.24</v>
      </c>
      <c r="BA164" s="66">
        <v>0.39</v>
      </c>
      <c r="BB164" s="66">
        <v>0.69</v>
      </c>
      <c r="BC164" s="66">
        <v>0.65</v>
      </c>
      <c r="BD164" s="66">
        <v>0.45</v>
      </c>
      <c r="BE164" s="66">
        <v>0.65</v>
      </c>
      <c r="BF164" s="66">
        <v>0.62</v>
      </c>
      <c r="BG164" s="66">
        <v>0.48</v>
      </c>
      <c r="BH164" s="66">
        <v>0.42</v>
      </c>
      <c r="BI164" s="66">
        <v>0.38</v>
      </c>
      <c r="BJ164" s="66">
        <v>0.35</v>
      </c>
      <c r="BK164" s="66">
        <v>0.44</v>
      </c>
      <c r="BL164" s="66">
        <v>0.49</v>
      </c>
      <c r="BM164" s="16">
        <v>54</v>
      </c>
      <c r="BN164" s="16">
        <v>8</v>
      </c>
      <c r="BO164" s="99">
        <v>0.04</v>
      </c>
      <c r="BP164" s="99">
        <v>0.51</v>
      </c>
      <c r="BQ164" s="99">
        <v>0.45</v>
      </c>
      <c r="BR164" s="99">
        <v>0</v>
      </c>
      <c r="BS164" s="99">
        <v>0.33</v>
      </c>
      <c r="BT164" s="99">
        <v>0.47</v>
      </c>
      <c r="BU164" s="99">
        <v>0.56000000000000005</v>
      </c>
      <c r="BV164" s="99">
        <v>0.26</v>
      </c>
      <c r="BW164" s="99">
        <v>0.61</v>
      </c>
      <c r="BX164" s="99">
        <v>0.28000000000000003</v>
      </c>
      <c r="BY164" s="99">
        <v>0.42</v>
      </c>
      <c r="BZ164" s="99">
        <v>0.53</v>
      </c>
      <c r="CA164" s="99">
        <v>0.43</v>
      </c>
      <c r="CB164" s="99">
        <v>0.31</v>
      </c>
      <c r="CC164" s="99">
        <v>0.17</v>
      </c>
      <c r="CD164" s="99">
        <v>0.33</v>
      </c>
      <c r="CE164" s="99">
        <v>0.25</v>
      </c>
      <c r="CF164" s="99">
        <v>0.6</v>
      </c>
      <c r="CG164" s="99">
        <v>0.61</v>
      </c>
      <c r="CH164" s="99">
        <v>0.35</v>
      </c>
      <c r="CI164" s="99">
        <v>0.51</v>
      </c>
      <c r="CJ164" s="99">
        <v>0.26</v>
      </c>
      <c r="CK164" s="99">
        <v>0.67</v>
      </c>
      <c r="CL164" s="99">
        <v>0.18</v>
      </c>
      <c r="CM164" s="99">
        <v>0.37</v>
      </c>
      <c r="CN164" s="99">
        <v>0.35</v>
      </c>
      <c r="CO164" s="99">
        <v>0.39</v>
      </c>
      <c r="CP164" s="99">
        <v>0.31</v>
      </c>
      <c r="CQ164" s="99">
        <v>0.5</v>
      </c>
      <c r="CR164" s="99">
        <v>0.61</v>
      </c>
      <c r="CS164" s="16">
        <v>53</v>
      </c>
      <c r="CT164" s="16">
        <v>9</v>
      </c>
      <c r="CU164" s="96">
        <v>0.08</v>
      </c>
      <c r="CV164" s="96">
        <v>0.62</v>
      </c>
      <c r="CW164" s="96">
        <v>0.26</v>
      </c>
      <c r="CX164" s="96">
        <v>0.04</v>
      </c>
      <c r="CY164" s="96">
        <v>0.42</v>
      </c>
      <c r="CZ164" s="96">
        <v>0.23</v>
      </c>
      <c r="DA164" s="96">
        <v>0.55000000000000004</v>
      </c>
      <c r="DB164" s="96">
        <v>0.33</v>
      </c>
      <c r="DC164" s="96">
        <v>0.43</v>
      </c>
      <c r="DD164" s="96">
        <v>0.61</v>
      </c>
      <c r="DE164" s="96">
        <v>0.44</v>
      </c>
      <c r="DF164" s="96">
        <v>0.48</v>
      </c>
      <c r="DG164" s="96">
        <v>0.47</v>
      </c>
      <c r="DH164" s="96">
        <v>0.35</v>
      </c>
      <c r="DI164" s="96">
        <v>0.44</v>
      </c>
      <c r="DJ164" s="96">
        <v>0.48</v>
      </c>
      <c r="DK164" s="96">
        <v>0.32</v>
      </c>
      <c r="DL164" s="96">
        <v>0.39</v>
      </c>
      <c r="DM164" s="96">
        <v>0.41</v>
      </c>
      <c r="DN164" s="96">
        <v>0.4</v>
      </c>
      <c r="DO164" s="96">
        <v>0.34</v>
      </c>
      <c r="DP164" s="96">
        <v>0.4</v>
      </c>
      <c r="DQ164" s="96">
        <v>0.53</v>
      </c>
      <c r="DR164" s="96">
        <v>0.11</v>
      </c>
      <c r="DS164" s="96">
        <v>0.36</v>
      </c>
      <c r="DT164" s="96">
        <v>0.62</v>
      </c>
      <c r="DU164" s="96">
        <v>0.45</v>
      </c>
      <c r="DV164" s="96">
        <v>0.54</v>
      </c>
      <c r="DW164" s="96">
        <v>0.33</v>
      </c>
      <c r="DX164" s="61">
        <v>52</v>
      </c>
      <c r="DY164" s="61">
        <v>7</v>
      </c>
      <c r="DZ164" s="66">
        <v>7.0000000000000007E-2</v>
      </c>
      <c r="EA164" s="66">
        <v>0.59</v>
      </c>
      <c r="EB164" s="66">
        <v>0.34</v>
      </c>
      <c r="EC164" s="66">
        <v>0</v>
      </c>
      <c r="ED164" s="66">
        <v>0.45</v>
      </c>
      <c r="EE164" s="66">
        <v>0.47</v>
      </c>
      <c r="EF164" s="66">
        <v>0.43</v>
      </c>
      <c r="EG164" s="66">
        <v>0.22</v>
      </c>
      <c r="EH164" s="66">
        <v>0.37</v>
      </c>
      <c r="EI164" s="66">
        <v>0.46</v>
      </c>
      <c r="EJ164" s="66">
        <v>0.54</v>
      </c>
      <c r="EK164" s="66">
        <v>0.2</v>
      </c>
      <c r="EL164" s="66">
        <v>0.41</v>
      </c>
      <c r="EM164" s="66">
        <v>0.63</v>
      </c>
      <c r="EN164" s="66">
        <v>0.39</v>
      </c>
      <c r="EO164" s="66">
        <v>0.52</v>
      </c>
      <c r="EP164" s="66">
        <v>0.32</v>
      </c>
      <c r="EQ164" s="66">
        <v>0.2</v>
      </c>
      <c r="ER164" s="66">
        <v>0.53</v>
      </c>
      <c r="ES164" s="66">
        <v>0.32</v>
      </c>
      <c r="ET164" s="66">
        <v>0.3</v>
      </c>
      <c r="EU164" s="66">
        <v>0.54</v>
      </c>
      <c r="EV164" s="66">
        <v>0.42</v>
      </c>
      <c r="EW164" s="66">
        <v>0.28999999999999998</v>
      </c>
      <c r="EX164" s="66">
        <v>0.75</v>
      </c>
      <c r="EY164" s="66">
        <v>0.54</v>
      </c>
      <c r="EZ164" s="66">
        <v>0.22</v>
      </c>
      <c r="FA164" s="66">
        <v>0.54</v>
      </c>
      <c r="FB164" s="349">
        <v>52</v>
      </c>
      <c r="FC164" s="348" t="s">
        <v>910</v>
      </c>
      <c r="FD164" s="349">
        <v>7</v>
      </c>
      <c r="FE164" s="348" t="s">
        <v>910</v>
      </c>
      <c r="FF164" s="371">
        <v>7.0000000000000007E-2</v>
      </c>
      <c r="FG164" s="371">
        <v>0.55000000000000004</v>
      </c>
      <c r="FH164" s="371">
        <v>0.38</v>
      </c>
      <c r="FI164" s="371">
        <v>0</v>
      </c>
      <c r="FJ164" s="371">
        <v>0.36</v>
      </c>
      <c r="FK164" s="371">
        <v>0.64</v>
      </c>
      <c r="FL164" s="371">
        <v>0.43</v>
      </c>
      <c r="FM164" s="371">
        <v>0.38</v>
      </c>
      <c r="FN164" s="371">
        <v>0.25</v>
      </c>
      <c r="FO164" s="371">
        <v>0.32</v>
      </c>
      <c r="FP164" s="371">
        <v>0.35</v>
      </c>
      <c r="FQ164" s="371">
        <v>0.37</v>
      </c>
      <c r="FR164" s="371">
        <v>0.66</v>
      </c>
      <c r="FS164" s="371">
        <v>0.42</v>
      </c>
      <c r="FT164" s="371">
        <v>0.48</v>
      </c>
      <c r="FU164" s="371">
        <v>0.35</v>
      </c>
      <c r="FV164" s="371">
        <v>0.52</v>
      </c>
      <c r="FW164" s="371">
        <v>0.47</v>
      </c>
      <c r="FX164" s="371">
        <v>0.34</v>
      </c>
      <c r="FY164" s="371">
        <v>0.24</v>
      </c>
      <c r="FZ164" s="371">
        <v>0.45</v>
      </c>
      <c r="GA164" s="371">
        <v>0.48</v>
      </c>
      <c r="GB164" s="371">
        <v>0.48</v>
      </c>
      <c r="GC164" s="371">
        <v>0.35</v>
      </c>
      <c r="GD164" s="371">
        <v>0.56999999999999995</v>
      </c>
      <c r="GE164" s="371">
        <v>0.52</v>
      </c>
      <c r="GF164" s="371">
        <v>0.5</v>
      </c>
      <c r="GG164" s="371">
        <v>0.46</v>
      </c>
      <c r="GH164" s="371">
        <v>0.6</v>
      </c>
      <c r="GI164" s="371">
        <v>0.22</v>
      </c>
      <c r="GJ164" s="469">
        <v>53</v>
      </c>
      <c r="GK164" s="471" t="s">
        <v>910</v>
      </c>
      <c r="GL164" s="469">
        <v>8</v>
      </c>
      <c r="GM164" s="471" t="s">
        <v>910</v>
      </c>
      <c r="GN164" s="501">
        <v>0.08</v>
      </c>
      <c r="GO164" s="501">
        <v>0.55000000000000004</v>
      </c>
      <c r="GP164" s="501">
        <v>0.36</v>
      </c>
      <c r="GQ164" s="501">
        <v>0.01</v>
      </c>
      <c r="GR164" s="501">
        <v>0.42</v>
      </c>
      <c r="GS164" s="501">
        <v>0.46</v>
      </c>
      <c r="GT164" s="501">
        <v>0.6</v>
      </c>
      <c r="GU164" s="501">
        <v>0.16</v>
      </c>
      <c r="GV164" s="501">
        <v>0.53</v>
      </c>
      <c r="GW164" s="501">
        <v>0.39</v>
      </c>
      <c r="GX164" s="501">
        <v>0.45</v>
      </c>
      <c r="GY164" s="471" t="s">
        <v>287</v>
      </c>
      <c r="GZ164" s="501">
        <v>0.25</v>
      </c>
      <c r="HA164" s="501">
        <v>0.7</v>
      </c>
      <c r="HB164" s="501">
        <v>0.44</v>
      </c>
      <c r="HC164" s="501">
        <v>0.49</v>
      </c>
      <c r="HD164" s="501">
        <v>0.51</v>
      </c>
      <c r="HE164" s="501">
        <v>0.46</v>
      </c>
      <c r="HF164" s="501">
        <v>0.44</v>
      </c>
      <c r="HG164" s="501">
        <v>0.62</v>
      </c>
      <c r="HH164" s="501">
        <v>0.34</v>
      </c>
      <c r="HI164" s="501">
        <v>0.44</v>
      </c>
      <c r="HJ164" s="501">
        <v>0.55000000000000004</v>
      </c>
      <c r="HK164" s="501">
        <v>0.44</v>
      </c>
      <c r="HL164" s="501">
        <v>0.43</v>
      </c>
      <c r="HM164" s="501">
        <v>0.49</v>
      </c>
      <c r="HN164" s="501">
        <v>0.43</v>
      </c>
      <c r="HO164" s="501">
        <v>0.4</v>
      </c>
      <c r="HP164" s="471" t="s">
        <v>287</v>
      </c>
      <c r="HQ164" s="501">
        <v>0.33</v>
      </c>
      <c r="HR164" s="630">
        <v>53</v>
      </c>
      <c r="HS164" s="640" t="s">
        <v>910</v>
      </c>
      <c r="HT164" s="630">
        <v>9</v>
      </c>
      <c r="HU164" s="640" t="s">
        <v>910</v>
      </c>
      <c r="HV164" s="644">
        <v>0.1</v>
      </c>
      <c r="HW164" s="644">
        <v>0.44</v>
      </c>
      <c r="HX164" s="644">
        <v>0.44</v>
      </c>
      <c r="HY164" s="644">
        <v>0.02</v>
      </c>
      <c r="HZ164" s="644">
        <v>0.33</v>
      </c>
      <c r="IA164" s="644">
        <v>0.51</v>
      </c>
      <c r="IB164" s="644">
        <v>0.4</v>
      </c>
      <c r="IC164" s="644">
        <v>0.48</v>
      </c>
      <c r="ID164" s="644">
        <v>0.62</v>
      </c>
      <c r="IE164" s="644">
        <v>0.31</v>
      </c>
      <c r="IF164" s="644">
        <v>0.4</v>
      </c>
      <c r="IG164" s="644">
        <v>0.51</v>
      </c>
      <c r="IH164" s="644">
        <v>0.43</v>
      </c>
      <c r="II164" s="644">
        <v>0.33</v>
      </c>
      <c r="IJ164" s="644">
        <v>0.2</v>
      </c>
      <c r="IK164" s="644">
        <v>0.59</v>
      </c>
      <c r="IL164" s="644">
        <v>0.33</v>
      </c>
      <c r="IM164" s="644">
        <v>0.59</v>
      </c>
      <c r="IN164" s="644">
        <v>0.41</v>
      </c>
      <c r="IO164" s="644">
        <v>0.45</v>
      </c>
      <c r="IP164" s="644">
        <v>0.33</v>
      </c>
      <c r="IQ164" s="644">
        <v>0.64</v>
      </c>
      <c r="IR164" s="644">
        <v>0.46</v>
      </c>
      <c r="IS164" s="644">
        <v>0.5</v>
      </c>
      <c r="IT164" s="644">
        <v>0.43</v>
      </c>
      <c r="IU164" s="640" t="s">
        <v>287</v>
      </c>
      <c r="IV164" s="644">
        <v>0.55000000000000004</v>
      </c>
      <c r="IW164" s="644">
        <v>0.37</v>
      </c>
      <c r="IX164" s="644">
        <v>0.53</v>
      </c>
      <c r="IY164" s="644">
        <v>0.49</v>
      </c>
    </row>
    <row r="165" spans="1:259" ht="24.9" customHeight="1" x14ac:dyDescent="0.25">
      <c r="A165" s="188" t="s">
        <v>208</v>
      </c>
      <c r="B165" s="1" t="s">
        <v>222</v>
      </c>
      <c r="C165" s="2">
        <v>4</v>
      </c>
      <c r="D165" s="16">
        <v>58</v>
      </c>
      <c r="E165" s="16">
        <v>5</v>
      </c>
      <c r="F165" s="99">
        <v>0</v>
      </c>
      <c r="G165" s="99">
        <v>0.33</v>
      </c>
      <c r="H165" s="99">
        <v>0.67</v>
      </c>
      <c r="I165" s="99">
        <v>0</v>
      </c>
      <c r="J165" s="99">
        <v>0.08</v>
      </c>
      <c r="K165" s="99">
        <v>0.08</v>
      </c>
      <c r="L165" s="99">
        <v>0.79</v>
      </c>
      <c r="M165" s="99">
        <v>0.33</v>
      </c>
      <c r="N165" s="99">
        <v>0.18</v>
      </c>
      <c r="O165" s="99">
        <v>0.51</v>
      </c>
      <c r="P165" s="99">
        <v>0.25</v>
      </c>
      <c r="Q165" s="99">
        <v>0.38</v>
      </c>
      <c r="R165" s="99">
        <v>0.4</v>
      </c>
      <c r="S165" s="99">
        <v>0.54</v>
      </c>
      <c r="T165" s="99">
        <v>0.33</v>
      </c>
      <c r="U165" s="99">
        <v>0.25</v>
      </c>
      <c r="V165" s="99">
        <v>0</v>
      </c>
      <c r="W165" s="99">
        <v>0.08</v>
      </c>
      <c r="X165" s="99">
        <v>0.48</v>
      </c>
      <c r="Y165" s="99">
        <v>0.42</v>
      </c>
      <c r="Z165" s="13" t="s">
        <v>287</v>
      </c>
      <c r="AA165" s="99">
        <v>0</v>
      </c>
      <c r="AB165" s="99">
        <v>0.5</v>
      </c>
      <c r="AC165" s="99">
        <v>0.08</v>
      </c>
      <c r="AD165" s="99">
        <v>0.35</v>
      </c>
      <c r="AE165" s="99">
        <v>0.5</v>
      </c>
      <c r="AF165" s="99">
        <v>0.46</v>
      </c>
      <c r="AG165" s="99">
        <v>0.5</v>
      </c>
      <c r="AH165" s="16">
        <v>58</v>
      </c>
      <c r="AI165" s="16">
        <v>7</v>
      </c>
      <c r="AJ165" s="66">
        <v>0</v>
      </c>
      <c r="AK165" s="66">
        <v>0.38</v>
      </c>
      <c r="AL165" s="66">
        <v>0.63</v>
      </c>
      <c r="AM165" s="66">
        <v>0</v>
      </c>
      <c r="AN165" s="66">
        <v>0.11</v>
      </c>
      <c r="AO165" s="66">
        <v>0.39</v>
      </c>
      <c r="AP165" s="66">
        <v>0.52</v>
      </c>
      <c r="AQ165" s="66">
        <v>0.28999999999999998</v>
      </c>
      <c r="AR165" s="66">
        <v>0.25</v>
      </c>
      <c r="AS165" s="66">
        <v>0.45</v>
      </c>
      <c r="AT165" s="66">
        <v>0.44</v>
      </c>
      <c r="AU165" s="66">
        <v>0.37</v>
      </c>
      <c r="AV165" s="66">
        <v>0.59</v>
      </c>
      <c r="AW165" s="66">
        <v>0.17</v>
      </c>
      <c r="AX165" s="66">
        <v>0.56000000000000005</v>
      </c>
      <c r="AY165" s="66">
        <v>0.23</v>
      </c>
      <c r="AZ165" s="66">
        <v>0.1</v>
      </c>
      <c r="BA165" s="66">
        <v>0.47</v>
      </c>
      <c r="BB165" s="66">
        <v>0.46</v>
      </c>
      <c r="BC165" s="66">
        <v>0.66</v>
      </c>
      <c r="BD165" s="66">
        <v>0.31</v>
      </c>
      <c r="BE165" s="66">
        <v>0.55000000000000004</v>
      </c>
      <c r="BF165" s="66">
        <v>0.25</v>
      </c>
      <c r="BG165" s="66">
        <v>0.32</v>
      </c>
      <c r="BH165" s="66">
        <v>0.34</v>
      </c>
      <c r="BI165" s="66">
        <v>0.28999999999999998</v>
      </c>
      <c r="BJ165" s="66">
        <v>0.28000000000000003</v>
      </c>
      <c r="BK165" s="66">
        <v>0.38</v>
      </c>
      <c r="BL165" s="66">
        <v>0.5</v>
      </c>
      <c r="BM165" s="16">
        <v>54</v>
      </c>
      <c r="BN165" s="16">
        <v>6</v>
      </c>
      <c r="BO165" s="99">
        <v>0</v>
      </c>
      <c r="BP165" s="99">
        <v>0.6</v>
      </c>
      <c r="BQ165" s="99">
        <v>0.4</v>
      </c>
      <c r="BR165" s="99">
        <v>0</v>
      </c>
      <c r="BS165" s="99">
        <v>0.05</v>
      </c>
      <c r="BT165" s="99">
        <v>0.63</v>
      </c>
      <c r="BU165" s="99">
        <v>0.69</v>
      </c>
      <c r="BV165" s="99">
        <v>0.22</v>
      </c>
      <c r="BW165" s="99">
        <v>0.68</v>
      </c>
      <c r="BX165" s="99">
        <v>0.21</v>
      </c>
      <c r="BY165" s="99">
        <v>0.38</v>
      </c>
      <c r="BZ165" s="99">
        <v>0.53</v>
      </c>
      <c r="CA165" s="99">
        <v>0.42</v>
      </c>
      <c r="CB165" s="99">
        <v>0.27</v>
      </c>
      <c r="CC165" s="99">
        <v>0.17</v>
      </c>
      <c r="CD165" s="99">
        <v>0.26</v>
      </c>
      <c r="CE165" s="99">
        <v>0.1</v>
      </c>
      <c r="CF165" s="99">
        <v>0.64</v>
      </c>
      <c r="CG165" s="99">
        <v>0.42</v>
      </c>
      <c r="CH165" s="99">
        <v>0.45</v>
      </c>
      <c r="CI165" s="99">
        <v>0.62</v>
      </c>
      <c r="CJ165" s="99">
        <v>0.31</v>
      </c>
      <c r="CK165" s="99">
        <v>0.7</v>
      </c>
      <c r="CL165" s="99">
        <v>0.33</v>
      </c>
      <c r="CM165" s="99">
        <v>0.33</v>
      </c>
      <c r="CN165" s="99">
        <v>0.52</v>
      </c>
      <c r="CO165" s="99">
        <v>0.45</v>
      </c>
      <c r="CP165" s="99">
        <v>0.38</v>
      </c>
      <c r="CQ165" s="99">
        <v>0.51</v>
      </c>
      <c r="CR165" s="99">
        <v>0.53</v>
      </c>
      <c r="CS165" s="16">
        <v>55</v>
      </c>
      <c r="CT165" s="16">
        <v>8</v>
      </c>
      <c r="CU165" s="96">
        <v>0.06</v>
      </c>
      <c r="CV165" s="96">
        <v>0.5</v>
      </c>
      <c r="CW165" s="96">
        <v>0.44</v>
      </c>
      <c r="CX165" s="96">
        <v>0</v>
      </c>
      <c r="CY165" s="96">
        <v>0.39</v>
      </c>
      <c r="CZ165" s="96">
        <v>0.28999999999999998</v>
      </c>
      <c r="DA165" s="96">
        <v>0.55000000000000004</v>
      </c>
      <c r="DB165" s="96">
        <v>0.13</v>
      </c>
      <c r="DC165" s="96">
        <v>0.38</v>
      </c>
      <c r="DD165" s="96">
        <v>0.46</v>
      </c>
      <c r="DE165" s="96">
        <v>0.35</v>
      </c>
      <c r="DF165" s="96">
        <v>0.42</v>
      </c>
      <c r="DG165" s="96">
        <v>0.32</v>
      </c>
      <c r="DH165" s="96">
        <v>0.25</v>
      </c>
      <c r="DI165" s="96">
        <v>0.28000000000000003</v>
      </c>
      <c r="DJ165" s="96">
        <v>0.36</v>
      </c>
      <c r="DK165" s="96">
        <v>0.32</v>
      </c>
      <c r="DL165" s="96">
        <v>0.38</v>
      </c>
      <c r="DM165" s="96">
        <v>0.43</v>
      </c>
      <c r="DN165" s="96">
        <v>0.42</v>
      </c>
      <c r="DO165" s="96">
        <v>0.37</v>
      </c>
      <c r="DP165" s="96">
        <v>0.34</v>
      </c>
      <c r="DQ165" s="96">
        <v>0.53</v>
      </c>
      <c r="DR165" s="96">
        <v>0.21</v>
      </c>
      <c r="DS165" s="96">
        <v>0.31</v>
      </c>
      <c r="DT165" s="96">
        <v>0.28999999999999998</v>
      </c>
      <c r="DU165" s="96">
        <v>0.44</v>
      </c>
      <c r="DV165" s="96">
        <v>0.55000000000000004</v>
      </c>
      <c r="DW165" s="96">
        <v>0.4</v>
      </c>
      <c r="DX165" s="61">
        <v>49</v>
      </c>
      <c r="DY165" s="61">
        <v>11</v>
      </c>
      <c r="DZ165" s="66">
        <v>0.25</v>
      </c>
      <c r="EA165" s="66">
        <v>0.44</v>
      </c>
      <c r="EB165" s="66">
        <v>0.31</v>
      </c>
      <c r="EC165" s="66">
        <v>0</v>
      </c>
      <c r="ED165" s="66">
        <v>0.57999999999999996</v>
      </c>
      <c r="EE165" s="66">
        <v>0.39</v>
      </c>
      <c r="EF165" s="66">
        <v>0.44</v>
      </c>
      <c r="EG165" s="66">
        <v>0.25</v>
      </c>
      <c r="EH165" s="66">
        <v>0.48</v>
      </c>
      <c r="EI165" s="66">
        <v>0.57999999999999996</v>
      </c>
      <c r="EJ165" s="66">
        <v>0.64</v>
      </c>
      <c r="EK165" s="66">
        <v>0.37</v>
      </c>
      <c r="EL165" s="66">
        <v>0.42</v>
      </c>
      <c r="EM165" s="66">
        <v>0.46</v>
      </c>
      <c r="EN165" s="66">
        <v>0.37</v>
      </c>
      <c r="EO165" s="66">
        <v>0.54</v>
      </c>
      <c r="EP165" s="66">
        <v>0.44</v>
      </c>
      <c r="EQ165" s="66">
        <v>0.47</v>
      </c>
      <c r="ER165" s="66">
        <v>0.56999999999999995</v>
      </c>
      <c r="ES165" s="66">
        <v>0.38</v>
      </c>
      <c r="ET165" s="66">
        <v>0.33</v>
      </c>
      <c r="EU165" s="66">
        <v>0.61</v>
      </c>
      <c r="EV165" s="66">
        <v>0.4</v>
      </c>
      <c r="EW165" s="66">
        <v>0.21</v>
      </c>
      <c r="EX165" s="66">
        <v>0.75</v>
      </c>
      <c r="EY165" s="66">
        <v>0.63</v>
      </c>
      <c r="EZ165" s="66">
        <v>0.3</v>
      </c>
      <c r="FA165" s="66">
        <v>0.65</v>
      </c>
      <c r="FB165" s="349">
        <v>53</v>
      </c>
      <c r="FC165" s="348" t="s">
        <v>910</v>
      </c>
      <c r="FD165" s="349">
        <v>7</v>
      </c>
      <c r="FE165" s="348" t="s">
        <v>910</v>
      </c>
      <c r="FF165" s="371">
        <v>0.06</v>
      </c>
      <c r="FG165" s="371">
        <v>0.63</v>
      </c>
      <c r="FH165" s="371">
        <v>0.31</v>
      </c>
      <c r="FI165" s="371">
        <v>0</v>
      </c>
      <c r="FJ165" s="371">
        <v>0.41</v>
      </c>
      <c r="FK165" s="371">
        <v>0.44</v>
      </c>
      <c r="FL165" s="371">
        <v>0.39</v>
      </c>
      <c r="FM165" s="371">
        <v>0.5</v>
      </c>
      <c r="FN165" s="371">
        <v>0.2</v>
      </c>
      <c r="FO165" s="371">
        <v>0.34</v>
      </c>
      <c r="FP165" s="371">
        <v>0.39</v>
      </c>
      <c r="FQ165" s="371">
        <v>0.4</v>
      </c>
      <c r="FR165" s="371">
        <v>0.49</v>
      </c>
      <c r="FS165" s="371">
        <v>0.67</v>
      </c>
      <c r="FT165" s="371">
        <v>0.44</v>
      </c>
      <c r="FU165" s="371">
        <v>0.15</v>
      </c>
      <c r="FV165" s="371">
        <v>0.38</v>
      </c>
      <c r="FW165" s="371">
        <v>0.51</v>
      </c>
      <c r="FX165" s="371">
        <v>0.4</v>
      </c>
      <c r="FY165" s="371">
        <v>0.36</v>
      </c>
      <c r="FZ165" s="371">
        <v>0.39</v>
      </c>
      <c r="GA165" s="371">
        <v>0.52</v>
      </c>
      <c r="GB165" s="371">
        <v>0.61</v>
      </c>
      <c r="GC165" s="371">
        <v>0.33</v>
      </c>
      <c r="GD165" s="371">
        <v>0.47</v>
      </c>
      <c r="GE165" s="371">
        <v>0.28999999999999998</v>
      </c>
      <c r="GF165" s="371">
        <v>0.56000000000000005</v>
      </c>
      <c r="GG165" s="371">
        <v>0.37</v>
      </c>
      <c r="GH165" s="371">
        <v>0.68</v>
      </c>
      <c r="GI165" s="371">
        <v>0.13</v>
      </c>
      <c r="GJ165" s="469">
        <v>54</v>
      </c>
      <c r="GK165" s="471" t="s">
        <v>910</v>
      </c>
      <c r="GL165" s="469">
        <v>9</v>
      </c>
      <c r="GM165" s="471" t="s">
        <v>910</v>
      </c>
      <c r="GN165" s="501">
        <v>0.11</v>
      </c>
      <c r="GO165" s="501">
        <v>0.37</v>
      </c>
      <c r="GP165" s="501">
        <v>0.53</v>
      </c>
      <c r="GQ165" s="501">
        <v>0</v>
      </c>
      <c r="GR165" s="501">
        <v>0.53</v>
      </c>
      <c r="GS165" s="501">
        <v>0.42</v>
      </c>
      <c r="GT165" s="501">
        <v>0.61</v>
      </c>
      <c r="GU165" s="501">
        <v>0.1</v>
      </c>
      <c r="GV165" s="501">
        <v>0.55000000000000004</v>
      </c>
      <c r="GW165" s="501">
        <v>0.28000000000000003</v>
      </c>
      <c r="GX165" s="501">
        <v>0.49</v>
      </c>
      <c r="GY165" s="471" t="s">
        <v>287</v>
      </c>
      <c r="GZ165" s="501">
        <v>0.24</v>
      </c>
      <c r="HA165" s="501">
        <v>0.6</v>
      </c>
      <c r="HB165" s="501">
        <v>0.32</v>
      </c>
      <c r="HC165" s="501">
        <v>0.62</v>
      </c>
      <c r="HD165" s="501">
        <v>0.5</v>
      </c>
      <c r="HE165" s="501">
        <v>0.5</v>
      </c>
      <c r="HF165" s="501">
        <v>0.38</v>
      </c>
      <c r="HG165" s="501">
        <v>0.69</v>
      </c>
      <c r="HH165" s="501">
        <v>0.22</v>
      </c>
      <c r="HI165" s="501">
        <v>0.65</v>
      </c>
      <c r="HJ165" s="501">
        <v>0.56999999999999995</v>
      </c>
      <c r="HK165" s="501">
        <v>0.32</v>
      </c>
      <c r="HL165" s="501">
        <v>0.27</v>
      </c>
      <c r="HM165" s="501">
        <v>0.32</v>
      </c>
      <c r="HN165" s="501">
        <v>0.42</v>
      </c>
      <c r="HO165" s="501">
        <v>0.27</v>
      </c>
      <c r="HP165" s="471" t="s">
        <v>287</v>
      </c>
      <c r="HQ165" s="501">
        <v>0.31</v>
      </c>
      <c r="HR165" s="630">
        <v>53</v>
      </c>
      <c r="HS165" s="640" t="s">
        <v>910</v>
      </c>
      <c r="HT165" s="630">
        <v>9</v>
      </c>
      <c r="HU165" s="640" t="s">
        <v>910</v>
      </c>
      <c r="HV165" s="644">
        <v>0.09</v>
      </c>
      <c r="HW165" s="644">
        <v>0.48</v>
      </c>
      <c r="HX165" s="644">
        <v>0.39</v>
      </c>
      <c r="HY165" s="644">
        <v>0.04</v>
      </c>
      <c r="HZ165" s="644">
        <v>0.32</v>
      </c>
      <c r="IA165" s="644">
        <v>0.49</v>
      </c>
      <c r="IB165" s="644">
        <v>0.42</v>
      </c>
      <c r="IC165" s="644">
        <v>0.56999999999999995</v>
      </c>
      <c r="ID165" s="644">
        <v>0.62</v>
      </c>
      <c r="IE165" s="644">
        <v>0.27</v>
      </c>
      <c r="IF165" s="644">
        <v>0.27</v>
      </c>
      <c r="IG165" s="644">
        <v>0.39</v>
      </c>
      <c r="IH165" s="644">
        <v>0.53</v>
      </c>
      <c r="II165" s="644">
        <v>0.25</v>
      </c>
      <c r="IJ165" s="644">
        <v>0.22</v>
      </c>
      <c r="IK165" s="644">
        <v>0.52</v>
      </c>
      <c r="IL165" s="644">
        <v>0.26</v>
      </c>
      <c r="IM165" s="644">
        <v>0.47</v>
      </c>
      <c r="IN165" s="644">
        <v>0.5</v>
      </c>
      <c r="IO165" s="644">
        <v>0.4</v>
      </c>
      <c r="IP165" s="644">
        <v>0.48</v>
      </c>
      <c r="IQ165" s="644">
        <v>0.52</v>
      </c>
      <c r="IR165" s="644">
        <v>0.61</v>
      </c>
      <c r="IS165" s="644">
        <v>0.51</v>
      </c>
      <c r="IT165" s="644">
        <v>0.45</v>
      </c>
      <c r="IU165" s="640" t="s">
        <v>287</v>
      </c>
      <c r="IV165" s="644">
        <v>0.56000000000000005</v>
      </c>
      <c r="IW165" s="644">
        <v>0.32</v>
      </c>
      <c r="IX165" s="644">
        <v>0.48</v>
      </c>
      <c r="IY165" s="644">
        <v>0.45</v>
      </c>
    </row>
    <row r="166" spans="1:259" ht="24.9" customHeight="1" x14ac:dyDescent="0.25">
      <c r="A166" s="188" t="s">
        <v>99</v>
      </c>
      <c r="B166" s="1" t="s">
        <v>222</v>
      </c>
      <c r="C166" s="2">
        <v>5</v>
      </c>
      <c r="D166" s="16">
        <v>59</v>
      </c>
      <c r="E166" s="16">
        <v>8</v>
      </c>
      <c r="F166" s="99">
        <v>0</v>
      </c>
      <c r="G166" s="99">
        <v>0.37</v>
      </c>
      <c r="H166" s="99">
        <v>0.57999999999999996</v>
      </c>
      <c r="I166" s="99">
        <v>0.05</v>
      </c>
      <c r="J166" s="99">
        <v>0.1</v>
      </c>
      <c r="K166" s="99">
        <v>0.27</v>
      </c>
      <c r="L166" s="99">
        <v>0.59</v>
      </c>
      <c r="M166" s="99">
        <v>0.2</v>
      </c>
      <c r="N166" s="99">
        <v>0.23</v>
      </c>
      <c r="O166" s="99">
        <v>0.66</v>
      </c>
      <c r="P166" s="99">
        <v>0.27</v>
      </c>
      <c r="Q166" s="99">
        <v>0.38</v>
      </c>
      <c r="R166" s="99">
        <v>0.5</v>
      </c>
      <c r="S166" s="99">
        <v>0.46</v>
      </c>
      <c r="T166" s="99">
        <v>0.33</v>
      </c>
      <c r="U166" s="99">
        <v>0.38</v>
      </c>
      <c r="V166" s="99">
        <v>0</v>
      </c>
      <c r="W166" s="99">
        <v>0.03</v>
      </c>
      <c r="X166" s="99">
        <v>0.49</v>
      </c>
      <c r="Y166" s="99">
        <v>0.51</v>
      </c>
      <c r="Z166" s="99">
        <v>0</v>
      </c>
      <c r="AA166" s="99">
        <v>7.0000000000000007E-2</v>
      </c>
      <c r="AB166" s="99">
        <v>0.42</v>
      </c>
      <c r="AC166" s="99">
        <v>0.36</v>
      </c>
      <c r="AD166" s="99">
        <v>0.43</v>
      </c>
      <c r="AE166" s="99">
        <v>0.44</v>
      </c>
      <c r="AF166" s="99">
        <v>0.33</v>
      </c>
      <c r="AG166" s="99">
        <v>0.28000000000000003</v>
      </c>
      <c r="AH166" s="16">
        <v>55</v>
      </c>
      <c r="AI166" s="16">
        <v>8</v>
      </c>
      <c r="AJ166" s="66">
        <v>0.08</v>
      </c>
      <c r="AK166" s="66">
        <v>0.21</v>
      </c>
      <c r="AL166" s="66">
        <v>0.71</v>
      </c>
      <c r="AM166" s="66">
        <v>0</v>
      </c>
      <c r="AN166" s="66">
        <v>0.24</v>
      </c>
      <c r="AO166" s="66">
        <v>0.49</v>
      </c>
      <c r="AP166" s="66">
        <v>0.55000000000000004</v>
      </c>
      <c r="AQ166" s="66">
        <v>0.32</v>
      </c>
      <c r="AR166" s="66">
        <v>0.39</v>
      </c>
      <c r="AS166" s="66">
        <v>0.44</v>
      </c>
      <c r="AT166" s="66">
        <v>0.39</v>
      </c>
      <c r="AU166" s="66">
        <v>0.38</v>
      </c>
      <c r="AV166" s="66">
        <v>0.61</v>
      </c>
      <c r="AW166" s="66">
        <v>0</v>
      </c>
      <c r="AX166" s="66">
        <v>0.55000000000000004</v>
      </c>
      <c r="AY166" s="66">
        <v>0.25</v>
      </c>
      <c r="AZ166" s="66">
        <v>0.19</v>
      </c>
      <c r="BA166" s="66">
        <v>0.45</v>
      </c>
      <c r="BB166" s="66">
        <v>0.64</v>
      </c>
      <c r="BC166" s="66">
        <v>0.69</v>
      </c>
      <c r="BD166" s="66">
        <v>0.46</v>
      </c>
      <c r="BE166" s="66">
        <v>0.5</v>
      </c>
      <c r="BF166" s="66">
        <v>0.53</v>
      </c>
      <c r="BG166" s="66">
        <v>0.37</v>
      </c>
      <c r="BH166" s="66">
        <v>0.33</v>
      </c>
      <c r="BI166" s="66">
        <v>0.36</v>
      </c>
      <c r="BJ166" s="66">
        <v>0.38</v>
      </c>
      <c r="BK166" s="66">
        <v>0.31</v>
      </c>
      <c r="BL166" s="66">
        <v>0.55000000000000004</v>
      </c>
      <c r="BM166" s="16">
        <v>54</v>
      </c>
      <c r="BN166" s="16">
        <v>6</v>
      </c>
      <c r="BO166" s="99">
        <v>0</v>
      </c>
      <c r="BP166" s="99">
        <v>0.71</v>
      </c>
      <c r="BQ166" s="99">
        <v>0.28999999999999998</v>
      </c>
      <c r="BR166" s="99">
        <v>0</v>
      </c>
      <c r="BS166" s="99">
        <v>0.35</v>
      </c>
      <c r="BT166" s="99">
        <v>0.63</v>
      </c>
      <c r="BU166" s="99">
        <v>0.83</v>
      </c>
      <c r="BV166" s="99">
        <v>0.23</v>
      </c>
      <c r="BW166" s="99">
        <v>0.75</v>
      </c>
      <c r="BX166" s="99">
        <v>0.24</v>
      </c>
      <c r="BY166" s="99">
        <v>0.45</v>
      </c>
      <c r="BZ166" s="99">
        <v>0.47</v>
      </c>
      <c r="CA166" s="99">
        <v>0.61</v>
      </c>
      <c r="CB166" s="99">
        <v>0.27</v>
      </c>
      <c r="CC166" s="99">
        <v>0.21</v>
      </c>
      <c r="CD166" s="99">
        <v>0.43</v>
      </c>
      <c r="CE166" s="99">
        <v>0.34</v>
      </c>
      <c r="CF166" s="99">
        <v>0.53</v>
      </c>
      <c r="CG166" s="99">
        <v>0.48</v>
      </c>
      <c r="CH166" s="99">
        <v>0.28999999999999998</v>
      </c>
      <c r="CI166" s="99">
        <v>0.48</v>
      </c>
      <c r="CJ166" s="99">
        <v>0.31</v>
      </c>
      <c r="CK166" s="99">
        <v>0.63</v>
      </c>
      <c r="CL166" s="99">
        <v>0.19</v>
      </c>
      <c r="CM166" s="99">
        <v>0.39</v>
      </c>
      <c r="CN166" s="99">
        <v>0.33</v>
      </c>
      <c r="CO166" s="99">
        <v>0.41</v>
      </c>
      <c r="CP166" s="99">
        <v>0.28000000000000003</v>
      </c>
      <c r="CQ166" s="99">
        <v>0.51</v>
      </c>
      <c r="CR166" s="99">
        <v>0.52</v>
      </c>
      <c r="CS166" s="16">
        <v>55</v>
      </c>
      <c r="CT166" s="16">
        <v>9</v>
      </c>
      <c r="CU166" s="96">
        <v>0.05</v>
      </c>
      <c r="CV166" s="96">
        <v>0.52</v>
      </c>
      <c r="CW166" s="96">
        <v>0.38</v>
      </c>
      <c r="CX166" s="96">
        <v>0.05</v>
      </c>
      <c r="CY166" s="96">
        <v>0.42</v>
      </c>
      <c r="CZ166" s="96">
        <v>0.17</v>
      </c>
      <c r="DA166" s="96">
        <v>0.33</v>
      </c>
      <c r="DB166" s="96">
        <v>0.2</v>
      </c>
      <c r="DC166" s="96">
        <v>0.28999999999999998</v>
      </c>
      <c r="DD166" s="96">
        <v>0.68</v>
      </c>
      <c r="DE166" s="96">
        <v>0.24</v>
      </c>
      <c r="DF166" s="96">
        <v>0.48</v>
      </c>
      <c r="DG166" s="96">
        <v>0.37</v>
      </c>
      <c r="DH166" s="96">
        <v>0.28999999999999998</v>
      </c>
      <c r="DI166" s="96">
        <v>0.32</v>
      </c>
      <c r="DJ166" s="96">
        <v>0.36</v>
      </c>
      <c r="DK166" s="96">
        <v>0.19</v>
      </c>
      <c r="DL166" s="96">
        <v>0.22</v>
      </c>
      <c r="DM166" s="96">
        <v>0.45</v>
      </c>
      <c r="DN166" s="96">
        <v>0.46</v>
      </c>
      <c r="DO166" s="96">
        <v>0.48</v>
      </c>
      <c r="DP166" s="96">
        <v>0.32</v>
      </c>
      <c r="DQ166" s="96">
        <v>0.56999999999999995</v>
      </c>
      <c r="DR166" s="96">
        <v>0.2</v>
      </c>
      <c r="DS166" s="96">
        <v>0.35</v>
      </c>
      <c r="DT166" s="96">
        <v>0.68</v>
      </c>
      <c r="DU166" s="96">
        <v>0.42</v>
      </c>
      <c r="DV166" s="96">
        <v>0.4</v>
      </c>
      <c r="DW166" s="96">
        <v>0.27</v>
      </c>
      <c r="DX166" s="61">
        <v>55</v>
      </c>
      <c r="DY166" s="61">
        <v>9</v>
      </c>
      <c r="DZ166" s="66">
        <v>0.05</v>
      </c>
      <c r="EA166" s="66">
        <v>0.42</v>
      </c>
      <c r="EB166" s="66">
        <v>0.53</v>
      </c>
      <c r="EC166" s="66">
        <v>0</v>
      </c>
      <c r="ED166" s="66">
        <v>0.54</v>
      </c>
      <c r="EE166" s="66">
        <v>0.51</v>
      </c>
      <c r="EF166" s="66">
        <v>0.35</v>
      </c>
      <c r="EG166" s="66">
        <v>0.22</v>
      </c>
      <c r="EH166" s="66">
        <v>0.21</v>
      </c>
      <c r="EI166" s="66">
        <v>0.46</v>
      </c>
      <c r="EJ166" s="66">
        <v>0.37</v>
      </c>
      <c r="EK166" s="66">
        <v>0.12</v>
      </c>
      <c r="EL166" s="66">
        <v>0.13</v>
      </c>
      <c r="EM166" s="66">
        <v>0.73</v>
      </c>
      <c r="EN166" s="66">
        <v>0.38</v>
      </c>
      <c r="EO166" s="66">
        <v>0.64</v>
      </c>
      <c r="EP166" s="66">
        <v>0.28999999999999998</v>
      </c>
      <c r="EQ166" s="66">
        <v>0.12</v>
      </c>
      <c r="ER166" s="66">
        <v>0.6</v>
      </c>
      <c r="ES166" s="66">
        <v>0.33</v>
      </c>
      <c r="ET166" s="66">
        <v>0.24</v>
      </c>
      <c r="EU166" s="66">
        <v>0.33</v>
      </c>
      <c r="EV166" s="66">
        <v>0.17</v>
      </c>
      <c r="EW166" s="66">
        <v>0.26</v>
      </c>
      <c r="EX166" s="66">
        <v>0.44</v>
      </c>
      <c r="EY166" s="66">
        <v>0.48</v>
      </c>
      <c r="EZ166" s="66">
        <v>0.06</v>
      </c>
      <c r="FA166" s="66">
        <v>0.55000000000000004</v>
      </c>
      <c r="FB166" s="349">
        <v>51</v>
      </c>
      <c r="FC166" s="348" t="s">
        <v>910</v>
      </c>
      <c r="FD166" s="349">
        <v>7</v>
      </c>
      <c r="FE166" s="348" t="s">
        <v>910</v>
      </c>
      <c r="FF166" s="371">
        <v>0.08</v>
      </c>
      <c r="FG166" s="371">
        <v>0.62</v>
      </c>
      <c r="FH166" s="371">
        <v>0.31</v>
      </c>
      <c r="FI166" s="371">
        <v>0</v>
      </c>
      <c r="FJ166" s="371">
        <v>0.5</v>
      </c>
      <c r="FK166" s="371">
        <v>0.64</v>
      </c>
      <c r="FL166" s="371">
        <v>0.43</v>
      </c>
      <c r="FM166" s="371">
        <v>0.37</v>
      </c>
      <c r="FN166" s="371">
        <v>0.12</v>
      </c>
      <c r="FO166" s="371">
        <v>0.37</v>
      </c>
      <c r="FP166" s="371">
        <v>0.44</v>
      </c>
      <c r="FQ166" s="371">
        <v>0.36</v>
      </c>
      <c r="FR166" s="371">
        <v>0.62</v>
      </c>
      <c r="FS166" s="371">
        <v>0.47</v>
      </c>
      <c r="FT166" s="371">
        <v>0.48</v>
      </c>
      <c r="FU166" s="371">
        <v>0.47</v>
      </c>
      <c r="FV166" s="371">
        <v>0.62</v>
      </c>
      <c r="FW166" s="371">
        <v>0.46</v>
      </c>
      <c r="FX166" s="371">
        <v>0.46</v>
      </c>
      <c r="FY166" s="371">
        <v>0.33</v>
      </c>
      <c r="FZ166" s="371">
        <v>0.28999999999999998</v>
      </c>
      <c r="GA166" s="371">
        <v>0.44</v>
      </c>
      <c r="GB166" s="371">
        <v>0.54</v>
      </c>
      <c r="GC166" s="371">
        <v>0.39</v>
      </c>
      <c r="GD166" s="371">
        <v>0.5</v>
      </c>
      <c r="GE166" s="371">
        <v>0.53</v>
      </c>
      <c r="GF166" s="371">
        <v>0.49</v>
      </c>
      <c r="GG166" s="371">
        <v>0.36</v>
      </c>
      <c r="GH166" s="371">
        <v>0.65</v>
      </c>
      <c r="GI166" s="371">
        <v>0.32</v>
      </c>
      <c r="GJ166" s="469">
        <v>56</v>
      </c>
      <c r="GK166" s="471" t="s">
        <v>910</v>
      </c>
      <c r="GL166" s="469">
        <v>8</v>
      </c>
      <c r="GM166" s="471" t="s">
        <v>910</v>
      </c>
      <c r="GN166" s="501">
        <v>0</v>
      </c>
      <c r="GO166" s="501">
        <v>0.52</v>
      </c>
      <c r="GP166" s="501">
        <v>0.48</v>
      </c>
      <c r="GQ166" s="501">
        <v>0</v>
      </c>
      <c r="GR166" s="501">
        <v>0.38</v>
      </c>
      <c r="GS166" s="501">
        <v>0.37</v>
      </c>
      <c r="GT166" s="501">
        <v>0.52</v>
      </c>
      <c r="GU166" s="501">
        <v>0.23</v>
      </c>
      <c r="GV166" s="501">
        <v>0.49</v>
      </c>
      <c r="GW166" s="501">
        <v>0.33</v>
      </c>
      <c r="GX166" s="501">
        <v>0.42</v>
      </c>
      <c r="GY166" s="471" t="s">
        <v>287</v>
      </c>
      <c r="GZ166" s="501">
        <v>0.18</v>
      </c>
      <c r="HA166" s="501">
        <v>0.67</v>
      </c>
      <c r="HB166" s="501">
        <v>0.42</v>
      </c>
      <c r="HC166" s="501">
        <v>0.44</v>
      </c>
      <c r="HD166" s="501">
        <v>0.48</v>
      </c>
      <c r="HE166" s="501">
        <v>0.39</v>
      </c>
      <c r="HF166" s="501">
        <v>0.32</v>
      </c>
      <c r="HG166" s="501">
        <v>0.51</v>
      </c>
      <c r="HH166" s="501">
        <v>0.27</v>
      </c>
      <c r="HI166" s="501">
        <v>0.4</v>
      </c>
      <c r="HJ166" s="501">
        <v>0.56000000000000005</v>
      </c>
      <c r="HK166" s="501">
        <v>0.51</v>
      </c>
      <c r="HL166" s="501">
        <v>0.31</v>
      </c>
      <c r="HM166" s="501">
        <v>0.56000000000000005</v>
      </c>
      <c r="HN166" s="501">
        <v>0.4</v>
      </c>
      <c r="HO166" s="501">
        <v>0.31</v>
      </c>
      <c r="HP166" s="471" t="s">
        <v>287</v>
      </c>
      <c r="HQ166" s="501">
        <v>0.25</v>
      </c>
      <c r="HR166" s="630">
        <v>54</v>
      </c>
      <c r="HS166" s="640" t="s">
        <v>910</v>
      </c>
      <c r="HT166" s="630">
        <v>12</v>
      </c>
      <c r="HU166" s="640" t="s">
        <v>910</v>
      </c>
      <c r="HV166" s="644">
        <v>0.14000000000000001</v>
      </c>
      <c r="HW166" s="644">
        <v>0.43</v>
      </c>
      <c r="HX166" s="644">
        <v>0.33</v>
      </c>
      <c r="HY166" s="644">
        <v>0.1</v>
      </c>
      <c r="HZ166" s="644">
        <v>0.35</v>
      </c>
      <c r="IA166" s="644">
        <v>0.54</v>
      </c>
      <c r="IB166" s="644">
        <v>0.06</v>
      </c>
      <c r="IC166" s="644">
        <v>0.6</v>
      </c>
      <c r="ID166" s="644">
        <v>0.42</v>
      </c>
      <c r="IE166" s="644">
        <v>0.24</v>
      </c>
      <c r="IF166" s="644">
        <v>0.32</v>
      </c>
      <c r="IG166" s="644">
        <v>0.59</v>
      </c>
      <c r="IH166" s="644">
        <v>0.51</v>
      </c>
      <c r="II166" s="644">
        <v>0.27</v>
      </c>
      <c r="IJ166" s="644">
        <v>0.26</v>
      </c>
      <c r="IK166" s="644">
        <v>0.33</v>
      </c>
      <c r="IL166" s="644">
        <v>0.27</v>
      </c>
      <c r="IM166" s="644">
        <v>0.6</v>
      </c>
      <c r="IN166" s="644">
        <v>0.4</v>
      </c>
      <c r="IO166" s="644">
        <v>0.45</v>
      </c>
      <c r="IP166" s="644">
        <v>0.45</v>
      </c>
      <c r="IQ166" s="644">
        <v>0.63</v>
      </c>
      <c r="IR166" s="644">
        <v>0.42</v>
      </c>
      <c r="IS166" s="644">
        <v>0.5</v>
      </c>
      <c r="IT166" s="644">
        <v>0.37</v>
      </c>
      <c r="IU166" s="640" t="s">
        <v>287</v>
      </c>
      <c r="IV166" s="644">
        <v>0.57999999999999996</v>
      </c>
      <c r="IW166" s="644">
        <v>0.49</v>
      </c>
      <c r="IX166" s="644">
        <v>0.43</v>
      </c>
      <c r="IY166" s="644">
        <v>0.41</v>
      </c>
    </row>
    <row r="167" spans="1:259" ht="24.9" customHeight="1" x14ac:dyDescent="0.25">
      <c r="A167" s="188" t="s">
        <v>73</v>
      </c>
      <c r="B167" s="70" t="s">
        <v>222</v>
      </c>
      <c r="C167" s="72">
        <v>2</v>
      </c>
      <c r="D167" s="75">
        <v>53</v>
      </c>
      <c r="E167" s="16">
        <v>7</v>
      </c>
      <c r="F167" s="99">
        <v>0.05</v>
      </c>
      <c r="G167" s="99">
        <v>0.59</v>
      </c>
      <c r="H167" s="99">
        <v>0.36</v>
      </c>
      <c r="I167" s="99">
        <v>0</v>
      </c>
      <c r="J167" s="99">
        <v>0.51</v>
      </c>
      <c r="K167" s="99">
        <v>0.23</v>
      </c>
      <c r="L167" s="99">
        <v>0.8</v>
      </c>
      <c r="M167" s="99">
        <v>0.31</v>
      </c>
      <c r="N167" s="99">
        <v>0.28000000000000003</v>
      </c>
      <c r="O167" s="99">
        <v>0.78</v>
      </c>
      <c r="P167" s="99">
        <v>0.3</v>
      </c>
      <c r="Q167" s="99">
        <v>0.42</v>
      </c>
      <c r="R167" s="99">
        <v>0.49</v>
      </c>
      <c r="S167" s="99">
        <v>0.62</v>
      </c>
      <c r="T167" s="99">
        <v>0.32</v>
      </c>
      <c r="U167" s="99">
        <v>0.73</v>
      </c>
      <c r="V167" s="99">
        <v>0.14000000000000001</v>
      </c>
      <c r="W167" s="99">
        <v>0.23</v>
      </c>
      <c r="X167" s="99">
        <v>0.56000000000000005</v>
      </c>
      <c r="Y167" s="99">
        <v>0.45</v>
      </c>
      <c r="Z167" s="13" t="s">
        <v>287</v>
      </c>
      <c r="AA167" s="99">
        <v>0.05</v>
      </c>
      <c r="AB167" s="99">
        <v>0.53</v>
      </c>
      <c r="AC167" s="99">
        <v>0.3</v>
      </c>
      <c r="AD167" s="99">
        <v>0.54</v>
      </c>
      <c r="AE167" s="99">
        <v>0.35</v>
      </c>
      <c r="AF167" s="99">
        <v>0.34</v>
      </c>
      <c r="AG167" s="99">
        <v>0.42</v>
      </c>
      <c r="AH167" s="16">
        <v>54</v>
      </c>
      <c r="AI167" s="16">
        <v>7</v>
      </c>
      <c r="AJ167" s="66">
        <v>0</v>
      </c>
      <c r="AK167" s="66">
        <v>0.6</v>
      </c>
      <c r="AL167" s="66">
        <v>0.4</v>
      </c>
      <c r="AM167" s="66">
        <v>0</v>
      </c>
      <c r="AN167" s="66">
        <v>0.31</v>
      </c>
      <c r="AO167" s="66">
        <v>0.39</v>
      </c>
      <c r="AP167" s="66">
        <v>0.63</v>
      </c>
      <c r="AQ167" s="66">
        <v>0.35</v>
      </c>
      <c r="AR167" s="66">
        <v>0.55000000000000004</v>
      </c>
      <c r="AS167" s="66">
        <v>0.49</v>
      </c>
      <c r="AT167" s="66">
        <v>0.54</v>
      </c>
      <c r="AU167" s="66">
        <v>0.39</v>
      </c>
      <c r="AV167" s="66">
        <v>0.62</v>
      </c>
      <c r="AW167" s="66">
        <v>0.36</v>
      </c>
      <c r="AX167" s="66">
        <v>0.62</v>
      </c>
      <c r="AY167" s="66">
        <v>0.23</v>
      </c>
      <c r="AZ167" s="66">
        <v>0.35</v>
      </c>
      <c r="BA167" s="66">
        <v>0.45</v>
      </c>
      <c r="BB167" s="66">
        <v>0.6</v>
      </c>
      <c r="BC167" s="66">
        <v>0.69</v>
      </c>
      <c r="BD167" s="66">
        <v>0.43</v>
      </c>
      <c r="BE167" s="66">
        <v>0.71</v>
      </c>
      <c r="BF167" s="66">
        <v>0.64</v>
      </c>
      <c r="BG167" s="66">
        <v>0.41</v>
      </c>
      <c r="BH167" s="66">
        <v>0.41</v>
      </c>
      <c r="BI167" s="66">
        <v>0.38</v>
      </c>
      <c r="BJ167" s="66">
        <v>0.39</v>
      </c>
      <c r="BK167" s="66">
        <v>0.44</v>
      </c>
      <c r="BL167" s="66">
        <v>0.38</v>
      </c>
      <c r="BM167" s="16">
        <v>51</v>
      </c>
      <c r="BN167" s="16">
        <v>8</v>
      </c>
      <c r="BO167" s="99">
        <v>0.08</v>
      </c>
      <c r="BP167" s="99">
        <v>0.61</v>
      </c>
      <c r="BQ167" s="99">
        <v>0.31</v>
      </c>
      <c r="BR167" s="99">
        <v>0</v>
      </c>
      <c r="BS167" s="99">
        <v>0.32</v>
      </c>
      <c r="BT167" s="99">
        <v>0.54</v>
      </c>
      <c r="BU167" s="99">
        <v>0.6</v>
      </c>
      <c r="BV167" s="99">
        <v>0.25</v>
      </c>
      <c r="BW167" s="99">
        <v>0.67</v>
      </c>
      <c r="BX167" s="99">
        <v>0.43</v>
      </c>
      <c r="BY167" s="99">
        <v>0.41</v>
      </c>
      <c r="BZ167" s="99">
        <v>0.52</v>
      </c>
      <c r="CA167" s="99">
        <v>0.54</v>
      </c>
      <c r="CB167" s="99">
        <v>0.31</v>
      </c>
      <c r="CC167" s="99">
        <v>0.15</v>
      </c>
      <c r="CD167" s="99">
        <v>0.47</v>
      </c>
      <c r="CE167" s="99">
        <v>0.32</v>
      </c>
      <c r="CF167" s="99">
        <v>0.53</v>
      </c>
      <c r="CG167" s="99">
        <v>0.68</v>
      </c>
      <c r="CH167" s="99">
        <v>0.5</v>
      </c>
      <c r="CI167" s="99">
        <v>0.5</v>
      </c>
      <c r="CJ167" s="99">
        <v>0.32</v>
      </c>
      <c r="CK167" s="99">
        <v>0.77</v>
      </c>
      <c r="CL167" s="99">
        <v>0.28000000000000003</v>
      </c>
      <c r="CM167" s="99">
        <v>0.38</v>
      </c>
      <c r="CN167" s="99">
        <v>0.5</v>
      </c>
      <c r="CO167" s="99">
        <v>0.44</v>
      </c>
      <c r="CP167" s="99">
        <v>0.31</v>
      </c>
      <c r="CQ167" s="99">
        <v>0.48</v>
      </c>
      <c r="CR167" s="99">
        <v>0.49</v>
      </c>
      <c r="CS167" s="16">
        <v>49</v>
      </c>
      <c r="CT167" s="16">
        <v>9</v>
      </c>
      <c r="CU167" s="96">
        <v>0.22</v>
      </c>
      <c r="CV167" s="96">
        <v>0.61</v>
      </c>
      <c r="CW167" s="96">
        <v>0.17</v>
      </c>
      <c r="CX167" s="96">
        <v>0</v>
      </c>
      <c r="CY167" s="96">
        <v>0.46</v>
      </c>
      <c r="CZ167" s="96">
        <v>0.32</v>
      </c>
      <c r="DA167" s="96">
        <v>0.49</v>
      </c>
      <c r="DB167" s="96">
        <v>0.43</v>
      </c>
      <c r="DC167" s="96">
        <v>0.31</v>
      </c>
      <c r="DD167" s="96">
        <v>0.5</v>
      </c>
      <c r="DE167" s="96">
        <v>0.35</v>
      </c>
      <c r="DF167" s="96">
        <v>0.56000000000000005</v>
      </c>
      <c r="DG167" s="96">
        <v>0.54</v>
      </c>
      <c r="DH167" s="96">
        <v>0.36</v>
      </c>
      <c r="DI167" s="96">
        <v>0.68</v>
      </c>
      <c r="DJ167" s="96">
        <v>0.5</v>
      </c>
      <c r="DK167" s="96">
        <v>0.45</v>
      </c>
      <c r="DL167" s="96">
        <v>0.25</v>
      </c>
      <c r="DM167" s="96">
        <v>0.59</v>
      </c>
      <c r="DN167" s="96">
        <v>0.49</v>
      </c>
      <c r="DO167" s="96">
        <v>0.42</v>
      </c>
      <c r="DP167" s="96">
        <v>0.43</v>
      </c>
      <c r="DQ167" s="96">
        <v>0.54</v>
      </c>
      <c r="DR167" s="96">
        <v>0.2</v>
      </c>
      <c r="DS167" s="96">
        <v>0.42</v>
      </c>
      <c r="DT167" s="96">
        <v>0.62</v>
      </c>
      <c r="DU167" s="96">
        <v>0.63</v>
      </c>
      <c r="DV167" s="96">
        <v>0.51</v>
      </c>
      <c r="DW167" s="96">
        <v>0.48</v>
      </c>
      <c r="DX167" s="61">
        <v>48</v>
      </c>
      <c r="DY167" s="61">
        <v>7</v>
      </c>
      <c r="DZ167" s="66">
        <v>0.16</v>
      </c>
      <c r="EA167" s="66">
        <v>0.72</v>
      </c>
      <c r="EB167" s="66">
        <v>0.12</v>
      </c>
      <c r="EC167" s="66">
        <v>0</v>
      </c>
      <c r="ED167" s="66">
        <v>0.43</v>
      </c>
      <c r="EE167" s="66">
        <v>0.44</v>
      </c>
      <c r="EF167" s="66">
        <v>0.59</v>
      </c>
      <c r="EG167" s="66">
        <v>0.38</v>
      </c>
      <c r="EH167" s="66">
        <v>0.49</v>
      </c>
      <c r="EI167" s="66">
        <v>0.56000000000000005</v>
      </c>
      <c r="EJ167" s="66">
        <v>0.57999999999999996</v>
      </c>
      <c r="EK167" s="66">
        <v>0.14000000000000001</v>
      </c>
      <c r="EL167" s="66">
        <v>0.43</v>
      </c>
      <c r="EM167" s="66">
        <v>0.68</v>
      </c>
      <c r="EN167" s="66">
        <v>0.45</v>
      </c>
      <c r="EO167" s="66">
        <v>0.61</v>
      </c>
      <c r="EP167" s="66">
        <v>0.44</v>
      </c>
      <c r="EQ167" s="66">
        <v>0.48</v>
      </c>
      <c r="ER167" s="66">
        <v>0.61</v>
      </c>
      <c r="ES167" s="66">
        <v>0.46</v>
      </c>
      <c r="ET167" s="66">
        <v>0.4</v>
      </c>
      <c r="EU167" s="66">
        <v>0.62</v>
      </c>
      <c r="EV167" s="66">
        <v>0.62</v>
      </c>
      <c r="EW167" s="66">
        <v>0.28999999999999998</v>
      </c>
      <c r="EX167" s="66">
        <v>0.73</v>
      </c>
      <c r="EY167" s="66">
        <v>0.65</v>
      </c>
      <c r="EZ167" s="66">
        <v>0.08</v>
      </c>
      <c r="FA167" s="66">
        <v>0.65</v>
      </c>
      <c r="FB167" s="349">
        <v>48</v>
      </c>
      <c r="FC167" s="348" t="s">
        <v>910</v>
      </c>
      <c r="FD167" s="349">
        <v>9</v>
      </c>
      <c r="FE167" s="348" t="s">
        <v>910</v>
      </c>
      <c r="FF167" s="371">
        <v>0.17</v>
      </c>
      <c r="FG167" s="371">
        <v>0.63</v>
      </c>
      <c r="FH167" s="371">
        <v>0.2</v>
      </c>
      <c r="FI167" s="371">
        <v>0</v>
      </c>
      <c r="FJ167" s="371">
        <v>0.5</v>
      </c>
      <c r="FK167" s="371">
        <v>0.57999999999999996</v>
      </c>
      <c r="FL167" s="371">
        <v>0.48</v>
      </c>
      <c r="FM167" s="371">
        <v>0.43</v>
      </c>
      <c r="FN167" s="371">
        <v>0.39</v>
      </c>
      <c r="FO167" s="371">
        <v>0.35</v>
      </c>
      <c r="FP167" s="371">
        <v>0.41</v>
      </c>
      <c r="FQ167" s="371">
        <v>0.48</v>
      </c>
      <c r="FR167" s="371">
        <v>0.6</v>
      </c>
      <c r="FS167" s="371">
        <v>0.65</v>
      </c>
      <c r="FT167" s="371">
        <v>0.57999999999999996</v>
      </c>
      <c r="FU167" s="371">
        <v>0.66</v>
      </c>
      <c r="FV167" s="371">
        <v>0.45</v>
      </c>
      <c r="FW167" s="371">
        <v>0.57999999999999996</v>
      </c>
      <c r="FX167" s="371">
        <v>0.51</v>
      </c>
      <c r="FY167" s="371">
        <v>0.39</v>
      </c>
      <c r="FZ167" s="371">
        <v>0.45</v>
      </c>
      <c r="GA167" s="371">
        <v>0.47</v>
      </c>
      <c r="GB167" s="371">
        <v>0.49</v>
      </c>
      <c r="GC167" s="371">
        <v>0.44</v>
      </c>
      <c r="GD167" s="371">
        <v>0.56000000000000005</v>
      </c>
      <c r="GE167" s="371">
        <v>0.59</v>
      </c>
      <c r="GF167" s="371">
        <v>0.54</v>
      </c>
      <c r="GG167" s="371">
        <v>0.5</v>
      </c>
      <c r="GH167" s="371">
        <v>0.61</v>
      </c>
      <c r="GI167" s="371">
        <v>0.24</v>
      </c>
      <c r="GJ167" s="469">
        <v>52</v>
      </c>
      <c r="GK167" s="471" t="s">
        <v>910</v>
      </c>
      <c r="GL167" s="469">
        <v>10</v>
      </c>
      <c r="GM167" s="471" t="s">
        <v>910</v>
      </c>
      <c r="GN167" s="501">
        <v>0.08</v>
      </c>
      <c r="GO167" s="501">
        <v>0.56999999999999995</v>
      </c>
      <c r="GP167" s="501">
        <v>0.32</v>
      </c>
      <c r="GQ167" s="501">
        <v>0.03</v>
      </c>
      <c r="GR167" s="501">
        <v>0.53</v>
      </c>
      <c r="GS167" s="501">
        <v>0.48</v>
      </c>
      <c r="GT167" s="501">
        <v>0.59</v>
      </c>
      <c r="GU167" s="501">
        <v>0.11</v>
      </c>
      <c r="GV167" s="501">
        <v>0.55000000000000004</v>
      </c>
      <c r="GW167" s="501">
        <v>0.49</v>
      </c>
      <c r="GX167" s="501">
        <v>0.4</v>
      </c>
      <c r="GY167" s="471" t="s">
        <v>287</v>
      </c>
      <c r="GZ167" s="501">
        <v>0.12</v>
      </c>
      <c r="HA167" s="501">
        <v>0.56999999999999995</v>
      </c>
      <c r="HB167" s="501">
        <v>0.46</v>
      </c>
      <c r="HC167" s="501">
        <v>0.48</v>
      </c>
      <c r="HD167" s="501">
        <v>0.55000000000000004</v>
      </c>
      <c r="HE167" s="501">
        <v>0.43</v>
      </c>
      <c r="HF167" s="501">
        <v>0.49</v>
      </c>
      <c r="HG167" s="501">
        <v>0.57999999999999996</v>
      </c>
      <c r="HH167" s="501">
        <v>0.25</v>
      </c>
      <c r="HI167" s="501">
        <v>0.4</v>
      </c>
      <c r="HJ167" s="501">
        <v>0.53</v>
      </c>
      <c r="HK167" s="501">
        <v>0.56999999999999995</v>
      </c>
      <c r="HL167" s="501">
        <v>0.38</v>
      </c>
      <c r="HM167" s="501">
        <v>0.49</v>
      </c>
      <c r="HN167" s="501">
        <v>0.42</v>
      </c>
      <c r="HO167" s="501">
        <v>0.46</v>
      </c>
      <c r="HP167" s="471" t="s">
        <v>287</v>
      </c>
      <c r="HQ167" s="501">
        <v>0.42</v>
      </c>
      <c r="HR167" s="630">
        <v>54</v>
      </c>
      <c r="HS167" s="640" t="s">
        <v>910</v>
      </c>
      <c r="HT167" s="630">
        <v>9</v>
      </c>
      <c r="HU167" s="640" t="s">
        <v>910</v>
      </c>
      <c r="HV167" s="644">
        <v>0.05</v>
      </c>
      <c r="HW167" s="644">
        <v>0.43</v>
      </c>
      <c r="HX167" s="644">
        <v>0.5</v>
      </c>
      <c r="HY167" s="644">
        <v>0.02</v>
      </c>
      <c r="HZ167" s="644">
        <v>0.28999999999999998</v>
      </c>
      <c r="IA167" s="644">
        <v>0.41</v>
      </c>
      <c r="IB167" s="644">
        <v>0.36</v>
      </c>
      <c r="IC167" s="644">
        <v>0.51</v>
      </c>
      <c r="ID167" s="644">
        <v>0.53</v>
      </c>
      <c r="IE167" s="644">
        <v>0.21</v>
      </c>
      <c r="IF167" s="644">
        <v>0.37</v>
      </c>
      <c r="IG167" s="644">
        <v>0.49</v>
      </c>
      <c r="IH167" s="644">
        <v>0.51</v>
      </c>
      <c r="II167" s="644">
        <v>0.3</v>
      </c>
      <c r="IJ167" s="644">
        <v>0.26</v>
      </c>
      <c r="IK167" s="644">
        <v>0.52</v>
      </c>
      <c r="IL167" s="644">
        <v>0.28999999999999998</v>
      </c>
      <c r="IM167" s="644">
        <v>0.53</v>
      </c>
      <c r="IN167" s="644">
        <v>0.45</v>
      </c>
      <c r="IO167" s="644">
        <v>0.55000000000000004</v>
      </c>
      <c r="IP167" s="644">
        <v>0.34</v>
      </c>
      <c r="IQ167" s="644">
        <v>0.57999999999999996</v>
      </c>
      <c r="IR167" s="644">
        <v>0.45</v>
      </c>
      <c r="IS167" s="644">
        <v>0.38</v>
      </c>
      <c r="IT167" s="644">
        <v>0.38</v>
      </c>
      <c r="IU167" s="640" t="s">
        <v>287</v>
      </c>
      <c r="IV167" s="644">
        <v>0.63</v>
      </c>
      <c r="IW167" s="644">
        <v>0.28000000000000003</v>
      </c>
      <c r="IX167" s="644">
        <v>0.39</v>
      </c>
      <c r="IY167" s="644">
        <v>0.4</v>
      </c>
    </row>
    <row r="169" spans="1:259" x14ac:dyDescent="0.25">
      <c r="D169" s="21">
        <f>AVERAGE(D36:D167)</f>
        <v>54.264705882352942</v>
      </c>
      <c r="E169" s="21">
        <f t="shared" ref="E169:CT169" si="169">AVERAGE(E36:E167)</f>
        <v>6.7227722772277225</v>
      </c>
      <c r="F169" s="21"/>
      <c r="G169" s="21"/>
      <c r="H169" s="21"/>
      <c r="I169" s="21"/>
      <c r="J169" s="21"/>
      <c r="K169" s="21"/>
      <c r="L169" s="21"/>
      <c r="M169" s="21"/>
      <c r="N169" s="21"/>
      <c r="O169" s="21"/>
      <c r="P169" s="21"/>
      <c r="Q169" s="21"/>
      <c r="R169" s="21"/>
      <c r="S169" s="21"/>
      <c r="T169" s="21"/>
      <c r="U169" s="21"/>
      <c r="V169" s="21"/>
      <c r="W169" s="21"/>
      <c r="X169" s="21"/>
      <c r="Y169" s="21"/>
      <c r="Z169" s="21"/>
      <c r="AA169" s="21"/>
      <c r="AB169" s="21"/>
      <c r="AC169" s="21"/>
      <c r="AD169" s="21"/>
      <c r="AE169" s="21"/>
      <c r="AF169" s="21"/>
      <c r="AG169" s="21"/>
      <c r="AH169" s="21">
        <f>AVERAGE(AH36:AH167)</f>
        <v>52.862745098039213</v>
      </c>
      <c r="AI169" s="21">
        <f t="shared" si="169"/>
        <v>7.4950495049504955</v>
      </c>
      <c r="AJ169" s="21"/>
      <c r="AK169" s="21"/>
      <c r="AL169" s="21"/>
      <c r="AM169" s="21"/>
      <c r="AN169" s="21"/>
      <c r="AO169" s="21"/>
      <c r="AP169" s="21"/>
      <c r="AQ169" s="21"/>
      <c r="AR169" s="21"/>
      <c r="AS169" s="21"/>
      <c r="AT169" s="21"/>
      <c r="AU169" s="21"/>
      <c r="AV169" s="21"/>
      <c r="AW169" s="21"/>
      <c r="AX169" s="21"/>
      <c r="AY169" s="21"/>
      <c r="AZ169" s="21"/>
      <c r="BA169" s="21"/>
      <c r="BB169" s="21"/>
      <c r="BC169" s="21"/>
      <c r="BD169" s="21"/>
      <c r="BE169" s="21"/>
      <c r="BF169" s="21"/>
      <c r="BG169" s="21"/>
      <c r="BH169" s="21"/>
      <c r="BI169" s="21"/>
      <c r="BJ169" s="21"/>
      <c r="BK169" s="21"/>
      <c r="BL169" s="21"/>
      <c r="BM169" s="21">
        <f t="shared" si="169"/>
        <v>51.466019417475728</v>
      </c>
      <c r="BN169" s="21">
        <f t="shared" si="169"/>
        <v>7.9509803921568629</v>
      </c>
      <c r="BO169" s="21"/>
      <c r="BP169" s="21"/>
      <c r="BQ169" s="21"/>
      <c r="BR169" s="21"/>
      <c r="BS169" s="21"/>
      <c r="BT169" s="21"/>
      <c r="BU169" s="21"/>
      <c r="BV169" s="21"/>
      <c r="BW169" s="21"/>
      <c r="BX169" s="21"/>
      <c r="BY169" s="21"/>
      <c r="BZ169" s="21"/>
      <c r="CA169" s="21"/>
      <c r="CB169" s="21"/>
      <c r="CC169" s="21"/>
      <c r="CD169" s="21"/>
      <c r="CE169" s="21"/>
      <c r="CF169" s="21"/>
      <c r="CG169" s="21"/>
      <c r="CH169" s="21"/>
      <c r="CI169" s="21"/>
      <c r="CJ169" s="21"/>
      <c r="CK169" s="21"/>
      <c r="CL169" s="21"/>
      <c r="CM169" s="21"/>
      <c r="CN169" s="21"/>
      <c r="CO169" s="21"/>
      <c r="CP169" s="21"/>
      <c r="CQ169" s="21"/>
      <c r="CR169" s="21"/>
      <c r="CS169" s="21">
        <f t="shared" si="169"/>
        <v>50.38095238095238</v>
      </c>
      <c r="CT169" s="21">
        <f t="shared" si="169"/>
        <v>8.0480769230769234</v>
      </c>
      <c r="CU169" s="21"/>
      <c r="CV169" s="21"/>
      <c r="CW169" s="21"/>
      <c r="CX169" s="21"/>
      <c r="CY169" s="21"/>
      <c r="CZ169" s="21"/>
      <c r="DA169" s="21"/>
      <c r="DB169" s="21"/>
      <c r="DC169" s="21"/>
      <c r="DD169" s="21"/>
      <c r="DE169" s="21"/>
      <c r="DF169" s="21"/>
      <c r="DG169" s="21"/>
      <c r="DH169" s="21"/>
      <c r="DI169" s="21"/>
      <c r="DJ169" s="21"/>
      <c r="DK169" s="21"/>
      <c r="DL169" s="21"/>
      <c r="DM169" s="21"/>
      <c r="DN169" s="21"/>
      <c r="DO169" s="21"/>
      <c r="DP169" s="21"/>
      <c r="DQ169" s="21"/>
      <c r="DR169" s="21"/>
      <c r="DS169" s="21"/>
      <c r="DT169" s="21"/>
      <c r="DU169" s="21"/>
      <c r="DV169" s="21"/>
      <c r="DW169" s="21"/>
    </row>
    <row r="172" spans="1:259" ht="12.75" customHeight="1" x14ac:dyDescent="0.25">
      <c r="E172" s="892" t="s">
        <v>261</v>
      </c>
      <c r="F172" s="742"/>
      <c r="G172" s="742"/>
      <c r="H172" s="742"/>
      <c r="I172" s="742"/>
      <c r="J172" s="742"/>
      <c r="K172" s="742"/>
      <c r="L172" s="742"/>
      <c r="M172" s="742"/>
      <c r="N172" s="742"/>
      <c r="O172" s="742"/>
      <c r="P172" s="113"/>
      <c r="W172" s="736" t="s">
        <v>261</v>
      </c>
      <c r="X172" s="737"/>
      <c r="Y172" s="737"/>
      <c r="Z172" s="737"/>
      <c r="AA172" s="737"/>
      <c r="AB172" s="737"/>
      <c r="AC172" s="113"/>
      <c r="AD172" s="113"/>
      <c r="AE172" s="113"/>
      <c r="AF172" s="113"/>
      <c r="AG172" s="113"/>
      <c r="AH172" s="113"/>
      <c r="AI172" s="113"/>
      <c r="AJ172" s="113"/>
      <c r="AK172" s="113"/>
      <c r="AL172" s="113"/>
      <c r="AM172" s="113"/>
      <c r="AN172" s="113"/>
      <c r="AO172" s="113"/>
      <c r="AP172" s="113"/>
      <c r="AQ172" s="113"/>
      <c r="AR172" s="113"/>
      <c r="AS172" s="113"/>
      <c r="AT172" s="113"/>
      <c r="AU172" s="113"/>
      <c r="AV172" s="113"/>
      <c r="AW172" s="113"/>
      <c r="AX172" s="113"/>
      <c r="AY172" s="113"/>
      <c r="AZ172" s="113"/>
      <c r="BA172" s="113"/>
      <c r="BB172" s="113"/>
      <c r="BC172" s="113"/>
      <c r="BD172" s="113"/>
      <c r="BE172" s="113"/>
      <c r="BF172" s="113"/>
      <c r="BG172" s="113"/>
      <c r="BH172" s="113"/>
      <c r="BI172" s="113"/>
      <c r="BJ172" s="113"/>
      <c r="BK172" s="113"/>
      <c r="BL172" s="113"/>
      <c r="BM172" s="113"/>
      <c r="BN172" s="113"/>
      <c r="BO172" s="113"/>
      <c r="BP172" s="113"/>
      <c r="BQ172" s="113"/>
      <c r="BR172" s="113"/>
      <c r="BS172" s="113"/>
      <c r="BT172" s="113"/>
      <c r="BU172" s="113"/>
      <c r="BV172" s="113"/>
      <c r="BW172" s="113"/>
      <c r="BX172" s="113"/>
      <c r="BY172" s="113"/>
      <c r="BZ172" s="113"/>
      <c r="CA172" s="113"/>
      <c r="CB172" s="113"/>
      <c r="CC172" s="113"/>
      <c r="CD172" s="113"/>
      <c r="CE172" s="113"/>
      <c r="CF172" s="113"/>
      <c r="CG172" s="113"/>
      <c r="CH172" s="113"/>
      <c r="CI172" s="113"/>
      <c r="CJ172" s="113"/>
      <c r="CK172" s="113"/>
      <c r="CL172" s="113"/>
      <c r="CM172" s="113"/>
      <c r="CN172" s="113"/>
      <c r="CO172" s="113"/>
      <c r="CP172" s="113"/>
      <c r="CQ172" s="113"/>
      <c r="CR172" s="113"/>
      <c r="CS172" s="113"/>
      <c r="CT172" s="113"/>
      <c r="CU172" s="113"/>
      <c r="CV172" s="113"/>
      <c r="CW172" s="113"/>
      <c r="CX172" s="113"/>
      <c r="CY172" s="113"/>
      <c r="CZ172" s="113"/>
      <c r="DA172" s="113"/>
      <c r="DB172" s="113"/>
      <c r="DC172" s="113"/>
      <c r="DD172" s="113"/>
      <c r="DE172" s="113"/>
      <c r="DF172" s="113"/>
      <c r="DG172" s="113"/>
      <c r="DH172" s="113"/>
      <c r="DI172" s="113"/>
      <c r="DJ172" s="113"/>
      <c r="DK172" s="113"/>
      <c r="DL172" s="113"/>
      <c r="DM172" s="113"/>
      <c r="DN172" s="113"/>
      <c r="DO172" s="113"/>
      <c r="DP172" s="113"/>
      <c r="DQ172" s="113"/>
      <c r="DR172" s="113"/>
      <c r="DS172" s="113"/>
      <c r="DT172" s="113"/>
      <c r="DU172" s="113"/>
      <c r="DV172" s="113"/>
      <c r="DW172" s="113"/>
      <c r="DX172" s="113"/>
      <c r="DY172" s="113"/>
      <c r="DZ172" s="44"/>
      <c r="EA172" s="44"/>
      <c r="EB172" s="44"/>
      <c r="EC172" s="44"/>
      <c r="ED172" s="44"/>
      <c r="EE172" s="44"/>
      <c r="EF172" s="44"/>
      <c r="EG172" s="44"/>
    </row>
    <row r="173" spans="1:259" x14ac:dyDescent="0.25">
      <c r="E173" s="876"/>
      <c r="F173" s="736">
        <v>2016</v>
      </c>
      <c r="G173" s="737"/>
      <c r="H173" s="736">
        <v>2017</v>
      </c>
      <c r="I173" s="737"/>
      <c r="J173" s="736">
        <v>2018</v>
      </c>
      <c r="K173" s="737"/>
      <c r="L173" s="736">
        <v>2019</v>
      </c>
      <c r="M173" s="737"/>
      <c r="N173" s="736">
        <v>2020</v>
      </c>
      <c r="O173" s="737"/>
      <c r="P173" s="736">
        <v>2021</v>
      </c>
      <c r="Q173" s="737"/>
      <c r="R173" s="736">
        <v>2022</v>
      </c>
      <c r="S173" s="737"/>
      <c r="T173" s="736">
        <v>2023</v>
      </c>
      <c r="U173" s="737"/>
      <c r="W173" s="45"/>
      <c r="X173" s="45">
        <v>2016</v>
      </c>
      <c r="Y173" s="46">
        <v>2017</v>
      </c>
      <c r="Z173" s="45">
        <v>2018</v>
      </c>
      <c r="AA173" s="45">
        <v>2019</v>
      </c>
      <c r="AB173" s="59">
        <v>2020</v>
      </c>
      <c r="AC173" s="436">
        <v>2021</v>
      </c>
      <c r="AD173" s="675">
        <v>2021</v>
      </c>
      <c r="AE173" s="675">
        <v>2022</v>
      </c>
      <c r="AF173" s="109"/>
      <c r="AG173" s="109"/>
      <c r="AH173" s="110"/>
      <c r="AI173" s="110"/>
      <c r="AJ173" s="109"/>
      <c r="AK173" s="109"/>
      <c r="AL173" s="109"/>
      <c r="AM173" s="109"/>
      <c r="AN173" s="109"/>
      <c r="AO173" s="109"/>
      <c r="AP173" s="109"/>
      <c r="AQ173" s="109"/>
      <c r="AR173" s="109"/>
      <c r="AS173" s="109"/>
      <c r="AT173" s="109"/>
      <c r="AU173" s="109"/>
      <c r="AV173" s="109"/>
      <c r="AW173" s="109"/>
      <c r="AX173" s="109"/>
      <c r="AY173" s="109"/>
      <c r="AZ173" s="109"/>
      <c r="BA173" s="109"/>
      <c r="BB173" s="109"/>
      <c r="BC173" s="109"/>
      <c r="BD173" s="109"/>
      <c r="BE173" s="109"/>
      <c r="BF173" s="109"/>
      <c r="BG173" s="109"/>
      <c r="BH173" s="109"/>
      <c r="BI173" s="109"/>
      <c r="BJ173" s="109"/>
      <c r="BK173" s="109"/>
      <c r="BL173" s="109"/>
      <c r="BM173" s="110"/>
      <c r="BN173" s="110"/>
      <c r="BO173" s="109"/>
      <c r="BP173" s="109"/>
      <c r="BQ173" s="109"/>
      <c r="BR173" s="109"/>
      <c r="BS173" s="109"/>
      <c r="BT173" s="109"/>
      <c r="BU173" s="109"/>
      <c r="BV173" s="109"/>
      <c r="BW173" s="109"/>
      <c r="BX173" s="109"/>
      <c r="BY173" s="109"/>
      <c r="BZ173" s="109"/>
      <c r="CA173" s="109"/>
      <c r="CB173" s="109"/>
      <c r="CC173" s="109"/>
      <c r="CD173" s="109"/>
      <c r="CE173" s="109"/>
      <c r="CF173" s="109"/>
      <c r="CG173" s="109"/>
      <c r="CH173" s="109"/>
      <c r="CI173" s="109"/>
      <c r="CJ173" s="109"/>
      <c r="CK173" s="109"/>
      <c r="CL173" s="109"/>
      <c r="CM173" s="109"/>
      <c r="CN173" s="109"/>
      <c r="CO173" s="109"/>
      <c r="CP173" s="109"/>
      <c r="CQ173" s="109"/>
      <c r="CR173" s="109"/>
      <c r="CS173" s="110"/>
      <c r="CT173" s="110"/>
      <c r="CU173" s="109"/>
      <c r="CV173" s="109"/>
      <c r="CW173" s="109"/>
      <c r="CX173" s="109"/>
      <c r="CY173" s="109"/>
      <c r="CZ173" s="109"/>
      <c r="DA173" s="109"/>
      <c r="DB173" s="109"/>
      <c r="DC173" s="109"/>
      <c r="DD173" s="109"/>
      <c r="DE173" s="109"/>
      <c r="DF173" s="109"/>
      <c r="DG173" s="109"/>
      <c r="DH173" s="109"/>
      <c r="DI173" s="109"/>
      <c r="DJ173" s="109"/>
      <c r="DK173" s="109"/>
      <c r="DL173" s="109"/>
      <c r="DM173" s="109"/>
      <c r="DN173" s="109"/>
      <c r="DO173" s="109"/>
      <c r="DP173" s="109"/>
      <c r="DQ173" s="109"/>
      <c r="DR173" s="109"/>
      <c r="DS173" s="109"/>
      <c r="DT173" s="109"/>
      <c r="DU173" s="109"/>
      <c r="DV173" s="109"/>
      <c r="DW173" s="109"/>
      <c r="DZ173" s="44"/>
      <c r="EA173" s="44"/>
      <c r="EB173" s="44"/>
      <c r="EC173" s="44"/>
      <c r="ED173" s="44"/>
      <c r="EE173" s="44"/>
      <c r="EF173" s="44"/>
      <c r="EG173" s="44"/>
    </row>
    <row r="174" spans="1:259" x14ac:dyDescent="0.25">
      <c r="E174" s="872"/>
      <c r="F174" s="43" t="s">
        <v>219</v>
      </c>
      <c r="G174" s="43" t="s">
        <v>253</v>
      </c>
      <c r="H174" s="43" t="s">
        <v>219</v>
      </c>
      <c r="I174" s="43" t="s">
        <v>253</v>
      </c>
      <c r="J174" s="43" t="s">
        <v>219</v>
      </c>
      <c r="K174" s="43" t="s">
        <v>253</v>
      </c>
      <c r="L174" s="43" t="s">
        <v>219</v>
      </c>
      <c r="M174" s="43" t="s">
        <v>253</v>
      </c>
      <c r="N174" s="56" t="s">
        <v>219</v>
      </c>
      <c r="O174" s="58" t="s">
        <v>253</v>
      </c>
      <c r="P174" s="438" t="s">
        <v>219</v>
      </c>
      <c r="Q174" s="435" t="s">
        <v>253</v>
      </c>
      <c r="R174" s="678" t="s">
        <v>219</v>
      </c>
      <c r="S174" s="674" t="s">
        <v>253</v>
      </c>
      <c r="T174" s="678" t="s">
        <v>219</v>
      </c>
      <c r="U174" s="674" t="s">
        <v>253</v>
      </c>
      <c r="W174" s="39" t="s">
        <v>246</v>
      </c>
      <c r="X174" s="39">
        <v>53.176470588235297</v>
      </c>
      <c r="Y174" s="39">
        <v>52.625</v>
      </c>
      <c r="Z174" s="39">
        <v>50.764705882352942</v>
      </c>
      <c r="AA174" s="39">
        <v>49.470588235294116</v>
      </c>
      <c r="AB174" s="39">
        <v>49.588235294117645</v>
      </c>
      <c r="AC174" s="39">
        <v>49.705882352941174</v>
      </c>
      <c r="AD174" s="39">
        <v>50.388888888888886</v>
      </c>
      <c r="AE174" s="39">
        <v>51.411764705882355</v>
      </c>
      <c r="AF174" s="109"/>
      <c r="AG174" s="109"/>
      <c r="AH174" s="110"/>
      <c r="AI174" s="110"/>
      <c r="AJ174" s="109"/>
      <c r="AK174" s="109"/>
      <c r="AL174" s="109"/>
      <c r="AM174" s="109"/>
      <c r="AN174" s="109"/>
      <c r="AO174" s="109"/>
      <c r="AP174" s="109"/>
      <c r="AQ174" s="109"/>
      <c r="AR174" s="109"/>
      <c r="AS174" s="109"/>
      <c r="AT174" s="109"/>
      <c r="AU174" s="109"/>
      <c r="AV174" s="109"/>
      <c r="AW174" s="109"/>
      <c r="AX174" s="109"/>
      <c r="AY174" s="109"/>
      <c r="AZ174" s="109"/>
      <c r="BA174" s="109"/>
      <c r="BB174" s="109"/>
      <c r="BC174" s="109"/>
      <c r="BD174" s="109"/>
      <c r="BE174" s="109"/>
      <c r="BF174" s="109"/>
      <c r="BG174" s="109"/>
      <c r="BH174" s="109"/>
      <c r="BI174" s="109"/>
      <c r="BJ174" s="109"/>
      <c r="BK174" s="109"/>
      <c r="BL174" s="109"/>
      <c r="BM174" s="110"/>
      <c r="BN174" s="110"/>
      <c r="BO174" s="109"/>
      <c r="BP174" s="109"/>
      <c r="BQ174" s="109"/>
      <c r="BR174" s="109"/>
      <c r="BS174" s="109"/>
      <c r="BT174" s="109"/>
      <c r="BU174" s="109"/>
      <c r="BV174" s="109"/>
      <c r="BW174" s="109"/>
      <c r="BX174" s="109"/>
      <c r="BY174" s="109"/>
      <c r="BZ174" s="109"/>
      <c r="CA174" s="109"/>
      <c r="CB174" s="109"/>
      <c r="CC174" s="109"/>
      <c r="CD174" s="109"/>
      <c r="CE174" s="109"/>
      <c r="CF174" s="109"/>
      <c r="CG174" s="109"/>
      <c r="CH174" s="109"/>
      <c r="CI174" s="109"/>
      <c r="CJ174" s="109"/>
      <c r="CK174" s="109"/>
      <c r="CL174" s="109"/>
      <c r="CM174" s="109"/>
      <c r="CN174" s="109"/>
      <c r="CO174" s="109"/>
      <c r="CP174" s="109"/>
      <c r="CQ174" s="109"/>
      <c r="CR174" s="109"/>
      <c r="CS174" s="110"/>
      <c r="CT174" s="110"/>
      <c r="CU174" s="109"/>
      <c r="CV174" s="109"/>
      <c r="CW174" s="109"/>
      <c r="CX174" s="109"/>
      <c r="CY174" s="109"/>
      <c r="CZ174" s="109"/>
      <c r="DA174" s="109"/>
      <c r="DB174" s="109"/>
      <c r="DC174" s="109"/>
      <c r="DD174" s="109"/>
      <c r="DE174" s="109"/>
      <c r="DF174" s="109"/>
      <c r="DG174" s="109"/>
      <c r="DH174" s="109"/>
      <c r="DI174" s="109"/>
      <c r="DJ174" s="109"/>
      <c r="DK174" s="109"/>
      <c r="DL174" s="109"/>
      <c r="DM174" s="109"/>
      <c r="DN174" s="109"/>
      <c r="DO174" s="109"/>
      <c r="DP174" s="109"/>
      <c r="DQ174" s="109"/>
      <c r="DR174" s="109"/>
      <c r="DS174" s="109"/>
      <c r="DT174" s="109"/>
      <c r="DU174" s="109"/>
      <c r="DV174" s="109"/>
      <c r="DW174" s="109"/>
      <c r="DZ174" s="44"/>
      <c r="EF174" s="44"/>
      <c r="EG174" s="44"/>
    </row>
    <row r="175" spans="1:259" x14ac:dyDescent="0.25">
      <c r="E175" s="5" t="s">
        <v>0</v>
      </c>
      <c r="F175" s="32">
        <v>54</v>
      </c>
      <c r="G175" s="32">
        <v>8</v>
      </c>
      <c r="H175" s="32">
        <v>53</v>
      </c>
      <c r="I175" s="32">
        <v>8</v>
      </c>
      <c r="J175" s="32">
        <v>51</v>
      </c>
      <c r="K175" s="32">
        <v>9</v>
      </c>
      <c r="L175" s="32">
        <v>50</v>
      </c>
      <c r="M175" s="32">
        <v>9</v>
      </c>
      <c r="N175" s="5">
        <v>50</v>
      </c>
      <c r="O175" s="115">
        <v>9</v>
      </c>
      <c r="P175" s="5">
        <v>50</v>
      </c>
      <c r="Q175" s="115">
        <v>9</v>
      </c>
      <c r="R175" s="5">
        <v>50</v>
      </c>
      <c r="S175" s="115">
        <v>9</v>
      </c>
      <c r="T175" s="5">
        <v>50</v>
      </c>
      <c r="U175" s="115">
        <v>9</v>
      </c>
      <c r="W175" s="39" t="s">
        <v>247</v>
      </c>
      <c r="X175" s="39">
        <v>54.6</v>
      </c>
      <c r="Y175" s="39">
        <v>52.89473684210526</v>
      </c>
      <c r="Z175" s="39">
        <v>51.684210526315788</v>
      </c>
      <c r="AA175" s="39">
        <v>51.25</v>
      </c>
      <c r="AB175" s="39">
        <v>49.75</v>
      </c>
      <c r="AC175" s="39">
        <v>50.18181818181818</v>
      </c>
      <c r="AD175" s="39">
        <v>51.52</v>
      </c>
      <c r="AE175" s="39">
        <v>51.384615384615387</v>
      </c>
      <c r="AF175" s="116"/>
      <c r="AG175" s="116"/>
      <c r="AH175" s="110"/>
      <c r="AI175" s="110"/>
      <c r="AJ175" s="111"/>
      <c r="AK175" s="111"/>
      <c r="AL175" s="111"/>
      <c r="AM175" s="111"/>
      <c r="AN175" s="111"/>
      <c r="AO175" s="111"/>
      <c r="AP175" s="111"/>
      <c r="AQ175" s="111"/>
      <c r="AR175" s="111"/>
      <c r="AS175" s="111"/>
      <c r="AT175" s="111"/>
      <c r="AU175" s="111"/>
      <c r="AV175" s="111"/>
      <c r="AW175" s="111"/>
      <c r="AX175" s="111"/>
      <c r="AY175" s="111"/>
      <c r="AZ175" s="111"/>
      <c r="BA175" s="111"/>
      <c r="BB175" s="111"/>
      <c r="BC175" s="111"/>
      <c r="BD175" s="111"/>
      <c r="BE175" s="111"/>
      <c r="BF175" s="111"/>
      <c r="BG175" s="111"/>
      <c r="BH175" s="111"/>
      <c r="BI175" s="111"/>
      <c r="BJ175" s="111"/>
      <c r="BK175" s="111"/>
      <c r="BL175" s="111"/>
      <c r="BM175" s="110"/>
      <c r="BN175" s="110"/>
      <c r="BO175" s="111"/>
      <c r="BP175" s="111"/>
      <c r="BQ175" s="111"/>
      <c r="BR175" s="111"/>
      <c r="BS175" s="111"/>
      <c r="BT175" s="111"/>
      <c r="BU175" s="111"/>
      <c r="BV175" s="111"/>
      <c r="BW175" s="111"/>
      <c r="BX175" s="111"/>
      <c r="BY175" s="111"/>
      <c r="BZ175" s="111"/>
      <c r="CA175" s="111"/>
      <c r="CB175" s="111"/>
      <c r="CC175" s="111"/>
      <c r="CD175" s="111"/>
      <c r="CE175" s="111"/>
      <c r="CF175" s="111"/>
      <c r="CG175" s="111"/>
      <c r="CH175" s="111"/>
      <c r="CI175" s="111"/>
      <c r="CJ175" s="111"/>
      <c r="CK175" s="111"/>
      <c r="CL175" s="111"/>
      <c r="CM175" s="111"/>
      <c r="CN175" s="111"/>
      <c r="CO175" s="111"/>
      <c r="CP175" s="111"/>
      <c r="CQ175" s="111"/>
      <c r="CR175" s="111"/>
      <c r="CS175" s="110"/>
      <c r="CT175" s="110"/>
      <c r="CU175" s="111"/>
      <c r="CV175" s="111"/>
      <c r="CW175" s="111"/>
      <c r="CX175" s="111"/>
      <c r="CY175" s="111"/>
      <c r="CZ175" s="111"/>
      <c r="DA175" s="111"/>
      <c r="DB175" s="111"/>
      <c r="DC175" s="111"/>
      <c r="DD175" s="111"/>
      <c r="DE175" s="111"/>
      <c r="DF175" s="111"/>
      <c r="DG175" s="111"/>
      <c r="DH175" s="111"/>
      <c r="DI175" s="111"/>
      <c r="DJ175" s="111"/>
      <c r="DK175" s="111"/>
      <c r="DL175" s="111"/>
      <c r="DM175" s="111"/>
      <c r="DN175" s="111"/>
      <c r="DO175" s="111"/>
      <c r="DP175" s="111"/>
      <c r="DQ175" s="111"/>
      <c r="DR175" s="111"/>
      <c r="DS175" s="111"/>
      <c r="DT175" s="111"/>
      <c r="DU175" s="111"/>
      <c r="DV175" s="111"/>
      <c r="DW175" s="111"/>
      <c r="DZ175" s="44"/>
      <c r="EF175" s="44"/>
      <c r="EG175" s="44"/>
    </row>
    <row r="176" spans="1:259" x14ac:dyDescent="0.25">
      <c r="E176" s="39" t="s">
        <v>246</v>
      </c>
      <c r="F176" s="39">
        <f>AVERAGEIF($C$36:$C$167,"=1",D36:D167)</f>
        <v>53.176470588235297</v>
      </c>
      <c r="G176" s="39">
        <f>AVERAGEIF($C$36:$C$167,"=1",E36:E167)</f>
        <v>6.7647058823529411</v>
      </c>
      <c r="H176" s="39">
        <f>AVERAGEIF($C$36:$C$167,"=1",AH36:AH167)</f>
        <v>52.625</v>
      </c>
      <c r="I176" s="39">
        <f>AVERAGEIF($C$36:$C$167,"=1",AI36:AI167)</f>
        <v>7.375</v>
      </c>
      <c r="J176" s="39">
        <f>AVERAGEIF($C$36:$C$167,"=1",BM36:BM167)</f>
        <v>50.764705882352942</v>
      </c>
      <c r="K176" s="39">
        <f>AVERAGEIF($C$36:$C$167,"=1",BN36:BN167)</f>
        <v>7.6470588235294121</v>
      </c>
      <c r="L176" s="39">
        <f>AVERAGEIF($C$36:$C$167,"=1",CS36:CS167)</f>
        <v>49.470588235294116</v>
      </c>
      <c r="M176" s="39">
        <f>AVERAGEIF($C$36:$C$167,"=1",CT36:CT167)</f>
        <v>8</v>
      </c>
      <c r="N176" s="39">
        <f>AVERAGEIF($C$36:$C$167,"=1",$DX$36:$DX$167)</f>
        <v>49.588235294117645</v>
      </c>
      <c r="O176" s="39">
        <f>AVERAGEIF($C$36:$C$167,"=1",$DY$36:$DY$167)</f>
        <v>8.2941176470588243</v>
      </c>
      <c r="P176" s="39">
        <f>AVERAGEIF($C$36:$C$167,"=1",$FB$36:$FB$167)</f>
        <v>49.705882352941174</v>
      </c>
      <c r="Q176" s="39">
        <f>AVERAGEIF($C$36:$C$167,"=1",$FD$36:$FD$167)</f>
        <v>7.7647058823529411</v>
      </c>
      <c r="R176" s="39">
        <f>AVERAGEIF($C$36:$C$167,"=1",$GJ$36:$GJ$167)</f>
        <v>50.388888888888886</v>
      </c>
      <c r="S176" s="39">
        <f>AVERAGEIF($C$36:$C$167,"=1",$GL$36:$GL$167)</f>
        <v>8.6666666666666661</v>
      </c>
      <c r="T176" s="39">
        <f>AVERAGEIF($C$36:$C$167,"=1",$HR$36:$HR$167)</f>
        <v>51.411764705882355</v>
      </c>
      <c r="U176" s="39">
        <f>AVERAGEIF($C$36:$C$167,"=1",$HT$36:$HT$167)</f>
        <v>8.1764705882352935</v>
      </c>
      <c r="W176" s="39" t="s">
        <v>248</v>
      </c>
      <c r="X176" s="39">
        <v>55.0625</v>
      </c>
      <c r="Y176" s="39">
        <v>53.235294117647058</v>
      </c>
      <c r="Z176" s="39">
        <v>52.117647058823529</v>
      </c>
      <c r="AA176" s="39">
        <v>50.705882352941174</v>
      </c>
      <c r="AB176" s="39">
        <v>50.94736842105263</v>
      </c>
      <c r="AC176" s="39">
        <v>51</v>
      </c>
      <c r="AD176" s="39">
        <v>51.5</v>
      </c>
      <c r="AE176" s="39">
        <v>52.272727272727273</v>
      </c>
      <c r="AF176" s="112"/>
      <c r="AG176" s="112"/>
      <c r="AH176" s="110"/>
      <c r="AI176" s="110"/>
      <c r="AJ176" s="112"/>
      <c r="AK176" s="112"/>
      <c r="AL176" s="112"/>
      <c r="AM176" s="112"/>
      <c r="AN176" s="112"/>
      <c r="AO176" s="112"/>
      <c r="AP176" s="112"/>
      <c r="AQ176" s="112"/>
      <c r="AR176" s="112"/>
      <c r="AS176" s="112"/>
      <c r="AT176" s="112"/>
      <c r="AU176" s="112"/>
      <c r="AV176" s="112"/>
      <c r="AW176" s="112"/>
      <c r="AX176" s="112"/>
      <c r="AY176" s="112"/>
      <c r="AZ176" s="112"/>
      <c r="BA176" s="112"/>
      <c r="BB176" s="112"/>
      <c r="BC176" s="112"/>
      <c r="BD176" s="112"/>
      <c r="BE176" s="112"/>
      <c r="BF176" s="112"/>
      <c r="BG176" s="112"/>
      <c r="BH176" s="112"/>
      <c r="BI176" s="112"/>
      <c r="BJ176" s="112"/>
      <c r="BK176" s="112"/>
      <c r="BL176" s="112"/>
      <c r="BM176" s="110"/>
      <c r="BN176" s="110"/>
      <c r="BO176" s="112"/>
      <c r="BP176" s="112"/>
      <c r="BQ176" s="112"/>
      <c r="BR176" s="112"/>
      <c r="BS176" s="112"/>
      <c r="BT176" s="112"/>
      <c r="BU176" s="112"/>
      <c r="BV176" s="112"/>
      <c r="BW176" s="112"/>
      <c r="BX176" s="112"/>
      <c r="BY176" s="112"/>
      <c r="BZ176" s="112"/>
      <c r="CA176" s="112"/>
      <c r="CB176" s="112"/>
      <c r="CC176" s="112"/>
      <c r="CD176" s="112"/>
      <c r="CE176" s="112"/>
      <c r="CF176" s="112"/>
      <c r="CG176" s="112"/>
      <c r="CH176" s="112"/>
      <c r="CI176" s="112"/>
      <c r="CJ176" s="112"/>
      <c r="CK176" s="112"/>
      <c r="CL176" s="112"/>
      <c r="CM176" s="112"/>
      <c r="CN176" s="112"/>
      <c r="CO176" s="112"/>
      <c r="CP176" s="112"/>
      <c r="CQ176" s="112"/>
      <c r="CR176" s="112"/>
      <c r="CS176" s="110"/>
      <c r="CT176" s="110"/>
      <c r="CU176" s="112"/>
      <c r="CV176" s="112"/>
      <c r="CW176" s="112"/>
      <c r="CX176" s="112"/>
      <c r="CY176" s="112"/>
      <c r="CZ176" s="112"/>
      <c r="DA176" s="112"/>
      <c r="DB176" s="112"/>
      <c r="DC176" s="112"/>
      <c r="DD176" s="112"/>
      <c r="DE176" s="112"/>
      <c r="DF176" s="112"/>
      <c r="DG176" s="112"/>
      <c r="DH176" s="112"/>
      <c r="DI176" s="112"/>
      <c r="DJ176" s="112"/>
      <c r="DK176" s="112"/>
      <c r="DL176" s="112"/>
      <c r="DM176" s="112"/>
      <c r="DN176" s="112"/>
      <c r="DO176" s="112"/>
      <c r="DP176" s="112"/>
      <c r="DQ176" s="112"/>
      <c r="DR176" s="112"/>
      <c r="DS176" s="112"/>
      <c r="DT176" s="112"/>
      <c r="DU176" s="112"/>
      <c r="DV176" s="112"/>
      <c r="DW176" s="112"/>
      <c r="DZ176" s="44"/>
      <c r="EF176" s="44"/>
      <c r="EG176" s="44"/>
    </row>
    <row r="177" spans="5:137" x14ac:dyDescent="0.25">
      <c r="E177" s="39" t="s">
        <v>247</v>
      </c>
      <c r="F177" s="39">
        <f>AVERAGEIF($C$36:$C$167,"=2",D36:D167)</f>
        <v>54.6</v>
      </c>
      <c r="G177" s="39">
        <f>AVERAGEIF($C$36:$C$167,"=2",E36:E167)</f>
        <v>6.95</v>
      </c>
      <c r="H177" s="39">
        <f>AVERAGEIF($C$36:$C$167,"=2",AH36:AH167)</f>
        <v>52.89473684210526</v>
      </c>
      <c r="I177" s="39">
        <f>AVERAGEIF($C$36:$C$167,"=2",AI36:AI167)</f>
        <v>7.2631578947368425</v>
      </c>
      <c r="J177" s="39">
        <f>AVERAGEIF($C$36:$C$167,"=2",BM36:BM167)</f>
        <v>51.684210526315788</v>
      </c>
      <c r="K177" s="39">
        <f>AVERAGEIF($C$36:$C$167,"=2",BN36:BN167)</f>
        <v>8.1578947368421044</v>
      </c>
      <c r="L177" s="39">
        <f>AVERAGEIF($C$36:$C$167,"=2",CS36:CS167)</f>
        <v>51.25</v>
      </c>
      <c r="M177" s="39">
        <f>AVERAGEIF($C$36:$C$167,"=2",CT36:CT167)</f>
        <v>8.0500000000000007</v>
      </c>
      <c r="N177" s="39">
        <f>AVERAGEIF($C$36:$C$167,"=2",$DX$36:$DX$167)</f>
        <v>49.75</v>
      </c>
      <c r="O177" s="39">
        <f>AVERAGEIF($C$36:$C$167,"=2",$DY$36:$DY$167)</f>
        <v>7.208333333333333</v>
      </c>
      <c r="P177" s="39">
        <f>AVERAGEIF($C$36:$C$167,"=2",$FB$36:$FB$167)</f>
        <v>50.18181818181818</v>
      </c>
      <c r="Q177" s="39">
        <f>AVERAGEIF($C$36:$C$167,"=2",$FD$36:$FD$167)</f>
        <v>7.6818181818181817</v>
      </c>
      <c r="R177" s="39">
        <f>AVERAGEIF($C$36:$C$167,"=2",$GJ$36:$GJ$167)</f>
        <v>51.52</v>
      </c>
      <c r="S177" s="39">
        <f>AVERAGEIF($C$36:$C$167,"=2",$GL$36:$GL$167)</f>
        <v>7.88</v>
      </c>
      <c r="T177" s="39">
        <f>AVERAGEIF($C$36:$C$167,"=2",$HR$36:$HR$167)</f>
        <v>51.384615384615387</v>
      </c>
      <c r="U177" s="39">
        <f>AVERAGEIF($C$36:$C$167,"=2",$HT$36:$HT$167)</f>
        <v>7.8461538461538458</v>
      </c>
      <c r="W177" s="39" t="s">
        <v>249</v>
      </c>
      <c r="X177" s="39">
        <v>51.142857142857146</v>
      </c>
      <c r="Y177" s="39">
        <v>51.2</v>
      </c>
      <c r="Z177" s="39">
        <v>49.266666666666666</v>
      </c>
      <c r="AA177" s="39">
        <v>47.714285714285715</v>
      </c>
      <c r="AB177" s="39">
        <v>47</v>
      </c>
      <c r="AC177" s="39">
        <v>47.571428571428569</v>
      </c>
      <c r="AD177" s="39">
        <v>48.5</v>
      </c>
      <c r="AE177" s="39">
        <v>48</v>
      </c>
      <c r="AF177" s="112"/>
      <c r="AG177" s="112"/>
      <c r="AH177" s="110"/>
      <c r="AI177" s="110"/>
      <c r="AJ177" s="112"/>
      <c r="AK177" s="112"/>
      <c r="AL177" s="112"/>
      <c r="AM177" s="112"/>
      <c r="AN177" s="112"/>
      <c r="AO177" s="112"/>
      <c r="AP177" s="112"/>
      <c r="AQ177" s="112"/>
      <c r="AR177" s="112"/>
      <c r="AS177" s="112"/>
      <c r="AT177" s="112"/>
      <c r="AU177" s="112"/>
      <c r="AV177" s="112"/>
      <c r="AW177" s="112"/>
      <c r="AX177" s="112"/>
      <c r="AY177" s="112"/>
      <c r="AZ177" s="112"/>
      <c r="BA177" s="112"/>
      <c r="BB177" s="112"/>
      <c r="BC177" s="112"/>
      <c r="BD177" s="112"/>
      <c r="BE177" s="112"/>
      <c r="BF177" s="112"/>
      <c r="BG177" s="112"/>
      <c r="BH177" s="112"/>
      <c r="BI177" s="112"/>
      <c r="BJ177" s="112"/>
      <c r="BK177" s="112"/>
      <c r="BL177" s="112"/>
      <c r="BM177" s="110"/>
      <c r="BN177" s="110"/>
      <c r="BO177" s="112"/>
      <c r="BP177" s="112"/>
      <c r="BQ177" s="112"/>
      <c r="BR177" s="112"/>
      <c r="BS177" s="112"/>
      <c r="BT177" s="112"/>
      <c r="BU177" s="112"/>
      <c r="BV177" s="112"/>
      <c r="BW177" s="112"/>
      <c r="BX177" s="112"/>
      <c r="BY177" s="112"/>
      <c r="BZ177" s="112"/>
      <c r="CA177" s="112"/>
      <c r="CB177" s="112"/>
      <c r="CC177" s="112"/>
      <c r="CD177" s="112"/>
      <c r="CE177" s="112"/>
      <c r="CF177" s="112"/>
      <c r="CG177" s="112"/>
      <c r="CH177" s="112"/>
      <c r="CI177" s="112"/>
      <c r="CJ177" s="112"/>
      <c r="CK177" s="112"/>
      <c r="CL177" s="112"/>
      <c r="CM177" s="112"/>
      <c r="CN177" s="112"/>
      <c r="CO177" s="112"/>
      <c r="CP177" s="112"/>
      <c r="CQ177" s="112"/>
      <c r="CR177" s="112"/>
      <c r="CS177" s="110"/>
      <c r="CT177" s="110"/>
      <c r="CU177" s="112"/>
      <c r="CV177" s="112"/>
      <c r="CW177" s="112"/>
      <c r="CX177" s="112"/>
      <c r="CY177" s="112"/>
      <c r="CZ177" s="112"/>
      <c r="DA177" s="112"/>
      <c r="DB177" s="112"/>
      <c r="DC177" s="112"/>
      <c r="DD177" s="112"/>
      <c r="DE177" s="112"/>
      <c r="DF177" s="112"/>
      <c r="DG177" s="112"/>
      <c r="DH177" s="112"/>
      <c r="DI177" s="112"/>
      <c r="DJ177" s="112"/>
      <c r="DK177" s="112"/>
      <c r="DL177" s="112"/>
      <c r="DM177" s="112"/>
      <c r="DN177" s="112"/>
      <c r="DO177" s="112"/>
      <c r="DP177" s="112"/>
      <c r="DQ177" s="112"/>
      <c r="DR177" s="112"/>
      <c r="DS177" s="112"/>
      <c r="DT177" s="112"/>
      <c r="DU177" s="112"/>
      <c r="DV177" s="112"/>
      <c r="DW177" s="112"/>
      <c r="DZ177" s="44"/>
      <c r="EF177" s="44"/>
      <c r="EG177" s="44"/>
    </row>
    <row r="178" spans="5:137" x14ac:dyDescent="0.25">
      <c r="E178" s="39" t="s">
        <v>248</v>
      </c>
      <c r="F178" s="39">
        <f>AVERAGEIF($C$36:$C$167,"=3",D36:D167)</f>
        <v>54.833333333333336</v>
      </c>
      <c r="G178" s="39">
        <f>AVERAGEIF($C$36:$C$167,"=3",E36:E167)</f>
        <v>7.117647058823529</v>
      </c>
      <c r="H178" s="39">
        <f>AVERAGEIF($C$36:$C$167,"=3",AH36:AH167)</f>
        <v>53.157894736842103</v>
      </c>
      <c r="I178" s="39">
        <f>AVERAGEIF($C$36:$C$167,"=3",AI36:AI167)</f>
        <v>7.7222222222222223</v>
      </c>
      <c r="J178" s="39">
        <f>AVERAGEIF($C$36:$C$167,"=3",BM36:BM167)</f>
        <v>52</v>
      </c>
      <c r="K178" s="39">
        <f>AVERAGEIF($C$36:$C$167,"=3",BN36:BN167)</f>
        <v>8.1111111111111107</v>
      </c>
      <c r="L178" s="39">
        <f>AVERAGEIF($C$36:$C$167,"=3",CS36:CS167)</f>
        <v>50.578947368421055</v>
      </c>
      <c r="M178" s="39">
        <f>AVERAGEIF($C$36:$C$167,"=3",CT36:CT167)</f>
        <v>8</v>
      </c>
      <c r="N178" s="39">
        <f>AVERAGEIF($C$36:$C$167,"=3",$DX$36:$DX$167)</f>
        <v>50.95</v>
      </c>
      <c r="O178" s="39">
        <f>AVERAGEIF($C$36:$C$167,"=3",$DY$36:$DY$167)</f>
        <v>8.5500000000000007</v>
      </c>
      <c r="P178" s="39">
        <f>AVERAGEIF($C$36:$C$167,"=3",$FB$36:$FB$167)</f>
        <v>51</v>
      </c>
      <c r="Q178" s="39">
        <f>AVERAGEIF($C$36:$C$167,"=3",$FD$36:$FD$167)</f>
        <v>7.85</v>
      </c>
      <c r="R178" s="39">
        <f>AVERAGEIF($C$36:$C$167,"=3",$GJ$36:$GJ$167)</f>
        <v>51.5</v>
      </c>
      <c r="S178" s="39">
        <f>AVERAGEIF($C$36:$C$167,"=3",$GL$36:$GL$167)</f>
        <v>8.6818181818181817</v>
      </c>
      <c r="T178" s="39">
        <f>AVERAGEIF($C$36:$C$167,"=3",$HR$36:$HR$167)</f>
        <v>52.272727272727273</v>
      </c>
      <c r="U178" s="39">
        <f>AVERAGEIF($C$36:$C$167,"=3",$HT$36:$HT$167)</f>
        <v>8.5</v>
      </c>
      <c r="W178" s="39" t="s">
        <v>250</v>
      </c>
      <c r="X178" s="39">
        <v>56.235294117647058</v>
      </c>
      <c r="Y178" s="39">
        <v>55</v>
      </c>
      <c r="Z178" s="39">
        <v>53.611111111111114</v>
      </c>
      <c r="AA178" s="39">
        <v>52.157894736842103</v>
      </c>
      <c r="AB178" s="39">
        <v>52.777777777777779</v>
      </c>
      <c r="AC178" s="39">
        <v>52.277777777777779</v>
      </c>
      <c r="AD178" s="39">
        <v>53.705882352941174</v>
      </c>
      <c r="AE178" s="39">
        <v>54.588235294117645</v>
      </c>
      <c r="AF178" s="112"/>
      <c r="AG178" s="112"/>
      <c r="AH178" s="110"/>
      <c r="AI178" s="110"/>
      <c r="AJ178" s="112"/>
      <c r="AK178" s="112"/>
      <c r="AL178" s="112"/>
      <c r="AM178" s="112"/>
      <c r="AN178" s="112"/>
      <c r="AO178" s="112"/>
      <c r="AP178" s="112"/>
      <c r="AQ178" s="112"/>
      <c r="AR178" s="112"/>
      <c r="AS178" s="112"/>
      <c r="AT178" s="112"/>
      <c r="AU178" s="112"/>
      <c r="AV178" s="112"/>
      <c r="AW178" s="112"/>
      <c r="AX178" s="112"/>
      <c r="AY178" s="112"/>
      <c r="AZ178" s="112"/>
      <c r="BA178" s="112"/>
      <c r="BB178" s="112"/>
      <c r="BC178" s="112"/>
      <c r="BD178" s="112"/>
      <c r="BE178" s="112"/>
      <c r="BF178" s="112"/>
      <c r="BG178" s="112"/>
      <c r="BH178" s="112"/>
      <c r="BI178" s="112"/>
      <c r="BJ178" s="112"/>
      <c r="BK178" s="112"/>
      <c r="BL178" s="112"/>
      <c r="BM178" s="110"/>
      <c r="BN178" s="110"/>
      <c r="BO178" s="112"/>
      <c r="BP178" s="112"/>
      <c r="BQ178" s="112"/>
      <c r="BR178" s="112"/>
      <c r="BS178" s="112"/>
      <c r="BT178" s="112"/>
      <c r="BU178" s="112"/>
      <c r="BV178" s="112"/>
      <c r="BW178" s="112"/>
      <c r="BX178" s="112"/>
      <c r="BY178" s="112"/>
      <c r="BZ178" s="112"/>
      <c r="CA178" s="112"/>
      <c r="CB178" s="112"/>
      <c r="CC178" s="112"/>
      <c r="CD178" s="112"/>
      <c r="CE178" s="112"/>
      <c r="CF178" s="112"/>
      <c r="CG178" s="112"/>
      <c r="CH178" s="112"/>
      <c r="CI178" s="112"/>
      <c r="CJ178" s="112"/>
      <c r="CK178" s="112"/>
      <c r="CL178" s="112"/>
      <c r="CM178" s="112"/>
      <c r="CN178" s="112"/>
      <c r="CO178" s="112"/>
      <c r="CP178" s="112"/>
      <c r="CQ178" s="112"/>
      <c r="CR178" s="112"/>
      <c r="CS178" s="110"/>
      <c r="CT178" s="110"/>
      <c r="CU178" s="112"/>
      <c r="CV178" s="112"/>
      <c r="CW178" s="112"/>
      <c r="CX178" s="112"/>
      <c r="CY178" s="112"/>
      <c r="CZ178" s="112"/>
      <c r="DA178" s="112"/>
      <c r="DB178" s="112"/>
      <c r="DC178" s="112"/>
      <c r="DD178" s="112"/>
      <c r="DE178" s="112"/>
      <c r="DF178" s="112"/>
      <c r="DG178" s="112"/>
      <c r="DH178" s="112"/>
      <c r="DI178" s="112"/>
      <c r="DJ178" s="112"/>
      <c r="DK178" s="112"/>
      <c r="DL178" s="112"/>
      <c r="DM178" s="112"/>
      <c r="DN178" s="112"/>
      <c r="DO178" s="112"/>
      <c r="DP178" s="112"/>
      <c r="DQ178" s="112"/>
      <c r="DR178" s="112"/>
      <c r="DS178" s="112"/>
      <c r="DT178" s="112"/>
      <c r="DU178" s="112"/>
      <c r="DV178" s="112"/>
      <c r="DW178" s="112"/>
      <c r="DZ178" s="44"/>
      <c r="EF178" s="44"/>
      <c r="EG178" s="44"/>
    </row>
    <row r="179" spans="5:137" x14ac:dyDescent="0.25">
      <c r="E179" s="39" t="s">
        <v>249</v>
      </c>
      <c r="F179" s="39">
        <f>AVERAGEIF($C$36:$C$167,"=4",D36:D167)</f>
        <v>51.142857142857146</v>
      </c>
      <c r="G179" s="39">
        <f>AVERAGEIF($C$36:$C$167,"=4",E36:E167)</f>
        <v>6.9285714285714288</v>
      </c>
      <c r="H179" s="39">
        <f>AVERAGEIF($C$36:$C$167,"=4",AH36:AH167)</f>
        <v>51.2</v>
      </c>
      <c r="I179" s="39">
        <f>AVERAGEIF($C$36:$C$167,"=4",AI36:AI167)</f>
        <v>7</v>
      </c>
      <c r="J179" s="39">
        <f>AVERAGEIF($C$36:$C$167,"=4",BM36:BM167)</f>
        <v>49.266666666666666</v>
      </c>
      <c r="K179" s="39">
        <f>AVERAGEIF($C$36:$C$167,"=4",BN36:BN167)</f>
        <v>7.4</v>
      </c>
      <c r="L179" s="39">
        <f>AVERAGEIF($C$36:$C$167,"=4",CS36:CS167)</f>
        <v>47.714285714285715</v>
      </c>
      <c r="M179" s="39">
        <f>AVERAGEIF($C$36:$C$167,"=4",CT36:CT167)</f>
        <v>7.7142857142857144</v>
      </c>
      <c r="N179" s="39">
        <f>AVERAGEIF($C$36:$C$167,"=4",$DX$36:$DX$167)</f>
        <v>47</v>
      </c>
      <c r="O179" s="39">
        <f>AVERAGEIF($C$36:$C$167,"=4",$DY$36:$DY$167)</f>
        <v>8.2307692307692299</v>
      </c>
      <c r="P179" s="39">
        <f>AVERAGEIF($C$36:$C$167,"=4",$FB$36:$FB$167)</f>
        <v>47.571428571428569</v>
      </c>
      <c r="Q179" s="39">
        <f>AVERAGEIF($C$36:$C$167,"=4",$FD$36:$FD$167)</f>
        <v>7.0714285714285712</v>
      </c>
      <c r="R179" s="39">
        <f>AVERAGEIF($C$36:$C$167,"=4",$GJ$36:$GJ$167)</f>
        <v>48.5</v>
      </c>
      <c r="S179" s="39">
        <f>AVERAGEIF($C$36:$C$167,"=4",$GL$36:$GL$167)</f>
        <v>8.5</v>
      </c>
      <c r="T179" s="39">
        <f>AVERAGEIF($C$36:$C$167,"=4",$HR$36:$HR$167)</f>
        <v>48</v>
      </c>
      <c r="U179" s="39">
        <f>AVERAGEIF($C$36:$C$167,"=4",$HT$36:$HT$167)</f>
        <v>8.3333333333333339</v>
      </c>
      <c r="W179" s="39" t="s">
        <v>251</v>
      </c>
      <c r="X179" s="39">
        <v>55.06666666666667</v>
      </c>
      <c r="Y179" s="39">
        <v>52.06666666666667</v>
      </c>
      <c r="Z179" s="39">
        <v>51</v>
      </c>
      <c r="AA179" s="39">
        <v>50.333333333333336</v>
      </c>
      <c r="AB179" s="39">
        <v>49.235294117647058</v>
      </c>
      <c r="AC179" s="39">
        <v>49.235294117647058</v>
      </c>
      <c r="AD179" s="39">
        <v>49.736842105263158</v>
      </c>
      <c r="AE179" s="39">
        <v>50.9</v>
      </c>
      <c r="AF179" s="112"/>
      <c r="AG179" s="112"/>
      <c r="AH179" s="110"/>
      <c r="AI179" s="110"/>
      <c r="AJ179" s="112"/>
      <c r="AK179" s="112"/>
      <c r="AL179" s="112"/>
      <c r="AM179" s="112"/>
      <c r="AN179" s="112"/>
      <c r="AO179" s="112"/>
      <c r="AP179" s="112"/>
      <c r="AQ179" s="112"/>
      <c r="AR179" s="112"/>
      <c r="AS179" s="112"/>
      <c r="AT179" s="112"/>
      <c r="AU179" s="112"/>
      <c r="AV179" s="112"/>
      <c r="AW179" s="112"/>
      <c r="AX179" s="112"/>
      <c r="AY179" s="112"/>
      <c r="AZ179" s="112"/>
      <c r="BA179" s="112"/>
      <c r="BB179" s="112"/>
      <c r="BC179" s="112"/>
      <c r="BD179" s="112"/>
      <c r="BE179" s="112"/>
      <c r="BF179" s="112"/>
      <c r="BG179" s="112"/>
      <c r="BH179" s="112"/>
      <c r="BI179" s="112"/>
      <c r="BJ179" s="112"/>
      <c r="BK179" s="112"/>
      <c r="BL179" s="112"/>
      <c r="BM179" s="110"/>
      <c r="BN179" s="110"/>
      <c r="BO179" s="112"/>
      <c r="BP179" s="112"/>
      <c r="BQ179" s="112"/>
      <c r="BR179" s="112"/>
      <c r="BS179" s="112"/>
      <c r="BT179" s="112"/>
      <c r="BU179" s="112"/>
      <c r="BV179" s="112"/>
      <c r="BW179" s="112"/>
      <c r="BX179" s="112"/>
      <c r="BY179" s="112"/>
      <c r="BZ179" s="112"/>
      <c r="CA179" s="112"/>
      <c r="CB179" s="112"/>
      <c r="CC179" s="112"/>
      <c r="CD179" s="112"/>
      <c r="CE179" s="112"/>
      <c r="CF179" s="112"/>
      <c r="CG179" s="112"/>
      <c r="CH179" s="112"/>
      <c r="CI179" s="112"/>
      <c r="CJ179" s="112"/>
      <c r="CK179" s="112"/>
      <c r="CL179" s="112"/>
      <c r="CM179" s="112"/>
      <c r="CN179" s="112"/>
      <c r="CO179" s="112"/>
      <c r="CP179" s="112"/>
      <c r="CQ179" s="112"/>
      <c r="CR179" s="112"/>
      <c r="CS179" s="110"/>
      <c r="CT179" s="110"/>
      <c r="CU179" s="112"/>
      <c r="CV179" s="112"/>
      <c r="CW179" s="112"/>
      <c r="CX179" s="112"/>
      <c r="CY179" s="112"/>
      <c r="CZ179" s="112"/>
      <c r="DA179" s="112"/>
      <c r="DB179" s="112"/>
      <c r="DC179" s="112"/>
      <c r="DD179" s="112"/>
      <c r="DE179" s="112"/>
      <c r="DF179" s="112"/>
      <c r="DG179" s="112"/>
      <c r="DH179" s="112"/>
      <c r="DI179" s="112"/>
      <c r="DJ179" s="112"/>
      <c r="DK179" s="112"/>
      <c r="DL179" s="112"/>
      <c r="DM179" s="112"/>
      <c r="DN179" s="112"/>
      <c r="DO179" s="112"/>
      <c r="DP179" s="112"/>
      <c r="DQ179" s="112"/>
      <c r="DR179" s="112"/>
      <c r="DS179" s="112"/>
      <c r="DT179" s="112"/>
      <c r="DU179" s="112"/>
      <c r="DV179" s="112"/>
      <c r="DW179" s="112"/>
      <c r="DZ179" s="44"/>
      <c r="EF179" s="44"/>
      <c r="EG179" s="44"/>
    </row>
    <row r="180" spans="5:137" x14ac:dyDescent="0.25">
      <c r="E180" s="39" t="s">
        <v>250</v>
      </c>
      <c r="F180" s="39">
        <f>AVERAGEIF($C$36:$C$167,"=5",D36:D167)</f>
        <v>56.235294117647058</v>
      </c>
      <c r="G180" s="39">
        <f>AVERAGEIF($C$36:$C$167,"=5",E36:E167)</f>
        <v>6.6470588235294121</v>
      </c>
      <c r="H180" s="39">
        <f>AVERAGEIF($C$36:$C$167,"=5",AH36:AH167)</f>
        <v>55</v>
      </c>
      <c r="I180" s="39">
        <f>AVERAGEIF($C$36:$C$167,"=5",AI36:AI167)</f>
        <v>7.7058823529411766</v>
      </c>
      <c r="J180" s="39">
        <f>AVERAGEIF($C$36:$C$167,"=5",BM36:BM167)</f>
        <v>53.611111111111114</v>
      </c>
      <c r="K180" s="39">
        <f>AVERAGEIF($C$36:$C$167,"=5",BN36:BN167)</f>
        <v>7.8888888888888893</v>
      </c>
      <c r="L180" s="39">
        <f>AVERAGEIF($C$36:$C$167,"=5",CS36:CS167)</f>
        <v>52.157894736842103</v>
      </c>
      <c r="M180" s="39">
        <f>AVERAGEIF($C$36:$C$167,"=5",CT36:CT167)</f>
        <v>8.2631578947368425</v>
      </c>
      <c r="N180" s="39">
        <f>AVERAGEIF($C$36:$C$167,"=5",$DX$36:$DX$167)</f>
        <v>52.777777777777779</v>
      </c>
      <c r="O180" s="39">
        <f>AVERAGEIF($C$36:$C$167,"=5",$DY$36:$DY$167)</f>
        <v>7.7222222222222223</v>
      </c>
      <c r="P180" s="39">
        <f>AVERAGEIF($C$36:$C$167,"=5",$FB$36:$FB$167)</f>
        <v>52.277777777777779</v>
      </c>
      <c r="Q180" s="39">
        <f>AVERAGEIF($C$36:$C$167,"=5",$FD$36:$FD$167)</f>
        <v>8</v>
      </c>
      <c r="R180" s="39">
        <f>AVERAGEIF($C$36:$C$167,"=5",$GJ$36:$GJ$167)</f>
        <v>53.705882352941174</v>
      </c>
      <c r="S180" s="39">
        <f>AVERAGEIF($C$36:$C$167,"=5",$GL$36:$GL$167)</f>
        <v>8.117647058823529</v>
      </c>
      <c r="T180" s="39">
        <f>AVERAGEIF($C$36:$C$167,"=5",$HR$36:$HR$167)</f>
        <v>54.588235294117645</v>
      </c>
      <c r="U180" s="39">
        <f>AVERAGEIF($C$36:$C$167,"=5",$HT$36:$HT$167)</f>
        <v>8.235294117647058</v>
      </c>
      <c r="W180" s="112"/>
      <c r="X180" s="112"/>
      <c r="Y180" s="112"/>
      <c r="Z180" s="112"/>
      <c r="AA180" s="112"/>
      <c r="AB180" s="112"/>
      <c r="AC180" s="112"/>
      <c r="AD180" s="112"/>
      <c r="AE180" s="112"/>
      <c r="AF180" s="112"/>
      <c r="AG180" s="112"/>
      <c r="AH180" s="110"/>
      <c r="AI180" s="110"/>
      <c r="AJ180" s="112"/>
      <c r="AK180" s="112"/>
      <c r="AL180" s="112"/>
      <c r="AM180" s="112"/>
      <c r="AN180" s="112"/>
      <c r="AO180" s="112"/>
      <c r="AP180" s="112"/>
      <c r="AQ180" s="112"/>
      <c r="AR180" s="112"/>
      <c r="AS180" s="112"/>
      <c r="AT180" s="112"/>
      <c r="AU180" s="112"/>
      <c r="AV180" s="112"/>
      <c r="AW180" s="112"/>
      <c r="AX180" s="112"/>
      <c r="AY180" s="112"/>
      <c r="AZ180" s="112"/>
      <c r="BA180" s="112"/>
      <c r="BB180" s="112"/>
      <c r="BC180" s="112"/>
      <c r="BD180" s="112"/>
      <c r="BE180" s="112"/>
      <c r="BF180" s="112"/>
      <c r="BG180" s="112"/>
      <c r="BH180" s="112"/>
      <c r="BI180" s="112"/>
      <c r="BJ180" s="112"/>
      <c r="BK180" s="112"/>
      <c r="BL180" s="112"/>
      <c r="BM180" s="110"/>
      <c r="BN180" s="110"/>
      <c r="BO180" s="112"/>
      <c r="BP180" s="112"/>
      <c r="BQ180" s="112"/>
      <c r="BR180" s="112"/>
      <c r="BS180" s="112"/>
      <c r="BT180" s="112"/>
      <c r="BU180" s="112"/>
      <c r="BV180" s="112"/>
      <c r="BW180" s="112"/>
      <c r="BX180" s="112"/>
      <c r="BY180" s="112"/>
      <c r="BZ180" s="112"/>
      <c r="CA180" s="112"/>
      <c r="CB180" s="112"/>
      <c r="CC180" s="112"/>
      <c r="CD180" s="112"/>
      <c r="CE180" s="112"/>
      <c r="CF180" s="112"/>
      <c r="CG180" s="112"/>
      <c r="CH180" s="112"/>
      <c r="CI180" s="112"/>
      <c r="CJ180" s="112"/>
      <c r="CK180" s="112"/>
      <c r="CL180" s="112"/>
      <c r="CM180" s="112"/>
      <c r="CN180" s="112"/>
      <c r="CO180" s="112"/>
      <c r="CP180" s="112"/>
      <c r="CQ180" s="112"/>
      <c r="CR180" s="112"/>
      <c r="CS180" s="110"/>
      <c r="CT180" s="110"/>
      <c r="CU180" s="112"/>
      <c r="CV180" s="112"/>
      <c r="CW180" s="112"/>
      <c r="CX180" s="112"/>
      <c r="CY180" s="112"/>
      <c r="CZ180" s="112"/>
      <c r="DA180" s="112"/>
      <c r="DB180" s="112"/>
      <c r="DC180" s="112"/>
      <c r="DD180" s="112"/>
      <c r="DE180" s="112"/>
      <c r="DF180" s="112"/>
      <c r="DG180" s="112"/>
      <c r="DH180" s="112"/>
      <c r="DI180" s="112"/>
      <c r="DJ180" s="112"/>
      <c r="DK180" s="112"/>
      <c r="DL180" s="112"/>
      <c r="DM180" s="112"/>
      <c r="DN180" s="112"/>
      <c r="DO180" s="112"/>
      <c r="DP180" s="112"/>
      <c r="DQ180" s="112"/>
      <c r="DR180" s="112"/>
      <c r="DS180" s="112"/>
      <c r="DT180" s="112"/>
      <c r="DU180" s="112"/>
      <c r="DV180" s="112"/>
      <c r="DW180" s="112"/>
      <c r="DZ180" s="44"/>
      <c r="EF180" s="44"/>
      <c r="EG180" s="44"/>
    </row>
    <row r="181" spans="5:137" x14ac:dyDescent="0.25">
      <c r="E181" s="39" t="s">
        <v>251</v>
      </c>
      <c r="F181" s="39">
        <f>AVERAGEIF($C$36:$C$167,"=6",D36:D167)</f>
        <v>55.06666666666667</v>
      </c>
      <c r="G181" s="39">
        <f>AVERAGEIF($C$36:$C$167,"=6",E36:E167)</f>
        <v>5.8</v>
      </c>
      <c r="H181" s="39">
        <f>AVERAGEIF($C$36:$C$167,"=6",AH36:AH167)</f>
        <v>52.06666666666667</v>
      </c>
      <c r="I181" s="39">
        <f>AVERAGEIF($C$36:$C$167,"=6",AI36:AI167)</f>
        <v>7.9333333333333336</v>
      </c>
      <c r="J181" s="39">
        <f>AVERAGEIF($C$36:$C$167,"=6",BM36:BM167)</f>
        <v>51</v>
      </c>
      <c r="K181" s="39">
        <f>AVERAGEIF($C$36:$C$167,"=6",BN36:BN167)</f>
        <v>8.4285714285714288</v>
      </c>
      <c r="L181" s="39">
        <f>AVERAGEIF($C$36:$C$167,"=6",CS36:CS167)</f>
        <v>50.333333333333336</v>
      </c>
      <c r="M181" s="39">
        <f>AVERAGEIF($C$36:$C$167,"=6",CT36:CT167)</f>
        <v>8.1333333333333329</v>
      </c>
      <c r="N181" s="39">
        <f>AVERAGEIF($C$36:$C$167,"=6",$DX$36:$DX$167)</f>
        <v>49.235294117647058</v>
      </c>
      <c r="O181" s="39">
        <f>AVERAGEIF($C$36:$C$167,"=6",$DY$36:$DY$167)</f>
        <v>7.8235294117647056</v>
      </c>
      <c r="P181" s="39">
        <f>AVERAGEIF($C$36:$C$167,"=6",$FB$36:$FB$167)</f>
        <v>49.235294117647058</v>
      </c>
      <c r="Q181" s="39">
        <f>AVERAGEIF($C$36:$C$167,"=6",$FD$36:$FD$167)</f>
        <v>6.882352941176471</v>
      </c>
      <c r="R181" s="39">
        <f>AVERAGEIF($C$36:$C$167,"=6",$GJ$36:$GJ$167)</f>
        <v>49.736842105263158</v>
      </c>
      <c r="S181" s="39">
        <f>AVERAGEIF($C$36:$C$167,"=6",$GL$36:$GL$167)</f>
        <v>8.5789473684210531</v>
      </c>
      <c r="T181" s="39">
        <f>AVERAGEIF($C$36:$C$167,"=6",$HR$36:$HR$167)</f>
        <v>50.9</v>
      </c>
      <c r="U181" s="39">
        <f>AVERAGEIF($C$36:$C$167,"=6",$HT$36:$HT$167)</f>
        <v>8.3000000000000007</v>
      </c>
      <c r="V181" s="112"/>
      <c r="W181" s="112"/>
      <c r="X181" s="112"/>
      <c r="Y181" s="112"/>
      <c r="Z181" s="112"/>
      <c r="AA181" s="112"/>
      <c r="AB181" s="112"/>
      <c r="AC181" s="112"/>
      <c r="AD181" s="112"/>
      <c r="AE181" s="112"/>
      <c r="AF181" s="112"/>
      <c r="AG181" s="112"/>
      <c r="AH181" s="110"/>
      <c r="AI181" s="110"/>
      <c r="AJ181" s="112"/>
      <c r="AK181" s="112"/>
      <c r="AL181" s="112"/>
      <c r="AM181" s="112"/>
      <c r="AN181" s="112"/>
      <c r="AO181" s="112"/>
      <c r="AP181" s="112"/>
      <c r="AQ181" s="112"/>
      <c r="AR181" s="112"/>
      <c r="AS181" s="112"/>
      <c r="AT181" s="112"/>
      <c r="AU181" s="112"/>
      <c r="AV181" s="112"/>
      <c r="AW181" s="112"/>
      <c r="AX181" s="112"/>
      <c r="AY181" s="112"/>
      <c r="AZ181" s="112"/>
      <c r="BA181" s="112"/>
      <c r="BB181" s="112"/>
      <c r="BC181" s="112"/>
      <c r="BD181" s="112"/>
      <c r="BE181" s="112"/>
      <c r="BF181" s="112"/>
      <c r="BG181" s="112"/>
      <c r="BH181" s="112"/>
      <c r="BI181" s="112"/>
      <c r="BJ181" s="112"/>
      <c r="BK181" s="112"/>
      <c r="BL181" s="112"/>
      <c r="BM181" s="110"/>
      <c r="BN181" s="110"/>
      <c r="BO181" s="112"/>
      <c r="BP181" s="112"/>
      <c r="BQ181" s="112"/>
      <c r="BR181" s="112"/>
      <c r="BS181" s="112"/>
      <c r="BT181" s="112"/>
      <c r="BU181" s="112"/>
      <c r="BV181" s="112"/>
      <c r="BW181" s="112"/>
      <c r="BX181" s="112"/>
      <c r="BY181" s="112"/>
      <c r="BZ181" s="112"/>
      <c r="CA181" s="112"/>
      <c r="CB181" s="112"/>
      <c r="CC181" s="112"/>
      <c r="CD181" s="112"/>
      <c r="CE181" s="112"/>
      <c r="CF181" s="112"/>
      <c r="CG181" s="112"/>
      <c r="CH181" s="112"/>
      <c r="CI181" s="112"/>
      <c r="CJ181" s="112"/>
      <c r="CK181" s="112"/>
      <c r="CL181" s="112"/>
      <c r="CM181" s="112"/>
      <c r="CN181" s="112"/>
      <c r="CO181" s="112"/>
      <c r="CP181" s="112"/>
      <c r="CQ181" s="112"/>
      <c r="CR181" s="112"/>
      <c r="CS181" s="110"/>
      <c r="CT181" s="110"/>
      <c r="CU181" s="112"/>
      <c r="CV181" s="112"/>
      <c r="CW181" s="112"/>
      <c r="CX181" s="112"/>
      <c r="CY181" s="112"/>
      <c r="CZ181" s="112"/>
      <c r="DA181" s="112"/>
      <c r="DB181" s="112"/>
      <c r="DC181" s="112"/>
      <c r="DD181" s="112"/>
      <c r="DE181" s="112"/>
      <c r="DF181" s="112"/>
      <c r="DG181" s="112"/>
      <c r="DH181" s="112"/>
      <c r="DI181" s="112"/>
      <c r="DJ181" s="112"/>
      <c r="DK181" s="112"/>
      <c r="DL181" s="112"/>
      <c r="DM181" s="112"/>
      <c r="DN181" s="112"/>
      <c r="DO181" s="112"/>
      <c r="DP181" s="112"/>
      <c r="DQ181" s="112"/>
      <c r="DR181" s="112"/>
      <c r="DS181" s="112"/>
      <c r="DT181" s="112"/>
      <c r="DU181" s="112"/>
      <c r="DV181" s="112"/>
      <c r="DW181" s="112"/>
      <c r="DZ181" s="44"/>
      <c r="EF181" s="44"/>
      <c r="EG181" s="44"/>
    </row>
    <row r="182" spans="5:137" x14ac:dyDescent="0.25">
      <c r="E182" s="44"/>
      <c r="AH182" s="44"/>
      <c r="AI182" s="44" t="s">
        <v>258</v>
      </c>
      <c r="BM182" s="44"/>
      <c r="BN182" s="44"/>
      <c r="CS182" s="44"/>
      <c r="CT182" s="44"/>
      <c r="DX182" s="44"/>
      <c r="DY182" s="44"/>
      <c r="DZ182" s="44"/>
      <c r="EA182" s="44"/>
      <c r="EB182" s="44"/>
      <c r="EC182" s="44"/>
      <c r="ED182" s="44"/>
      <c r="EE182" s="44"/>
      <c r="EF182" s="44"/>
      <c r="EG182" s="44"/>
    </row>
    <row r="183" spans="5:137" x14ac:dyDescent="0.25">
      <c r="E183" s="44"/>
      <c r="AH183" s="44"/>
      <c r="AI183" s="44"/>
      <c r="BM183" s="44"/>
      <c r="BN183" s="44"/>
      <c r="CS183" s="44"/>
      <c r="CT183" s="44"/>
      <c r="DX183" s="44"/>
      <c r="DY183" s="44"/>
      <c r="DZ183" s="44"/>
      <c r="EA183" s="44"/>
      <c r="EB183" s="44"/>
      <c r="EC183" s="44"/>
      <c r="ED183" s="44"/>
      <c r="EE183" s="44"/>
      <c r="EF183" s="44"/>
      <c r="EG183" s="44"/>
    </row>
    <row r="184" spans="5:137" x14ac:dyDescent="0.25">
      <c r="E184" s="45"/>
      <c r="F184" s="744">
        <v>2016</v>
      </c>
      <c r="G184" s="745"/>
      <c r="H184" s="745"/>
      <c r="I184" s="863"/>
      <c r="J184" s="744">
        <v>2017</v>
      </c>
      <c r="K184" s="745"/>
      <c r="L184" s="745"/>
      <c r="M184" s="863"/>
      <c r="N184" s="733">
        <v>2018</v>
      </c>
      <c r="O184" s="735"/>
      <c r="P184" s="735"/>
      <c r="Q184" s="734"/>
      <c r="R184" s="733">
        <v>2019</v>
      </c>
      <c r="S184" s="735"/>
      <c r="T184" s="735"/>
      <c r="U184" s="734"/>
      <c r="V184" s="744">
        <v>2020</v>
      </c>
      <c r="W184" s="745"/>
      <c r="X184" s="745"/>
      <c r="Y184" s="745"/>
      <c r="Z184" s="744">
        <v>2021</v>
      </c>
      <c r="AA184" s="745"/>
      <c r="AB184" s="745"/>
      <c r="AC184" s="745"/>
      <c r="AD184" s="744">
        <v>2022</v>
      </c>
      <c r="AE184" s="745"/>
      <c r="AF184" s="745"/>
      <c r="AG184" s="745"/>
      <c r="AH184" s="744">
        <v>2023</v>
      </c>
      <c r="AI184" s="745"/>
      <c r="AJ184" s="745"/>
      <c r="AK184" s="745"/>
      <c r="AL184" s="113"/>
      <c r="AM184" s="113"/>
      <c r="AN184" s="113"/>
      <c r="AO184" s="113"/>
      <c r="AP184" s="113"/>
      <c r="AQ184" s="113"/>
      <c r="AR184" s="113"/>
      <c r="AS184" s="113"/>
      <c r="AT184" s="113"/>
      <c r="AU184" s="113"/>
      <c r="AV184" s="113"/>
      <c r="AW184" s="113"/>
      <c r="AX184" s="113"/>
      <c r="AY184" s="113"/>
      <c r="AZ184" s="113"/>
      <c r="BA184" s="113"/>
      <c r="BB184" s="113"/>
      <c r="BC184" s="113"/>
      <c r="BD184" s="113"/>
      <c r="BE184" s="113"/>
      <c r="BF184" s="113"/>
      <c r="BG184" s="113"/>
      <c r="BH184" s="113"/>
      <c r="BI184" s="113"/>
      <c r="BJ184" s="113"/>
      <c r="BK184" s="113"/>
      <c r="BL184" s="113"/>
      <c r="BM184" s="113"/>
      <c r="BN184" s="113"/>
      <c r="BO184" s="109"/>
      <c r="BP184" s="109"/>
      <c r="BQ184" s="109"/>
      <c r="BR184" s="109"/>
      <c r="BS184" s="109"/>
      <c r="BT184" s="109"/>
      <c r="BU184" s="109"/>
      <c r="BV184" s="109"/>
      <c r="BW184" s="109"/>
      <c r="BX184" s="109"/>
      <c r="BY184" s="109"/>
      <c r="BZ184" s="109"/>
      <c r="CA184" s="109"/>
      <c r="CB184" s="109"/>
      <c r="CC184" s="109"/>
      <c r="CD184" s="109"/>
      <c r="CE184" s="109"/>
      <c r="CF184" s="109"/>
      <c r="CG184" s="109"/>
      <c r="CH184" s="109"/>
      <c r="CI184" s="109"/>
      <c r="CJ184" s="109"/>
      <c r="CK184" s="109"/>
      <c r="CL184" s="109"/>
      <c r="CM184" s="109"/>
      <c r="CN184" s="109"/>
      <c r="CO184" s="109"/>
      <c r="CP184" s="109"/>
      <c r="CQ184" s="109"/>
      <c r="CR184" s="109"/>
      <c r="CS184" s="738">
        <v>2017</v>
      </c>
      <c r="CT184" s="738"/>
      <c r="CU184" s="738"/>
      <c r="CV184" s="738"/>
      <c r="CW184" s="738"/>
      <c r="CX184" s="738"/>
      <c r="CY184" s="738"/>
      <c r="CZ184" s="738"/>
      <c r="DA184" s="738"/>
      <c r="DB184" s="738"/>
      <c r="DC184" s="738"/>
      <c r="DD184" s="738"/>
      <c r="DE184" s="738"/>
      <c r="DF184" s="738"/>
      <c r="DG184" s="738"/>
      <c r="DH184" s="738"/>
      <c r="DI184" s="738"/>
      <c r="DJ184" s="738"/>
      <c r="DK184" s="738"/>
      <c r="DL184" s="738"/>
      <c r="DM184" s="738"/>
      <c r="DN184" s="738"/>
      <c r="DO184" s="738"/>
      <c r="DP184" s="738"/>
      <c r="DQ184" s="738"/>
      <c r="DR184" s="738"/>
      <c r="DS184" s="738"/>
      <c r="DT184" s="738"/>
      <c r="DU184" s="738"/>
      <c r="DV184" s="738"/>
      <c r="DW184" s="738"/>
      <c r="DX184" s="738"/>
      <c r="DY184" s="738"/>
    </row>
    <row r="185" spans="5:137" x14ac:dyDescent="0.25">
      <c r="E185" s="45"/>
      <c r="F185" s="733" t="s">
        <v>254</v>
      </c>
      <c r="G185" s="734"/>
      <c r="H185" s="733" t="s">
        <v>255</v>
      </c>
      <c r="I185" s="734"/>
      <c r="J185" s="733" t="s">
        <v>254</v>
      </c>
      <c r="K185" s="734"/>
      <c r="L185" s="733" t="s">
        <v>255</v>
      </c>
      <c r="M185" s="734"/>
      <c r="N185" s="733" t="s">
        <v>254</v>
      </c>
      <c r="O185" s="734"/>
      <c r="P185" s="733" t="s">
        <v>255</v>
      </c>
      <c r="Q185" s="734"/>
      <c r="R185" s="733" t="s">
        <v>254</v>
      </c>
      <c r="S185" s="734"/>
      <c r="T185" s="733" t="s">
        <v>255</v>
      </c>
      <c r="U185" s="734"/>
      <c r="V185" s="733" t="s">
        <v>254</v>
      </c>
      <c r="W185" s="734"/>
      <c r="X185" s="733" t="s">
        <v>255</v>
      </c>
      <c r="Y185" s="735"/>
      <c r="Z185" s="733" t="s">
        <v>254</v>
      </c>
      <c r="AA185" s="734"/>
      <c r="AB185" s="733" t="s">
        <v>255</v>
      </c>
      <c r="AC185" s="735"/>
      <c r="AD185" s="733" t="s">
        <v>254</v>
      </c>
      <c r="AE185" s="734"/>
      <c r="AF185" s="733" t="s">
        <v>255</v>
      </c>
      <c r="AG185" s="735"/>
      <c r="AH185" s="733" t="s">
        <v>254</v>
      </c>
      <c r="AI185" s="734"/>
      <c r="AJ185" s="733" t="s">
        <v>255</v>
      </c>
      <c r="AK185" s="735"/>
      <c r="AL185" s="109"/>
      <c r="AM185" s="109"/>
      <c r="AN185" s="109"/>
      <c r="AO185" s="109"/>
      <c r="AP185" s="109"/>
      <c r="AQ185" s="109"/>
      <c r="AR185" s="109"/>
      <c r="AS185" s="109"/>
      <c r="AT185" s="109"/>
      <c r="AU185" s="109"/>
      <c r="AV185" s="109"/>
      <c r="AW185" s="109"/>
      <c r="AX185" s="109"/>
      <c r="AY185" s="109"/>
      <c r="AZ185" s="109"/>
      <c r="BA185" s="109"/>
      <c r="BB185" s="109"/>
      <c r="BC185" s="109"/>
      <c r="BD185" s="109"/>
      <c r="BE185" s="109"/>
      <c r="BF185" s="109"/>
      <c r="BG185" s="109"/>
      <c r="BH185" s="109"/>
      <c r="BI185" s="109"/>
      <c r="BJ185" s="109"/>
      <c r="BK185" s="109"/>
      <c r="BL185" s="109"/>
      <c r="BM185" s="110"/>
      <c r="BN185" s="110"/>
      <c r="BO185" s="109"/>
      <c r="BP185" s="109"/>
      <c r="BQ185" s="109"/>
      <c r="BR185" s="109"/>
      <c r="BS185" s="109"/>
      <c r="BT185" s="109"/>
      <c r="BU185" s="109"/>
      <c r="BV185" s="109"/>
      <c r="BW185" s="109"/>
      <c r="BX185" s="109"/>
      <c r="BY185" s="109"/>
      <c r="BZ185" s="109"/>
      <c r="CA185" s="109"/>
      <c r="CB185" s="109"/>
      <c r="CC185" s="109"/>
      <c r="CD185" s="109"/>
      <c r="CE185" s="109"/>
      <c r="CF185" s="109"/>
      <c r="CG185" s="109"/>
      <c r="CH185" s="109"/>
      <c r="CI185" s="109"/>
      <c r="CJ185" s="109"/>
      <c r="CK185" s="109"/>
      <c r="CL185" s="109"/>
      <c r="CM185" s="109"/>
      <c r="CN185" s="109"/>
      <c r="CO185" s="109"/>
      <c r="CP185" s="109"/>
      <c r="CQ185" s="109"/>
      <c r="CR185" s="109"/>
      <c r="CS185" s="110"/>
      <c r="CT185" s="110"/>
      <c r="CU185" s="109"/>
      <c r="CV185" s="109"/>
      <c r="CW185" s="109"/>
      <c r="CX185" s="109"/>
      <c r="CY185" s="109"/>
      <c r="CZ185" s="109"/>
      <c r="DA185" s="109"/>
      <c r="DB185" s="109"/>
      <c r="DC185" s="109"/>
      <c r="DD185" s="109"/>
      <c r="DE185" s="109"/>
      <c r="DF185" s="109"/>
      <c r="DG185" s="109"/>
      <c r="DH185" s="109"/>
      <c r="DI185" s="109"/>
      <c r="DJ185" s="109"/>
      <c r="DK185" s="109"/>
      <c r="DL185" s="109"/>
      <c r="DM185" s="109"/>
      <c r="DN185" s="109"/>
      <c r="DO185" s="109"/>
      <c r="DP185" s="109"/>
      <c r="DQ185" s="109"/>
      <c r="DR185" s="109"/>
      <c r="DS185" s="109"/>
      <c r="DT185" s="109"/>
      <c r="DU185" s="109"/>
      <c r="DV185" s="109"/>
      <c r="DW185" s="109"/>
      <c r="DX185" s="110"/>
      <c r="DY185" s="110"/>
    </row>
    <row r="186" spans="5:137" x14ac:dyDescent="0.25">
      <c r="E186" s="45"/>
      <c r="F186" s="43" t="s">
        <v>219</v>
      </c>
      <c r="G186" s="43" t="s">
        <v>253</v>
      </c>
      <c r="H186" s="43" t="s">
        <v>219</v>
      </c>
      <c r="I186" s="43" t="s">
        <v>253</v>
      </c>
      <c r="J186" s="43" t="s">
        <v>219</v>
      </c>
      <c r="K186" s="43" t="s">
        <v>253</v>
      </c>
      <c r="L186" s="43" t="s">
        <v>219</v>
      </c>
      <c r="M186" s="43" t="s">
        <v>253</v>
      </c>
      <c r="N186" s="43" t="s">
        <v>219</v>
      </c>
      <c r="O186" s="43" t="s">
        <v>253</v>
      </c>
      <c r="P186" s="43" t="s">
        <v>219</v>
      </c>
      <c r="Q186" s="43" t="s">
        <v>253</v>
      </c>
      <c r="R186" s="43" t="s">
        <v>219</v>
      </c>
      <c r="S186" s="43" t="s">
        <v>253</v>
      </c>
      <c r="T186" s="43" t="s">
        <v>219</v>
      </c>
      <c r="U186" s="43" t="s">
        <v>253</v>
      </c>
      <c r="V186" s="56" t="s">
        <v>219</v>
      </c>
      <c r="W186" s="56" t="s">
        <v>253</v>
      </c>
      <c r="X186" s="56" t="s">
        <v>219</v>
      </c>
      <c r="Y186" s="58" t="s">
        <v>253</v>
      </c>
      <c r="Z186" s="438" t="s">
        <v>219</v>
      </c>
      <c r="AA186" s="438" t="s">
        <v>253</v>
      </c>
      <c r="AB186" s="438" t="s">
        <v>219</v>
      </c>
      <c r="AC186" s="435" t="s">
        <v>253</v>
      </c>
      <c r="AD186" s="678" t="s">
        <v>219</v>
      </c>
      <c r="AE186" s="678" t="s">
        <v>253</v>
      </c>
      <c r="AF186" s="678" t="s">
        <v>219</v>
      </c>
      <c r="AG186" s="674" t="s">
        <v>253</v>
      </c>
      <c r="AH186" s="678" t="s">
        <v>219</v>
      </c>
      <c r="AI186" s="678" t="s">
        <v>253</v>
      </c>
      <c r="AJ186" s="678" t="s">
        <v>219</v>
      </c>
      <c r="AK186" s="674" t="s">
        <v>253</v>
      </c>
      <c r="AL186" s="109"/>
      <c r="AM186" s="109"/>
      <c r="AN186" s="109"/>
      <c r="AO186" s="109"/>
      <c r="AP186" s="109"/>
      <c r="AQ186" s="109"/>
      <c r="AR186" s="109"/>
      <c r="AS186" s="109"/>
      <c r="AT186" s="109"/>
      <c r="AU186" s="109"/>
      <c r="AV186" s="109"/>
      <c r="AW186" s="109"/>
      <c r="AX186" s="109"/>
      <c r="AY186" s="109"/>
      <c r="AZ186" s="109"/>
      <c r="BA186" s="109"/>
      <c r="BB186" s="109"/>
      <c r="BC186" s="109"/>
      <c r="BD186" s="109"/>
      <c r="BE186" s="109"/>
      <c r="BF186" s="109"/>
      <c r="BG186" s="109"/>
      <c r="BH186" s="109"/>
      <c r="BI186" s="109"/>
      <c r="BJ186" s="109"/>
      <c r="BK186" s="109"/>
      <c r="BL186" s="109"/>
      <c r="BM186" s="110"/>
      <c r="BN186" s="110"/>
      <c r="BO186" s="109"/>
      <c r="BP186" s="109"/>
      <c r="BQ186" s="109"/>
      <c r="BR186" s="109"/>
      <c r="BS186" s="109"/>
      <c r="BT186" s="109"/>
      <c r="BU186" s="109"/>
      <c r="BV186" s="109"/>
      <c r="BW186" s="109"/>
      <c r="BX186" s="109"/>
      <c r="BY186" s="109"/>
      <c r="BZ186" s="109"/>
      <c r="CA186" s="109"/>
      <c r="CB186" s="109"/>
      <c r="CC186" s="109"/>
      <c r="CD186" s="109"/>
      <c r="CE186" s="109"/>
      <c r="CF186" s="109"/>
      <c r="CG186" s="109"/>
      <c r="CH186" s="109"/>
      <c r="CI186" s="109"/>
      <c r="CJ186" s="109"/>
      <c r="CK186" s="109"/>
      <c r="CL186" s="109"/>
      <c r="CM186" s="109"/>
      <c r="CN186" s="109"/>
      <c r="CO186" s="109"/>
      <c r="CP186" s="109"/>
      <c r="CQ186" s="109"/>
      <c r="CR186" s="109"/>
      <c r="CS186" s="110"/>
      <c r="CT186" s="110"/>
      <c r="CU186" s="109"/>
      <c r="CV186" s="109"/>
      <c r="CW186" s="109"/>
      <c r="CX186" s="109"/>
      <c r="CY186" s="109"/>
      <c r="CZ186" s="109"/>
      <c r="DA186" s="109"/>
      <c r="DB186" s="109"/>
      <c r="DC186" s="109"/>
      <c r="DD186" s="109"/>
      <c r="DE186" s="109"/>
      <c r="DF186" s="109"/>
      <c r="DG186" s="109"/>
      <c r="DH186" s="109"/>
      <c r="DI186" s="109"/>
      <c r="DJ186" s="109"/>
      <c r="DK186" s="109"/>
      <c r="DL186" s="109"/>
      <c r="DM186" s="109"/>
      <c r="DN186" s="109"/>
      <c r="DO186" s="109"/>
      <c r="DP186" s="109"/>
      <c r="DQ186" s="109"/>
      <c r="DR186" s="109"/>
      <c r="DS186" s="109"/>
      <c r="DT186" s="109"/>
      <c r="DU186" s="109"/>
      <c r="DV186" s="109"/>
      <c r="DW186" s="109"/>
      <c r="DX186" s="110"/>
      <c r="DY186" s="110"/>
    </row>
    <row r="187" spans="5:137" x14ac:dyDescent="0.25">
      <c r="E187" s="5" t="s">
        <v>0</v>
      </c>
      <c r="F187" s="19">
        <v>53</v>
      </c>
      <c r="G187" s="19">
        <v>7</v>
      </c>
      <c r="H187" s="19">
        <v>55</v>
      </c>
      <c r="I187" s="19">
        <v>8</v>
      </c>
      <c r="J187" s="10">
        <v>51</v>
      </c>
      <c r="K187" s="19">
        <v>7</v>
      </c>
      <c r="L187" s="19">
        <v>54</v>
      </c>
      <c r="M187" s="19">
        <v>8</v>
      </c>
      <c r="N187" s="42">
        <v>50</v>
      </c>
      <c r="O187" s="42">
        <v>8</v>
      </c>
      <c r="P187" s="42">
        <v>53</v>
      </c>
      <c r="Q187" s="42">
        <v>9</v>
      </c>
      <c r="R187" s="42">
        <v>49</v>
      </c>
      <c r="S187" s="42">
        <v>9</v>
      </c>
      <c r="T187" s="42">
        <v>52</v>
      </c>
      <c r="U187" s="42">
        <v>9</v>
      </c>
      <c r="V187" s="10">
        <v>49</v>
      </c>
      <c r="W187" s="10">
        <v>9</v>
      </c>
      <c r="X187" s="10">
        <v>51</v>
      </c>
      <c r="Y187" s="117">
        <v>9</v>
      </c>
      <c r="Z187" s="10">
        <v>49</v>
      </c>
      <c r="AA187" s="10">
        <v>9</v>
      </c>
      <c r="AB187" s="10">
        <v>51</v>
      </c>
      <c r="AC187" s="117">
        <v>9</v>
      </c>
      <c r="AD187" s="10">
        <v>49</v>
      </c>
      <c r="AE187" s="10">
        <v>9</v>
      </c>
      <c r="AF187" s="10">
        <v>51</v>
      </c>
      <c r="AG187" s="117">
        <v>9</v>
      </c>
      <c r="AH187" s="10">
        <v>49</v>
      </c>
      <c r="AI187" s="10">
        <v>9</v>
      </c>
      <c r="AJ187" s="10">
        <v>51</v>
      </c>
      <c r="AK187" s="117">
        <v>9</v>
      </c>
      <c r="AL187" s="114"/>
      <c r="AM187" s="114"/>
      <c r="AN187" s="114"/>
      <c r="AO187" s="114"/>
      <c r="AP187" s="114"/>
      <c r="AQ187" s="114"/>
      <c r="AR187" s="114"/>
      <c r="AS187" s="114"/>
      <c r="AT187" s="114"/>
      <c r="AU187" s="114"/>
      <c r="AV187" s="114"/>
      <c r="AW187" s="114"/>
      <c r="AX187" s="114"/>
      <c r="AY187" s="114"/>
      <c r="AZ187" s="114"/>
      <c r="BA187" s="114"/>
      <c r="BB187" s="114"/>
      <c r="BC187" s="114"/>
      <c r="BD187" s="114"/>
      <c r="BE187" s="114"/>
      <c r="BF187" s="114"/>
      <c r="BG187" s="114"/>
      <c r="BH187" s="114"/>
      <c r="BI187" s="114"/>
      <c r="BJ187" s="114"/>
      <c r="BK187" s="114"/>
      <c r="BL187" s="114"/>
      <c r="BM187" s="110"/>
      <c r="BN187" s="110"/>
      <c r="BO187" s="114"/>
      <c r="BP187" s="114"/>
      <c r="BQ187" s="114"/>
      <c r="BR187" s="114"/>
      <c r="BS187" s="114"/>
      <c r="BT187" s="114"/>
      <c r="BU187" s="114"/>
      <c r="BV187" s="114"/>
      <c r="BW187" s="114"/>
      <c r="BX187" s="114"/>
      <c r="BY187" s="114"/>
      <c r="BZ187" s="114"/>
      <c r="CA187" s="114"/>
      <c r="CB187" s="114"/>
      <c r="CC187" s="114"/>
      <c r="CD187" s="114"/>
      <c r="CE187" s="114"/>
      <c r="CF187" s="114"/>
      <c r="CG187" s="114"/>
      <c r="CH187" s="114"/>
      <c r="CI187" s="114"/>
      <c r="CJ187" s="114"/>
      <c r="CK187" s="114"/>
      <c r="CL187" s="114"/>
      <c r="CM187" s="114"/>
      <c r="CN187" s="114"/>
      <c r="CO187" s="114"/>
      <c r="CP187" s="114"/>
      <c r="CQ187" s="114"/>
      <c r="CR187" s="114"/>
      <c r="CS187" s="110"/>
      <c r="CT187" s="110"/>
      <c r="CU187" s="114"/>
      <c r="CV187" s="114"/>
      <c r="CW187" s="114"/>
      <c r="CX187" s="114"/>
      <c r="CY187" s="114"/>
      <c r="CZ187" s="114"/>
      <c r="DA187" s="114"/>
      <c r="DB187" s="114"/>
      <c r="DC187" s="114"/>
      <c r="DD187" s="114"/>
      <c r="DE187" s="114"/>
      <c r="DF187" s="114"/>
      <c r="DG187" s="114"/>
      <c r="DH187" s="114"/>
      <c r="DI187" s="114"/>
      <c r="DJ187" s="114"/>
      <c r="DK187" s="114"/>
      <c r="DL187" s="114"/>
      <c r="DM187" s="114"/>
      <c r="DN187" s="114"/>
      <c r="DO187" s="114"/>
      <c r="DP187" s="114"/>
      <c r="DQ187" s="114"/>
      <c r="DR187" s="114"/>
      <c r="DS187" s="114"/>
      <c r="DT187" s="114"/>
      <c r="DU187" s="114"/>
      <c r="DV187" s="114"/>
      <c r="DW187" s="114"/>
      <c r="DX187" s="110"/>
      <c r="DY187" s="110"/>
    </row>
    <row r="188" spans="5:137" x14ac:dyDescent="0.25">
      <c r="E188" s="39" t="s">
        <v>246</v>
      </c>
      <c r="F188" s="39">
        <f>AVERAGEIFS(D36:D167,$C$36:$C$167,"=1", $B$36:$B$167,"OFICIAL")</f>
        <v>54</v>
      </c>
      <c r="G188" s="39">
        <f>AVERAGEIFS(E36:E167,$C$36:$C$167,"=1", $B$36:$B$167,"OFICIAL")</f>
        <v>7.25</v>
      </c>
      <c r="H188" s="39">
        <f>AVERAGEIFS(D36:D167,$C$36:$C$167,"=1", $B$36:$B$167,"NO OFICIAL")</f>
        <v>52.92307692307692</v>
      </c>
      <c r="I188" s="39">
        <f>AVERAGEIFS(E36:E167,$C$36:$C$167,"=1", $B$36:$B$167,"NO OFICIAL")</f>
        <v>6.615384615384615</v>
      </c>
      <c r="J188" s="39">
        <f>AVERAGEIFS($AH$36:$AH$167,$C$36:$C$167,"=1", $B$36:$B$167,"OFICIAL")</f>
        <v>53</v>
      </c>
      <c r="K188" s="39">
        <f>AVERAGEIFS($AI$36:$AI$167,$C$36:$C$167,"=1", $B$36:$B$167,"OFICIAL")</f>
        <v>7.25</v>
      </c>
      <c r="L188" s="39">
        <f>AVERAGEIFS($AH$36:$AH$167,$C$36:$C$167,"=1", $B$36:$B$167,"NO OFICIAL")</f>
        <v>52.5</v>
      </c>
      <c r="M188" s="39">
        <f>AVERAGEIFS($AI$36:$AI$167,$C$36:$C$167,"=1", $B$36:$B$167,"NO OFICIAL")</f>
        <v>7.416666666666667</v>
      </c>
      <c r="N188" s="39">
        <f>AVERAGEIFS($BM$36:$BM$167,$C$36:$C$167,"=1", $B$36:$B$167,"OFICIAL")</f>
        <v>50.5</v>
      </c>
      <c r="O188" s="39">
        <f>AVERAGEIFS($BN$36:$BN$167,$C$36:$C$167,"=1", $B$36:$B$167,"OFICIAL")</f>
        <v>8</v>
      </c>
      <c r="P188" s="39">
        <f>AVERAGEIFS($BM$36:$BM$167,$C$36:$C$167,"=1", $B$36:$B$167,"NO OFICIAL")</f>
        <v>50.846153846153847</v>
      </c>
      <c r="Q188" s="39">
        <f>AVERAGEIFS($BN$36:$BN$167,$C$36:$C$167,"=1", $B$36:$B$167,"NO OFICIAL")</f>
        <v>7.5384615384615383</v>
      </c>
      <c r="R188" s="39">
        <f>AVERAGEIFS($CS$36:$CS$167,$C$36:$C$167,"=1", $B$36:$B$167,"OFICIAL")</f>
        <v>49.5</v>
      </c>
      <c r="S188" s="39">
        <f>AVERAGEIFS($CT$36:$CT$167,$C$36:$C$167,"=1", $B$36:$B$167,"OFICIAL")</f>
        <v>8.75</v>
      </c>
      <c r="T188" s="39">
        <f>AVERAGEIFS($CS$36:$CS$167,$C$36:$C$167,"=1", $B$36:$B$167,"NO OFICIAL")</f>
        <v>49.46153846153846</v>
      </c>
      <c r="U188" s="39">
        <f>AVERAGEIFS($CT$36:$CT$167,$C$36:$C$167,"=1", $B$36:$B$167,"NO OFICIAL")</f>
        <v>7.7692307692307692</v>
      </c>
      <c r="V188" s="39">
        <f>AVERAGEIFS($DX$36:$DX$167,$C$36:$C$167,"=1", $B$36:$B$167,"OFICIAL")</f>
        <v>49</v>
      </c>
      <c r="W188" s="39">
        <f>AVERAGEIFS($DY$36:$DY$167,$C$36:$C$167,"=1", $B$36:$B$167,"OFICIAL")</f>
        <v>8.25</v>
      </c>
      <c r="X188" s="39">
        <f>AVERAGEIFS($DX$36:$DX$167,$C$36:$C$167,"=1", $B$36:$B$167,"NO OFICIAL")</f>
        <v>49.769230769230766</v>
      </c>
      <c r="Y188" s="39">
        <f>AVERAGEIFS($DY$36:$DY$167,$C$36:$C$167,"=1", $B$36:$B$167,"NO OFICIAL")</f>
        <v>8.3076923076923084</v>
      </c>
      <c r="Z188" s="39">
        <f>AVERAGEIFS($FB$36:$FB$167,$C$36:$C$167,"=1", $B$36:$B$167,"OFICIAL")</f>
        <v>48.75</v>
      </c>
      <c r="AA188" s="39">
        <f>AVERAGEIFS($FD$36:$FD$167,$C$36:$C$167,"=1", $B$36:$B$167,"OFICIAL")</f>
        <v>8</v>
      </c>
      <c r="AB188" s="39">
        <f>AVERAGEIFS($FB$36:$FB$167,$C$36:$C$167,"=1", $B$36:$B$167,"NO OFICIAL")</f>
        <v>50</v>
      </c>
      <c r="AC188" s="39">
        <f>AVERAGEIFS($FD$36:$FD$167,$C$36:$C$167,"=1", $B$36:$B$167,"NO OFICIAL")</f>
        <v>7.6923076923076925</v>
      </c>
      <c r="AD188" s="39">
        <f>AVERAGEIFS($GJ$36:$GJ$167,$C$36:$C$167,"=1", $B$36:$B$167,"OFICIAL")</f>
        <v>49.2</v>
      </c>
      <c r="AE188" s="39">
        <f>AVERAGEIFS($GL$36:$GL$167,$C$36:$C$167,"=1", $B$36:$B$167,"OFICIAL")</f>
        <v>8.6</v>
      </c>
      <c r="AF188" s="39">
        <f>AVERAGEIFS($GJ$36:$GJ$167,$C$36:$C$167,"=1", $B$36:$B$167,"NO OFICIAL")</f>
        <v>50.846153846153847</v>
      </c>
      <c r="AG188" s="39">
        <f>AVERAGEIFS($GL$36:$GL$167,$C$36:$C$167,"=1", $B$36:$B$167,"NO OFICIAL")</f>
        <v>8.6923076923076916</v>
      </c>
      <c r="AH188" s="39">
        <f>AVERAGEIFS($HR$36:$HR$167,$C$36:$C$167,"=1", $B$36:$B$167,"OFICIAL")</f>
        <v>50</v>
      </c>
      <c r="AI188" s="39">
        <f>AVERAGEIFS($HT$36:$HT$167,$C$36:$C$167,"=1", $B$36:$B$167,"OFICIAL")</f>
        <v>8</v>
      </c>
      <c r="AJ188" s="39">
        <f>AVERAGEIFS($HR$36:$HR$167,$C$36:$C$167,"=1", $B$36:$B$167,"NO OFICIAL")</f>
        <v>52</v>
      </c>
      <c r="AK188" s="39">
        <f>AVERAGEIFS($HT$36:$HT$167,$C$36:$C$167,"=1", $B$36:$B$167,"NO OFICIAL")</f>
        <v>8.25</v>
      </c>
      <c r="AL188" s="112"/>
      <c r="AM188" s="112"/>
      <c r="AN188" s="112"/>
      <c r="AO188" s="112"/>
      <c r="AP188" s="112"/>
      <c r="AQ188" s="112"/>
      <c r="AR188" s="112"/>
      <c r="AS188" s="112"/>
      <c r="AT188" s="112"/>
      <c r="AU188" s="112"/>
      <c r="AV188" s="112"/>
      <c r="AW188" s="112"/>
      <c r="AX188" s="112"/>
      <c r="AY188" s="112"/>
      <c r="AZ188" s="112"/>
      <c r="BA188" s="112"/>
      <c r="BB188" s="112"/>
      <c r="BC188" s="112"/>
      <c r="BD188" s="112"/>
      <c r="BE188" s="112"/>
      <c r="BF188" s="112"/>
      <c r="BG188" s="112"/>
      <c r="BH188" s="112"/>
      <c r="BI188" s="112"/>
      <c r="BJ188" s="112"/>
      <c r="BK188" s="112"/>
      <c r="BL188" s="112"/>
      <c r="BM188" s="110"/>
      <c r="BN188" s="110"/>
      <c r="BO188" s="112"/>
      <c r="BP188" s="112"/>
      <c r="BQ188" s="112"/>
      <c r="BR188" s="112"/>
      <c r="BS188" s="112"/>
      <c r="BT188" s="112"/>
      <c r="BU188" s="112"/>
      <c r="BV188" s="112"/>
      <c r="BW188" s="112"/>
      <c r="BX188" s="112"/>
      <c r="BY188" s="112"/>
      <c r="BZ188" s="112"/>
      <c r="CA188" s="112"/>
      <c r="CB188" s="112"/>
      <c r="CC188" s="112"/>
      <c r="CD188" s="112"/>
      <c r="CE188" s="112"/>
      <c r="CF188" s="112"/>
      <c r="CG188" s="112"/>
      <c r="CH188" s="112"/>
      <c r="CI188" s="112"/>
      <c r="CJ188" s="112"/>
      <c r="CK188" s="112"/>
      <c r="CL188" s="112"/>
      <c r="CM188" s="112"/>
      <c r="CN188" s="112"/>
      <c r="CO188" s="112"/>
      <c r="CP188" s="112"/>
      <c r="CQ188" s="112"/>
      <c r="CR188" s="112"/>
      <c r="CS188" s="110"/>
      <c r="CT188" s="110"/>
      <c r="CU188" s="112"/>
      <c r="CV188" s="112"/>
      <c r="CW188" s="112"/>
      <c r="CX188" s="112"/>
      <c r="CY188" s="112"/>
      <c r="CZ188" s="112"/>
      <c r="DA188" s="112"/>
      <c r="DB188" s="112"/>
      <c r="DC188" s="112"/>
      <c r="DD188" s="112"/>
      <c r="DE188" s="112"/>
      <c r="DF188" s="112"/>
      <c r="DG188" s="112"/>
      <c r="DH188" s="112"/>
      <c r="DI188" s="112"/>
      <c r="DJ188" s="112"/>
      <c r="DK188" s="112"/>
      <c r="DL188" s="112"/>
      <c r="DM188" s="112"/>
      <c r="DN188" s="112"/>
      <c r="DO188" s="112"/>
      <c r="DP188" s="112"/>
      <c r="DQ188" s="112"/>
      <c r="DR188" s="112"/>
      <c r="DS188" s="112"/>
      <c r="DT188" s="112"/>
      <c r="DU188" s="112"/>
      <c r="DV188" s="112"/>
      <c r="DW188" s="112"/>
      <c r="DX188" s="110"/>
      <c r="DY188" s="110"/>
    </row>
    <row r="189" spans="5:137" x14ac:dyDescent="0.25">
      <c r="E189" s="39" t="s">
        <v>247</v>
      </c>
      <c r="F189" s="39">
        <f>AVERAGEIFS(D36:D167,$C$36:$C$167,"=2", $B$36:$B$167,"OFICIAL")</f>
        <v>54</v>
      </c>
      <c r="G189" s="39">
        <f>AVERAGEIFS(E36:E167,$C$36:$C$167,"=2", $B$36:$B$167,"OFICIAL")</f>
        <v>7.5</v>
      </c>
      <c r="H189" s="39">
        <f>AVERAGEIFS(D36:D167,$C$36:$C$167,"=2", $B$36:$B$167,"NO OFICIAL")</f>
        <v>54.666666666666664</v>
      </c>
      <c r="I189" s="39">
        <f>AVERAGEIFS(E36:E167,$C$36:$C$167,"=2", $B$36:$B$167,"NO OFICIAL")</f>
        <v>6.8888888888888893</v>
      </c>
      <c r="J189" s="39">
        <f>AVERAGEIFS($AH$36:$AH$167,$C$36:$C$167,"=2", $B$36:$B$167,"OFICIAL")</f>
        <v>53.5</v>
      </c>
      <c r="K189" s="39">
        <f>AVERAGEIFS($AI$36:$AI$167,$C$36:$C$167,"=2", $B$36:$B$167,"OFICIAL")</f>
        <v>8</v>
      </c>
      <c r="L189" s="39">
        <f>AVERAGEIFS($AH$36:$AH$167,$C$36:$C$167,"=2", $B$36:$B$167,"NO OFICIAL")</f>
        <v>52.823529411764703</v>
      </c>
      <c r="M189" s="39">
        <f>AVERAGEIFS($AI$36:$AI$167,$C$36:$C$167,"=2", $B$36:$B$167,"NO OFICIAL")</f>
        <v>7.1764705882352944</v>
      </c>
      <c r="N189" s="39">
        <f>AVERAGEIFS($BM$36:$BM$167,$C$36:$C$167,"=2", $B$36:$B$167,"OFICIAL")</f>
        <v>51</v>
      </c>
      <c r="O189" s="39">
        <f>AVERAGEIFS($BN$36:$BN$167,$C$36:$C$167,"=2", $B$36:$B$167,"OFICIAL")</f>
        <v>9</v>
      </c>
      <c r="P189" s="39">
        <f>AVERAGEIFS($BM$36:$BM$167,$C$36:$C$167,"=2", $B$36:$B$167,"NO OFICIAL")</f>
        <v>51.764705882352942</v>
      </c>
      <c r="Q189" s="39">
        <f>AVERAGEIFS($BN$36:$BN$167,$C$36:$C$167,"=2", $B$36:$B$167,"NO OFICIAL")</f>
        <v>8.0588235294117645</v>
      </c>
      <c r="R189" s="39">
        <f>AVERAGEIFS($CS$36:$CS$167,$C$36:$C$167,"=2", $B$36:$B$167,"OFICIAL")</f>
        <v>49</v>
      </c>
      <c r="S189" s="39">
        <f>AVERAGEIFS($CT$36:$CT$167,$C$36:$C$167,"=2", $B$36:$B$167,"OFICIAL")</f>
        <v>9</v>
      </c>
      <c r="T189" s="39">
        <f>AVERAGEIFS($CS$36:$CS$167,$C$36:$C$167,"=2", $B$36:$B$167,"NO OFICIAL")</f>
        <v>51.5</v>
      </c>
      <c r="U189" s="39">
        <f>AVERAGEIFS($CT$36:$CT$167,$C$36:$C$167,"=2", $B$36:$B$167,"NO OFICIAL")</f>
        <v>7.9444444444444446</v>
      </c>
      <c r="V189" s="39">
        <f>AVERAGEIFS($DX$36:$DX$167,$C$36:$C$167,"=2", $B$36:$B$167,"OFICIAL")</f>
        <v>49</v>
      </c>
      <c r="W189" s="39">
        <f>AVERAGEIFS($DY$36:$DY$167,$C$36:$C$167,"=2", $B$36:$B$167,"OFICIAL")</f>
        <v>8.5</v>
      </c>
      <c r="X189" s="39">
        <f>AVERAGEIFS($DX$36:$DX$167,$C$36:$C$167,"=2", $B$36:$B$167,"NO OFICIAL")</f>
        <v>49.81818181818182</v>
      </c>
      <c r="Y189" s="39">
        <f>AVERAGEIFS($DY$36:$DY$167,$C$36:$C$167,"=2", $B$36:$B$167,"NO OFICIAL")</f>
        <v>7.0909090909090908</v>
      </c>
      <c r="Z189" s="39">
        <f>AVERAGEIFS($FB$36:$FB$167,$C$36:$C$167,"=2", $B$36:$B$167,"OFICIAL")</f>
        <v>49</v>
      </c>
      <c r="AA189" s="39">
        <f>AVERAGEIFS($FD$36:$FD$167,$C$36:$C$167,"=2", $B$36:$B$167,"OFICIAL")</f>
        <v>7.5</v>
      </c>
      <c r="AB189" s="39">
        <f>AVERAGEIFS($FB$36:$FB$167,$C$36:$C$167,"=2", $B$36:$B$167,"NO OFICIAL")</f>
        <v>50.3</v>
      </c>
      <c r="AC189" s="39">
        <f>AVERAGEIFS($FD$36:$FD$167,$C$36:$C$167,"=2", $B$36:$B$167,"NO OFICIAL")</f>
        <v>7.7</v>
      </c>
      <c r="AD189" s="39">
        <f>AVERAGEIFS($GJ$36:$GJ$167,$C$36:$C$167,"=2", $B$36:$B$167,"OFICIAL")</f>
        <v>49.75</v>
      </c>
      <c r="AE189" s="39">
        <f>AVERAGEIFS($GL$36:$GL$167,$C$36:$C$167,"=2", $B$36:$B$167,"OFICIAL")</f>
        <v>8</v>
      </c>
      <c r="AF189" s="39">
        <f>AVERAGEIFS($GJ$36:$GJ$167,$C$36:$C$167,"=2", $B$36:$B$167,"NO OFICIAL")</f>
        <v>51.857142857142854</v>
      </c>
      <c r="AG189" s="39">
        <f>AVERAGEIFS($GL$36:$GL$167,$C$36:$C$167,"=2", $B$36:$B$167,"NO OFICIAL")</f>
        <v>7.8571428571428568</v>
      </c>
      <c r="AH189" s="39">
        <f>AVERAGEIFS($HR$36:$HR$167,$C$36:$C$167,"=2", $B$36:$B$167,"OFICIAL")</f>
        <v>49.75</v>
      </c>
      <c r="AI189" s="39">
        <f>AVERAGEIFS($HT$36:$HT$167,$C$36:$C$167,"=2", $B$36:$B$167,"OFICIAL")</f>
        <v>8.5</v>
      </c>
      <c r="AJ189" s="39">
        <f>AVERAGEIFS($HR$36:$HR$167,$C$36:$C$167,"=2", $B$36:$B$167,"NO OFICIAL")</f>
        <v>51.68181818181818</v>
      </c>
      <c r="AK189" s="39">
        <f>AVERAGEIFS($HT$36:$HT$167,$C$36:$C$167,"=2", $B$36:$B$167,"NO OFICIAL")</f>
        <v>7.7272727272727275</v>
      </c>
      <c r="AL189" s="112"/>
      <c r="AM189" s="112"/>
      <c r="AN189" s="112"/>
      <c r="AO189" s="112"/>
      <c r="AP189" s="112"/>
      <c r="AQ189" s="112"/>
      <c r="AR189" s="112"/>
      <c r="AS189" s="112"/>
      <c r="AT189" s="112"/>
      <c r="AU189" s="112"/>
      <c r="AV189" s="112"/>
      <c r="AW189" s="112"/>
      <c r="AX189" s="112"/>
      <c r="AY189" s="112"/>
      <c r="AZ189" s="112"/>
      <c r="BA189" s="112"/>
      <c r="BB189" s="112"/>
      <c r="BC189" s="112"/>
      <c r="BD189" s="112"/>
      <c r="BE189" s="112"/>
      <c r="BF189" s="112"/>
      <c r="BG189" s="112"/>
      <c r="BH189" s="112"/>
      <c r="BI189" s="112"/>
      <c r="BJ189" s="112"/>
      <c r="BK189" s="112"/>
      <c r="BL189" s="112"/>
      <c r="BM189" s="110"/>
      <c r="BN189" s="110"/>
      <c r="BO189" s="112"/>
      <c r="BP189" s="112"/>
      <c r="BQ189" s="112"/>
      <c r="BR189" s="112"/>
      <c r="BS189" s="112"/>
      <c r="BT189" s="112"/>
      <c r="BU189" s="112"/>
      <c r="BV189" s="112"/>
      <c r="BW189" s="112"/>
      <c r="BX189" s="112"/>
      <c r="BY189" s="112"/>
      <c r="BZ189" s="112"/>
      <c r="CA189" s="112"/>
      <c r="CB189" s="112"/>
      <c r="CC189" s="112"/>
      <c r="CD189" s="112"/>
      <c r="CE189" s="112"/>
      <c r="CF189" s="112"/>
      <c r="CG189" s="112"/>
      <c r="CH189" s="112"/>
      <c r="CI189" s="112"/>
      <c r="CJ189" s="112"/>
      <c r="CK189" s="112"/>
      <c r="CL189" s="112"/>
      <c r="CM189" s="112"/>
      <c r="CN189" s="112"/>
      <c r="CO189" s="112"/>
      <c r="CP189" s="112"/>
      <c r="CQ189" s="112"/>
      <c r="CR189" s="112"/>
      <c r="CS189" s="110"/>
      <c r="CT189" s="110"/>
      <c r="CU189" s="112"/>
      <c r="CV189" s="112"/>
      <c r="CW189" s="112"/>
      <c r="CX189" s="112"/>
      <c r="CY189" s="112"/>
      <c r="CZ189" s="112"/>
      <c r="DA189" s="112"/>
      <c r="DB189" s="112"/>
      <c r="DC189" s="112"/>
      <c r="DD189" s="112"/>
      <c r="DE189" s="112"/>
      <c r="DF189" s="112"/>
      <c r="DG189" s="112"/>
      <c r="DH189" s="112"/>
      <c r="DI189" s="112"/>
      <c r="DJ189" s="112"/>
      <c r="DK189" s="112"/>
      <c r="DL189" s="112"/>
      <c r="DM189" s="112"/>
      <c r="DN189" s="112"/>
      <c r="DO189" s="112"/>
      <c r="DP189" s="112"/>
      <c r="DQ189" s="112"/>
      <c r="DR189" s="112"/>
      <c r="DS189" s="112"/>
      <c r="DT189" s="112"/>
      <c r="DU189" s="112"/>
      <c r="DV189" s="112"/>
      <c r="DW189" s="112"/>
      <c r="DX189" s="110"/>
      <c r="DY189" s="110"/>
    </row>
    <row r="190" spans="5:137" x14ac:dyDescent="0.25">
      <c r="E190" s="39" t="s">
        <v>248</v>
      </c>
      <c r="F190" s="39">
        <f>AVERAGEIFS(D36:D167,$C$36:$C$167,"=3", $B$36:$B$167,"OFICIAL")</f>
        <v>53.2</v>
      </c>
      <c r="G190" s="39">
        <f>AVERAGEIFS(E36:E167,$C$36:$C$167,"=3", $B$36:$B$167,"OFICIAL")</f>
        <v>7.25</v>
      </c>
      <c r="H190" s="39">
        <f>AVERAGEIFS(D36:D167,$C$36:$C$167,"=3", $B$36:$B$167,"NO OFICIAL")</f>
        <v>55.46153846153846</v>
      </c>
      <c r="I190" s="39">
        <f>AVERAGEIFS(E36:E167,$C$36:$C$167,"=3", $B$36:$B$167,"NO OFICIAL")</f>
        <v>7.0769230769230766</v>
      </c>
      <c r="J190" s="39">
        <f>AVERAGEIFS($AH$36:$AH$167,$C$36:$C$167,"=3", $B$36:$B$167,"OFICIAL")</f>
        <v>51.8</v>
      </c>
      <c r="K190" s="39">
        <f>AVERAGEIFS($AI$36:$AI$167,$C$36:$C$167,"=3", $B$36:$B$167,"OFICIAL")</f>
        <v>8</v>
      </c>
      <c r="L190" s="39">
        <f>AVERAGEIFS($AH$36:$AH$167,$C$36:$C$167,"=3", $B$36:$B$167,"NO OFICIAL")</f>
        <v>53.642857142857146</v>
      </c>
      <c r="M190" s="39">
        <f>AVERAGEIFS($AI$36:$AI$167,$C$36:$C$167,"=3", $B$36:$B$167,"NO OFICIAL")</f>
        <v>7.6428571428571432</v>
      </c>
      <c r="N190" s="39">
        <f>AVERAGEIFS($BM$36:$BM$167,$C$36:$C$167,"=3", $B$36:$B$167,"OFICIAL")</f>
        <v>50.8</v>
      </c>
      <c r="O190" s="39">
        <f>AVERAGEIFS($BN$36:$BN$167,$C$36:$C$167,"=3", $B$36:$B$167,"OFICIAL")</f>
        <v>8.25</v>
      </c>
      <c r="P190" s="39">
        <f>AVERAGEIFS($BM$36:$BM$167,$C$36:$C$167,"=3", $B$36:$B$167,"NO OFICIAL")</f>
        <v>52.428571428571431</v>
      </c>
      <c r="Q190" s="39">
        <f>AVERAGEIFS($BN$36:$BN$167,$C$36:$C$167,"=3", $B$36:$B$167,"NO OFICIAL")</f>
        <v>8.0714285714285712</v>
      </c>
      <c r="R190" s="39">
        <f>AVERAGEIFS($CS$36:$CS$167,$C$36:$C$167,"=3", $B$36:$B$167,"OFICIAL")</f>
        <v>49</v>
      </c>
      <c r="S190" s="39">
        <f>AVERAGEIFS($CT$36:$CT$167,$C$36:$C$167,"=3", $B$36:$B$167,"OFICIAL")</f>
        <v>8.25</v>
      </c>
      <c r="T190" s="39">
        <f>AVERAGEIFS($CS$36:$CS$167,$C$36:$C$167,"=3", $B$36:$B$167,"NO OFICIAL")</f>
        <v>51.142857142857146</v>
      </c>
      <c r="U190" s="39">
        <f>AVERAGEIFS($CT$36:$CT$167,$C$36:$C$167,"=3", $B$36:$B$167,"NO OFICIAL")</f>
        <v>7.9285714285714288</v>
      </c>
      <c r="V190" s="39">
        <f>AVERAGEIFS($DX$36:$DX$167,$C$36:$C$167,"=3", $B$36:$B$167,"OFICIAL")</f>
        <v>49.6</v>
      </c>
      <c r="W190" s="39">
        <f>AVERAGEIFS($DY$36:$DY$167,$C$36:$C$167,"=3", $B$36:$B$167,"OFICIAL")</f>
        <v>8.8000000000000007</v>
      </c>
      <c r="X190" s="39">
        <f>AVERAGEIFS($DX$36:$DX$167,$C$36:$C$167,"=3", $B$36:$B$167,"NO OFICIAL")</f>
        <v>51.4</v>
      </c>
      <c r="Y190" s="39">
        <f>AVERAGEIFS($DY$36:$DY$167,$C$36:$C$167,"=3", $B$36:$B$167,"NO OFICIAL")</f>
        <v>8.4666666666666668</v>
      </c>
      <c r="Z190" s="39">
        <f>AVERAGEIFS($FB$36:$FB$167,$C$36:$C$167,"=3", $B$36:$B$167,"OFICIAL")</f>
        <v>49</v>
      </c>
      <c r="AA190" s="39">
        <f>AVERAGEIFS($FD$36:$FD$167,$C$36:$C$167,"=3", $B$36:$B$167,"OFICIAL")</f>
        <v>8</v>
      </c>
      <c r="AB190" s="39">
        <f>AVERAGEIFS($FB$36:$FB$167,$C$36:$C$167,"=3", $B$36:$B$167,"NO OFICIAL")</f>
        <v>51.666666666666664</v>
      </c>
      <c r="AC190" s="39">
        <f>AVERAGEIFS($FD$36:$FD$167,$C$36:$C$167,"=3", $B$36:$B$167,"NO OFICIAL")</f>
        <v>7.8</v>
      </c>
      <c r="AD190" s="39">
        <f>AVERAGEIFS($GJ$36:$GJ$167,$C$36:$C$167,"=3", $B$36:$B$167,"OFICIAL")</f>
        <v>49.833333333333336</v>
      </c>
      <c r="AE190" s="39">
        <f>AVERAGEIFS($GL$36:$GL$167,$C$36:$C$167,"=3", $B$36:$B$167,"OFICIAL")</f>
        <v>8.8333333333333339</v>
      </c>
      <c r="AF190" s="39">
        <f>AVERAGEIFS($GJ$36:$GJ$167,$C$36:$C$167,"=3", $B$36:$B$167,"NO OFICIAL")</f>
        <v>52.125</v>
      </c>
      <c r="AG190" s="39">
        <f>AVERAGEIFS($GL$36:$GL$167,$C$36:$C$167,"=3", $B$36:$B$167,"NO OFICIAL")</f>
        <v>8.625</v>
      </c>
      <c r="AH190" s="39">
        <f>AVERAGEIFS($HR$36:$HR$167,$C$36:$C$167,"=3", $B$36:$B$167,"OFICIAL")</f>
        <v>50.5</v>
      </c>
      <c r="AI190" s="39">
        <f>AVERAGEIFS($HT$36:$HT$167,$C$36:$C$167,"=3", $B$36:$B$167,"OFICIAL")</f>
        <v>8.5</v>
      </c>
      <c r="AJ190" s="39">
        <f>AVERAGEIFS($HR$36:$HR$167,$C$36:$C$167,"=3", $B$36:$B$167,"NO OFICIAL")</f>
        <v>52.9375</v>
      </c>
      <c r="AK190" s="39">
        <f>AVERAGEIFS($HT$36:$HT$167,$C$36:$C$167,"=3", $B$36:$B$167,"NO OFICIAL")</f>
        <v>8.5</v>
      </c>
      <c r="AL190" s="112"/>
      <c r="AM190" s="112"/>
      <c r="AN190" s="112"/>
      <c r="AO190" s="112"/>
      <c r="AP190" s="112"/>
      <c r="AQ190" s="112"/>
      <c r="AR190" s="112"/>
      <c r="AS190" s="112"/>
      <c r="AT190" s="112"/>
      <c r="AU190" s="112"/>
      <c r="AV190" s="112"/>
      <c r="AW190" s="112"/>
      <c r="AX190" s="112"/>
      <c r="AY190" s="112"/>
      <c r="AZ190" s="112"/>
      <c r="BA190" s="112"/>
      <c r="BB190" s="112"/>
      <c r="BC190" s="112"/>
      <c r="BD190" s="112"/>
      <c r="BE190" s="112"/>
      <c r="BF190" s="112"/>
      <c r="BG190" s="112"/>
      <c r="BH190" s="112"/>
      <c r="BI190" s="112"/>
      <c r="BJ190" s="112"/>
      <c r="BK190" s="112"/>
      <c r="BL190" s="112"/>
      <c r="BM190" s="110"/>
      <c r="BN190" s="110"/>
      <c r="BO190" s="112"/>
      <c r="BP190" s="112"/>
      <c r="BQ190" s="112"/>
      <c r="BR190" s="112"/>
      <c r="BS190" s="112"/>
      <c r="BT190" s="112"/>
      <c r="BU190" s="112"/>
      <c r="BV190" s="112"/>
      <c r="BW190" s="112"/>
      <c r="BX190" s="112"/>
      <c r="BY190" s="112"/>
      <c r="BZ190" s="112"/>
      <c r="CA190" s="112"/>
      <c r="CB190" s="112"/>
      <c r="CC190" s="112"/>
      <c r="CD190" s="112"/>
      <c r="CE190" s="112"/>
      <c r="CF190" s="112"/>
      <c r="CG190" s="112"/>
      <c r="CH190" s="112"/>
      <c r="CI190" s="112"/>
      <c r="CJ190" s="112"/>
      <c r="CK190" s="112"/>
      <c r="CL190" s="112"/>
      <c r="CM190" s="112"/>
      <c r="CN190" s="112"/>
      <c r="CO190" s="112"/>
      <c r="CP190" s="112"/>
      <c r="CQ190" s="112"/>
      <c r="CR190" s="112"/>
      <c r="CS190" s="110"/>
      <c r="CT190" s="110"/>
      <c r="CU190" s="112"/>
      <c r="CV190" s="112"/>
      <c r="CW190" s="112"/>
      <c r="CX190" s="112"/>
      <c r="CY190" s="112"/>
      <c r="CZ190" s="112"/>
      <c r="DA190" s="112"/>
      <c r="DB190" s="112"/>
      <c r="DC190" s="112"/>
      <c r="DD190" s="112"/>
      <c r="DE190" s="112"/>
      <c r="DF190" s="112"/>
      <c r="DG190" s="112"/>
      <c r="DH190" s="112"/>
      <c r="DI190" s="112"/>
      <c r="DJ190" s="112"/>
      <c r="DK190" s="112"/>
      <c r="DL190" s="112"/>
      <c r="DM190" s="112"/>
      <c r="DN190" s="112"/>
      <c r="DO190" s="112"/>
      <c r="DP190" s="112"/>
      <c r="DQ190" s="112"/>
      <c r="DR190" s="112"/>
      <c r="DS190" s="112"/>
      <c r="DT190" s="112"/>
      <c r="DU190" s="112"/>
      <c r="DV190" s="112"/>
      <c r="DW190" s="112"/>
      <c r="DX190" s="110"/>
      <c r="DY190" s="110"/>
    </row>
    <row r="191" spans="5:137" x14ac:dyDescent="0.25">
      <c r="E191" s="39" t="s">
        <v>249</v>
      </c>
      <c r="F191" s="39">
        <f>AVERAGEIFS(D36:D167,$C$36:$C$167,"=4", $B$36:$B$167,"OFICIAL")</f>
        <v>50.5</v>
      </c>
      <c r="G191" s="39">
        <f>AVERAGEIFS(E36:E167,$C$36:$C$167,"=4", $B$36:$B$167,"OFICIAL")</f>
        <v>7.166666666666667</v>
      </c>
      <c r="H191" s="39">
        <f>AVERAGEIFS(D36:D167,$C$36:$C$167,"=4", $B$36:$B$167,"NO OFICIAL")</f>
        <v>51.625</v>
      </c>
      <c r="I191" s="39">
        <f>AVERAGEIFS(E36:E167,$C$36:$C$167,"=4", $B$36:$B$167,"NO OFICIAL")</f>
        <v>6.75</v>
      </c>
      <c r="J191" s="39">
        <f>AVERAGEIFS($AH$36:$AH$167,$C$36:$C$167,"=4", $B$36:$B$167,"OFICIAL")</f>
        <v>49.833333333333336</v>
      </c>
      <c r="K191" s="39">
        <f>AVERAGEIFS($AI$36:$AI$167,$C$36:$C$167,"=4", $B$36:$B$167,"OFICIAL")</f>
        <v>7.833333333333333</v>
      </c>
      <c r="L191" s="39">
        <f>AVERAGEIFS($AH$36:$AH$167,$C$36:$C$167,"=4", $B$36:$B$167,"NO OFICIAL")</f>
        <v>52.111111111111114</v>
      </c>
      <c r="M191" s="39">
        <f>AVERAGEIFS($AI$36:$AI$167,$C$36:$C$167,"=4", $B$36:$B$167,"NO OFICIAL")</f>
        <v>6.4444444444444446</v>
      </c>
      <c r="N191" s="39">
        <f>AVERAGEIFS($BM$36:$BM$167,$C$36:$C$167,"=4", $B$36:$B$167,"OFICIAL")</f>
        <v>46.5</v>
      </c>
      <c r="O191" s="39">
        <f>AVERAGEIFS($BN$36:$BN$167,$C$36:$C$167,"=4", $B$36:$B$167,"OFICIAL")</f>
        <v>8</v>
      </c>
      <c r="P191" s="39">
        <f>AVERAGEIFS($BM$36:$BM$167,$C$36:$C$167,"=4", $B$36:$B$167,"NO OFICIAL")</f>
        <v>51.111111111111114</v>
      </c>
      <c r="Q191" s="39">
        <f>AVERAGEIFS($BN$36:$BN$167,$C$36:$C$167,"=4", $B$36:$B$167,"NO OFICIAL")</f>
        <v>7</v>
      </c>
      <c r="R191" s="39">
        <f>AVERAGEIFS($CS$36:$CS$167,$C$36:$C$167,"=4", $B$36:$B$167,"OFICIAL")</f>
        <v>45.5</v>
      </c>
      <c r="S191" s="39">
        <f>AVERAGEIFS($CT$36:$CT$167,$C$36:$C$167,"=4", $B$36:$B$167,"OFICIAL")</f>
        <v>8.3333333333333339</v>
      </c>
      <c r="T191" s="39">
        <f>AVERAGEIFS($CS$36:$CS$167,$C$36:$C$167,"=4", $B$36:$B$167,"NO OFICIAL")</f>
        <v>49.375</v>
      </c>
      <c r="U191" s="39">
        <f>AVERAGEIFS($CT$36:$CT$167,$C$36:$C$167,"=4", $B$36:$B$167,"NO OFICIAL")</f>
        <v>7.25</v>
      </c>
      <c r="V191" s="39">
        <f>AVERAGEIFS($DX$36:$DX$167,$C$36:$C$167,"=4", $B$36:$B$167,"OFICIAL")</f>
        <v>45.166666666666664</v>
      </c>
      <c r="W191" s="39">
        <f>AVERAGEIFS($DY$36:$DY$167,$C$36:$C$167,"=4", $B$36:$B$167,"OFICIAL")</f>
        <v>8.1666666666666661</v>
      </c>
      <c r="X191" s="39">
        <f>AVERAGEIFS($DX$36:$DX$167,$C$36:$C$167,"=4", $B$36:$B$167,"NO OFICIAL")</f>
        <v>48.571428571428569</v>
      </c>
      <c r="Y191" s="39">
        <f>AVERAGEIFS($DY$36:$DY$167,$C$36:$C$167,"=4", $B$36:$B$167,"NO OFICIAL")</f>
        <v>8.2857142857142865</v>
      </c>
      <c r="Z191" s="39">
        <f>AVERAGEIFS($FB$36:$FB$167,$C$36:$C$167,"=4", $B$36:$B$167,"OFICIAL")</f>
        <v>46</v>
      </c>
      <c r="AA191" s="39">
        <f>AVERAGEIFS($FD$36:$FD$167,$C$36:$C$167,"=4", $B$36:$B$167,"OFICIAL")</f>
        <v>7.333333333333333</v>
      </c>
      <c r="AB191" s="39">
        <f>AVERAGEIFS($FB$36:$FB$167,$C$36:$C$167,"=4", $B$36:$B$167,"NO OFICIAL")</f>
        <v>48.75</v>
      </c>
      <c r="AC191" s="39">
        <f>AVERAGEIFS($FD$36:$FD$167,$C$36:$C$167,"=4", $B$36:$B$167,"NO OFICIAL")</f>
        <v>6.875</v>
      </c>
      <c r="AD191" s="39">
        <f>AVERAGEIFS($GJ$36:$GJ$167,$C$36:$C$167,"=4", $B$36:$B$167,"OFICIAL")</f>
        <v>46.166666666666664</v>
      </c>
      <c r="AE191" s="39">
        <f>AVERAGEIFS($GL$36:$GL$167,$C$36:$C$167,"=4", $B$36:$B$167,"OFICIAL")</f>
        <v>8.6666666666666661</v>
      </c>
      <c r="AF191" s="39">
        <f>AVERAGEIFS($GJ$36:$GJ$167,$C$36:$C$167,"=4", $B$36:$B$167,"NO OFICIAL")</f>
        <v>50.25</v>
      </c>
      <c r="AG191" s="39">
        <f>AVERAGEIFS($GL$36:$GL$167,$C$36:$C$167,"=4", $B$36:$B$167,"NO OFICIAL")</f>
        <v>8.375</v>
      </c>
      <c r="AH191" s="39">
        <f>AVERAGEIFS($HR$36:$HR$167,$C$36:$C$167,"=4", $B$36:$B$167,"OFICIAL")</f>
        <v>46.666666666666664</v>
      </c>
      <c r="AI191" s="39">
        <f>AVERAGEIFS($HT$36:$HT$167,$C$36:$C$167,"=4", $B$36:$B$167,"OFICIAL")</f>
        <v>9.1666666666666661</v>
      </c>
      <c r="AJ191" s="39">
        <f>AVERAGEIFS($HR$36:$HR$167,$C$36:$C$167,"=4", $B$36:$B$167,"NO OFICIAL")</f>
        <v>48.888888888888886</v>
      </c>
      <c r="AK191" s="39">
        <f>AVERAGEIFS($HT$36:$HT$167,$C$36:$C$167,"=4", $B$36:$B$167,"NO OFICIAL")</f>
        <v>7.7777777777777777</v>
      </c>
      <c r="AL191" s="112"/>
      <c r="AM191" s="112"/>
      <c r="AN191" s="112"/>
      <c r="AO191" s="112"/>
      <c r="AP191" s="112"/>
      <c r="AQ191" s="112"/>
      <c r="AR191" s="112"/>
      <c r="AS191" s="112"/>
      <c r="AT191" s="112"/>
      <c r="AU191" s="112"/>
      <c r="AV191" s="112"/>
      <c r="AW191" s="112"/>
      <c r="AX191" s="112"/>
      <c r="AY191" s="112"/>
      <c r="AZ191" s="112"/>
      <c r="BA191" s="112"/>
      <c r="BB191" s="112"/>
      <c r="BC191" s="112"/>
      <c r="BD191" s="112"/>
      <c r="BE191" s="112"/>
      <c r="BF191" s="112"/>
      <c r="BG191" s="112"/>
      <c r="BH191" s="112"/>
      <c r="BI191" s="112"/>
      <c r="BJ191" s="112"/>
      <c r="BK191" s="112"/>
      <c r="BL191" s="112"/>
      <c r="BM191" s="110"/>
      <c r="BN191" s="110"/>
      <c r="BO191" s="112"/>
      <c r="BP191" s="112"/>
      <c r="BQ191" s="112"/>
      <c r="BR191" s="112"/>
      <c r="BS191" s="112"/>
      <c r="BT191" s="112"/>
      <c r="BU191" s="112"/>
      <c r="BV191" s="112"/>
      <c r="BW191" s="112"/>
      <c r="BX191" s="112"/>
      <c r="BY191" s="112"/>
      <c r="BZ191" s="112"/>
      <c r="CA191" s="112"/>
      <c r="CB191" s="112"/>
      <c r="CC191" s="112"/>
      <c r="CD191" s="112"/>
      <c r="CE191" s="112"/>
      <c r="CF191" s="112"/>
      <c r="CG191" s="112"/>
      <c r="CH191" s="112"/>
      <c r="CI191" s="112"/>
      <c r="CJ191" s="112"/>
      <c r="CK191" s="112"/>
      <c r="CL191" s="112"/>
      <c r="CM191" s="112"/>
      <c r="CN191" s="112"/>
      <c r="CO191" s="112"/>
      <c r="CP191" s="112"/>
      <c r="CQ191" s="112"/>
      <c r="CR191" s="112"/>
      <c r="CS191" s="110"/>
      <c r="CT191" s="110"/>
      <c r="CU191" s="112"/>
      <c r="CV191" s="112"/>
      <c r="CW191" s="112"/>
      <c r="CX191" s="112"/>
      <c r="CY191" s="112"/>
      <c r="CZ191" s="112"/>
      <c r="DA191" s="112"/>
      <c r="DB191" s="112"/>
      <c r="DC191" s="112"/>
      <c r="DD191" s="112"/>
      <c r="DE191" s="112"/>
      <c r="DF191" s="112"/>
      <c r="DG191" s="112"/>
      <c r="DH191" s="112"/>
      <c r="DI191" s="112"/>
      <c r="DJ191" s="112"/>
      <c r="DK191" s="112"/>
      <c r="DL191" s="112"/>
      <c r="DM191" s="112"/>
      <c r="DN191" s="112"/>
      <c r="DO191" s="112"/>
      <c r="DP191" s="112"/>
      <c r="DQ191" s="112"/>
      <c r="DR191" s="112"/>
      <c r="DS191" s="112"/>
      <c r="DT191" s="112"/>
      <c r="DU191" s="112"/>
      <c r="DV191" s="112"/>
      <c r="DW191" s="112"/>
      <c r="DX191" s="110"/>
      <c r="DY191" s="110"/>
    </row>
    <row r="192" spans="5:137" x14ac:dyDescent="0.25">
      <c r="E192" s="39" t="s">
        <v>250</v>
      </c>
      <c r="F192" s="39">
        <f>AVERAGEIFS(D36:D167,$C$36:$C$167,"=5", $B$36:$B$167,"OFICIAL")</f>
        <v>54</v>
      </c>
      <c r="G192" s="39">
        <f>AVERAGEIFS(E36:E167,$C$36:$C$167,"=5", $B$36:$B$167,"OFICIAL")</f>
        <v>7</v>
      </c>
      <c r="H192" s="39">
        <f>AVERAGEIFS(D36:D167,$C$36:$C$167,"=5", $B$36:$B$167,"NO OFICIAL")</f>
        <v>56.533333333333331</v>
      </c>
      <c r="I192" s="39">
        <f>AVERAGEIFS(E36:E167,$C$36:$C$167,"=5", $B$36:$B$167,"NO OFICIAL")</f>
        <v>6.6</v>
      </c>
      <c r="J192" s="39">
        <f>AVERAGEIFS($AH$36:$AH$167,$C$36:$C$167,"=5", $B$36:$B$167,"OFICIAL")</f>
        <v>51.5</v>
      </c>
      <c r="K192" s="39">
        <f>AVERAGEIFS($AI$36:$AI$167,$C$36:$C$167,"=5", $B$36:$B$167,"OFICIAL")</f>
        <v>8</v>
      </c>
      <c r="L192" s="39">
        <f>AVERAGEIFS($AH$36:$AH$167,$C$36:$C$167,"=5", $B$36:$B$167,"NO OFICIAL")</f>
        <v>55.466666666666669</v>
      </c>
      <c r="M192" s="39">
        <f>AVERAGEIFS($AI$36:$AI$167,$C$36:$C$167,"=5", $B$36:$B$167,"NO OFICIAL")</f>
        <v>7.666666666666667</v>
      </c>
      <c r="N192" s="39">
        <f>AVERAGEIFS($BM$36:$BM$167,$C$36:$C$167,"=5", $B$36:$B$167,"OFICIAL")</f>
        <v>49.5</v>
      </c>
      <c r="O192" s="39">
        <f>AVERAGEIFS($BN$36:$BN$167,$C$36:$C$167,"=5", $B$36:$B$167,"OFICIAL")</f>
        <v>8.5</v>
      </c>
      <c r="P192" s="39">
        <f>AVERAGEIFS($BM$36:$BM$167,$C$36:$C$167,"=5", $B$36:$B$167,"NO OFICIAL")</f>
        <v>54.125</v>
      </c>
      <c r="Q192" s="39">
        <f>AVERAGEIFS($BN$36:$BN$167,$C$36:$C$167,"=5", $B$36:$B$167,"NO OFICIAL")</f>
        <v>7.8125</v>
      </c>
      <c r="R192" s="39">
        <f>AVERAGEIFS($CS$36:$CS$167,$C$36:$C$167,"=5", $B$36:$B$167,"OFICIAL")</f>
        <v>49.5</v>
      </c>
      <c r="S192" s="39">
        <f>AVERAGEIFS($CT$36:$CT$167,$C$36:$C$167,"=5", $B$36:$B$167,"OFICIAL")</f>
        <v>8.5</v>
      </c>
      <c r="T192" s="39">
        <f>AVERAGEIFS($CS$36:$CS$167,$C$36:$C$167,"=5", $B$36:$B$167,"NO OFICIAL")</f>
        <v>52.470588235294116</v>
      </c>
      <c r="U192" s="39">
        <f>AVERAGEIFS($CT$36:$CT$167,$C$36:$C$167,"=5", $B$36:$B$167,"NO OFICIAL")</f>
        <v>8.235294117647058</v>
      </c>
      <c r="V192" s="39">
        <f>AVERAGEIFS($DX$36:$DX$167,$C$36:$C$167,"=5", $B$36:$B$167,"OFICIAL")</f>
        <v>49</v>
      </c>
      <c r="W192" s="39">
        <f>AVERAGEIFS($DY$36:$DY$167,$C$36:$C$167,"=5", $B$36:$B$167,"OFICIAL")</f>
        <v>8</v>
      </c>
      <c r="X192" s="39">
        <f>AVERAGEIFS($DX$36:$DX$167,$C$36:$C$167,"=5", $B$36:$B$167,"NO OFICIAL")</f>
        <v>53.25</v>
      </c>
      <c r="Y192" s="39">
        <f>AVERAGEIFS($DY$36:$DY$167,$C$36:$C$167,"=5", $B$36:$B$167,"NO OFICIAL")</f>
        <v>7.6875</v>
      </c>
      <c r="Z192" s="39">
        <f>AVERAGEIFS($FB$36:$FB$167,$C$36:$C$167,"=5", $B$36:$B$167,"OFICIAL")</f>
        <v>48.5</v>
      </c>
      <c r="AA192" s="39">
        <f>AVERAGEIFS($FD$36:$FD$167,$C$36:$C$167,"=5", $B$36:$B$167,"OFICIAL")</f>
        <v>8</v>
      </c>
      <c r="AB192" s="39">
        <f>AVERAGEIFS($FB$36:$FB$167,$C$36:$C$167,"=5", $B$36:$B$167,"NO OFICIAL")</f>
        <v>52.75</v>
      </c>
      <c r="AC192" s="39">
        <f>AVERAGEIFS($FD$36:$FD$167,$C$36:$C$167,"=5", $B$36:$B$167,"NO OFICIAL")</f>
        <v>8</v>
      </c>
      <c r="AD192" s="39">
        <f>AVERAGEIFS($GJ$36:$GJ$167,$C$36:$C$167,"=5", $B$36:$B$167,"OFICIAL")</f>
        <v>50.5</v>
      </c>
      <c r="AE192" s="39">
        <f>AVERAGEIFS($GL$36:$GL$167,$C$36:$C$167,"=5", $B$36:$B$167,"OFICIAL")</f>
        <v>8.5</v>
      </c>
      <c r="AF192" s="39">
        <f>AVERAGEIFS($GJ$36:$GJ$167,$C$36:$C$167,"=5", $B$36:$B$167,"NO OFICIAL")</f>
        <v>54.133333333333333</v>
      </c>
      <c r="AG192" s="39">
        <f>AVERAGEIFS($GL$36:$GL$167,$C$36:$C$167,"=5", $B$36:$B$167,"NO OFICIAL")</f>
        <v>8.0666666666666664</v>
      </c>
      <c r="AH192" s="39">
        <f>AVERAGEIFS($HR$36:$HR$167,$C$36:$C$167,"=5", $B$36:$B$167,"OFICIAL")</f>
        <v>50.5</v>
      </c>
      <c r="AI192" s="39">
        <f>AVERAGEIFS($HT$36:$HT$167,$C$36:$C$167,"=5", $B$36:$B$167,"OFICIAL")</f>
        <v>8.5</v>
      </c>
      <c r="AJ192" s="39">
        <f>AVERAGEIFS($HR$36:$HR$167,$C$36:$C$167,"=5", $B$36:$B$167,"NO OFICIAL")</f>
        <v>55.133333333333333</v>
      </c>
      <c r="AK192" s="39">
        <f>AVERAGEIFS($HT$36:$HT$167,$C$36:$C$167,"=5", $B$36:$B$167,"NO OFICIAL")</f>
        <v>8.1999999999999993</v>
      </c>
      <c r="AL192" s="112"/>
      <c r="AM192" s="112"/>
      <c r="AN192" s="112"/>
      <c r="AO192" s="112"/>
      <c r="AP192" s="112"/>
      <c r="AQ192" s="112"/>
      <c r="AR192" s="112"/>
      <c r="AS192" s="112"/>
      <c r="AT192" s="112"/>
      <c r="AU192" s="112"/>
      <c r="AV192" s="112"/>
      <c r="AW192" s="112"/>
      <c r="AX192" s="112"/>
      <c r="AY192" s="112"/>
      <c r="AZ192" s="112"/>
      <c r="BA192" s="112"/>
      <c r="BB192" s="112"/>
      <c r="BC192" s="112"/>
      <c r="BD192" s="112"/>
      <c r="BE192" s="112"/>
      <c r="BF192" s="112"/>
      <c r="BG192" s="112"/>
      <c r="BH192" s="112"/>
      <c r="BI192" s="112"/>
      <c r="BJ192" s="112"/>
      <c r="BK192" s="112"/>
      <c r="BL192" s="112"/>
      <c r="BM192" s="110"/>
      <c r="BN192" s="110"/>
      <c r="BO192" s="112"/>
      <c r="BP192" s="112"/>
      <c r="BQ192" s="112"/>
      <c r="BR192" s="112"/>
      <c r="BS192" s="112"/>
      <c r="BT192" s="112"/>
      <c r="BU192" s="112"/>
      <c r="BV192" s="112"/>
      <c r="BW192" s="112"/>
      <c r="BX192" s="112"/>
      <c r="BY192" s="112"/>
      <c r="BZ192" s="112"/>
      <c r="CA192" s="112"/>
      <c r="CB192" s="112"/>
      <c r="CC192" s="112"/>
      <c r="CD192" s="112"/>
      <c r="CE192" s="112"/>
      <c r="CF192" s="112"/>
      <c r="CG192" s="112"/>
      <c r="CH192" s="112"/>
      <c r="CI192" s="112"/>
      <c r="CJ192" s="112"/>
      <c r="CK192" s="112"/>
      <c r="CL192" s="112"/>
      <c r="CM192" s="112"/>
      <c r="CN192" s="112"/>
      <c r="CO192" s="112"/>
      <c r="CP192" s="112"/>
      <c r="CQ192" s="112"/>
      <c r="CR192" s="112"/>
      <c r="CS192" s="110"/>
      <c r="CT192" s="110"/>
      <c r="CU192" s="112"/>
      <c r="CV192" s="112"/>
      <c r="CW192" s="112"/>
      <c r="CX192" s="112"/>
      <c r="CY192" s="112"/>
      <c r="CZ192" s="112"/>
      <c r="DA192" s="112"/>
      <c r="DB192" s="112"/>
      <c r="DC192" s="112"/>
      <c r="DD192" s="112"/>
      <c r="DE192" s="112"/>
      <c r="DF192" s="112"/>
      <c r="DG192" s="112"/>
      <c r="DH192" s="112"/>
      <c r="DI192" s="112"/>
      <c r="DJ192" s="112"/>
      <c r="DK192" s="112"/>
      <c r="DL192" s="112"/>
      <c r="DM192" s="112"/>
      <c r="DN192" s="112"/>
      <c r="DO192" s="112"/>
      <c r="DP192" s="112"/>
      <c r="DQ192" s="112"/>
      <c r="DR192" s="112"/>
      <c r="DS192" s="112"/>
      <c r="DT192" s="112"/>
      <c r="DU192" s="112"/>
      <c r="DV192" s="112"/>
      <c r="DW192" s="112"/>
      <c r="DX192" s="110"/>
      <c r="DY192" s="110"/>
    </row>
    <row r="193" spans="5:137" x14ac:dyDescent="0.25">
      <c r="E193" s="39" t="s">
        <v>251</v>
      </c>
      <c r="F193" s="39">
        <f>AVERAGEIFS(D36:D167,$C$36:$C$167,"=6", $B$36:$B$167,"OFICIAL")</f>
        <v>53.333333333333336</v>
      </c>
      <c r="G193" s="39">
        <f>AVERAGEIFS(E36:E167,$C$36:$C$167,"=6", $B$36:$B$167,"OFICIAL")</f>
        <v>7</v>
      </c>
      <c r="H193" s="39">
        <f>AVERAGEIFS(D36:D167,$C$36:$C$167,"=6", $B$36:$B$167,"NO OFICIAL")</f>
        <v>55.5</v>
      </c>
      <c r="I193" s="39">
        <f>AVERAGEIFS(E36:E167,$C$36:$C$167,"=6", $B$36:$B$167,"NO OFICIAL")</f>
        <v>5.5</v>
      </c>
      <c r="J193" s="39">
        <f>AVERAGEIFS($AH$36:$AH$167,$C$36:$C$167,"=6", $B$36:$B$167,"OFICIAL")</f>
        <v>52</v>
      </c>
      <c r="K193" s="39">
        <f>AVERAGEIFS($AI$36:$AI$167,$C$36:$C$167,"=6", $B$36:$B$167,"OFICIAL")</f>
        <v>7.666666666666667</v>
      </c>
      <c r="L193" s="39">
        <f>AVERAGEIFS($AH$36:$AH$167,$C$36:$C$167,"=6", $B$36:$B$167,"NO OFICIAL")</f>
        <v>52.083333333333336</v>
      </c>
      <c r="M193" s="39">
        <f>AVERAGEIFS($AI$36:$AI$167,$C$36:$C$167,"=6", $B$36:$B$167,"NO OFICIAL")</f>
        <v>8</v>
      </c>
      <c r="N193" s="39">
        <f>AVERAGEIFS($BM$36:$BM$167,$C$36:$C$167,"=6", $B$36:$B$167,"OFICIAL")</f>
        <v>50.333333333333336</v>
      </c>
      <c r="O193" s="39">
        <f>AVERAGEIFS($BN$36:$BN$167,$C$36:$C$167,"=6", $B$36:$B$167,"OFICIAL")</f>
        <v>8</v>
      </c>
      <c r="P193" s="39">
        <f>AVERAGEIFS($BM$36:$BM$167,$C$36:$C$167,"=6", $B$36:$B$167,"NO OFICIAL")</f>
        <v>51.18181818181818</v>
      </c>
      <c r="Q193" s="39">
        <f>AVERAGEIFS($BN$36:$BN$167,$C$36:$C$167,"=6", $B$36:$B$167,"NO OFICIAL")</f>
        <v>8.545454545454545</v>
      </c>
      <c r="R193" s="39">
        <f>AVERAGEIFS($CS$36:$CS$167,$C$36:$C$167,"=6", $B$36:$B$167,"OFICIAL")</f>
        <v>48.333333333333336</v>
      </c>
      <c r="S193" s="39">
        <f>AVERAGEIFS($CT$36:$CT$167,$C$36:$C$167,"=6", $B$36:$B$167,"OFICIAL")</f>
        <v>8</v>
      </c>
      <c r="T193" s="39">
        <f>AVERAGEIFS($CS$36:$CS$167,$C$36:$C$167,"=6", $B$36:$B$167,"NO OFICIAL")</f>
        <v>50.833333333333336</v>
      </c>
      <c r="U193" s="39">
        <f>AVERAGEIFS($CT$36:$CT$167,$C$36:$C$167,"=6", $B$36:$B$167,"NO OFICIAL")</f>
        <v>8.1666666666666661</v>
      </c>
      <c r="V193" s="39">
        <f>AVERAGEIFS($DX$36:$DX$167,$C$36:$C$167,"=6", $B$36:$B$167,"OFICIAL")</f>
        <v>48.333333333333336</v>
      </c>
      <c r="W193" s="39">
        <f>AVERAGEIFS($DY$36:$DY$167,$C$36:$C$167,"=6", $B$36:$B$167,"OFICIAL")</f>
        <v>8.3333333333333339</v>
      </c>
      <c r="X193" s="39">
        <f>AVERAGEIFS($DX$36:$DX$167,$C$36:$C$167,"=6", $B$36:$B$167,"NO OFICIAL")</f>
        <v>49.428571428571431</v>
      </c>
      <c r="Y193" s="39">
        <f>AVERAGEIFS($DY$36:$DY$167,$C$36:$C$167,"=6", $B$36:$B$167,"NO OFICIAL")</f>
        <v>7.7142857142857144</v>
      </c>
      <c r="Z193" s="39">
        <f>AVERAGEIFS($FB$36:$FB$167,$C$36:$C$167,"=6", $B$36:$B$167,"OFICIAL")</f>
        <v>47.666666666666664</v>
      </c>
      <c r="AA193" s="39">
        <f>AVERAGEIFS($FD$36:$FD$167,$C$36:$C$167,"=6", $B$36:$B$167,"OFICIAL")</f>
        <v>7.666666666666667</v>
      </c>
      <c r="AB193" s="39">
        <f>AVERAGEIFS($FB$36:$FB$167,$C$36:$C$167,"=6", $B$36:$B$167,"NO OFICIAL")</f>
        <v>49.571428571428569</v>
      </c>
      <c r="AC193" s="39">
        <f>AVERAGEIFS($FD$36:$FD$167,$C$36:$C$167,"=6", $B$36:$B$167,"NO OFICIAL")</f>
        <v>6.7142857142857144</v>
      </c>
      <c r="AD193" s="39">
        <f>AVERAGEIFS($GJ$36:$GJ$167,$C$36:$C$167,"=6", $B$36:$B$167,"OFICIAL")</f>
        <v>49</v>
      </c>
      <c r="AE193" s="39">
        <f>AVERAGEIFS($GL$36:$GL$167,$C$36:$C$167,"=6", $B$36:$B$167,"OFICIAL")</f>
        <v>8.3333333333333339</v>
      </c>
      <c r="AF193" s="39">
        <f>AVERAGEIFS($GJ$36:$GJ$167,$C$36:$C$167,"=6", $B$36:$B$167,"NO OFICIAL")</f>
        <v>49.875</v>
      </c>
      <c r="AG193" s="39">
        <f>AVERAGEIFS($GL$36:$GL$167,$C$36:$C$167,"=6", $B$36:$B$167,"NO OFICIAL")</f>
        <v>8.625</v>
      </c>
      <c r="AH193" s="39">
        <f>AVERAGEIFS($HR$36:$HR$167,$C$36:$C$167,"=6", $B$36:$B$167,"OFICIAL")</f>
        <v>49</v>
      </c>
      <c r="AI193" s="39">
        <f>AVERAGEIFS($HT$36:$HT$167,$C$36:$C$167,"=6", $B$36:$B$167,"OFICIAL")</f>
        <v>8.3333333333333339</v>
      </c>
      <c r="AJ193" s="39">
        <f>AVERAGEIFS($HR$36:$HR$167,$C$36:$C$167,"=6", $B$36:$B$167,"NO OFICIAL")</f>
        <v>51.235294117647058</v>
      </c>
      <c r="AK193" s="39">
        <f>AVERAGEIFS($HT$36:$HT$167,$C$36:$C$167,"=6", $B$36:$B$167,"NO OFICIAL")</f>
        <v>8.2941176470588243</v>
      </c>
      <c r="AL193" s="112"/>
      <c r="AM193" s="112"/>
      <c r="AN193" s="112"/>
      <c r="AO193" s="112"/>
      <c r="AP193" s="112"/>
      <c r="AQ193" s="112"/>
      <c r="AR193" s="112"/>
      <c r="AS193" s="112"/>
      <c r="AT193" s="112"/>
      <c r="AU193" s="112"/>
      <c r="AV193" s="112"/>
      <c r="AW193" s="112"/>
      <c r="AX193" s="112"/>
      <c r="AY193" s="112"/>
      <c r="AZ193" s="112"/>
      <c r="BA193" s="112"/>
      <c r="BB193" s="112"/>
      <c r="BC193" s="112"/>
      <c r="BD193" s="112"/>
      <c r="BE193" s="112"/>
      <c r="BF193" s="112"/>
      <c r="BG193" s="112"/>
      <c r="BH193" s="112"/>
      <c r="BI193" s="112"/>
      <c r="BJ193" s="112"/>
      <c r="BK193" s="112"/>
      <c r="BL193" s="112"/>
      <c r="BM193" s="110"/>
      <c r="BN193" s="110"/>
      <c r="BO193" s="112"/>
      <c r="BP193" s="112"/>
      <c r="BQ193" s="112"/>
      <c r="BR193" s="112"/>
      <c r="BS193" s="112"/>
      <c r="BT193" s="112"/>
      <c r="BU193" s="112"/>
      <c r="BV193" s="112"/>
      <c r="BW193" s="112"/>
      <c r="BX193" s="112"/>
      <c r="BY193" s="112"/>
      <c r="BZ193" s="112"/>
      <c r="CA193" s="112"/>
      <c r="CB193" s="112"/>
      <c r="CC193" s="112"/>
      <c r="CD193" s="112"/>
      <c r="CE193" s="112"/>
      <c r="CF193" s="112"/>
      <c r="CG193" s="112"/>
      <c r="CH193" s="112"/>
      <c r="CI193" s="112"/>
      <c r="CJ193" s="112"/>
      <c r="CK193" s="112"/>
      <c r="CL193" s="112"/>
      <c r="CM193" s="112"/>
      <c r="CN193" s="112"/>
      <c r="CO193" s="112"/>
      <c r="CP193" s="112"/>
      <c r="CQ193" s="112"/>
      <c r="CR193" s="112"/>
      <c r="CS193" s="110"/>
      <c r="CT193" s="110"/>
      <c r="CU193" s="112"/>
      <c r="CV193" s="112"/>
      <c r="CW193" s="112"/>
      <c r="CX193" s="112"/>
      <c r="CY193" s="112"/>
      <c r="CZ193" s="112"/>
      <c r="DA193" s="112"/>
      <c r="DB193" s="112"/>
      <c r="DC193" s="112"/>
      <c r="DD193" s="112"/>
      <c r="DE193" s="112"/>
      <c r="DF193" s="112"/>
      <c r="DG193" s="112"/>
      <c r="DH193" s="112"/>
      <c r="DI193" s="112"/>
      <c r="DJ193" s="112"/>
      <c r="DK193" s="112"/>
      <c r="DL193" s="112"/>
      <c r="DM193" s="112"/>
      <c r="DN193" s="112"/>
      <c r="DO193" s="112"/>
      <c r="DP193" s="112"/>
      <c r="DQ193" s="112"/>
      <c r="DR193" s="112"/>
      <c r="DS193" s="112"/>
      <c r="DT193" s="112"/>
      <c r="DU193" s="112"/>
      <c r="DV193" s="112"/>
      <c r="DW193" s="112"/>
      <c r="DX193" s="110"/>
      <c r="DY193" s="110"/>
    </row>
    <row r="194" spans="5:137" x14ac:dyDescent="0.25">
      <c r="E194" s="48"/>
      <c r="F194" s="48"/>
      <c r="G194" s="48"/>
      <c r="H194" s="48"/>
      <c r="I194" s="48"/>
      <c r="J194" s="48"/>
      <c r="K194" s="48"/>
      <c r="L194" s="48"/>
      <c r="M194" s="48"/>
      <c r="N194" s="48"/>
      <c r="O194" s="48"/>
      <c r="P194" s="48"/>
      <c r="Q194" s="48"/>
      <c r="R194" s="48"/>
      <c r="S194" s="48"/>
      <c r="T194" s="48"/>
      <c r="U194" s="48"/>
      <c r="V194" s="48"/>
      <c r="W194" s="48"/>
      <c r="X194" s="48"/>
      <c r="Y194" s="48"/>
      <c r="Z194" s="48"/>
      <c r="AA194" s="48"/>
      <c r="AB194" s="48"/>
      <c r="AC194" s="48"/>
      <c r="AD194" s="48"/>
      <c r="AE194" s="48"/>
      <c r="AF194" s="48"/>
      <c r="AG194" s="48"/>
      <c r="AH194" s="48"/>
      <c r="AI194" s="48"/>
      <c r="AJ194" s="48"/>
      <c r="AK194" s="48"/>
      <c r="AL194" s="48"/>
      <c r="AM194" s="48"/>
      <c r="AN194" s="48"/>
      <c r="AO194" s="48"/>
      <c r="AP194" s="48"/>
      <c r="AQ194" s="48"/>
      <c r="AR194" s="48"/>
      <c r="AS194" s="48"/>
      <c r="AT194" s="48"/>
      <c r="AU194" s="48"/>
      <c r="AV194" s="48"/>
      <c r="AW194" s="48"/>
      <c r="AX194" s="48"/>
      <c r="AY194" s="48"/>
      <c r="AZ194" s="48"/>
      <c r="BA194" s="48"/>
      <c r="BB194" s="48"/>
      <c r="BC194" s="48"/>
      <c r="BD194" s="48"/>
      <c r="BE194" s="48"/>
      <c r="BF194" s="48"/>
      <c r="BG194" s="48"/>
      <c r="BH194" s="48"/>
      <c r="BI194" s="48"/>
      <c r="BJ194" s="48"/>
      <c r="BK194" s="48"/>
      <c r="BL194" s="48"/>
      <c r="BM194" s="48"/>
      <c r="BN194" s="48"/>
      <c r="BO194" s="48"/>
      <c r="BP194" s="48"/>
      <c r="BQ194" s="48"/>
      <c r="BR194" s="48"/>
      <c r="BS194" s="48"/>
      <c r="BT194" s="48"/>
      <c r="BU194" s="48"/>
      <c r="BV194" s="48"/>
      <c r="BW194" s="48"/>
      <c r="BX194" s="48"/>
      <c r="BY194" s="48"/>
      <c r="BZ194" s="48"/>
      <c r="CA194" s="48"/>
      <c r="CB194" s="48"/>
      <c r="CC194" s="48"/>
      <c r="CD194" s="48"/>
      <c r="CE194" s="48"/>
      <c r="CF194" s="48"/>
      <c r="CG194" s="48"/>
      <c r="CH194" s="48"/>
      <c r="CI194" s="48"/>
      <c r="CJ194" s="48"/>
      <c r="CK194" s="48"/>
      <c r="CL194" s="48"/>
      <c r="CM194" s="48"/>
      <c r="CN194" s="48"/>
      <c r="CO194" s="48"/>
      <c r="CP194" s="48"/>
      <c r="CQ194" s="48"/>
      <c r="CR194" s="48"/>
      <c r="CS194" s="48"/>
      <c r="CT194" s="48"/>
      <c r="CU194" s="48"/>
      <c r="CV194" s="48"/>
      <c r="CW194" s="48"/>
      <c r="CX194" s="48"/>
      <c r="CY194" s="48"/>
      <c r="CZ194" s="48"/>
      <c r="DA194" s="48"/>
      <c r="DB194" s="48"/>
      <c r="DC194" s="48"/>
      <c r="DD194" s="48"/>
      <c r="DE194" s="48"/>
      <c r="DF194" s="48"/>
      <c r="DG194" s="48"/>
      <c r="DH194" s="48"/>
      <c r="DI194" s="48"/>
      <c r="DJ194" s="48"/>
      <c r="DK194" s="48"/>
      <c r="DL194" s="48"/>
      <c r="DM194" s="48"/>
      <c r="DN194" s="48"/>
      <c r="DO194" s="48"/>
      <c r="DP194" s="48"/>
      <c r="DQ194" s="48"/>
      <c r="DR194" s="48"/>
      <c r="DS194" s="48"/>
      <c r="DT194" s="48"/>
      <c r="DU194" s="48"/>
      <c r="DV194" s="48"/>
      <c r="DW194" s="48"/>
      <c r="DX194" s="48"/>
      <c r="DY194" s="48"/>
      <c r="DZ194" s="48"/>
      <c r="EA194" s="48"/>
      <c r="EB194" s="48"/>
      <c r="EC194" s="48"/>
      <c r="ED194" s="48"/>
      <c r="EE194" s="48"/>
      <c r="EF194" s="48"/>
      <c r="EG194" s="48"/>
    </row>
    <row r="195" spans="5:137" x14ac:dyDescent="0.25">
      <c r="E195" s="44"/>
      <c r="AN195" s="113"/>
      <c r="AO195" s="113"/>
      <c r="AP195" s="113"/>
      <c r="AQ195" s="113"/>
      <c r="AR195" s="113"/>
      <c r="AS195" s="113"/>
      <c r="AT195" s="113"/>
      <c r="AU195" s="113"/>
      <c r="AV195" s="113"/>
      <c r="AW195" s="113"/>
      <c r="AX195" s="113"/>
      <c r="AY195" s="113"/>
      <c r="AZ195" s="113"/>
      <c r="BA195" s="113"/>
      <c r="BB195" s="113"/>
      <c r="BC195" s="113"/>
      <c r="BD195" s="113"/>
      <c r="BE195" s="113"/>
      <c r="BF195" s="113"/>
      <c r="BG195" s="113"/>
      <c r="BH195" s="113"/>
      <c r="BI195" s="113"/>
      <c r="BJ195" s="113"/>
      <c r="BK195" s="113"/>
      <c r="BL195" s="113"/>
      <c r="BM195" s="113"/>
      <c r="BN195" s="113"/>
      <c r="BO195" s="113"/>
      <c r="BP195" s="113"/>
      <c r="BQ195" s="113"/>
      <c r="BR195" s="113"/>
      <c r="BS195" s="113"/>
      <c r="BT195" s="113"/>
      <c r="BU195" s="113"/>
      <c r="BV195" s="113"/>
      <c r="BW195" s="113"/>
      <c r="BX195" s="113"/>
      <c r="BY195" s="113"/>
      <c r="BZ195" s="113"/>
      <c r="CA195" s="113"/>
      <c r="CB195" s="113"/>
      <c r="CC195" s="113"/>
      <c r="CD195" s="113"/>
      <c r="CE195" s="113"/>
      <c r="CF195" s="113"/>
      <c r="CG195" s="113"/>
      <c r="CH195" s="113"/>
      <c r="CI195" s="113"/>
      <c r="CJ195" s="113"/>
      <c r="CK195" s="113"/>
      <c r="CL195" s="113"/>
      <c r="CM195" s="113"/>
      <c r="CN195" s="113"/>
      <c r="CO195" s="113"/>
      <c r="CP195" s="113"/>
      <c r="CQ195" s="113"/>
      <c r="CR195" s="113"/>
      <c r="CS195" s="113"/>
      <c r="CT195" s="110"/>
      <c r="CU195" s="110"/>
      <c r="CV195" s="110"/>
      <c r="CW195" s="110"/>
      <c r="CX195" s="110"/>
      <c r="CY195" s="110"/>
      <c r="CZ195" s="110"/>
      <c r="DA195" s="110"/>
      <c r="DB195" s="110"/>
      <c r="DC195" s="110"/>
      <c r="DD195" s="110"/>
      <c r="DE195" s="110"/>
      <c r="DF195" s="110"/>
      <c r="DG195" s="110"/>
      <c r="DH195" s="110"/>
      <c r="DI195" s="110"/>
      <c r="DJ195" s="110"/>
      <c r="DK195" s="110"/>
      <c r="DL195" s="110"/>
      <c r="DM195" s="110"/>
      <c r="DN195" s="110"/>
      <c r="DO195" s="110"/>
      <c r="DP195" s="110"/>
      <c r="DQ195" s="110"/>
      <c r="DR195" s="110"/>
      <c r="DS195" s="110"/>
      <c r="DT195" s="110"/>
      <c r="DU195" s="110"/>
      <c r="DV195" s="110"/>
      <c r="DW195" s="110"/>
      <c r="DX195" s="110"/>
      <c r="DY195" s="110"/>
      <c r="DZ195" s="110"/>
      <c r="EC195" s="44"/>
      <c r="ED195" s="44"/>
      <c r="EE195" s="44"/>
      <c r="EF195" s="44"/>
      <c r="EG195" s="44"/>
    </row>
    <row r="196" spans="5:137" x14ac:dyDescent="0.25">
      <c r="E196" s="44"/>
      <c r="K196" s="57"/>
      <c r="AN196" s="109"/>
      <c r="AO196" s="109"/>
      <c r="AP196" s="109"/>
      <c r="AQ196" s="109"/>
      <c r="AR196" s="109"/>
      <c r="AS196" s="109"/>
      <c r="AT196" s="109"/>
      <c r="AU196" s="109"/>
      <c r="AV196" s="109"/>
      <c r="AW196" s="109"/>
      <c r="AX196" s="109"/>
      <c r="AY196" s="109"/>
      <c r="AZ196" s="109"/>
      <c r="BA196" s="109"/>
      <c r="BB196" s="109"/>
      <c r="BC196" s="109"/>
      <c r="BD196" s="109"/>
      <c r="BE196" s="109"/>
      <c r="BF196" s="109"/>
      <c r="BG196" s="109"/>
      <c r="BH196" s="109"/>
      <c r="BI196" s="109"/>
      <c r="BJ196" s="109"/>
      <c r="BK196" s="109"/>
      <c r="BL196" s="109"/>
      <c r="BM196" s="110"/>
      <c r="BN196" s="110"/>
      <c r="BO196" s="109"/>
      <c r="BP196" s="109"/>
      <c r="BQ196" s="109"/>
      <c r="BR196" s="109"/>
      <c r="BS196" s="109"/>
      <c r="BT196" s="109"/>
      <c r="BU196" s="109"/>
      <c r="BV196" s="109"/>
      <c r="BW196" s="109"/>
      <c r="BX196" s="109"/>
      <c r="BY196" s="109"/>
      <c r="BZ196" s="109"/>
      <c r="CA196" s="109"/>
      <c r="CB196" s="109"/>
      <c r="CC196" s="109"/>
      <c r="CD196" s="109"/>
      <c r="CE196" s="109"/>
      <c r="CF196" s="109"/>
      <c r="CG196" s="109"/>
      <c r="CH196" s="109"/>
      <c r="CI196" s="109"/>
      <c r="CJ196" s="109"/>
      <c r="CK196" s="109"/>
      <c r="CL196" s="109"/>
      <c r="CM196" s="109"/>
      <c r="CN196" s="109"/>
      <c r="CO196" s="109"/>
      <c r="CP196" s="109"/>
      <c r="CQ196" s="109"/>
      <c r="CR196" s="109"/>
      <c r="CS196" s="110"/>
      <c r="CT196" s="110"/>
      <c r="CU196" s="110"/>
      <c r="CV196" s="110"/>
      <c r="CW196" s="110"/>
      <c r="CX196" s="110"/>
      <c r="CY196" s="110"/>
      <c r="CZ196" s="110"/>
      <c r="DA196" s="110"/>
      <c r="DB196" s="110"/>
      <c r="DC196" s="110"/>
      <c r="DD196" s="110"/>
      <c r="DE196" s="110"/>
      <c r="DF196" s="110"/>
      <c r="DG196" s="110"/>
      <c r="DH196" s="110"/>
      <c r="DI196" s="110"/>
      <c r="DJ196" s="110"/>
      <c r="DK196" s="110"/>
      <c r="DL196" s="110"/>
      <c r="DM196" s="110"/>
      <c r="DN196" s="110"/>
      <c r="DO196" s="110"/>
      <c r="DP196" s="110"/>
      <c r="DQ196" s="110"/>
      <c r="DR196" s="110"/>
      <c r="DS196" s="110"/>
      <c r="DT196" s="110"/>
      <c r="DU196" s="110"/>
      <c r="DV196" s="110"/>
      <c r="DW196" s="110"/>
      <c r="DX196" s="110"/>
      <c r="DY196" s="110"/>
      <c r="DZ196" s="110"/>
      <c r="EC196" s="44"/>
      <c r="ED196" s="44"/>
      <c r="EE196" s="44"/>
      <c r="EF196" s="44"/>
      <c r="EG196" s="44"/>
    </row>
    <row r="197" spans="5:137" ht="12.75" customHeight="1" x14ac:dyDescent="0.25">
      <c r="E197" s="737" t="s">
        <v>255</v>
      </c>
      <c r="F197" s="737"/>
      <c r="G197" s="737"/>
      <c r="H197" s="737"/>
      <c r="I197" s="737"/>
      <c r="J197" s="737"/>
      <c r="U197" s="737" t="s">
        <v>254</v>
      </c>
      <c r="V197" s="737"/>
      <c r="W197" s="737"/>
      <c r="X197" s="737"/>
      <c r="Y197" s="737"/>
      <c r="Z197" s="737"/>
      <c r="AN197" s="112"/>
      <c r="AO197" s="112"/>
      <c r="AP197" s="112"/>
      <c r="AQ197" s="112"/>
      <c r="AR197" s="112"/>
      <c r="AS197" s="112"/>
      <c r="AT197" s="112"/>
      <c r="AU197" s="112"/>
      <c r="AV197" s="112"/>
      <c r="AW197" s="112"/>
      <c r="AX197" s="112"/>
      <c r="AY197" s="112"/>
      <c r="AZ197" s="112"/>
      <c r="BA197" s="112"/>
      <c r="BB197" s="112"/>
      <c r="BC197" s="112"/>
      <c r="BD197" s="112"/>
      <c r="BE197" s="112"/>
      <c r="BF197" s="112"/>
      <c r="BG197" s="112"/>
      <c r="BH197" s="112"/>
      <c r="BI197" s="112"/>
      <c r="BJ197" s="112"/>
      <c r="BK197" s="112"/>
      <c r="BL197" s="112"/>
      <c r="BM197" s="110"/>
      <c r="BN197" s="110"/>
      <c r="BO197" s="112"/>
      <c r="BP197" s="112"/>
      <c r="BQ197" s="112"/>
      <c r="BR197" s="112"/>
      <c r="BS197" s="112"/>
      <c r="BT197" s="112"/>
      <c r="BU197" s="112"/>
      <c r="BV197" s="112"/>
      <c r="BW197" s="112"/>
      <c r="BX197" s="112"/>
      <c r="BY197" s="112"/>
      <c r="BZ197" s="112"/>
      <c r="CA197" s="112"/>
      <c r="CB197" s="112"/>
      <c r="CC197" s="112"/>
      <c r="CD197" s="112"/>
      <c r="CE197" s="112"/>
      <c r="CF197" s="112"/>
      <c r="CG197" s="112"/>
      <c r="CH197" s="112"/>
      <c r="CI197" s="112"/>
      <c r="CJ197" s="112"/>
      <c r="CK197" s="112"/>
      <c r="CL197" s="112"/>
      <c r="CM197" s="112"/>
      <c r="CN197" s="112"/>
      <c r="CO197" s="112"/>
      <c r="CP197" s="112"/>
      <c r="CQ197" s="112"/>
      <c r="CR197" s="112"/>
      <c r="CS197" s="110"/>
      <c r="CT197" s="110"/>
      <c r="CU197" s="110"/>
      <c r="CV197" s="110"/>
      <c r="CW197" s="110"/>
      <c r="CX197" s="110"/>
      <c r="CY197" s="110"/>
      <c r="CZ197" s="110"/>
      <c r="DA197" s="110"/>
      <c r="DB197" s="110"/>
      <c r="DC197" s="110"/>
      <c r="DD197" s="110"/>
      <c r="DE197" s="110"/>
      <c r="DF197" s="110"/>
      <c r="DG197" s="110"/>
      <c r="DH197" s="110"/>
      <c r="DI197" s="110"/>
      <c r="DJ197" s="110"/>
      <c r="DK197" s="110"/>
      <c r="DL197" s="110"/>
      <c r="DM197" s="110"/>
      <c r="DN197" s="110"/>
      <c r="DO197" s="110"/>
      <c r="DP197" s="110"/>
      <c r="DQ197" s="110"/>
      <c r="DR197" s="110"/>
      <c r="DS197" s="110"/>
      <c r="DT197" s="110"/>
      <c r="DU197" s="110"/>
      <c r="DV197" s="110"/>
      <c r="DW197" s="110"/>
      <c r="DX197" s="110"/>
      <c r="DY197" s="110"/>
      <c r="DZ197" s="110"/>
      <c r="EC197" s="44"/>
      <c r="ED197" s="44"/>
      <c r="EE197" s="44"/>
      <c r="EF197" s="44"/>
      <c r="EG197" s="44"/>
    </row>
    <row r="198" spans="5:137" x14ac:dyDescent="0.25">
      <c r="E198" s="45"/>
      <c r="F198" s="45">
        <v>2016</v>
      </c>
      <c r="G198" s="46">
        <v>2017</v>
      </c>
      <c r="H198" s="45">
        <v>2018</v>
      </c>
      <c r="I198" s="45">
        <v>2019</v>
      </c>
      <c r="J198" s="59">
        <v>2020</v>
      </c>
      <c r="K198" s="437">
        <v>2021</v>
      </c>
      <c r="L198" s="572">
        <v>2022</v>
      </c>
      <c r="M198" s="676">
        <v>2023</v>
      </c>
      <c r="U198" s="59"/>
      <c r="V198" s="59">
        <v>2016</v>
      </c>
      <c r="W198" s="60">
        <v>2017</v>
      </c>
      <c r="X198" s="59">
        <v>2018</v>
      </c>
      <c r="Y198" s="59">
        <v>2019</v>
      </c>
      <c r="Z198" s="60">
        <v>2020</v>
      </c>
      <c r="AA198" s="437">
        <v>2021</v>
      </c>
      <c r="AB198" s="572">
        <v>2022</v>
      </c>
      <c r="AC198" s="676">
        <v>2023</v>
      </c>
      <c r="AN198" s="112"/>
      <c r="AO198" s="112"/>
      <c r="AP198" s="112"/>
      <c r="AQ198" s="112"/>
      <c r="AR198" s="112"/>
      <c r="AS198" s="112"/>
      <c r="AT198" s="112"/>
      <c r="AU198" s="112"/>
      <c r="AV198" s="112"/>
      <c r="AW198" s="112"/>
      <c r="AX198" s="112"/>
      <c r="AY198" s="112"/>
      <c r="AZ198" s="112"/>
      <c r="BA198" s="112"/>
      <c r="BB198" s="112"/>
      <c r="BC198" s="112"/>
      <c r="BD198" s="112"/>
      <c r="BE198" s="112"/>
      <c r="BF198" s="112"/>
      <c r="BG198" s="112"/>
      <c r="BH198" s="112"/>
      <c r="BI198" s="112"/>
      <c r="BJ198" s="112"/>
      <c r="BK198" s="112"/>
      <c r="BL198" s="112"/>
      <c r="BM198" s="110"/>
      <c r="BN198" s="110"/>
      <c r="BO198" s="112"/>
      <c r="BP198" s="112"/>
      <c r="BQ198" s="112"/>
      <c r="BR198" s="112"/>
      <c r="BS198" s="112"/>
      <c r="BT198" s="112"/>
      <c r="BU198" s="112"/>
      <c r="BV198" s="112"/>
      <c r="BW198" s="112"/>
      <c r="BX198" s="112"/>
      <c r="BY198" s="112"/>
      <c r="BZ198" s="112"/>
      <c r="CA198" s="112"/>
      <c r="CB198" s="112"/>
      <c r="CC198" s="112"/>
      <c r="CD198" s="112"/>
      <c r="CE198" s="112"/>
      <c r="CF198" s="112"/>
      <c r="CG198" s="112"/>
      <c r="CH198" s="112"/>
      <c r="CI198" s="112"/>
      <c r="CJ198" s="112"/>
      <c r="CK198" s="112"/>
      <c r="CL198" s="112"/>
      <c r="CM198" s="112"/>
      <c r="CN198" s="112"/>
      <c r="CO198" s="112"/>
      <c r="CP198" s="112"/>
      <c r="CQ198" s="112"/>
      <c r="CR198" s="112"/>
      <c r="CS198" s="110"/>
      <c r="CT198" s="110"/>
      <c r="CU198" s="110"/>
      <c r="CV198" s="110"/>
      <c r="CW198" s="110"/>
      <c r="CX198" s="110"/>
      <c r="CY198" s="110"/>
      <c r="CZ198" s="110"/>
      <c r="DA198" s="110"/>
      <c r="DB198" s="110"/>
      <c r="DC198" s="110"/>
      <c r="DD198" s="110"/>
      <c r="DE198" s="110"/>
      <c r="DF198" s="110"/>
      <c r="DG198" s="110"/>
      <c r="DH198" s="110"/>
      <c r="DI198" s="110"/>
      <c r="DJ198" s="110"/>
      <c r="DK198" s="110"/>
      <c r="DL198" s="110"/>
      <c r="DM198" s="110"/>
      <c r="DN198" s="110"/>
      <c r="DO198" s="110"/>
      <c r="DP198" s="110"/>
      <c r="DQ198" s="110"/>
      <c r="DR198" s="110"/>
      <c r="DS198" s="110"/>
      <c r="DT198" s="110"/>
      <c r="DU198" s="110"/>
      <c r="DV198" s="110"/>
      <c r="DW198" s="110"/>
      <c r="DX198" s="110"/>
      <c r="DY198" s="110"/>
      <c r="DZ198" s="110"/>
      <c r="EC198" s="44"/>
      <c r="ED198" s="44"/>
      <c r="EE198" s="44"/>
      <c r="EF198" s="44"/>
      <c r="EG198" s="44"/>
    </row>
    <row r="199" spans="5:137" x14ac:dyDescent="0.25">
      <c r="E199" s="39" t="s">
        <v>246</v>
      </c>
      <c r="F199" s="39">
        <v>52.92307692307692</v>
      </c>
      <c r="G199" s="39">
        <v>52.5</v>
      </c>
      <c r="H199" s="39">
        <v>50.846153846153847</v>
      </c>
      <c r="I199" s="39">
        <v>49.46153846153846</v>
      </c>
      <c r="J199" s="39">
        <v>49.769230769230766</v>
      </c>
      <c r="K199" s="39">
        <v>50</v>
      </c>
      <c r="L199" s="39">
        <v>50.846153846153847</v>
      </c>
      <c r="M199" s="39">
        <v>52</v>
      </c>
      <c r="U199" s="39" t="s">
        <v>246</v>
      </c>
      <c r="V199" s="39">
        <v>54</v>
      </c>
      <c r="W199" s="39">
        <v>53</v>
      </c>
      <c r="X199" s="39">
        <v>50.5</v>
      </c>
      <c r="Y199" s="39">
        <v>49.5</v>
      </c>
      <c r="Z199" s="108">
        <v>49</v>
      </c>
      <c r="AA199" s="39">
        <v>48.75</v>
      </c>
      <c r="AB199" s="39">
        <v>49.2</v>
      </c>
      <c r="AC199" s="39">
        <v>50</v>
      </c>
      <c r="AN199" s="112"/>
      <c r="AO199" s="112"/>
      <c r="AP199" s="112"/>
      <c r="AQ199" s="112"/>
      <c r="AR199" s="112"/>
      <c r="AS199" s="112"/>
      <c r="AT199" s="112"/>
      <c r="AU199" s="112"/>
      <c r="AV199" s="112"/>
      <c r="AW199" s="112"/>
      <c r="AX199" s="112"/>
      <c r="AY199" s="112"/>
      <c r="AZ199" s="112"/>
      <c r="BA199" s="112"/>
      <c r="BB199" s="112"/>
      <c r="BC199" s="112"/>
      <c r="BD199" s="112"/>
      <c r="BE199" s="112"/>
      <c r="BF199" s="112"/>
      <c r="BG199" s="112"/>
      <c r="BH199" s="112"/>
      <c r="BI199" s="112"/>
      <c r="BJ199" s="112"/>
      <c r="BK199" s="112"/>
      <c r="BL199" s="112"/>
      <c r="BM199" s="110"/>
      <c r="BN199" s="110"/>
      <c r="BO199" s="112"/>
      <c r="BP199" s="112"/>
      <c r="BQ199" s="112"/>
      <c r="BR199" s="112"/>
      <c r="BS199" s="112"/>
      <c r="BT199" s="112"/>
      <c r="BU199" s="112"/>
      <c r="BV199" s="112"/>
      <c r="BW199" s="112"/>
      <c r="BX199" s="112"/>
      <c r="BY199" s="112"/>
      <c r="BZ199" s="112"/>
      <c r="CA199" s="112"/>
      <c r="CB199" s="112"/>
      <c r="CC199" s="112"/>
      <c r="CD199" s="112"/>
      <c r="CE199" s="112"/>
      <c r="CF199" s="112"/>
      <c r="CG199" s="112"/>
      <c r="CH199" s="112"/>
      <c r="CI199" s="112"/>
      <c r="CJ199" s="112"/>
      <c r="CK199" s="112"/>
      <c r="CL199" s="112"/>
      <c r="CM199" s="112"/>
      <c r="CN199" s="112"/>
      <c r="CO199" s="112"/>
      <c r="CP199" s="112"/>
      <c r="CQ199" s="112"/>
      <c r="CR199" s="112"/>
      <c r="CS199" s="110"/>
      <c r="CT199" s="110"/>
      <c r="CU199" s="110"/>
      <c r="CV199" s="110"/>
      <c r="CW199" s="110"/>
      <c r="CX199" s="110"/>
      <c r="CY199" s="110"/>
      <c r="CZ199" s="110"/>
      <c r="DA199" s="110"/>
      <c r="DB199" s="110"/>
      <c r="DC199" s="110"/>
      <c r="DD199" s="110"/>
      <c r="DE199" s="110"/>
      <c r="DF199" s="110"/>
      <c r="DG199" s="110"/>
      <c r="DH199" s="110"/>
      <c r="DI199" s="110"/>
      <c r="DJ199" s="110"/>
      <c r="DK199" s="110"/>
      <c r="DL199" s="110"/>
      <c r="DM199" s="110"/>
      <c r="DN199" s="110"/>
      <c r="DO199" s="110"/>
      <c r="DP199" s="110"/>
      <c r="DQ199" s="110"/>
      <c r="DR199" s="110"/>
      <c r="DS199" s="110"/>
      <c r="DT199" s="110"/>
      <c r="DU199" s="110"/>
      <c r="DV199" s="110"/>
      <c r="DW199" s="110"/>
      <c r="DX199" s="110"/>
      <c r="DY199" s="110"/>
      <c r="DZ199" s="110"/>
      <c r="EC199" s="44"/>
      <c r="ED199" s="44"/>
      <c r="EE199" s="44"/>
      <c r="EF199" s="44"/>
      <c r="EG199" s="44"/>
    </row>
    <row r="200" spans="5:137" x14ac:dyDescent="0.25">
      <c r="E200" s="39" t="s">
        <v>247</v>
      </c>
      <c r="F200" s="39">
        <v>54.666666666666664</v>
      </c>
      <c r="G200" s="39">
        <v>52.823529411764703</v>
      </c>
      <c r="H200" s="39">
        <v>51.764705882352942</v>
      </c>
      <c r="I200" s="39">
        <v>51.5</v>
      </c>
      <c r="J200" s="39">
        <v>49.81818181818182</v>
      </c>
      <c r="K200" s="39">
        <v>50.3</v>
      </c>
      <c r="L200" s="39">
        <v>51.857142857142854</v>
      </c>
      <c r="M200" s="39">
        <v>51.68181818181818</v>
      </c>
      <c r="U200" s="39" t="s">
        <v>247</v>
      </c>
      <c r="V200" s="39">
        <v>54</v>
      </c>
      <c r="W200" s="39">
        <v>53.5</v>
      </c>
      <c r="X200" s="39">
        <v>51</v>
      </c>
      <c r="Y200" s="39">
        <v>49</v>
      </c>
      <c r="Z200" s="108">
        <v>49</v>
      </c>
      <c r="AA200" s="39">
        <v>49</v>
      </c>
      <c r="AB200" s="39">
        <v>49.75</v>
      </c>
      <c r="AC200" s="39">
        <v>49.75</v>
      </c>
      <c r="AN200" s="112"/>
      <c r="AO200" s="112"/>
      <c r="AP200" s="112"/>
      <c r="AQ200" s="112"/>
      <c r="AR200" s="112"/>
      <c r="AS200" s="112"/>
      <c r="AT200" s="112"/>
      <c r="AU200" s="112"/>
      <c r="AV200" s="112"/>
      <c r="AW200" s="112"/>
      <c r="AX200" s="112"/>
      <c r="AY200" s="112"/>
      <c r="AZ200" s="112"/>
      <c r="BA200" s="112"/>
      <c r="BB200" s="112"/>
      <c r="BC200" s="112"/>
      <c r="BD200" s="112"/>
      <c r="BE200" s="112"/>
      <c r="BF200" s="112"/>
      <c r="BG200" s="112"/>
      <c r="BH200" s="112"/>
      <c r="BI200" s="112"/>
      <c r="BJ200" s="112"/>
      <c r="BK200" s="112"/>
      <c r="BL200" s="112"/>
      <c r="BM200" s="110"/>
      <c r="BN200" s="110"/>
      <c r="BO200" s="112"/>
      <c r="BP200" s="112"/>
      <c r="BQ200" s="112"/>
      <c r="BR200" s="112"/>
      <c r="BS200" s="112"/>
      <c r="BT200" s="112"/>
      <c r="BU200" s="112"/>
      <c r="BV200" s="112"/>
      <c r="BW200" s="112"/>
      <c r="BX200" s="112"/>
      <c r="BY200" s="112"/>
      <c r="BZ200" s="112"/>
      <c r="CA200" s="112"/>
      <c r="CB200" s="112"/>
      <c r="CC200" s="112"/>
      <c r="CD200" s="112"/>
      <c r="CE200" s="112"/>
      <c r="CF200" s="112"/>
      <c r="CG200" s="112"/>
      <c r="CH200" s="112"/>
      <c r="CI200" s="112"/>
      <c r="CJ200" s="112"/>
      <c r="CK200" s="112"/>
      <c r="CL200" s="112"/>
      <c r="CM200" s="112"/>
      <c r="CN200" s="112"/>
      <c r="CO200" s="112"/>
      <c r="CP200" s="112"/>
      <c r="CQ200" s="112"/>
      <c r="CR200" s="112"/>
      <c r="CS200" s="110"/>
      <c r="CT200" s="110"/>
      <c r="CU200" s="110"/>
      <c r="CV200" s="110"/>
      <c r="CW200" s="110"/>
      <c r="CX200" s="110"/>
      <c r="CY200" s="110"/>
      <c r="CZ200" s="110"/>
      <c r="DA200" s="110"/>
      <c r="DB200" s="110"/>
      <c r="DC200" s="110"/>
      <c r="DD200" s="110"/>
      <c r="DE200" s="110"/>
      <c r="DF200" s="110"/>
      <c r="DG200" s="110"/>
      <c r="DH200" s="110"/>
      <c r="DI200" s="110"/>
      <c r="DJ200" s="110"/>
      <c r="DK200" s="110"/>
      <c r="DL200" s="110"/>
      <c r="DM200" s="110"/>
      <c r="DN200" s="110"/>
      <c r="DO200" s="110"/>
      <c r="DP200" s="110"/>
      <c r="DQ200" s="110"/>
      <c r="DR200" s="110"/>
      <c r="DS200" s="110"/>
      <c r="DT200" s="110"/>
      <c r="DU200" s="110"/>
      <c r="DV200" s="110"/>
      <c r="DW200" s="110"/>
      <c r="DX200" s="110"/>
      <c r="DY200" s="110"/>
      <c r="DZ200" s="110"/>
      <c r="EC200" s="44"/>
      <c r="ED200" s="44"/>
      <c r="EE200" s="44"/>
      <c r="EF200" s="44"/>
      <c r="EG200" s="44"/>
    </row>
    <row r="201" spans="5:137" x14ac:dyDescent="0.25">
      <c r="E201" s="39" t="s">
        <v>248</v>
      </c>
      <c r="F201" s="39">
        <v>55.46153846153846</v>
      </c>
      <c r="G201" s="39">
        <v>53.642857142857146</v>
      </c>
      <c r="H201" s="39">
        <v>52.428571428571431</v>
      </c>
      <c r="I201" s="39">
        <v>51.142857142857146</v>
      </c>
      <c r="J201" s="39">
        <v>51.4</v>
      </c>
      <c r="K201" s="39">
        <v>51.666666666666664</v>
      </c>
      <c r="L201" s="39">
        <v>52.125</v>
      </c>
      <c r="M201" s="39">
        <v>52.9375</v>
      </c>
      <c r="U201" s="39" t="s">
        <v>248</v>
      </c>
      <c r="V201" s="39">
        <v>53.333333333333336</v>
      </c>
      <c r="W201" s="39">
        <v>51.333333333333336</v>
      </c>
      <c r="X201" s="39">
        <v>50.666666666666664</v>
      </c>
      <c r="Y201" s="39">
        <v>48.666666666666664</v>
      </c>
      <c r="Z201" s="108">
        <v>49.25</v>
      </c>
      <c r="AA201" s="39">
        <v>49</v>
      </c>
      <c r="AB201" s="39">
        <v>49.833333333333336</v>
      </c>
      <c r="AC201" s="39">
        <v>50.5</v>
      </c>
      <c r="AN201" s="112"/>
      <c r="AO201" s="112"/>
      <c r="AP201" s="112"/>
      <c r="AQ201" s="112"/>
      <c r="AR201" s="112"/>
      <c r="AS201" s="112"/>
      <c r="AT201" s="112"/>
      <c r="AU201" s="112"/>
      <c r="AV201" s="112"/>
      <c r="AW201" s="112"/>
      <c r="AX201" s="112"/>
      <c r="AY201" s="112"/>
      <c r="AZ201" s="112"/>
      <c r="BA201" s="112"/>
      <c r="BB201" s="112"/>
      <c r="BC201" s="112"/>
      <c r="BD201" s="112"/>
      <c r="BE201" s="112"/>
      <c r="BF201" s="112"/>
      <c r="BG201" s="112"/>
      <c r="BH201" s="112"/>
      <c r="BI201" s="112"/>
      <c r="BJ201" s="112"/>
      <c r="BK201" s="112"/>
      <c r="BL201" s="112"/>
      <c r="BM201" s="110"/>
      <c r="BN201" s="110"/>
      <c r="BO201" s="112"/>
      <c r="BP201" s="112"/>
      <c r="BQ201" s="112"/>
      <c r="BR201" s="112"/>
      <c r="BS201" s="112"/>
      <c r="BT201" s="112"/>
      <c r="BU201" s="112"/>
      <c r="BV201" s="112"/>
      <c r="BW201" s="112"/>
      <c r="BX201" s="112"/>
      <c r="BY201" s="112"/>
      <c r="BZ201" s="112"/>
      <c r="CA201" s="112"/>
      <c r="CB201" s="112"/>
      <c r="CC201" s="112"/>
      <c r="CD201" s="112"/>
      <c r="CE201" s="112"/>
      <c r="CF201" s="112"/>
      <c r="CG201" s="112"/>
      <c r="CH201" s="112"/>
      <c r="CI201" s="112"/>
      <c r="CJ201" s="112"/>
      <c r="CK201" s="112"/>
      <c r="CL201" s="112"/>
      <c r="CM201" s="112"/>
      <c r="CN201" s="112"/>
      <c r="CO201" s="112"/>
      <c r="CP201" s="112"/>
      <c r="CQ201" s="112"/>
      <c r="CR201" s="112"/>
      <c r="CS201" s="110"/>
      <c r="CT201" s="110"/>
      <c r="CU201" s="110"/>
      <c r="CV201" s="110"/>
      <c r="CW201" s="110"/>
      <c r="CX201" s="110"/>
      <c r="CY201" s="110"/>
      <c r="CZ201" s="110"/>
      <c r="DA201" s="110"/>
      <c r="DB201" s="110"/>
      <c r="DC201" s="110"/>
      <c r="DD201" s="110"/>
      <c r="DE201" s="110"/>
      <c r="DF201" s="110"/>
      <c r="DG201" s="110"/>
      <c r="DH201" s="110"/>
      <c r="DI201" s="110"/>
      <c r="DJ201" s="110"/>
      <c r="DK201" s="110"/>
      <c r="DL201" s="110"/>
      <c r="DM201" s="110"/>
      <c r="DN201" s="110"/>
      <c r="DO201" s="110"/>
      <c r="DP201" s="110"/>
      <c r="DQ201" s="110"/>
      <c r="DR201" s="110"/>
      <c r="DS201" s="110"/>
      <c r="DT201" s="110"/>
      <c r="DU201" s="110"/>
      <c r="DV201" s="110"/>
      <c r="DW201" s="110"/>
      <c r="DX201" s="110"/>
      <c r="DY201" s="110"/>
      <c r="DZ201" s="110"/>
      <c r="EC201" s="44"/>
      <c r="ED201" s="44"/>
      <c r="EE201" s="44"/>
      <c r="EF201" s="44"/>
      <c r="EG201" s="44"/>
    </row>
    <row r="202" spans="5:137" x14ac:dyDescent="0.25">
      <c r="E202" s="39" t="s">
        <v>249</v>
      </c>
      <c r="F202" s="39">
        <v>51.625</v>
      </c>
      <c r="G202" s="39">
        <v>52.111111111111114</v>
      </c>
      <c r="H202" s="39">
        <v>51.111111111111114</v>
      </c>
      <c r="I202" s="39">
        <v>49.375</v>
      </c>
      <c r="J202" s="39">
        <v>48.571428571428569</v>
      </c>
      <c r="K202" s="39">
        <v>48.75</v>
      </c>
      <c r="L202" s="39">
        <v>50.25</v>
      </c>
      <c r="M202" s="39">
        <v>48.888888888888886</v>
      </c>
      <c r="U202" s="39" t="s">
        <v>249</v>
      </c>
      <c r="V202" s="39">
        <v>50.5</v>
      </c>
      <c r="W202" s="39">
        <v>49.833333333333336</v>
      </c>
      <c r="X202" s="39">
        <v>46.5</v>
      </c>
      <c r="Y202" s="39">
        <v>45.5</v>
      </c>
      <c r="Z202" s="108">
        <v>45.166666666666664</v>
      </c>
      <c r="AA202" s="39">
        <v>46</v>
      </c>
      <c r="AB202" s="39">
        <v>46.166666666666664</v>
      </c>
      <c r="AC202" s="39">
        <v>46.666666666666664</v>
      </c>
      <c r="AN202" s="112"/>
      <c r="AO202" s="112"/>
      <c r="AP202" s="112"/>
      <c r="AQ202" s="112"/>
      <c r="AR202" s="112"/>
      <c r="AS202" s="112"/>
      <c r="AT202" s="112"/>
      <c r="AU202" s="112"/>
      <c r="AV202" s="112"/>
      <c r="AW202" s="112"/>
      <c r="AX202" s="112"/>
      <c r="AY202" s="112"/>
      <c r="AZ202" s="112"/>
      <c r="BA202" s="112"/>
      <c r="BB202" s="112"/>
      <c r="BC202" s="112"/>
      <c r="BD202" s="112"/>
      <c r="BE202" s="112"/>
      <c r="BF202" s="112"/>
      <c r="BG202" s="112"/>
      <c r="BH202" s="112"/>
      <c r="BI202" s="112"/>
      <c r="BJ202" s="112"/>
      <c r="BK202" s="112"/>
      <c r="BL202" s="112"/>
      <c r="BM202" s="110"/>
      <c r="BN202" s="110"/>
      <c r="BO202" s="112"/>
      <c r="BP202" s="112"/>
      <c r="BQ202" s="112"/>
      <c r="BR202" s="112"/>
      <c r="BS202" s="112"/>
      <c r="BT202" s="112"/>
      <c r="BU202" s="112"/>
      <c r="BV202" s="112"/>
      <c r="BW202" s="112"/>
      <c r="BX202" s="112"/>
      <c r="BY202" s="112"/>
      <c r="BZ202" s="112"/>
      <c r="CA202" s="112"/>
      <c r="CB202" s="112"/>
      <c r="CC202" s="112"/>
      <c r="CD202" s="112"/>
      <c r="CE202" s="112"/>
      <c r="CF202" s="112"/>
      <c r="CG202" s="112"/>
      <c r="CH202" s="112"/>
      <c r="CI202" s="112"/>
      <c r="CJ202" s="112"/>
      <c r="CK202" s="112"/>
      <c r="CL202" s="112"/>
      <c r="CM202" s="112"/>
      <c r="CN202" s="112"/>
      <c r="CO202" s="112"/>
      <c r="CP202" s="112"/>
      <c r="CQ202" s="112"/>
      <c r="CR202" s="112"/>
      <c r="CS202" s="110"/>
      <c r="CT202" s="110"/>
      <c r="CU202" s="110"/>
      <c r="CV202" s="110"/>
      <c r="CW202" s="110"/>
      <c r="CX202" s="110"/>
      <c r="CY202" s="110"/>
      <c r="CZ202" s="110"/>
      <c r="DA202" s="110"/>
      <c r="DB202" s="110"/>
      <c r="DC202" s="110"/>
      <c r="DD202" s="110"/>
      <c r="DE202" s="110"/>
      <c r="DF202" s="110"/>
      <c r="DG202" s="110"/>
      <c r="DH202" s="110"/>
      <c r="DI202" s="110"/>
      <c r="DJ202" s="110"/>
      <c r="DK202" s="110"/>
      <c r="DL202" s="110"/>
      <c r="DM202" s="110"/>
      <c r="DN202" s="110"/>
      <c r="DO202" s="110"/>
      <c r="DP202" s="110"/>
      <c r="DQ202" s="110"/>
      <c r="DR202" s="110"/>
      <c r="DS202" s="110"/>
      <c r="DT202" s="110"/>
      <c r="DU202" s="110"/>
      <c r="DV202" s="110"/>
      <c r="DW202" s="110"/>
      <c r="DX202" s="110"/>
      <c r="DY202" s="110"/>
      <c r="DZ202" s="110"/>
      <c r="EC202" s="44"/>
      <c r="ED202" s="44"/>
      <c r="EE202" s="44"/>
      <c r="EF202" s="44"/>
      <c r="EG202" s="44"/>
    </row>
    <row r="203" spans="5:137" x14ac:dyDescent="0.25">
      <c r="E203" s="39" t="s">
        <v>250</v>
      </c>
      <c r="F203" s="39">
        <v>56.533333333333331</v>
      </c>
      <c r="G203" s="39">
        <v>55.466666666666669</v>
      </c>
      <c r="H203" s="39">
        <v>54.125</v>
      </c>
      <c r="I203" s="39">
        <v>52.470588235294116</v>
      </c>
      <c r="J203" s="39">
        <v>53.25</v>
      </c>
      <c r="K203" s="39">
        <v>52.75</v>
      </c>
      <c r="L203" s="39">
        <v>54.133333333333333</v>
      </c>
      <c r="M203" s="39">
        <v>55.133333333333333</v>
      </c>
      <c r="U203" s="39" t="s">
        <v>250</v>
      </c>
      <c r="V203" s="39">
        <v>54</v>
      </c>
      <c r="W203" s="39">
        <v>51.5</v>
      </c>
      <c r="X203" s="39">
        <v>49.5</v>
      </c>
      <c r="Y203" s="39">
        <v>49.5</v>
      </c>
      <c r="Z203" s="108">
        <v>49</v>
      </c>
      <c r="AA203" s="39">
        <v>48.5</v>
      </c>
      <c r="AB203" s="39">
        <v>50.5</v>
      </c>
      <c r="AC203" s="39">
        <v>50.5</v>
      </c>
    </row>
    <row r="204" spans="5:137" x14ac:dyDescent="0.25">
      <c r="E204" s="39" t="s">
        <v>251</v>
      </c>
      <c r="F204" s="39">
        <v>55.5</v>
      </c>
      <c r="G204" s="39">
        <v>52.083333333333336</v>
      </c>
      <c r="H204" s="39">
        <v>51.18181818181818</v>
      </c>
      <c r="I204" s="39">
        <v>50.833333333333336</v>
      </c>
      <c r="J204" s="39">
        <v>49.428571428571431</v>
      </c>
      <c r="K204" s="39">
        <v>49.571428571428569</v>
      </c>
      <c r="L204" s="39">
        <v>49.875</v>
      </c>
      <c r="M204" s="39">
        <v>51.235294117647058</v>
      </c>
      <c r="U204" s="39" t="s">
        <v>251</v>
      </c>
      <c r="V204" s="39">
        <v>53.333333333333336</v>
      </c>
      <c r="W204" s="39">
        <v>52</v>
      </c>
      <c r="X204" s="39">
        <v>50.333333333333336</v>
      </c>
      <c r="Y204" s="39">
        <v>48.333333333333336</v>
      </c>
      <c r="Z204" s="108">
        <v>48.333333333333336</v>
      </c>
      <c r="AA204" s="39">
        <v>47.666666666666664</v>
      </c>
      <c r="AB204" s="39">
        <v>49</v>
      </c>
      <c r="AC204" s="39">
        <v>49</v>
      </c>
    </row>
    <row r="233" spans="5:37" x14ac:dyDescent="0.25">
      <c r="E233" s="736" t="s">
        <v>325</v>
      </c>
      <c r="F233" s="737"/>
      <c r="G233" s="737"/>
      <c r="H233" s="737"/>
      <c r="I233" s="737"/>
      <c r="J233" s="737"/>
      <c r="K233" s="737"/>
      <c r="L233" s="737"/>
      <c r="M233" s="737"/>
      <c r="N233" s="737"/>
      <c r="O233" s="737"/>
      <c r="P233" s="737"/>
      <c r="Q233" s="737"/>
      <c r="R233" s="737"/>
      <c r="S233" s="737"/>
      <c r="T233" s="737"/>
      <c r="U233" s="737"/>
      <c r="V233" s="737"/>
      <c r="W233" s="737"/>
      <c r="X233" s="737"/>
      <c r="Y233" s="737"/>
    </row>
    <row r="234" spans="5:37" x14ac:dyDescent="0.25">
      <c r="E234" s="130"/>
      <c r="F234" s="736">
        <v>2016</v>
      </c>
      <c r="G234" s="737"/>
      <c r="H234" s="737"/>
      <c r="I234" s="854"/>
      <c r="J234" s="736">
        <v>2017</v>
      </c>
      <c r="K234" s="737"/>
      <c r="L234" s="737"/>
      <c r="M234" s="854"/>
      <c r="N234" s="736">
        <v>2018</v>
      </c>
      <c r="O234" s="737"/>
      <c r="P234" s="737"/>
      <c r="Q234" s="854"/>
      <c r="R234" s="736">
        <v>2019</v>
      </c>
      <c r="S234" s="737"/>
      <c r="T234" s="737"/>
      <c r="U234" s="854"/>
      <c r="V234" s="736">
        <v>2020</v>
      </c>
      <c r="W234" s="737"/>
      <c r="X234" s="737"/>
      <c r="Y234" s="737"/>
      <c r="Z234" s="736">
        <v>2021</v>
      </c>
      <c r="AA234" s="737"/>
      <c r="AB234" s="737"/>
      <c r="AC234" s="737"/>
      <c r="AD234" s="736">
        <v>2022</v>
      </c>
      <c r="AE234" s="737"/>
      <c r="AF234" s="737"/>
      <c r="AG234" s="737"/>
      <c r="AH234" s="736">
        <v>2023</v>
      </c>
      <c r="AI234" s="737"/>
      <c r="AJ234" s="737"/>
      <c r="AK234" s="737"/>
    </row>
    <row r="235" spans="5:37" x14ac:dyDescent="0.25">
      <c r="E235" s="129"/>
      <c r="F235" s="132" t="s">
        <v>10</v>
      </c>
      <c r="G235" s="129" t="s">
        <v>0</v>
      </c>
      <c r="H235" s="129" t="s">
        <v>323</v>
      </c>
      <c r="I235" s="129" t="s">
        <v>324</v>
      </c>
      <c r="J235" s="132" t="s">
        <v>10</v>
      </c>
      <c r="K235" s="132" t="s">
        <v>0</v>
      </c>
      <c r="L235" s="129" t="s">
        <v>323</v>
      </c>
      <c r="M235" s="129" t="s">
        <v>324</v>
      </c>
      <c r="N235" s="132" t="s">
        <v>10</v>
      </c>
      <c r="O235" s="132" t="s">
        <v>0</v>
      </c>
      <c r="P235" s="129" t="s">
        <v>323</v>
      </c>
      <c r="Q235" s="129" t="s">
        <v>324</v>
      </c>
      <c r="R235" s="132" t="s">
        <v>10</v>
      </c>
      <c r="S235" s="132" t="s">
        <v>0</v>
      </c>
      <c r="T235" s="129" t="s">
        <v>323</v>
      </c>
      <c r="U235" s="129" t="s">
        <v>324</v>
      </c>
      <c r="V235" s="132" t="s">
        <v>10</v>
      </c>
      <c r="W235" s="132" t="s">
        <v>0</v>
      </c>
      <c r="X235" s="129" t="s">
        <v>323</v>
      </c>
      <c r="Y235" s="129" t="s">
        <v>324</v>
      </c>
      <c r="Z235" s="439" t="s">
        <v>10</v>
      </c>
      <c r="AA235" s="439" t="s">
        <v>0</v>
      </c>
      <c r="AB235" s="434" t="s">
        <v>323</v>
      </c>
      <c r="AC235" s="434" t="s">
        <v>324</v>
      </c>
      <c r="AD235" s="573" t="s">
        <v>10</v>
      </c>
      <c r="AE235" s="573" t="s">
        <v>0</v>
      </c>
      <c r="AF235" s="571" t="s">
        <v>323</v>
      </c>
      <c r="AG235" s="571" t="s">
        <v>324</v>
      </c>
      <c r="AH235" s="679" t="s">
        <v>10</v>
      </c>
      <c r="AI235" s="679" t="s">
        <v>0</v>
      </c>
      <c r="AJ235" s="677" t="s">
        <v>323</v>
      </c>
      <c r="AK235" s="677" t="s">
        <v>324</v>
      </c>
    </row>
    <row r="236" spans="5:37" x14ac:dyDescent="0.25">
      <c r="E236" s="127">
        <v>1</v>
      </c>
      <c r="F236" s="97">
        <f>$F10</f>
        <v>0.09</v>
      </c>
      <c r="G236" s="97">
        <f>$F11</f>
        <v>0.05</v>
      </c>
      <c r="H236" s="97">
        <f>$F12</f>
        <v>0.06</v>
      </c>
      <c r="I236" s="97">
        <f>$F14</f>
        <v>0.03</v>
      </c>
      <c r="J236" s="84">
        <f>$AJ10</f>
        <v>0.12</v>
      </c>
      <c r="K236" s="84">
        <f>$AJ11</f>
        <v>0.08</v>
      </c>
      <c r="L236" s="84">
        <f>$AJ12</f>
        <v>0.09</v>
      </c>
      <c r="M236" s="84">
        <f>$AJ14</f>
        <v>0.06</v>
      </c>
      <c r="N236" s="97">
        <f>$BO10</f>
        <v>0.17</v>
      </c>
      <c r="O236" s="97">
        <f>$BO11</f>
        <v>0.11</v>
      </c>
      <c r="P236" s="97">
        <f>$BO12</f>
        <v>0.14000000000000001</v>
      </c>
      <c r="Q236" s="97">
        <f>$BO14</f>
        <v>0.08</v>
      </c>
      <c r="R236" s="97">
        <f>$CU10</f>
        <v>0.21</v>
      </c>
      <c r="S236" s="97">
        <f>$CU11</f>
        <v>0.14000000000000001</v>
      </c>
      <c r="T236" s="97">
        <f>$CU12</f>
        <v>0.18</v>
      </c>
      <c r="U236" s="97">
        <f>$CU14</f>
        <v>0.1</v>
      </c>
      <c r="V236" s="87">
        <f>$DZ10</f>
        <v>0.23</v>
      </c>
      <c r="W236" s="87">
        <f>$DZ11</f>
        <v>0.16</v>
      </c>
      <c r="X236" s="87">
        <f>$DZ12</f>
        <v>0.19</v>
      </c>
      <c r="Y236" s="87">
        <f>$DZ14</f>
        <v>0.14000000000000001</v>
      </c>
      <c r="Z236" s="87">
        <f>$FF10</f>
        <v>0.22</v>
      </c>
      <c r="AA236" s="87">
        <f>$FF11</f>
        <v>0.14000000000000001</v>
      </c>
      <c r="AB236" s="87">
        <f>$FF12</f>
        <v>0.17</v>
      </c>
      <c r="AC236" s="87">
        <f>$FF14</f>
        <v>0.1</v>
      </c>
      <c r="AD236" s="422">
        <v>0.21</v>
      </c>
      <c r="AE236" s="423">
        <v>0.14000000000000001</v>
      </c>
      <c r="AF236" s="426">
        <v>0.17</v>
      </c>
      <c r="AG236" s="426">
        <v>0.12</v>
      </c>
      <c r="AH236" s="641">
        <v>0.19</v>
      </c>
      <c r="AI236" s="642">
        <v>0.13</v>
      </c>
      <c r="AJ236" s="643">
        <v>0.16</v>
      </c>
      <c r="AK236" s="643">
        <v>0.09</v>
      </c>
    </row>
    <row r="237" spans="5:37" x14ac:dyDescent="0.25">
      <c r="E237" s="127">
        <v>2</v>
      </c>
      <c r="F237" s="97">
        <f>$G10</f>
        <v>0.5</v>
      </c>
      <c r="G237" s="97">
        <f>$G11</f>
        <v>0.54</v>
      </c>
      <c r="H237" s="97">
        <f>$G12</f>
        <v>0.59</v>
      </c>
      <c r="I237" s="97">
        <f>$G14</f>
        <v>0.5</v>
      </c>
      <c r="J237" s="84">
        <f>$AK10</f>
        <v>0.49</v>
      </c>
      <c r="K237" s="84">
        <f>$AK11</f>
        <v>0.53</v>
      </c>
      <c r="L237" s="84">
        <f>$AK12</f>
        <v>0.56999999999999995</v>
      </c>
      <c r="M237" s="84">
        <f>$AK14</f>
        <v>0.49</v>
      </c>
      <c r="N237" s="97">
        <f>$BP10</f>
        <v>0.5</v>
      </c>
      <c r="O237" s="97">
        <f>$BP11</f>
        <v>0.56999999999999995</v>
      </c>
      <c r="P237" s="97">
        <f>$BP12</f>
        <v>0.6</v>
      </c>
      <c r="Q237" s="97">
        <f>$BP14</f>
        <v>0.53</v>
      </c>
      <c r="R237" s="97">
        <f>$CV10</f>
        <v>0.5</v>
      </c>
      <c r="S237" s="97">
        <f>$CV11</f>
        <v>0.6</v>
      </c>
      <c r="T237" s="97">
        <f>$CV12</f>
        <v>0.61</v>
      </c>
      <c r="U237" s="97">
        <f>$CV14</f>
        <v>0.56999999999999995</v>
      </c>
      <c r="V237" s="87">
        <f>$EA10</f>
        <v>0.5</v>
      </c>
      <c r="W237" s="87">
        <f>$EA11</f>
        <v>0.56000000000000005</v>
      </c>
      <c r="X237" s="87">
        <f>$EA12</f>
        <v>0.59</v>
      </c>
      <c r="Y237" s="87">
        <f>$EA14</f>
        <v>0.53</v>
      </c>
      <c r="Z237" s="87">
        <f>$FG10</f>
        <v>0.53</v>
      </c>
      <c r="AA237" s="87">
        <f>$FG11</f>
        <v>0.6</v>
      </c>
      <c r="AB237" s="87">
        <f>$FG12</f>
        <v>0.64</v>
      </c>
      <c r="AC237" s="87">
        <f>$FG14</f>
        <v>0.56999999999999995</v>
      </c>
      <c r="AD237" s="422">
        <v>0.5</v>
      </c>
      <c r="AE237" s="423">
        <v>0.55000000000000004</v>
      </c>
      <c r="AF237" s="426">
        <v>0.59</v>
      </c>
      <c r="AG237" s="426">
        <v>0.5</v>
      </c>
      <c r="AH237" s="641">
        <v>0.49</v>
      </c>
      <c r="AI237" s="642">
        <v>0.54</v>
      </c>
      <c r="AJ237" s="643">
        <v>0.57999999999999996</v>
      </c>
      <c r="AK237" s="643">
        <v>0.49</v>
      </c>
    </row>
    <row r="238" spans="5:37" x14ac:dyDescent="0.25">
      <c r="E238" s="127">
        <v>3</v>
      </c>
      <c r="F238" s="97">
        <f>$H10</f>
        <v>0.38</v>
      </c>
      <c r="G238" s="97">
        <f>$H11</f>
        <v>0.4</v>
      </c>
      <c r="H238" s="97">
        <f>$H12</f>
        <v>0.35</v>
      </c>
      <c r="I238" s="97">
        <f>$H14</f>
        <v>0.46</v>
      </c>
      <c r="J238" s="84">
        <f>$AL10</f>
        <v>0.36</v>
      </c>
      <c r="K238" s="84">
        <f>$AL11</f>
        <v>0.38</v>
      </c>
      <c r="L238" s="84">
        <f>$AL12</f>
        <v>0.33</v>
      </c>
      <c r="M238" s="84">
        <f>$AL14</f>
        <v>0.44</v>
      </c>
      <c r="N238" s="97">
        <f>$BQ10</f>
        <v>0.31</v>
      </c>
      <c r="O238" s="97">
        <f>$BQ11</f>
        <v>0.31</v>
      </c>
      <c r="P238" s="97">
        <f>$BQ12</f>
        <v>0.25</v>
      </c>
      <c r="Q238" s="97">
        <f>$BQ14</f>
        <v>0.38</v>
      </c>
      <c r="R238" s="97">
        <f>$CW10</f>
        <v>0.27</v>
      </c>
      <c r="S238" s="97">
        <f>$CW11</f>
        <v>0.25</v>
      </c>
      <c r="T238" s="97">
        <f>$CW12</f>
        <v>0.2</v>
      </c>
      <c r="U238" s="97">
        <f>$CW14</f>
        <v>0.31</v>
      </c>
      <c r="V238" s="87">
        <f>$EB10</f>
        <v>0.25</v>
      </c>
      <c r="W238" s="87">
        <f>$EB11</f>
        <v>0.27</v>
      </c>
      <c r="X238" s="87">
        <f>$EB12</f>
        <v>0.22</v>
      </c>
      <c r="Y238" s="87">
        <f>$EB14</f>
        <v>0.32</v>
      </c>
      <c r="Z238" s="87">
        <f>$FH10</f>
        <v>0.23</v>
      </c>
      <c r="AA238" s="87">
        <f>$FH11</f>
        <v>0.25</v>
      </c>
      <c r="AB238" s="87">
        <f>$FH12</f>
        <v>0.18</v>
      </c>
      <c r="AC238" s="87">
        <f>$FH14</f>
        <v>0.32</v>
      </c>
      <c r="AD238" s="422">
        <v>0.27</v>
      </c>
      <c r="AE238" s="423">
        <v>0.28999999999999998</v>
      </c>
      <c r="AF238" s="426">
        <v>0.23</v>
      </c>
      <c r="AG238" s="426">
        <v>0.36</v>
      </c>
      <c r="AH238" s="641">
        <v>0.28999999999999998</v>
      </c>
      <c r="AI238" s="642">
        <v>0.32</v>
      </c>
      <c r="AJ238" s="643">
        <v>0.25</v>
      </c>
      <c r="AK238" s="643">
        <v>0.4</v>
      </c>
    </row>
    <row r="239" spans="5:37" x14ac:dyDescent="0.25">
      <c r="E239" s="127">
        <v>4</v>
      </c>
      <c r="F239" s="97">
        <f>$I10</f>
        <v>0.03</v>
      </c>
      <c r="G239" s="97">
        <f>$I11</f>
        <v>0.01</v>
      </c>
      <c r="H239" s="97">
        <f>$I12</f>
        <v>0.01</v>
      </c>
      <c r="I239" s="97">
        <f>$I14</f>
        <v>0.01</v>
      </c>
      <c r="J239" s="84">
        <f>$AM10</f>
        <v>0.03</v>
      </c>
      <c r="K239" s="84">
        <f>$AM11</f>
        <v>0.01</v>
      </c>
      <c r="L239" s="84">
        <f>$AM12</f>
        <v>0.01</v>
      </c>
      <c r="M239" s="84">
        <f>$AM14</f>
        <v>0.02</v>
      </c>
      <c r="N239" s="97">
        <f>$BR10</f>
        <v>0.03</v>
      </c>
      <c r="O239" s="97">
        <f>$BR11</f>
        <v>0.01</v>
      </c>
      <c r="P239" s="97">
        <f>$BR12</f>
        <v>0.01</v>
      </c>
      <c r="Q239" s="97">
        <f>$BR14</f>
        <v>0.02</v>
      </c>
      <c r="R239" s="97">
        <f>$CX10</f>
        <v>0.03</v>
      </c>
      <c r="S239" s="97">
        <f>$CX11</f>
        <v>0.01</v>
      </c>
      <c r="T239" s="97">
        <f>$CX12</f>
        <v>0.01</v>
      </c>
      <c r="U239" s="97">
        <f>$CX14</f>
        <v>0.02</v>
      </c>
      <c r="V239" s="87">
        <f>$EC10</f>
        <v>0.02</v>
      </c>
      <c r="W239" s="87">
        <f>$EC11</f>
        <v>0.01</v>
      </c>
      <c r="X239" s="87">
        <f>$EC12</f>
        <v>0.01</v>
      </c>
      <c r="Y239" s="87">
        <f>$EC14</f>
        <v>0.01</v>
      </c>
      <c r="Z239" s="87">
        <f>$FI10</f>
        <v>0.02</v>
      </c>
      <c r="AA239" s="87">
        <f>$FI11</f>
        <v>0.01</v>
      </c>
      <c r="AB239" s="87">
        <f>$FI12</f>
        <v>0</v>
      </c>
      <c r="AC239" s="87">
        <f>$FI14</f>
        <v>0.01</v>
      </c>
      <c r="AD239" s="422">
        <v>0.03</v>
      </c>
      <c r="AE239" s="423">
        <v>0.01</v>
      </c>
      <c r="AF239" s="426">
        <v>0.01</v>
      </c>
      <c r="AG239" s="426">
        <v>0.02</v>
      </c>
      <c r="AH239" s="641">
        <v>0.03</v>
      </c>
      <c r="AI239" s="642">
        <v>0.02</v>
      </c>
      <c r="AJ239" s="643">
        <v>0.01</v>
      </c>
      <c r="AK239" s="643">
        <v>0.02</v>
      </c>
    </row>
    <row r="277" spans="7:161" x14ac:dyDescent="0.25">
      <c r="G277" s="267"/>
      <c r="H277" s="853">
        <v>2016</v>
      </c>
      <c r="I277" s="853"/>
      <c r="J277" s="853"/>
      <c r="K277" s="853"/>
      <c r="L277" s="853">
        <v>2017</v>
      </c>
      <c r="M277" s="853"/>
      <c r="N277" s="853"/>
      <c r="O277" s="853"/>
      <c r="P277" s="853">
        <v>2018</v>
      </c>
      <c r="Q277" s="853"/>
      <c r="R277" s="853"/>
      <c r="S277" s="853"/>
      <c r="T277" s="853">
        <v>2019</v>
      </c>
      <c r="U277" s="853"/>
      <c r="V277" s="853"/>
      <c r="W277" s="853"/>
      <c r="X277" s="853">
        <v>2020</v>
      </c>
      <c r="Y277" s="853"/>
      <c r="Z277" s="853"/>
      <c r="AA277" s="853"/>
      <c r="AB277" s="853">
        <v>2021</v>
      </c>
      <c r="AC277" s="853"/>
      <c r="AD277" s="853"/>
      <c r="AE277" s="853"/>
    </row>
    <row r="278" spans="7:161" x14ac:dyDescent="0.25">
      <c r="G278" s="267"/>
      <c r="H278" s="267">
        <v>1</v>
      </c>
      <c r="I278" s="267">
        <v>2</v>
      </c>
      <c r="J278" s="267">
        <v>3</v>
      </c>
      <c r="K278" s="267">
        <v>4</v>
      </c>
      <c r="L278" s="267">
        <v>1</v>
      </c>
      <c r="M278" s="267">
        <v>2</v>
      </c>
      <c r="N278" s="267">
        <v>3</v>
      </c>
      <c r="O278" s="267">
        <v>4</v>
      </c>
      <c r="P278" s="267">
        <v>1</v>
      </c>
      <c r="Q278" s="267">
        <v>2</v>
      </c>
      <c r="R278" s="267">
        <v>3</v>
      </c>
      <c r="S278" s="267">
        <v>4</v>
      </c>
      <c r="T278" s="267">
        <v>1</v>
      </c>
      <c r="U278" s="267">
        <v>2</v>
      </c>
      <c r="V278" s="267">
        <v>3</v>
      </c>
      <c r="W278" s="267">
        <v>4</v>
      </c>
      <c r="X278" s="267">
        <v>1</v>
      </c>
      <c r="Y278" s="267">
        <v>2</v>
      </c>
      <c r="Z278" s="267">
        <v>3</v>
      </c>
      <c r="AA278" s="267">
        <v>4</v>
      </c>
      <c r="AB278" s="434">
        <v>1</v>
      </c>
      <c r="AC278" s="434">
        <v>2</v>
      </c>
      <c r="AD278" s="434">
        <v>3</v>
      </c>
      <c r="AE278" s="434">
        <v>4</v>
      </c>
    </row>
    <row r="279" spans="7:161" x14ac:dyDescent="0.25">
      <c r="G279" s="39" t="s">
        <v>246</v>
      </c>
      <c r="H279" s="65">
        <f>AVERAGEIF($C$36:$C$167,"=1",$F$36:$F$167)</f>
        <v>5.1764705882352963E-2</v>
      </c>
      <c r="I279" s="65">
        <f>AVERAGEIF($C$36:$C$167,"=1",$G$36:$G$167)</f>
        <v>0.59176470588235297</v>
      </c>
      <c r="J279" s="65">
        <f>AVERAGEIF($C$36:$C$167,"=1",$H$36:$H$167)</f>
        <v>0.35235294117647054</v>
      </c>
      <c r="K279" s="65">
        <f>AVERAGEIF($C$36:$C$167,"=1",$I$36:$I$167)</f>
        <v>3.529411764705882E-3</v>
      </c>
      <c r="L279" s="65">
        <f>AVERAGEIF($C$36:$C$167,"=1",$AJ$36:$AJ$167)</f>
        <v>6.5000000000000016E-2</v>
      </c>
      <c r="M279" s="65">
        <f>AVERAGEIF($C$36:$C$167,"=1",$AK$36:$AK$167)</f>
        <v>0.55312500000000009</v>
      </c>
      <c r="N279" s="65">
        <f>AVERAGEIF($C$36:$C$167,"=1",$AL$36:$AL$167)</f>
        <v>0.375</v>
      </c>
      <c r="O279" s="65">
        <f>AVERAGEIF($C$36:$C$167,"=1",$AM$36:$AM$167)</f>
        <v>6.875E-3</v>
      </c>
      <c r="P279" s="65">
        <f>AVERAGEIF($C$36:$C$167,"=1",$BO$36:$BO$167)</f>
        <v>9.8235294117647087E-2</v>
      </c>
      <c r="Q279" s="65">
        <f>AVERAGEIF($C$36:$C$167,"=1",$BP$36:$BP$167)</f>
        <v>0.61823529411764711</v>
      </c>
      <c r="R279" s="65">
        <f>AVERAGEIF($C$36:$C$167,"=1",$BQ$36:$BQ$167)</f>
        <v>0.27705882352941175</v>
      </c>
      <c r="S279" s="65">
        <f>AVERAGEIF($C$36:$C$167,"=1",$BR$36:$BR$167)</f>
        <v>8.2352941176470577E-3</v>
      </c>
      <c r="T279" s="65">
        <f>AVERAGEIF($C$36:$C$167,"=1",$CU$36:$CU$167)</f>
        <v>0.15117647058823527</v>
      </c>
      <c r="U279" s="65">
        <f>AVERAGEIF($C$36:$C$167,"=1",$CV$36:$CV$167)</f>
        <v>0.61882352941176466</v>
      </c>
      <c r="V279" s="65">
        <f>AVERAGEIF($C$36:$C$167,"=1",$CW$36:$CW$167)</f>
        <v>0.2205882352941177</v>
      </c>
      <c r="W279" s="65">
        <f>AVERAGEIF($C$36:$C$167,"=1",$CX$36:$CX$167)</f>
        <v>9.9999999999999985E-3</v>
      </c>
      <c r="X279" s="65">
        <f>AVERAGEIF($C$36:$C$167,"=1",$DZ$36:$DZ$167)</f>
        <v>0.15411764705882353</v>
      </c>
      <c r="Y279" s="65">
        <f>AVERAGEIF($C$36:$C$167,"=1",$EA$36:$EA$167)</f>
        <v>0.5776470588235294</v>
      </c>
      <c r="Z279" s="65">
        <f>AVERAGEIF($C$36:$C$167,"=1",$EB$36:$EB$167)</f>
        <v>0.26352941176470585</v>
      </c>
      <c r="AA279" s="65">
        <f>AVERAGEIF($C$36:$C$167,"=1",$EC$36:$EC$167)</f>
        <v>5.8823529411764705E-3</v>
      </c>
      <c r="AB279" s="65">
        <f>AVERAGEIF($C$36:$C$167,"=1",$FF$36:$FF$167)</f>
        <v>0.13058823529411764</v>
      </c>
      <c r="AC279" s="65">
        <f>AVERAGEIF($C$36:$C$167,"=1",$FG$36:$FG$167)</f>
        <v>0.621764705882353</v>
      </c>
      <c r="AD279" s="65">
        <f>AVERAGEIF($C$36:$C$167,"=1",$FH$36:$FH$167)</f>
        <v>0.24176470588235291</v>
      </c>
      <c r="AE279" s="65">
        <f>AVERAGEIF($C$36:$C$167,"=1",$FI$36:$FI$167)</f>
        <v>7.6470588235294122E-3</v>
      </c>
    </row>
    <row r="280" spans="7:161" x14ac:dyDescent="0.25">
      <c r="G280" s="39" t="s">
        <v>247</v>
      </c>
      <c r="H280" s="65">
        <f>AVERAGEIF($C$36:$C$167,"=2",$F$36:$F$167)</f>
        <v>4.4999999999999998E-2</v>
      </c>
      <c r="I280" s="65">
        <f>AVERAGEIF($C$36:$C$167,"=2",$G$36:$G$167)</f>
        <v>0.50250000000000006</v>
      </c>
      <c r="J280" s="65">
        <f>AVERAGEIF($C$36:$C$167,"=2",$H$36:$H$167)</f>
        <v>0.44749999999999995</v>
      </c>
      <c r="K280" s="65">
        <f>AVERAGEIF($C$36:$C$167,"=2",$I$36:$I$167)</f>
        <v>7.000000000000001E-3</v>
      </c>
      <c r="L280" s="65">
        <f>AVERAGEIF($C$36:$C$167,"=2",$AJ$36:$AJ$167)</f>
        <v>8.473684210526318E-2</v>
      </c>
      <c r="M280" s="65">
        <f>AVERAGEIF($C$36:$C$167,"=2",$AK$36:$AK$167)</f>
        <v>0.4905263157894737</v>
      </c>
      <c r="N280" s="65">
        <f>AVERAGEIF($C$36:$C$167,"=2",$AL$36:$AL$167)</f>
        <v>0.41315789473684211</v>
      </c>
      <c r="O280" s="65">
        <f>AVERAGEIF($C$36:$C$167,"=2",$AM$36:$AM$167)</f>
        <v>1.1578947368421053E-2</v>
      </c>
      <c r="P280" s="65">
        <f>AVERAGEIF($C$36:$C$167,"=2",$BO$36:$BO$167)</f>
        <v>0.10473684210526317</v>
      </c>
      <c r="Q280" s="65">
        <f>AVERAGEIF($C$36:$C$167,"=2",$BP$36:$BP$167)</f>
        <v>0.55947368421052635</v>
      </c>
      <c r="R280" s="65">
        <f>AVERAGEIF($C$36:$C$167,"=2",$BQ$36:$BQ$167)</f>
        <v>0.3152631578947368</v>
      </c>
      <c r="S280" s="65">
        <f>AVERAGEIF($C$36:$C$167,"=2",$BR$36:$BR$167)</f>
        <v>1.9473684210526317E-2</v>
      </c>
      <c r="T280" s="65">
        <f>AVERAGEIF($C$36:$C$167,"=2",$CU$36:$CU$167)</f>
        <v>0.13300000000000003</v>
      </c>
      <c r="U280" s="65">
        <f>AVERAGEIF($C$36:$C$167,"=2",$CV$36:$CV$167)</f>
        <v>0.55199999999999982</v>
      </c>
      <c r="V280" s="65">
        <f>AVERAGEIF($C$36:$C$167,"=2",$CW$36:$CW$167)</f>
        <v>0.30299999999999999</v>
      </c>
      <c r="W280" s="65">
        <f>AVERAGEIF($C$36:$C$167,"=2",$CX$36:$CX$167)</f>
        <v>0.01</v>
      </c>
      <c r="X280" s="65">
        <f>AVERAGEIF($C$36:$C$167,"=2",$DZ$36:$DZ$167)</f>
        <v>0.20625000000000007</v>
      </c>
      <c r="Y280" s="65">
        <f>AVERAGEIF($C$36:$C$167,"=2",$EA$36:$EA$167)</f>
        <v>0.51833333333333331</v>
      </c>
      <c r="Z280" s="65">
        <f>AVERAGEIF($C$36:$C$167,"=2",$EB$36:$EB$167)</f>
        <v>0.26083333333333336</v>
      </c>
      <c r="AA280" s="65">
        <f>AVERAGEIF($C$36:$C$167,"=2",$EC$36:$EC$167)</f>
        <v>1.4166666666666668E-2</v>
      </c>
      <c r="AB280" s="65">
        <f>AVERAGEIF($C$36:$C$167,"=2",$FF$36:$FF$167)</f>
        <v>0.13272727272727269</v>
      </c>
      <c r="AC280" s="65">
        <f>AVERAGEIF($C$36:$C$167,"=2",$FG$36:$FG$167)</f>
        <v>0.58681818181818179</v>
      </c>
      <c r="AD280" s="65">
        <f>AVERAGEIF($C$36:$C$167,"=2",$FH$36:$FH$167)</f>
        <v>0.26954545454545459</v>
      </c>
      <c r="AE280" s="65">
        <f>AVERAGEIF($C$36:$C$167,"=2",$FI$36:$FI$167)</f>
        <v>1.1818181818181818E-2</v>
      </c>
    </row>
    <row r="281" spans="7:161" x14ac:dyDescent="0.25">
      <c r="G281" s="39" t="s">
        <v>248</v>
      </c>
      <c r="H281" s="65">
        <f>AVERAGEIF($C$36:$C$167,"=3",$F$36:$F$167)</f>
        <v>3.8333333333333344E-2</v>
      </c>
      <c r="I281" s="65">
        <f>AVERAGEIF($C$36:$C$167,"=3",$G$36:$G$167)</f>
        <v>0.51777777777777767</v>
      </c>
      <c r="J281" s="65">
        <f>AVERAGEIF($C$36:$C$167,"=3",$H$36:$H$167)</f>
        <v>0.43777777777777782</v>
      </c>
      <c r="K281" s="65">
        <f>AVERAGEIF($C$36:$C$167,"=3",$I$36:$I$167)</f>
        <v>6.6666666666666662E-3</v>
      </c>
      <c r="L281" s="65">
        <f>AVERAGEIF($C$36:$C$167,"=3",$AJ$36:$AJ$167)</f>
        <v>5.6315789473684215E-2</v>
      </c>
      <c r="M281" s="65">
        <f>AVERAGEIF($C$36:$C$167,"=3",$AK$36:$AK$167)</f>
        <v>0.55473684210526308</v>
      </c>
      <c r="N281" s="65">
        <f>AVERAGEIF($C$36:$C$167,"=3",$AL$36:$AL$167)</f>
        <v>0.37421052631578955</v>
      </c>
      <c r="O281" s="65">
        <f>AVERAGEIF($C$36:$C$167,"=3",$AM$36:$AM$167)</f>
        <v>1.368421052631579E-2</v>
      </c>
      <c r="P281" s="65">
        <f>AVERAGEIF($C$36:$C$167,"=3",$BO$36:$BO$167)</f>
        <v>9.684210526315791E-2</v>
      </c>
      <c r="Q281" s="65">
        <f>AVERAGEIF($C$36:$C$167,"=3",$BP$36:$BP$167)</f>
        <v>0.52263157894736845</v>
      </c>
      <c r="R281" s="65">
        <f>AVERAGEIF($C$36:$C$167,"=3",$BQ$36:$BQ$167)</f>
        <v>0.36842105263157893</v>
      </c>
      <c r="S281" s="65">
        <f>AVERAGEIF($C$36:$C$167,"=3",$BR$36:$BR$167)</f>
        <v>1.2105263157894739E-2</v>
      </c>
      <c r="T281" s="65">
        <f>AVERAGEIF($C$36:$C$167,"=3",$CU$36:$CU$167)</f>
        <v>0.10789473684210525</v>
      </c>
      <c r="U281" s="65">
        <f>AVERAGEIF($C$36:$C$167,"=3",$CV$36:$CV$167)</f>
        <v>0.62157894736842101</v>
      </c>
      <c r="V281" s="65">
        <f>AVERAGEIF($C$36:$C$167,"=3",$CW$36:$CW$167)</f>
        <v>0.26736842105263159</v>
      </c>
      <c r="W281" s="65">
        <f>AVERAGEIF($C$36:$C$167,"=3",$CX$36:$CX$167)</f>
        <v>3.684210526315789E-3</v>
      </c>
      <c r="X281" s="65">
        <f>AVERAGEIF($C$36:$C$167,"=3",$DZ$36:$DZ$167)</f>
        <v>0.14500000000000002</v>
      </c>
      <c r="Y281" s="65">
        <f>AVERAGEIF($C$36:$C$167,"=3",$EA$36:$EA$167)</f>
        <v>0.53349999999999997</v>
      </c>
      <c r="Z281" s="65">
        <f>AVERAGEIF($C$36:$C$167,"=3",$EB$36:$EB$167)</f>
        <v>0.3155</v>
      </c>
      <c r="AA281" s="65">
        <f>AVERAGEIF($C$36:$C$167,"=3",$EC$36:$EC$167)</f>
        <v>8.0000000000000002E-3</v>
      </c>
      <c r="AB281" s="65">
        <f>AVERAGEIF($C$36:$C$167,"=3",$FF$36:$FF$167)</f>
        <v>9.9000000000000005E-2</v>
      </c>
      <c r="AC281" s="65">
        <f>AVERAGEIF($C$36:$C$167,"=3",$FG$36:$FG$167)</f>
        <v>0.60099999999999998</v>
      </c>
      <c r="AD281" s="65">
        <f>AVERAGEIF($C$36:$C$167,"=3",$FH$36:$FH$167)</f>
        <v>0.28900000000000003</v>
      </c>
      <c r="AE281" s="65">
        <f>AVERAGEIF($C$36:$C$167,"=3",$FI$36:$FI$167)</f>
        <v>1.0000000000000002E-2</v>
      </c>
    </row>
    <row r="282" spans="7:161" x14ac:dyDescent="0.25">
      <c r="G282" s="39" t="s">
        <v>249</v>
      </c>
      <c r="H282" s="65">
        <f>AVERAGEIF($C$36:$C$167,"=4",$F$36:$F$167)</f>
        <v>0.1207142857142857</v>
      </c>
      <c r="I282" s="65">
        <f t="shared" ref="I282:I284" si="170">AVERAGEIF($C$36:$C$167,"=1",$G$36:$G$167)</f>
        <v>0.59176470588235297</v>
      </c>
      <c r="J282" s="65">
        <f>AVERAGEIF($C$36:$C$167,"=4",$H$36:$H$167)</f>
        <v>0.28214285714285714</v>
      </c>
      <c r="K282" s="65">
        <f>AVERAGEIF($C$36:$C$167,"=4",$I$36:$I$167)</f>
        <v>1.4285714285714286E-3</v>
      </c>
      <c r="L282" s="65">
        <f>AVERAGEIF($C$36:$C$167,"=4",$AJ$36:$AJ$167)</f>
        <v>0.114</v>
      </c>
      <c r="M282" s="65">
        <f>AVERAGEIF($C$36:$C$167,"=4",$AK$36:$AK$167)</f>
        <v>0.55266666666666664</v>
      </c>
      <c r="N282" s="65">
        <f>AVERAGEIF($C$36:$C$167,"=4",$AL$36:$AL$167)</f>
        <v>0.32866666666666672</v>
      </c>
      <c r="O282" s="65">
        <f>AVERAGEIF($C$36:$C$167,"=4",$AM$36:$AM$167)</f>
        <v>6.000000000000001E-3</v>
      </c>
      <c r="P282" s="65">
        <f>AVERAGEIF($C$36:$C$167,"=4",$BO$36:$BO$167)</f>
        <v>0.17666666666666667</v>
      </c>
      <c r="Q282" s="65">
        <f>AVERAGEIF($C$36:$C$167,"=4",$BP$36:$BP$167)</f>
        <v>0.57533333333333325</v>
      </c>
      <c r="R282" s="65">
        <f>AVERAGEIF($C$36:$C$167,"=4",$BQ$36:$BQ$167)</f>
        <v>0.24800000000000003</v>
      </c>
      <c r="S282" s="65">
        <f>AVERAGEIF($C$36:$C$167,"=4",$BR$36:$BR$167)</f>
        <v>2E-3</v>
      </c>
      <c r="T282" s="65">
        <f>AVERAGEIF($C$36:$C$167,"=4",$CU$36:$CU$167)</f>
        <v>0.19285714285714287</v>
      </c>
      <c r="U282" s="65">
        <f>AVERAGEIF($C$36:$C$167,"=4",$CV$36:$CV$167)</f>
        <v>0.63642857142857145</v>
      </c>
      <c r="V282" s="65">
        <f>AVERAGEIF($C$36:$C$167,"=4",$CW$36:$CW$167)</f>
        <v>0.16928571428571429</v>
      </c>
      <c r="W282" s="65">
        <f>AVERAGEIF($C$36:$C$167,"=4",$CX$36:$CX$167)</f>
        <v>2.142857142857143E-3</v>
      </c>
      <c r="X282" s="65">
        <f>AVERAGEIF($C$36:$C$167,"=4",$DZ$36:$DZ$167)</f>
        <v>0.23846153846153847</v>
      </c>
      <c r="Y282" s="65">
        <f>AVERAGEIF($C$36:$C$167,"=4",$EA$36:$EA$167)</f>
        <v>0.57000000000000006</v>
      </c>
      <c r="Z282" s="65">
        <f>AVERAGEIF($C$36:$C$167,"=4",$EB$36:$EB$167)</f>
        <v>0.18923076923076923</v>
      </c>
      <c r="AA282" s="65">
        <f>AVERAGEIF($C$36:$C$167,"=4",$EC$36:$EC$167)</f>
        <v>2.3076923076923075E-3</v>
      </c>
      <c r="AB282" s="65">
        <f>AVERAGEIF($C$36:$C$167,"=4",$FF$36:$FF$167)</f>
        <v>0.19714285714285712</v>
      </c>
      <c r="AC282" s="65">
        <f>AVERAGEIF($C$36:$C$167,"=4",$FG$36:$FG$167)</f>
        <v>0.64071428571428579</v>
      </c>
      <c r="AD282" s="65">
        <f>AVERAGEIF($C$36:$C$167,"=4",$FH$36:$FH$167)</f>
        <v>0.16</v>
      </c>
      <c r="AE282" s="65">
        <f>AVERAGEIF($C$36:$C$167,"=4",$FI$36:$FI$167)</f>
        <v>2.142857142857143E-3</v>
      </c>
    </row>
    <row r="283" spans="7:161" x14ac:dyDescent="0.25">
      <c r="G283" s="39" t="s">
        <v>250</v>
      </c>
      <c r="H283" s="65">
        <f>AVERAGEIF($C$36:$C$167,"=5",$F$36:$F$167)</f>
        <v>1.8235294117647058E-2</v>
      </c>
      <c r="I283" s="65">
        <f t="shared" si="170"/>
        <v>0.59176470588235297</v>
      </c>
      <c r="J283" s="65">
        <f>AVERAGEIF($C$36:$C$167,"=5",$H$36:$H$167)</f>
        <v>0.50117647058823522</v>
      </c>
      <c r="K283" s="65">
        <f>AVERAGEIF($C$36:$C$167,"=5",$I$36:$I$167)</f>
        <v>1.4705882352941176E-2</v>
      </c>
      <c r="L283" s="65">
        <f>AVERAGEIF($C$36:$C$167,"=5",$AJ$36:$AJ$167)</f>
        <v>6.2941176470588237E-2</v>
      </c>
      <c r="M283" s="65">
        <f>AVERAGEIF($C$36:$C$167,"=5",$AK$36:$AK$167)</f>
        <v>0.43588235294117644</v>
      </c>
      <c r="N283" s="65">
        <f>AVERAGEIF($C$36:$C$167,"=5",$AL$36:$AL$167)</f>
        <v>0.49176470588235288</v>
      </c>
      <c r="O283" s="65">
        <f>AVERAGEIF($C$36:$C$167,"=5",$AM$36:$AM$167)</f>
        <v>0.01</v>
      </c>
      <c r="P283" s="65">
        <f>AVERAGEIF($C$36:$C$167,"=5",$BO$36:$BO$167)</f>
        <v>6.8333333333333343E-2</v>
      </c>
      <c r="Q283" s="65">
        <f>AVERAGEIF($C$36:$C$167,"=5",$BP$36:$BP$167)</f>
        <v>0.54222222222222216</v>
      </c>
      <c r="R283" s="65">
        <f>AVERAGEIF($C$36:$C$167,"=5",$BQ$36:$BQ$167)</f>
        <v>0.36666666666666664</v>
      </c>
      <c r="S283" s="65">
        <f>AVERAGEIF($C$36:$C$167,"=5",$BR$36:$BR$167)</f>
        <v>2.388888888888889E-2</v>
      </c>
      <c r="T283" s="65">
        <f>AVERAGEIF($C$36:$C$167,"=5",$CU$36:$CU$167)</f>
        <v>0.10210526315789475</v>
      </c>
      <c r="U283" s="65">
        <f>AVERAGEIF($C$36:$C$167,"=5",$CV$36:$CV$167)</f>
        <v>0.526842105263158</v>
      </c>
      <c r="V283" s="65">
        <f>AVERAGEIF($C$36:$C$167,"=5",$CW$36:$CW$167)</f>
        <v>0.34894736842105267</v>
      </c>
      <c r="W283" s="65">
        <f>AVERAGEIF($C$36:$C$167,"=5",$CX$36:$CX$167)</f>
        <v>2.3684210526315787E-2</v>
      </c>
      <c r="X283" s="65">
        <f>AVERAGEIF($C$36:$C$167,"=5",$DZ$36:$DZ$167)</f>
        <v>8.8333333333333347E-2</v>
      </c>
      <c r="Y283" s="65">
        <f>AVERAGEIF($C$36:$C$167,"=5",$EA$36:$EA$167)</f>
        <v>0.50388888888888883</v>
      </c>
      <c r="Z283" s="65">
        <f>AVERAGEIF($C$36:$C$167,"=5",$EB$36:$EB$167)</f>
        <v>0.40055555555555561</v>
      </c>
      <c r="AA283" s="65">
        <f>AVERAGEIF($C$36:$C$167,"=5",$EC$36:$EC$167)</f>
        <v>8.3333333333333332E-3</v>
      </c>
      <c r="AB283" s="65">
        <f>AVERAGEIF($C$36:$C$167,"=5",$FF$36:$FF$167)</f>
        <v>8.111111111111112E-2</v>
      </c>
      <c r="AC283" s="65">
        <f>AVERAGEIF($C$36:$C$167,"=5",$FG$36:$FG$167)</f>
        <v>0.56222222222222207</v>
      </c>
      <c r="AD283" s="65">
        <f>AVERAGEIF($C$36:$C$167,"=5",$FH$36:$FH$167)</f>
        <v>0.34944444444444445</v>
      </c>
      <c r="AE283" s="65">
        <f>AVERAGEIF($C$36:$C$167,"=5",$FI$36:$FI$167)</f>
        <v>1.0555555555555556E-2</v>
      </c>
    </row>
    <row r="284" spans="7:161" x14ac:dyDescent="0.25">
      <c r="G284" s="39" t="s">
        <v>251</v>
      </c>
      <c r="H284" s="65">
        <f>AVERAGEIF($C$36:$C$167,"=6",$F$36:$F$167)</f>
        <v>1.6666666666666666E-2</v>
      </c>
      <c r="I284" s="65">
        <f t="shared" si="170"/>
        <v>0.59176470588235297</v>
      </c>
      <c r="J284" s="65">
        <f>AVERAGEIF($C$36:$C$167,"=6",$H$36:$H$167)</f>
        <v>0.45466666666666661</v>
      </c>
      <c r="K284" s="65">
        <f>AVERAGEIF($C$36:$C$167,"=6",$I$36:$I$167)</f>
        <v>3.3333333333333335E-3</v>
      </c>
      <c r="L284" s="65">
        <f>AVERAGEIF($C$36:$C$167,"=6",$AJ$36:$AJ$167)</f>
        <v>0.10733333333333334</v>
      </c>
      <c r="M284" s="65">
        <f>AVERAGEIF($C$36:$C$167,"=6",$AK$36:$AK$167)</f>
        <v>0.52999999999999992</v>
      </c>
      <c r="N284" s="65">
        <f>AVERAGEIF($C$36:$C$167,"=6",$AL$36:$AL$167)</f>
        <v>0.35399999999999998</v>
      </c>
      <c r="O284" s="65">
        <f>AVERAGEIF($C$36:$C$167,"=6",$AM$36:$AM$167)</f>
        <v>9.3333333333333341E-3</v>
      </c>
      <c r="P284" s="65">
        <f>AVERAGEIF($C$36:$C$167,"=6",$BO$36:$BO$167)</f>
        <v>9.2142857142857151E-2</v>
      </c>
      <c r="Q284" s="65">
        <f>AVERAGEIF($C$36:$C$167,"=6",$BP$36:$BP$167)</f>
        <v>0.61142857142857143</v>
      </c>
      <c r="R284" s="65">
        <f>AVERAGEIF($C$36:$C$167,"=6",$BQ$36:$BQ$167)</f>
        <v>0.29214285714285715</v>
      </c>
      <c r="S284" s="65">
        <f>AVERAGEIF($C$36:$C$167,"=6",$BR$36:$BR$167)</f>
        <v>6.4285714285714285E-3</v>
      </c>
      <c r="T284" s="65">
        <f>AVERAGEIF($C$36:$C$167,"=6",$CU$36:$CU$167)</f>
        <v>0.12066666666666669</v>
      </c>
      <c r="U284" s="65">
        <f>AVERAGEIF($C$36:$C$167,"=6",$CV$36:$CV$167)</f>
        <v>0.6293333333333333</v>
      </c>
      <c r="V284" s="65">
        <f>AVERAGEIF($C$36:$C$167,"=6",$CW$36:$CW$167)</f>
        <v>0.22800000000000001</v>
      </c>
      <c r="W284" s="65">
        <f>AVERAGEIF($C$36:$C$167,"=6",$CX$36:$CX$167)</f>
        <v>2.4E-2</v>
      </c>
      <c r="X284" s="65">
        <f>AVERAGEIF($C$36:$C$167,"=6",$DZ$36:$DZ$167)</f>
        <v>0.15999999999999998</v>
      </c>
      <c r="Y284" s="65">
        <f>AVERAGEIF($C$36:$C$167,"=6",$EA$36:$EA$167)</f>
        <v>0.58411764705882352</v>
      </c>
      <c r="Z284" s="65">
        <f>AVERAGEIF($C$36:$C$167,"=6",$EB$36:$EB$167)</f>
        <v>0.25294117647058817</v>
      </c>
      <c r="AA284" s="65">
        <f>AVERAGEIF($C$36:$C$167,"=6",$EC$36:$EC$167)</f>
        <v>4.1176470588235288E-3</v>
      </c>
      <c r="AB284" s="65">
        <f>AVERAGEIF($C$36:$C$167,"=6",$FF$36:$FF$167)</f>
        <v>0.17705882352941174</v>
      </c>
      <c r="AC284" s="65">
        <f>AVERAGEIF($C$36:$C$167,"=6",$FG$36:$FG$167)</f>
        <v>0.58647058823529419</v>
      </c>
      <c r="AD284" s="65">
        <f>AVERAGEIF($C$36:$C$167,"=6",$FH$36:$FH$167)</f>
        <v>0.22882352941176468</v>
      </c>
      <c r="AE284" s="65">
        <f>AVERAGEIF($C$36:$C$167,"=6",$FI$36:$FI$167)</f>
        <v>8.2352941176470594E-3</v>
      </c>
    </row>
    <row r="287" spans="7:161" x14ac:dyDescent="0.25">
      <c r="M287" s="138"/>
      <c r="N287" s="138"/>
      <c r="O287" s="138"/>
      <c r="P287" s="138"/>
      <c r="Q287" s="138"/>
      <c r="R287" s="138"/>
      <c r="S287" s="138"/>
      <c r="T287" s="138"/>
      <c r="U287" s="138"/>
      <c r="V287" s="138"/>
      <c r="W287" s="138"/>
      <c r="X287" s="138"/>
      <c r="Y287" s="138"/>
      <c r="Z287" s="138"/>
      <c r="AA287" s="138"/>
      <c r="AB287" s="138"/>
      <c r="AC287" s="138"/>
      <c r="AD287" s="138"/>
      <c r="AE287" s="138"/>
      <c r="AF287" s="138"/>
      <c r="AG287" s="138"/>
      <c r="AH287" s="138"/>
      <c r="AI287" s="138"/>
      <c r="AJ287" s="138"/>
      <c r="AK287" s="138"/>
      <c r="AL287" s="138"/>
      <c r="AM287" s="138"/>
      <c r="AN287" s="138"/>
      <c r="AO287" s="138"/>
      <c r="AP287" s="138"/>
      <c r="AQ287" s="138"/>
      <c r="AR287" s="138"/>
      <c r="AS287" s="138"/>
      <c r="AT287" s="138"/>
      <c r="AU287" s="138"/>
      <c r="AV287" s="138"/>
      <c r="AW287" s="138"/>
      <c r="AX287" s="138"/>
      <c r="AY287" s="138"/>
      <c r="AZ287" s="138"/>
      <c r="BA287" s="138"/>
      <c r="BB287" s="138"/>
      <c r="BC287" s="138"/>
      <c r="BD287" s="138"/>
      <c r="BE287" s="138"/>
      <c r="BF287" s="138"/>
      <c r="BG287" s="138"/>
      <c r="BH287" s="138"/>
      <c r="BI287" s="138"/>
      <c r="BJ287" s="138"/>
      <c r="BK287" s="138"/>
      <c r="BL287" s="138"/>
      <c r="BM287" s="138"/>
      <c r="BN287" s="138"/>
      <c r="BO287" s="138"/>
      <c r="BP287" s="138"/>
      <c r="BQ287" s="138"/>
      <c r="BR287" s="138"/>
      <c r="BS287" s="138"/>
      <c r="BT287" s="138"/>
      <c r="BU287" s="138"/>
      <c r="BV287" s="138"/>
      <c r="BW287" s="138"/>
      <c r="BX287" s="138"/>
      <c r="BY287" s="138"/>
      <c r="BZ287" s="138"/>
      <c r="CA287" s="138"/>
      <c r="CB287" s="138"/>
      <c r="CC287" s="138"/>
      <c r="CD287" s="138"/>
      <c r="CE287" s="138"/>
      <c r="CF287" s="138"/>
      <c r="CG287" s="138"/>
      <c r="CH287" s="138"/>
      <c r="CI287" s="138"/>
      <c r="CJ287" s="138"/>
      <c r="CK287" s="138"/>
      <c r="CL287" s="138"/>
      <c r="CM287" s="138"/>
      <c r="CN287" s="138"/>
      <c r="CO287" s="138"/>
      <c r="CP287" s="138"/>
      <c r="CQ287" s="138"/>
      <c r="CR287" s="138"/>
      <c r="CS287" s="138"/>
      <c r="CT287" s="138"/>
      <c r="CU287" s="138"/>
      <c r="CV287" s="138"/>
      <c r="CW287" s="138"/>
      <c r="CX287" s="138"/>
      <c r="CY287" s="138"/>
      <c r="CZ287" s="138"/>
      <c r="DA287" s="138"/>
      <c r="DB287" s="138"/>
      <c r="DC287" s="138"/>
      <c r="DD287" s="138"/>
      <c r="DE287" s="138"/>
      <c r="DF287" s="138"/>
      <c r="DG287" s="138"/>
      <c r="DH287" s="138"/>
      <c r="DI287" s="138"/>
      <c r="DJ287" s="138"/>
      <c r="DK287" s="138"/>
      <c r="DL287" s="138"/>
      <c r="DM287" s="138"/>
      <c r="DN287" s="138"/>
      <c r="DO287" s="138"/>
      <c r="DP287" s="138"/>
      <c r="DQ287" s="138"/>
      <c r="DR287" s="138"/>
      <c r="DS287" s="138"/>
      <c r="DT287" s="138"/>
      <c r="DU287" s="138"/>
      <c r="DV287" s="138"/>
      <c r="DW287" s="138"/>
      <c r="DX287" s="138"/>
      <c r="DY287" s="138"/>
      <c r="DZ287" s="138"/>
      <c r="EA287" s="138"/>
      <c r="EB287" s="138"/>
      <c r="EC287" s="138"/>
      <c r="ED287" s="138"/>
      <c r="EE287" s="138"/>
      <c r="EF287" s="138"/>
      <c r="EG287" s="138"/>
      <c r="EH287" s="138"/>
      <c r="EI287" s="138"/>
      <c r="EJ287" s="138"/>
      <c r="EK287" s="138"/>
      <c r="EL287" s="138"/>
      <c r="EM287" s="138"/>
      <c r="EN287" s="138"/>
      <c r="EO287" s="138"/>
      <c r="EP287" s="138"/>
      <c r="EQ287" s="138"/>
      <c r="ER287" s="138"/>
      <c r="ES287" s="138"/>
      <c r="ET287" s="138"/>
      <c r="EU287" s="138"/>
      <c r="EV287" s="138"/>
      <c r="EW287" s="138"/>
      <c r="EX287" s="138"/>
      <c r="EY287" s="138"/>
      <c r="EZ287" s="138"/>
      <c r="FA287" s="138"/>
      <c r="FB287" s="138"/>
      <c r="FC287" s="138"/>
      <c r="FD287" s="138"/>
      <c r="FE287" s="138"/>
    </row>
  </sheetData>
  <sheetProtection algorithmName="SHA-512" hashValue="Nbt7SDJmJsecfhGzjq8SPmjx3j7A+9obHYqrqC2jeh712iMuth8K4VlpUytFMACR6ldJxlJHL/rvi8S0q/t1Vw==" saltValue="6qdsUj8FhJHIFhACszK+5A==" spinCount="100000" sheet="1" objects="1" scenarios="1"/>
  <sortState ref="A37:CT167">
    <sortCondition ref="A37:A167"/>
  </sortState>
  <mergeCells count="95">
    <mergeCell ref="GJ6:HQ6"/>
    <mergeCell ref="GJ7:GJ8"/>
    <mergeCell ref="GL7:GL8"/>
    <mergeCell ref="GN7:GQ7"/>
    <mergeCell ref="GR7:HQ7"/>
    <mergeCell ref="AB277:AE277"/>
    <mergeCell ref="FB7:FB8"/>
    <mergeCell ref="FD7:FD8"/>
    <mergeCell ref="FJ7:GI7"/>
    <mergeCell ref="FF7:FI7"/>
    <mergeCell ref="CY7:DW7"/>
    <mergeCell ref="AD234:AG234"/>
    <mergeCell ref="AD184:AG184"/>
    <mergeCell ref="AD185:AE185"/>
    <mergeCell ref="AF185:AG185"/>
    <mergeCell ref="AH184:AK184"/>
    <mergeCell ref="AH185:AI185"/>
    <mergeCell ref="AJ185:AK185"/>
    <mergeCell ref="AH234:AK234"/>
    <mergeCell ref="FB6:GI6"/>
    <mergeCell ref="U197:Z197"/>
    <mergeCell ref="E197:J197"/>
    <mergeCell ref="D7:D8"/>
    <mergeCell ref="AN7:BL7"/>
    <mergeCell ref="BM6:CR6"/>
    <mergeCell ref="CS7:CS8"/>
    <mergeCell ref="CS6:DW6"/>
    <mergeCell ref="BO7:BR7"/>
    <mergeCell ref="AI7:AI8"/>
    <mergeCell ref="BS7:CR7"/>
    <mergeCell ref="Z184:AC184"/>
    <mergeCell ref="AB185:AC185"/>
    <mergeCell ref="DX6:FA6"/>
    <mergeCell ref="DY7:DY8"/>
    <mergeCell ref="CU7:CX7"/>
    <mergeCell ref="P277:S277"/>
    <mergeCell ref="T277:W277"/>
    <mergeCell ref="X277:AA277"/>
    <mergeCell ref="F185:G185"/>
    <mergeCell ref="H185:I185"/>
    <mergeCell ref="J185:K185"/>
    <mergeCell ref="H277:K277"/>
    <mergeCell ref="L277:O277"/>
    <mergeCell ref="E233:Y233"/>
    <mergeCell ref="F234:I234"/>
    <mergeCell ref="J234:M234"/>
    <mergeCell ref="N234:Q234"/>
    <mergeCell ref="R234:U234"/>
    <mergeCell ref="V234:Y234"/>
    <mergeCell ref="Z185:AA185"/>
    <mergeCell ref="Z234:AC234"/>
    <mergeCell ref="A1:AI1"/>
    <mergeCell ref="A2:AI2"/>
    <mergeCell ref="A3:AI3"/>
    <mergeCell ref="D6:AG6"/>
    <mergeCell ref="AH6:BL6"/>
    <mergeCell ref="C6:C8"/>
    <mergeCell ref="B6:B8"/>
    <mergeCell ref="A6:A8"/>
    <mergeCell ref="F7:I7"/>
    <mergeCell ref="J7:AG7"/>
    <mergeCell ref="J173:K173"/>
    <mergeCell ref="F184:I184"/>
    <mergeCell ref="J184:M184"/>
    <mergeCell ref="CT7:CT8"/>
    <mergeCell ref="DX7:DX8"/>
    <mergeCell ref="CS184:DY184"/>
    <mergeCell ref="N184:Q184"/>
    <mergeCell ref="R184:U184"/>
    <mergeCell ref="N173:O173"/>
    <mergeCell ref="V184:Y184"/>
    <mergeCell ref="P173:Q173"/>
    <mergeCell ref="R173:S173"/>
    <mergeCell ref="T173:U173"/>
    <mergeCell ref="E173:E174"/>
    <mergeCell ref="L173:M173"/>
    <mergeCell ref="AJ7:AM7"/>
    <mergeCell ref="L185:M185"/>
    <mergeCell ref="N185:O185"/>
    <mergeCell ref="P185:Q185"/>
    <mergeCell ref="E172:O172"/>
    <mergeCell ref="W172:AB172"/>
    <mergeCell ref="AH7:AH8"/>
    <mergeCell ref="R185:S185"/>
    <mergeCell ref="X185:Y185"/>
    <mergeCell ref="V185:W185"/>
    <mergeCell ref="T185:U185"/>
    <mergeCell ref="E7:E8"/>
    <mergeCell ref="F173:G173"/>
    <mergeCell ref="H173:I173"/>
    <mergeCell ref="HR6:IY6"/>
    <mergeCell ref="HR7:HR8"/>
    <mergeCell ref="HT7:HT8"/>
    <mergeCell ref="HV7:HY7"/>
    <mergeCell ref="HZ7:IY7"/>
  </mergeCells>
  <pageMargins left="0.75" right="0.75" top="1" bottom="1" header="0.5" footer="0.5"/>
  <pageSetup orientation="portrait" horizontalDpi="300" verticalDpi="300" r:id="rId1"/>
  <headerFooter alignWithMargins="0"/>
  <drawing r:id="rId2"/>
  <legacy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10"/>
  <dimension ref="A1:BM292"/>
  <sheetViews>
    <sheetView zoomScale="58" zoomScaleNormal="58" workbookViewId="0">
      <pane xSplit="1" ySplit="9" topLeftCell="H223" activePane="bottomRight" state="frozen"/>
      <selection activeCell="BL11" sqref="BL11:BO11"/>
      <selection pane="topRight" activeCell="BL11" sqref="BL11:BO11"/>
      <selection pane="bottomLeft" activeCell="BL11" sqref="BL11:BO11"/>
      <selection pane="bottomRight" activeCell="AC261" sqref="AC261"/>
    </sheetView>
  </sheetViews>
  <sheetFormatPr baseColWidth="10" defaultColWidth="9.109375" defaultRowHeight="13.2" x14ac:dyDescent="0.25"/>
  <cols>
    <col min="1" max="1" width="49.44140625" style="44" customWidth="1"/>
    <col min="2" max="2" width="14.6640625" style="44" customWidth="1"/>
    <col min="3" max="3" width="11.44140625" style="44" customWidth="1"/>
    <col min="4" max="4" width="12.33203125" style="44" customWidth="1"/>
    <col min="5" max="5" width="11.6640625" style="44" customWidth="1"/>
    <col min="6" max="10" width="11.6640625" style="53" customWidth="1"/>
    <col min="11" max="11" width="11" style="44" customWidth="1"/>
    <col min="12" max="12" width="11.5546875" style="44" customWidth="1"/>
    <col min="13" max="17" width="11.5546875" style="53" customWidth="1"/>
    <col min="18" max="18" width="10.6640625" style="44" customWidth="1"/>
    <col min="19" max="19" width="12.109375" style="44" customWidth="1"/>
    <col min="20" max="24" width="12.109375" style="53" customWidth="1"/>
    <col min="25" max="25" width="11.109375" style="44" customWidth="1"/>
    <col min="26" max="26" width="12" style="44" customWidth="1"/>
    <col min="27" max="31" width="12" style="53" customWidth="1"/>
    <col min="32" max="32" width="12.5546875" style="44" customWidth="1"/>
    <col min="33" max="34" width="12" style="44" customWidth="1"/>
    <col min="35" max="36" width="11.5546875" style="44" customWidth="1"/>
    <col min="37" max="37" width="12" style="44" customWidth="1"/>
    <col min="38" max="38" width="11.44140625" style="44" customWidth="1"/>
    <col min="39" max="39" width="12.44140625" style="44" customWidth="1"/>
    <col min="40" max="40" width="12.44140625" style="336" customWidth="1"/>
    <col min="41" max="41" width="13.88671875" style="44" customWidth="1"/>
    <col min="42" max="42" width="13.88671875" style="336" customWidth="1"/>
    <col min="43" max="43" width="13.109375" style="44" customWidth="1"/>
    <col min="44" max="16384" width="9.109375" style="44"/>
  </cols>
  <sheetData>
    <row r="1" spans="1:65" x14ac:dyDescent="0.25">
      <c r="A1" s="739"/>
      <c r="B1" s="739"/>
      <c r="C1" s="739"/>
      <c r="D1" s="739"/>
      <c r="E1" s="739"/>
      <c r="F1" s="739"/>
      <c r="G1" s="739"/>
      <c r="H1" s="739"/>
      <c r="I1" s="739"/>
      <c r="J1" s="739"/>
      <c r="K1" s="739"/>
      <c r="L1" s="739"/>
    </row>
    <row r="3" spans="1:65" x14ac:dyDescent="0.25">
      <c r="A3" s="739"/>
      <c r="B3" s="739"/>
      <c r="C3" s="739"/>
      <c r="D3" s="739"/>
      <c r="E3" s="739"/>
      <c r="F3" s="739"/>
      <c r="G3" s="739"/>
      <c r="H3" s="739"/>
      <c r="I3" s="739"/>
      <c r="J3" s="739"/>
      <c r="K3" s="739"/>
      <c r="L3" s="739"/>
    </row>
    <row r="4" spans="1:65" x14ac:dyDescent="0.25">
      <c r="A4" s="739"/>
      <c r="B4" s="739"/>
      <c r="C4" s="739"/>
      <c r="D4" s="739"/>
      <c r="E4" s="739"/>
      <c r="F4" s="739"/>
      <c r="G4" s="739"/>
      <c r="H4" s="739"/>
      <c r="I4" s="739"/>
      <c r="J4" s="739"/>
      <c r="K4" s="739"/>
      <c r="L4" s="739"/>
    </row>
    <row r="6" spans="1:65" x14ac:dyDescent="0.25">
      <c r="A6" s="44">
        <v>1</v>
      </c>
      <c r="B6" s="44">
        <v>2</v>
      </c>
      <c r="C6" s="44">
        <v>3</v>
      </c>
      <c r="D6" s="329">
        <v>4</v>
      </c>
      <c r="E6" s="329">
        <v>5</v>
      </c>
      <c r="F6" s="329">
        <v>6</v>
      </c>
      <c r="G6" s="329">
        <v>7</v>
      </c>
      <c r="H6" s="329">
        <v>8</v>
      </c>
      <c r="I6" s="329">
        <v>9</v>
      </c>
      <c r="J6" s="329">
        <v>10</v>
      </c>
      <c r="K6" s="329">
        <v>11</v>
      </c>
      <c r="L6" s="329">
        <v>12</v>
      </c>
      <c r="M6" s="329">
        <v>13</v>
      </c>
      <c r="N6" s="329">
        <v>14</v>
      </c>
      <c r="O6" s="329">
        <v>15</v>
      </c>
      <c r="P6" s="329">
        <v>16</v>
      </c>
      <c r="Q6" s="329">
        <v>17</v>
      </c>
      <c r="R6" s="329">
        <v>18</v>
      </c>
      <c r="S6" s="329">
        <v>19</v>
      </c>
      <c r="T6" s="329">
        <v>20</v>
      </c>
      <c r="U6" s="329">
        <v>21</v>
      </c>
      <c r="V6" s="329">
        <v>22</v>
      </c>
      <c r="W6" s="329">
        <v>23</v>
      </c>
      <c r="X6" s="329">
        <v>24</v>
      </c>
      <c r="Y6" s="329">
        <v>25</v>
      </c>
      <c r="Z6" s="329">
        <v>26</v>
      </c>
      <c r="AA6" s="329">
        <v>27</v>
      </c>
      <c r="AB6" s="329">
        <v>28</v>
      </c>
      <c r="AC6" s="329">
        <v>29</v>
      </c>
      <c r="AD6" s="329">
        <v>30</v>
      </c>
      <c r="AE6" s="329">
        <v>31</v>
      </c>
      <c r="AF6" s="329">
        <v>32</v>
      </c>
      <c r="AG6" s="329">
        <v>33</v>
      </c>
      <c r="AH6" s="329">
        <v>34</v>
      </c>
      <c r="AI6" s="329">
        <v>35</v>
      </c>
      <c r="AJ6" s="329">
        <v>36</v>
      </c>
      <c r="AK6" s="329">
        <v>37</v>
      </c>
      <c r="AL6" s="329">
        <v>38</v>
      </c>
      <c r="AM6" s="377">
        <v>39</v>
      </c>
      <c r="AN6" s="377">
        <v>40</v>
      </c>
      <c r="AO6" s="377">
        <v>41</v>
      </c>
      <c r="AP6" s="377">
        <v>42</v>
      </c>
      <c r="AQ6" s="377">
        <v>43</v>
      </c>
      <c r="AR6" s="377">
        <v>44</v>
      </c>
      <c r="AS6" s="377">
        <v>45</v>
      </c>
      <c r="AT6" s="377">
        <v>46</v>
      </c>
      <c r="AU6" s="377">
        <v>47</v>
      </c>
      <c r="AV6" s="468">
        <v>48</v>
      </c>
      <c r="AW6" s="468">
        <v>49</v>
      </c>
      <c r="AX6" s="468">
        <v>50</v>
      </c>
      <c r="AY6" s="468">
        <v>51</v>
      </c>
      <c r="AZ6" s="468">
        <v>52</v>
      </c>
      <c r="BA6" s="468">
        <v>53</v>
      </c>
      <c r="BB6" s="468">
        <v>54</v>
      </c>
      <c r="BC6" s="468">
        <v>55</v>
      </c>
      <c r="BD6" s="468">
        <v>56</v>
      </c>
      <c r="BE6" s="650">
        <v>57</v>
      </c>
      <c r="BF6" s="650">
        <v>58</v>
      </c>
      <c r="BG6" s="650">
        <v>59</v>
      </c>
      <c r="BH6" s="650">
        <v>60</v>
      </c>
      <c r="BI6" s="650">
        <v>61</v>
      </c>
      <c r="BJ6" s="650">
        <v>62</v>
      </c>
      <c r="BK6" s="650">
        <v>63</v>
      </c>
      <c r="BL6" s="650">
        <v>64</v>
      </c>
      <c r="BM6" s="650">
        <v>65</v>
      </c>
    </row>
    <row r="7" spans="1:65" x14ac:dyDescent="0.25">
      <c r="A7" s="737" t="s">
        <v>5</v>
      </c>
      <c r="B7" s="737" t="s">
        <v>244</v>
      </c>
      <c r="C7" s="737" t="s">
        <v>245</v>
      </c>
      <c r="D7" s="736">
        <v>2016</v>
      </c>
      <c r="E7" s="737"/>
      <c r="F7" s="737"/>
      <c r="G7" s="737"/>
      <c r="H7" s="737"/>
      <c r="I7" s="737"/>
      <c r="J7" s="737"/>
      <c r="K7" s="894">
        <v>2017</v>
      </c>
      <c r="L7" s="868"/>
      <c r="M7" s="868"/>
      <c r="N7" s="868"/>
      <c r="O7" s="868"/>
      <c r="P7" s="868"/>
      <c r="Q7" s="868"/>
      <c r="R7" s="736">
        <v>2018</v>
      </c>
      <c r="S7" s="737"/>
      <c r="T7" s="737"/>
      <c r="U7" s="737"/>
      <c r="V7" s="737"/>
      <c r="W7" s="737"/>
      <c r="X7" s="737"/>
      <c r="Y7" s="736">
        <v>2019</v>
      </c>
      <c r="Z7" s="737"/>
      <c r="AA7" s="737"/>
      <c r="AB7" s="737"/>
      <c r="AC7" s="737"/>
      <c r="AD7" s="737"/>
      <c r="AE7" s="737"/>
      <c r="AF7" s="736">
        <v>2020</v>
      </c>
      <c r="AG7" s="737"/>
      <c r="AH7" s="737"/>
      <c r="AI7" s="737"/>
      <c r="AJ7" s="737"/>
      <c r="AK7" s="737"/>
      <c r="AL7" s="737"/>
      <c r="AM7" s="736">
        <v>2021</v>
      </c>
      <c r="AN7" s="737"/>
      <c r="AO7" s="737"/>
      <c r="AP7" s="737"/>
      <c r="AQ7" s="737"/>
      <c r="AR7" s="737"/>
      <c r="AS7" s="737"/>
      <c r="AT7" s="737"/>
      <c r="AU7" s="737"/>
      <c r="AV7" s="736">
        <v>2022</v>
      </c>
      <c r="AW7" s="737"/>
      <c r="AX7" s="737"/>
      <c r="AY7" s="737"/>
      <c r="AZ7" s="737"/>
      <c r="BA7" s="737"/>
      <c r="BB7" s="737"/>
      <c r="BC7" s="737"/>
      <c r="BD7" s="737"/>
      <c r="BE7" s="736">
        <v>2023</v>
      </c>
      <c r="BF7" s="737"/>
      <c r="BG7" s="737"/>
      <c r="BH7" s="737"/>
      <c r="BI7" s="737"/>
      <c r="BJ7" s="737"/>
      <c r="BK7" s="737"/>
      <c r="BL7" s="737"/>
      <c r="BM7" s="737"/>
    </row>
    <row r="8" spans="1:65" x14ac:dyDescent="0.25">
      <c r="A8" s="737"/>
      <c r="B8" s="737"/>
      <c r="C8" s="737"/>
      <c r="D8" s="868" t="s">
        <v>219</v>
      </c>
      <c r="E8" s="854" t="s">
        <v>218</v>
      </c>
      <c r="F8" s="860" t="s">
        <v>282</v>
      </c>
      <c r="G8" s="867"/>
      <c r="H8" s="867"/>
      <c r="I8" s="867"/>
      <c r="J8" s="867"/>
      <c r="K8" s="868" t="s">
        <v>219</v>
      </c>
      <c r="L8" s="854" t="s">
        <v>218</v>
      </c>
      <c r="M8" s="866" t="s">
        <v>282</v>
      </c>
      <c r="N8" s="867"/>
      <c r="O8" s="867"/>
      <c r="P8" s="867"/>
      <c r="Q8" s="867"/>
      <c r="R8" s="868" t="s">
        <v>219</v>
      </c>
      <c r="S8" s="854" t="s">
        <v>218</v>
      </c>
      <c r="T8" s="860" t="s">
        <v>282</v>
      </c>
      <c r="U8" s="739"/>
      <c r="V8" s="739"/>
      <c r="W8" s="739"/>
      <c r="X8" s="739"/>
      <c r="Y8" s="868" t="s">
        <v>219</v>
      </c>
      <c r="Z8" s="854" t="s">
        <v>218</v>
      </c>
      <c r="AA8" s="860" t="s">
        <v>282</v>
      </c>
      <c r="AB8" s="739"/>
      <c r="AC8" s="739"/>
      <c r="AD8" s="739"/>
      <c r="AE8" s="739"/>
      <c r="AF8" s="887" t="s">
        <v>219</v>
      </c>
      <c r="AG8" s="887" t="s">
        <v>218</v>
      </c>
      <c r="AH8" s="80" t="s">
        <v>282</v>
      </c>
      <c r="AI8" s="81"/>
      <c r="AJ8" s="81"/>
      <c r="AK8" s="81"/>
      <c r="AL8" s="81"/>
      <c r="AM8" s="887" t="s">
        <v>219</v>
      </c>
      <c r="AN8" s="341"/>
      <c r="AO8" s="887" t="s">
        <v>218</v>
      </c>
      <c r="AP8" s="339"/>
      <c r="AQ8" s="80" t="s">
        <v>282</v>
      </c>
      <c r="AR8" s="81"/>
      <c r="AS8" s="81"/>
      <c r="AT8" s="81"/>
      <c r="AU8" s="81"/>
      <c r="AV8" s="887" t="s">
        <v>219</v>
      </c>
      <c r="AW8" s="465"/>
      <c r="AX8" s="887" t="s">
        <v>218</v>
      </c>
      <c r="AY8" s="466"/>
      <c r="AZ8" s="80" t="s">
        <v>282</v>
      </c>
      <c r="BA8" s="81"/>
      <c r="BB8" s="81"/>
      <c r="BC8" s="81"/>
      <c r="BD8" s="81"/>
      <c r="BE8" s="887" t="s">
        <v>219</v>
      </c>
      <c r="BF8" s="635"/>
      <c r="BG8" s="887" t="s">
        <v>218</v>
      </c>
      <c r="BH8" s="636"/>
      <c r="BI8" s="80" t="s">
        <v>282</v>
      </c>
      <c r="BJ8" s="81"/>
      <c r="BK8" s="81"/>
      <c r="BL8" s="81"/>
      <c r="BM8" s="81"/>
    </row>
    <row r="9" spans="1:65" ht="24.9" customHeight="1" x14ac:dyDescent="0.25">
      <c r="A9" s="745"/>
      <c r="B9" s="745"/>
      <c r="C9" s="745"/>
      <c r="D9" s="865"/>
      <c r="E9" s="863"/>
      <c r="F9" s="52" t="s">
        <v>315</v>
      </c>
      <c r="G9" s="52" t="s">
        <v>316</v>
      </c>
      <c r="H9" s="52" t="s">
        <v>317</v>
      </c>
      <c r="I9" s="52" t="s">
        <v>318</v>
      </c>
      <c r="J9" s="52" t="s">
        <v>319</v>
      </c>
      <c r="K9" s="865"/>
      <c r="L9" s="863"/>
      <c r="M9" s="22" t="s">
        <v>315</v>
      </c>
      <c r="N9" s="22" t="s">
        <v>316</v>
      </c>
      <c r="O9" s="22" t="s">
        <v>317</v>
      </c>
      <c r="P9" s="22" t="s">
        <v>318</v>
      </c>
      <c r="Q9" s="22" t="s">
        <v>319</v>
      </c>
      <c r="R9" s="865"/>
      <c r="S9" s="863"/>
      <c r="T9" s="52" t="s">
        <v>315</v>
      </c>
      <c r="U9" s="52" t="s">
        <v>316</v>
      </c>
      <c r="V9" s="52" t="s">
        <v>317</v>
      </c>
      <c r="W9" s="52" t="s">
        <v>318</v>
      </c>
      <c r="X9" s="52" t="s">
        <v>319</v>
      </c>
      <c r="Y9" s="865"/>
      <c r="Z9" s="863"/>
      <c r="AA9" s="52" t="s">
        <v>315</v>
      </c>
      <c r="AB9" s="52" t="s">
        <v>316</v>
      </c>
      <c r="AC9" s="52" t="s">
        <v>317</v>
      </c>
      <c r="AD9" s="52" t="s">
        <v>318</v>
      </c>
      <c r="AE9" s="52" t="s">
        <v>319</v>
      </c>
      <c r="AF9" s="888"/>
      <c r="AG9" s="888"/>
      <c r="AH9" s="83" t="s">
        <v>315</v>
      </c>
      <c r="AI9" s="83" t="s">
        <v>316</v>
      </c>
      <c r="AJ9" s="83" t="s">
        <v>317</v>
      </c>
      <c r="AK9" s="83" t="s">
        <v>318</v>
      </c>
      <c r="AL9" s="83" t="s">
        <v>319</v>
      </c>
      <c r="AM9" s="888"/>
      <c r="AN9" s="372"/>
      <c r="AO9" s="888"/>
      <c r="AP9" s="341"/>
      <c r="AQ9" s="83" t="s">
        <v>315</v>
      </c>
      <c r="AR9" s="83" t="s">
        <v>316</v>
      </c>
      <c r="AS9" s="83" t="s">
        <v>317</v>
      </c>
      <c r="AT9" s="83" t="s">
        <v>318</v>
      </c>
      <c r="AU9" s="83" t="s">
        <v>319</v>
      </c>
      <c r="AV9" s="888"/>
      <c r="AW9" s="372"/>
      <c r="AX9" s="888"/>
      <c r="AY9" s="465"/>
      <c r="AZ9" s="83" t="s">
        <v>315</v>
      </c>
      <c r="BA9" s="83" t="s">
        <v>316</v>
      </c>
      <c r="BB9" s="83" t="s">
        <v>317</v>
      </c>
      <c r="BC9" s="83" t="s">
        <v>318</v>
      </c>
      <c r="BD9" s="83" t="s">
        <v>319</v>
      </c>
      <c r="BE9" s="888"/>
      <c r="BF9" s="372"/>
      <c r="BG9" s="888"/>
      <c r="BH9" s="635"/>
      <c r="BI9" s="83" t="s">
        <v>315</v>
      </c>
      <c r="BJ9" s="83" t="s">
        <v>316</v>
      </c>
      <c r="BK9" s="83" t="s">
        <v>317</v>
      </c>
      <c r="BL9" s="83" t="s">
        <v>318</v>
      </c>
      <c r="BM9" s="83" t="s">
        <v>319</v>
      </c>
    </row>
    <row r="10" spans="1:65" ht="24.9" customHeight="1" x14ac:dyDescent="0.25">
      <c r="A10" s="185" t="s">
        <v>10</v>
      </c>
      <c r="B10" s="3"/>
      <c r="C10" s="3"/>
      <c r="D10" s="25">
        <v>53</v>
      </c>
      <c r="E10" s="25">
        <v>12</v>
      </c>
      <c r="F10" s="97">
        <v>0.36</v>
      </c>
      <c r="G10" s="97">
        <v>0.33</v>
      </c>
      <c r="H10" s="97">
        <v>0.19</v>
      </c>
      <c r="I10" s="97">
        <v>0.1</v>
      </c>
      <c r="J10" s="97">
        <v>0.02</v>
      </c>
      <c r="K10" s="25">
        <v>51</v>
      </c>
      <c r="L10" s="25">
        <v>11</v>
      </c>
      <c r="M10" s="87">
        <v>0.44</v>
      </c>
      <c r="N10" s="87">
        <v>0.3</v>
      </c>
      <c r="O10" s="87">
        <v>0.16</v>
      </c>
      <c r="P10" s="87">
        <v>0.08</v>
      </c>
      <c r="Q10" s="87">
        <v>0.02</v>
      </c>
      <c r="R10" s="25">
        <v>52</v>
      </c>
      <c r="S10" s="25">
        <v>11</v>
      </c>
      <c r="T10" s="63">
        <v>0.37</v>
      </c>
      <c r="U10" s="63">
        <v>0.34</v>
      </c>
      <c r="V10" s="63">
        <v>0.19</v>
      </c>
      <c r="W10" s="63">
        <v>0.08</v>
      </c>
      <c r="X10" s="63">
        <v>0.02</v>
      </c>
      <c r="Y10" s="25">
        <v>50</v>
      </c>
      <c r="Z10" s="25">
        <v>12</v>
      </c>
      <c r="AA10" s="63">
        <v>0.44</v>
      </c>
      <c r="AB10" s="63">
        <v>0.3</v>
      </c>
      <c r="AC10" s="63">
        <v>0.17</v>
      </c>
      <c r="AD10" s="63">
        <v>7.0000000000000007E-2</v>
      </c>
      <c r="AE10" s="63">
        <v>0.02</v>
      </c>
      <c r="AF10" s="26">
        <v>48</v>
      </c>
      <c r="AG10" s="26">
        <v>11</v>
      </c>
      <c r="AH10" s="87">
        <v>0.56999999999999995</v>
      </c>
      <c r="AI10" s="87">
        <v>0.27</v>
      </c>
      <c r="AJ10" s="87">
        <v>0.09</v>
      </c>
      <c r="AK10" s="87">
        <v>0.06</v>
      </c>
      <c r="AL10" s="87">
        <v>0.01</v>
      </c>
      <c r="AM10" s="345">
        <v>50</v>
      </c>
      <c r="AN10" s="344" t="s">
        <v>910</v>
      </c>
      <c r="AO10" s="345">
        <v>13</v>
      </c>
      <c r="AP10" s="344" t="s">
        <v>911</v>
      </c>
      <c r="AQ10" s="368">
        <v>0.47</v>
      </c>
      <c r="AR10" s="368">
        <v>0.28000000000000003</v>
      </c>
      <c r="AS10" s="368">
        <v>0.15</v>
      </c>
      <c r="AT10" s="368">
        <v>0.08</v>
      </c>
      <c r="AU10" s="368">
        <v>0.02</v>
      </c>
      <c r="AV10" s="478">
        <v>51</v>
      </c>
      <c r="AW10" s="481" t="s">
        <v>910</v>
      </c>
      <c r="AX10" s="478">
        <v>13</v>
      </c>
      <c r="AY10" s="481" t="s">
        <v>911</v>
      </c>
      <c r="AZ10" s="422">
        <v>0.44</v>
      </c>
      <c r="BA10" s="422">
        <v>0.28000000000000003</v>
      </c>
      <c r="BB10" s="422">
        <v>0.17</v>
      </c>
      <c r="BC10" s="422">
        <v>0.09</v>
      </c>
      <c r="BD10" s="422">
        <v>0.02</v>
      </c>
      <c r="BE10" s="626">
        <v>52</v>
      </c>
      <c r="BF10" s="637" t="s">
        <v>910</v>
      </c>
      <c r="BG10" s="626">
        <v>12</v>
      </c>
      <c r="BH10" s="637" t="s">
        <v>910</v>
      </c>
      <c r="BI10" s="641">
        <v>0.42</v>
      </c>
      <c r="BJ10" s="641">
        <v>0.31</v>
      </c>
      <c r="BK10" s="641">
        <v>0.16</v>
      </c>
      <c r="BL10" s="641">
        <v>0.09</v>
      </c>
      <c r="BM10" s="641">
        <v>0.03</v>
      </c>
    </row>
    <row r="11" spans="1:65" ht="24.9" customHeight="1" x14ac:dyDescent="0.25">
      <c r="A11" s="186" t="s">
        <v>0</v>
      </c>
      <c r="B11" s="4"/>
      <c r="C11" s="4"/>
      <c r="D11" s="28">
        <v>54</v>
      </c>
      <c r="E11" s="28">
        <v>10</v>
      </c>
      <c r="F11" s="93">
        <v>0.28999999999999998</v>
      </c>
      <c r="G11" s="93">
        <v>0.4</v>
      </c>
      <c r="H11" s="93">
        <v>0.24</v>
      </c>
      <c r="I11" s="93">
        <v>0.08</v>
      </c>
      <c r="J11" s="93">
        <v>0</v>
      </c>
      <c r="K11" s="28">
        <v>51</v>
      </c>
      <c r="L11" s="28">
        <v>10</v>
      </c>
      <c r="M11" s="88">
        <v>0.38</v>
      </c>
      <c r="N11" s="88">
        <v>0.36</v>
      </c>
      <c r="O11" s="88">
        <v>0.2</v>
      </c>
      <c r="P11" s="88">
        <v>0.05</v>
      </c>
      <c r="Q11" s="88">
        <v>0</v>
      </c>
      <c r="R11" s="28">
        <v>52</v>
      </c>
      <c r="S11" s="28">
        <v>9</v>
      </c>
      <c r="T11" s="64">
        <v>0.31</v>
      </c>
      <c r="U11" s="64">
        <v>0.42</v>
      </c>
      <c r="V11" s="64">
        <v>0.21</v>
      </c>
      <c r="W11" s="64">
        <v>0.06</v>
      </c>
      <c r="X11" s="64">
        <v>0.01</v>
      </c>
      <c r="Y11" s="28">
        <v>51</v>
      </c>
      <c r="Z11" s="28">
        <v>10</v>
      </c>
      <c r="AA11" s="64">
        <v>0.35</v>
      </c>
      <c r="AB11" s="64">
        <v>0.39</v>
      </c>
      <c r="AC11" s="64">
        <v>0.2</v>
      </c>
      <c r="AD11" s="64">
        <v>0.06</v>
      </c>
      <c r="AE11" s="64">
        <v>0</v>
      </c>
      <c r="AF11" s="79">
        <v>48</v>
      </c>
      <c r="AG11" s="79">
        <v>9</v>
      </c>
      <c r="AH11" s="88">
        <v>0.51</v>
      </c>
      <c r="AI11" s="88">
        <v>0.34</v>
      </c>
      <c r="AJ11" s="88">
        <v>0.1</v>
      </c>
      <c r="AK11" s="88">
        <v>0.04</v>
      </c>
      <c r="AL11" s="88">
        <v>0</v>
      </c>
      <c r="AM11" s="346">
        <v>52</v>
      </c>
      <c r="AN11" s="342" t="s">
        <v>11</v>
      </c>
      <c r="AO11" s="346">
        <v>11</v>
      </c>
      <c r="AP11" s="342" t="s">
        <v>11</v>
      </c>
      <c r="AQ11" s="369">
        <v>0.35</v>
      </c>
      <c r="AR11" s="369">
        <v>0.37</v>
      </c>
      <c r="AS11" s="369">
        <v>0.2</v>
      </c>
      <c r="AT11" s="369">
        <v>7.0000000000000007E-2</v>
      </c>
      <c r="AU11" s="369">
        <v>0.01</v>
      </c>
      <c r="AV11" s="479">
        <v>53</v>
      </c>
      <c r="AW11" s="482" t="s">
        <v>11</v>
      </c>
      <c r="AX11" s="479">
        <v>11</v>
      </c>
      <c r="AY11" s="482" t="s">
        <v>11</v>
      </c>
      <c r="AZ11" s="423">
        <v>0.3</v>
      </c>
      <c r="BA11" s="423">
        <v>0.36</v>
      </c>
      <c r="BB11" s="423">
        <v>0.24</v>
      </c>
      <c r="BC11" s="423">
        <v>0.09</v>
      </c>
      <c r="BD11" s="423">
        <v>0.01</v>
      </c>
      <c r="BE11" s="627">
        <v>53</v>
      </c>
      <c r="BF11" s="638" t="s">
        <v>11</v>
      </c>
      <c r="BG11" s="627">
        <v>11</v>
      </c>
      <c r="BH11" s="638" t="s">
        <v>11</v>
      </c>
      <c r="BI11" s="642">
        <v>0.31</v>
      </c>
      <c r="BJ11" s="642">
        <v>0.37</v>
      </c>
      <c r="BK11" s="642">
        <v>0.22</v>
      </c>
      <c r="BL11" s="642">
        <v>0.09</v>
      </c>
      <c r="BM11" s="642">
        <v>0.01</v>
      </c>
    </row>
    <row r="12" spans="1:65" ht="24.9" customHeight="1" x14ac:dyDescent="0.25">
      <c r="A12" s="187" t="s">
        <v>12</v>
      </c>
      <c r="B12" s="6"/>
      <c r="C12" s="6"/>
      <c r="D12" s="30">
        <v>52</v>
      </c>
      <c r="E12" s="30">
        <v>9</v>
      </c>
      <c r="F12" s="98">
        <v>0.35</v>
      </c>
      <c r="G12" s="98">
        <v>0.41</v>
      </c>
      <c r="H12" s="98">
        <v>0.2</v>
      </c>
      <c r="I12" s="98">
        <v>0.04</v>
      </c>
      <c r="J12" s="98">
        <v>0</v>
      </c>
      <c r="K12" s="30">
        <v>49</v>
      </c>
      <c r="L12" s="30">
        <v>9</v>
      </c>
      <c r="M12" s="89">
        <v>0.45</v>
      </c>
      <c r="N12" s="89">
        <v>0.36</v>
      </c>
      <c r="O12" s="89">
        <v>0.16</v>
      </c>
      <c r="P12" s="89">
        <v>0.03</v>
      </c>
      <c r="Q12" s="89">
        <v>0</v>
      </c>
      <c r="R12" s="30">
        <v>50</v>
      </c>
      <c r="S12" s="30">
        <v>9</v>
      </c>
      <c r="T12" s="65">
        <v>0.37</v>
      </c>
      <c r="U12" s="65">
        <v>0.43</v>
      </c>
      <c r="V12" s="65">
        <v>0.16</v>
      </c>
      <c r="W12" s="65">
        <v>0.03</v>
      </c>
      <c r="X12" s="65">
        <v>0</v>
      </c>
      <c r="Y12" s="30">
        <v>49</v>
      </c>
      <c r="Z12" s="30">
        <v>10</v>
      </c>
      <c r="AA12" s="65">
        <v>0.43</v>
      </c>
      <c r="AB12" s="65">
        <v>0.38</v>
      </c>
      <c r="AC12" s="65">
        <v>0.15</v>
      </c>
      <c r="AD12" s="65">
        <v>0.03</v>
      </c>
      <c r="AE12" s="65">
        <v>0</v>
      </c>
      <c r="AF12" s="90">
        <v>46</v>
      </c>
      <c r="AG12" s="90">
        <v>9</v>
      </c>
      <c r="AH12" s="89">
        <v>0.59</v>
      </c>
      <c r="AI12" s="89">
        <v>0.32</v>
      </c>
      <c r="AJ12" s="89">
        <v>7.0000000000000007E-2</v>
      </c>
      <c r="AK12" s="89">
        <v>0.02</v>
      </c>
      <c r="AL12" s="89">
        <v>0</v>
      </c>
      <c r="AM12" s="347">
        <v>49</v>
      </c>
      <c r="AN12" s="343" t="s">
        <v>910</v>
      </c>
      <c r="AO12" s="347">
        <v>10</v>
      </c>
      <c r="AP12" s="343" t="s">
        <v>910</v>
      </c>
      <c r="AQ12" s="370">
        <v>0.44</v>
      </c>
      <c r="AR12" s="370">
        <v>0.37</v>
      </c>
      <c r="AS12" s="370">
        <v>0.15</v>
      </c>
      <c r="AT12" s="370">
        <v>0.04</v>
      </c>
      <c r="AU12" s="370">
        <v>0</v>
      </c>
      <c r="AV12" s="480">
        <v>51</v>
      </c>
      <c r="AW12" s="483" t="s">
        <v>910</v>
      </c>
      <c r="AX12" s="480">
        <v>10</v>
      </c>
      <c r="AY12" s="483" t="s">
        <v>910</v>
      </c>
      <c r="AZ12" s="426">
        <v>0.39</v>
      </c>
      <c r="BA12" s="426">
        <v>0.36</v>
      </c>
      <c r="BB12" s="426">
        <v>0.19</v>
      </c>
      <c r="BC12" s="426">
        <v>0.05</v>
      </c>
      <c r="BD12" s="426">
        <v>0</v>
      </c>
      <c r="BE12" s="628">
        <v>51</v>
      </c>
      <c r="BF12" s="639" t="s">
        <v>910</v>
      </c>
      <c r="BG12" s="628">
        <v>10</v>
      </c>
      <c r="BH12" s="639" t="s">
        <v>910</v>
      </c>
      <c r="BI12" s="643">
        <v>0.39</v>
      </c>
      <c r="BJ12" s="643">
        <v>0.39</v>
      </c>
      <c r="BK12" s="643">
        <v>0.17</v>
      </c>
      <c r="BL12" s="643">
        <v>0.05</v>
      </c>
      <c r="BM12" s="643">
        <v>0</v>
      </c>
    </row>
    <row r="13" spans="1:65" ht="24.9" customHeight="1" x14ac:dyDescent="0.25">
      <c r="A13" s="187" t="s">
        <v>13</v>
      </c>
      <c r="B13" s="6"/>
      <c r="C13" s="6"/>
      <c r="D13" s="30">
        <v>48</v>
      </c>
      <c r="E13" s="30">
        <v>7</v>
      </c>
      <c r="F13" s="98">
        <v>0.51</v>
      </c>
      <c r="G13" s="98">
        <v>0.41</v>
      </c>
      <c r="H13" s="98">
        <v>7.0000000000000007E-2</v>
      </c>
      <c r="I13" s="98">
        <v>0</v>
      </c>
      <c r="J13" s="98">
        <v>0</v>
      </c>
      <c r="K13" s="30">
        <v>44</v>
      </c>
      <c r="L13" s="30">
        <v>7</v>
      </c>
      <c r="M13" s="89">
        <v>0.81</v>
      </c>
      <c r="N13" s="89">
        <v>0.17</v>
      </c>
      <c r="O13" s="89">
        <v>0.02</v>
      </c>
      <c r="P13" s="89">
        <v>0</v>
      </c>
      <c r="Q13" s="89">
        <v>0</v>
      </c>
      <c r="R13" s="30">
        <v>45</v>
      </c>
      <c r="S13" s="30">
        <v>12</v>
      </c>
      <c r="T13" s="65">
        <v>0.59</v>
      </c>
      <c r="U13" s="65">
        <v>0.28999999999999998</v>
      </c>
      <c r="V13" s="65">
        <v>0.12</v>
      </c>
      <c r="W13" s="65">
        <v>0</v>
      </c>
      <c r="X13" s="65">
        <v>0</v>
      </c>
      <c r="Y13" s="30">
        <v>45</v>
      </c>
      <c r="Z13" s="30">
        <v>10</v>
      </c>
      <c r="AA13" s="65">
        <v>0.55000000000000004</v>
      </c>
      <c r="AB13" s="65">
        <v>0.37</v>
      </c>
      <c r="AC13" s="65">
        <v>0.08</v>
      </c>
      <c r="AD13" s="65">
        <v>0</v>
      </c>
      <c r="AE13" s="65">
        <v>0</v>
      </c>
      <c r="AF13" s="90">
        <v>42</v>
      </c>
      <c r="AG13" s="90">
        <v>6</v>
      </c>
      <c r="AH13" s="89">
        <v>0.82</v>
      </c>
      <c r="AI13" s="89">
        <v>0.18</v>
      </c>
      <c r="AJ13" s="89">
        <v>0</v>
      </c>
      <c r="AK13" s="89">
        <v>0</v>
      </c>
      <c r="AL13" s="89">
        <v>0</v>
      </c>
      <c r="AM13" s="347">
        <v>44</v>
      </c>
      <c r="AN13" s="343" t="s">
        <v>912</v>
      </c>
      <c r="AO13" s="347">
        <v>9</v>
      </c>
      <c r="AP13" s="343" t="s">
        <v>912</v>
      </c>
      <c r="AQ13" s="370">
        <v>0.61</v>
      </c>
      <c r="AR13" s="370">
        <v>0.32</v>
      </c>
      <c r="AS13" s="370">
        <v>7.0000000000000007E-2</v>
      </c>
      <c r="AT13" s="370">
        <v>0</v>
      </c>
      <c r="AU13" s="370">
        <v>0</v>
      </c>
      <c r="AV13" s="480">
        <v>49</v>
      </c>
      <c r="AW13" s="483" t="s">
        <v>912</v>
      </c>
      <c r="AX13" s="480">
        <v>10</v>
      </c>
      <c r="AY13" s="483" t="s">
        <v>910</v>
      </c>
      <c r="AZ13" s="426">
        <v>0.45</v>
      </c>
      <c r="BA13" s="426">
        <v>0.38</v>
      </c>
      <c r="BB13" s="426">
        <v>0.13</v>
      </c>
      <c r="BC13" s="426">
        <v>0.03</v>
      </c>
      <c r="BD13" s="426">
        <v>0.03</v>
      </c>
      <c r="BE13" s="628">
        <v>47</v>
      </c>
      <c r="BF13" s="639" t="s">
        <v>912</v>
      </c>
      <c r="BG13" s="628">
        <v>8</v>
      </c>
      <c r="BH13" s="639" t="s">
        <v>912</v>
      </c>
      <c r="BI13" s="643">
        <v>0.52</v>
      </c>
      <c r="BJ13" s="643">
        <v>0.38</v>
      </c>
      <c r="BK13" s="643">
        <v>0.1</v>
      </c>
      <c r="BL13" s="643">
        <v>0</v>
      </c>
      <c r="BM13" s="643">
        <v>0</v>
      </c>
    </row>
    <row r="14" spans="1:65" ht="24.9" customHeight="1" x14ac:dyDescent="0.25">
      <c r="A14" s="187" t="s">
        <v>14</v>
      </c>
      <c r="B14" s="6"/>
      <c r="C14" s="6"/>
      <c r="D14" s="30">
        <v>56</v>
      </c>
      <c r="E14" s="30">
        <v>10</v>
      </c>
      <c r="F14" s="98">
        <v>0.22</v>
      </c>
      <c r="G14" s="98">
        <v>0.38</v>
      </c>
      <c r="H14" s="98">
        <v>0.28000000000000003</v>
      </c>
      <c r="I14" s="98">
        <v>0.11</v>
      </c>
      <c r="J14" s="98">
        <v>0</v>
      </c>
      <c r="K14" s="30">
        <v>53</v>
      </c>
      <c r="L14" s="30">
        <v>10</v>
      </c>
      <c r="M14" s="89">
        <v>0.3</v>
      </c>
      <c r="N14" s="89">
        <v>0.36</v>
      </c>
      <c r="O14" s="89">
        <v>0.25</v>
      </c>
      <c r="P14" s="89">
        <v>7.0000000000000007E-2</v>
      </c>
      <c r="Q14" s="89">
        <v>0.01</v>
      </c>
      <c r="R14" s="30">
        <v>55</v>
      </c>
      <c r="S14" s="30">
        <v>10</v>
      </c>
      <c r="T14" s="65">
        <v>0.23</v>
      </c>
      <c r="U14" s="65">
        <v>0.4</v>
      </c>
      <c r="V14" s="65">
        <v>0.28000000000000003</v>
      </c>
      <c r="W14" s="65">
        <v>0.08</v>
      </c>
      <c r="X14" s="65">
        <v>0.01</v>
      </c>
      <c r="Y14" s="30">
        <v>54</v>
      </c>
      <c r="Z14" s="30">
        <v>10</v>
      </c>
      <c r="AA14" s="65">
        <v>0.26</v>
      </c>
      <c r="AB14" s="65">
        <v>0.4</v>
      </c>
      <c r="AC14" s="65">
        <v>0.25</v>
      </c>
      <c r="AD14" s="65">
        <v>0.08</v>
      </c>
      <c r="AE14" s="65">
        <v>0.01</v>
      </c>
      <c r="AF14" s="90">
        <v>50</v>
      </c>
      <c r="AG14" s="90">
        <v>10</v>
      </c>
      <c r="AH14" s="89">
        <v>0.43</v>
      </c>
      <c r="AI14" s="89">
        <v>0.37</v>
      </c>
      <c r="AJ14" s="89">
        <v>0.14000000000000001</v>
      </c>
      <c r="AK14" s="89">
        <v>0.06</v>
      </c>
      <c r="AL14" s="89">
        <v>0</v>
      </c>
      <c r="AM14" s="347">
        <v>55</v>
      </c>
      <c r="AN14" s="343" t="s">
        <v>910</v>
      </c>
      <c r="AO14" s="347">
        <v>11</v>
      </c>
      <c r="AP14" s="343" t="s">
        <v>910</v>
      </c>
      <c r="AQ14" s="370">
        <v>0.24</v>
      </c>
      <c r="AR14" s="370">
        <v>0.37</v>
      </c>
      <c r="AS14" s="370">
        <v>0.27</v>
      </c>
      <c r="AT14" s="370">
        <v>0.11</v>
      </c>
      <c r="AU14" s="370">
        <v>0.01</v>
      </c>
      <c r="AV14" s="480">
        <v>56</v>
      </c>
      <c r="AW14" s="483" t="s">
        <v>910</v>
      </c>
      <c r="AX14" s="480">
        <v>11</v>
      </c>
      <c r="AY14" s="483" t="s">
        <v>910</v>
      </c>
      <c r="AZ14" s="426">
        <v>0.21</v>
      </c>
      <c r="BA14" s="426">
        <v>0.35</v>
      </c>
      <c r="BB14" s="426">
        <v>0.28999999999999998</v>
      </c>
      <c r="BC14" s="426">
        <v>0.13</v>
      </c>
      <c r="BD14" s="426">
        <v>0.01</v>
      </c>
      <c r="BE14" s="628">
        <v>56</v>
      </c>
      <c r="BF14" s="639" t="s">
        <v>910</v>
      </c>
      <c r="BG14" s="628">
        <v>11</v>
      </c>
      <c r="BH14" s="639" t="s">
        <v>910</v>
      </c>
      <c r="BI14" s="643">
        <v>0.22</v>
      </c>
      <c r="BJ14" s="643">
        <v>0.35</v>
      </c>
      <c r="BK14" s="643">
        <v>0.27</v>
      </c>
      <c r="BL14" s="643">
        <v>0.15</v>
      </c>
      <c r="BM14" s="643">
        <v>0.02</v>
      </c>
    </row>
    <row r="15" spans="1:65" ht="24.9" customHeight="1" x14ac:dyDescent="0.25">
      <c r="A15" s="187" t="s">
        <v>15</v>
      </c>
      <c r="B15" s="6"/>
      <c r="C15" s="6"/>
      <c r="D15" s="30">
        <v>51</v>
      </c>
      <c r="E15" s="30">
        <v>9</v>
      </c>
      <c r="F15" s="98">
        <v>0.38</v>
      </c>
      <c r="G15" s="98">
        <v>0.4</v>
      </c>
      <c r="H15" s="98">
        <v>0.18</v>
      </c>
      <c r="I15" s="98">
        <v>0.04</v>
      </c>
      <c r="J15" s="98">
        <v>0</v>
      </c>
      <c r="K15" s="30">
        <v>49</v>
      </c>
      <c r="L15" s="30">
        <v>9</v>
      </c>
      <c r="M15" s="89">
        <v>0.47</v>
      </c>
      <c r="N15" s="89">
        <v>0.35</v>
      </c>
      <c r="O15" s="89">
        <v>0.15</v>
      </c>
      <c r="P15" s="89">
        <v>0.03</v>
      </c>
      <c r="Q15" s="89">
        <v>0</v>
      </c>
      <c r="R15" s="30">
        <v>50</v>
      </c>
      <c r="S15" s="30">
        <v>9</v>
      </c>
      <c r="T15" s="65">
        <v>0.38</v>
      </c>
      <c r="U15" s="65">
        <v>0.43</v>
      </c>
      <c r="V15" s="65">
        <v>0.15</v>
      </c>
      <c r="W15" s="65">
        <v>0.04</v>
      </c>
      <c r="X15" s="65">
        <v>0</v>
      </c>
      <c r="Y15" s="30">
        <v>49</v>
      </c>
      <c r="Z15" s="30">
        <v>10</v>
      </c>
      <c r="AA15" s="65">
        <v>0.44</v>
      </c>
      <c r="AB15" s="65">
        <v>0.38</v>
      </c>
      <c r="AC15" s="65">
        <v>0.14000000000000001</v>
      </c>
      <c r="AD15" s="65">
        <v>0.03</v>
      </c>
      <c r="AE15" s="65">
        <v>0</v>
      </c>
      <c r="AF15" s="90">
        <v>46</v>
      </c>
      <c r="AG15" s="90">
        <v>8</v>
      </c>
      <c r="AH15" s="89">
        <v>0.63</v>
      </c>
      <c r="AI15" s="89">
        <v>0.3</v>
      </c>
      <c r="AJ15" s="89">
        <v>0.06</v>
      </c>
      <c r="AK15" s="89">
        <v>0.02</v>
      </c>
      <c r="AL15" s="89">
        <v>0</v>
      </c>
      <c r="AM15" s="347">
        <v>48</v>
      </c>
      <c r="AN15" s="343" t="s">
        <v>912</v>
      </c>
      <c r="AO15" s="347">
        <v>10</v>
      </c>
      <c r="AP15" s="343" t="s">
        <v>910</v>
      </c>
      <c r="AQ15" s="370">
        <v>0.47</v>
      </c>
      <c r="AR15" s="370">
        <v>0.36</v>
      </c>
      <c r="AS15" s="370">
        <v>0.13</v>
      </c>
      <c r="AT15" s="370">
        <v>0.04</v>
      </c>
      <c r="AU15" s="370">
        <v>0</v>
      </c>
      <c r="AV15" s="480">
        <v>50</v>
      </c>
      <c r="AW15" s="483" t="s">
        <v>910</v>
      </c>
      <c r="AX15" s="480">
        <v>10</v>
      </c>
      <c r="AY15" s="483" t="s">
        <v>910</v>
      </c>
      <c r="AZ15" s="426">
        <v>0.41</v>
      </c>
      <c r="BA15" s="426">
        <v>0.36</v>
      </c>
      <c r="BB15" s="426">
        <v>0.18</v>
      </c>
      <c r="BC15" s="426">
        <v>0.04</v>
      </c>
      <c r="BD15" s="426">
        <v>0</v>
      </c>
      <c r="BE15" s="628">
        <v>50</v>
      </c>
      <c r="BF15" s="639" t="s">
        <v>910</v>
      </c>
      <c r="BG15" s="628">
        <v>9</v>
      </c>
      <c r="BH15" s="639" t="s">
        <v>912</v>
      </c>
      <c r="BI15" s="643">
        <v>0.41</v>
      </c>
      <c r="BJ15" s="643">
        <v>0.39</v>
      </c>
      <c r="BK15" s="643">
        <v>0.16</v>
      </c>
      <c r="BL15" s="643">
        <v>0.04</v>
      </c>
      <c r="BM15" s="643">
        <v>0</v>
      </c>
    </row>
    <row r="16" spans="1:65" ht="24.9" customHeight="1" x14ac:dyDescent="0.25">
      <c r="A16" s="187" t="s">
        <v>16</v>
      </c>
      <c r="B16" s="6"/>
      <c r="C16" s="6"/>
      <c r="D16" s="30">
        <v>55</v>
      </c>
      <c r="E16" s="30">
        <v>10</v>
      </c>
      <c r="F16" s="98">
        <v>0.24</v>
      </c>
      <c r="G16" s="98">
        <v>0.39</v>
      </c>
      <c r="H16" s="98">
        <v>0.27</v>
      </c>
      <c r="I16" s="98">
        <v>0.09</v>
      </c>
      <c r="J16" s="98">
        <v>0</v>
      </c>
      <c r="K16" s="30">
        <v>53</v>
      </c>
      <c r="L16" s="30">
        <v>10</v>
      </c>
      <c r="M16" s="89">
        <v>0.32</v>
      </c>
      <c r="N16" s="89">
        <v>0.37</v>
      </c>
      <c r="O16" s="89">
        <v>0.24</v>
      </c>
      <c r="P16" s="89">
        <v>0.06</v>
      </c>
      <c r="Q16" s="89">
        <v>0.01</v>
      </c>
      <c r="R16" s="30">
        <v>54</v>
      </c>
      <c r="S16" s="30">
        <v>10</v>
      </c>
      <c r="T16" s="65">
        <v>0.26</v>
      </c>
      <c r="U16" s="65">
        <v>0.41</v>
      </c>
      <c r="V16" s="65">
        <v>0.25</v>
      </c>
      <c r="W16" s="65">
        <v>7.0000000000000007E-2</v>
      </c>
      <c r="X16" s="65">
        <v>0.01</v>
      </c>
      <c r="Y16" s="30">
        <v>53</v>
      </c>
      <c r="Z16" s="30">
        <v>10</v>
      </c>
      <c r="AA16" s="65">
        <v>0.3</v>
      </c>
      <c r="AB16" s="65">
        <v>0.4</v>
      </c>
      <c r="AC16" s="65">
        <v>0.23</v>
      </c>
      <c r="AD16" s="65">
        <v>7.0000000000000007E-2</v>
      </c>
      <c r="AE16" s="65">
        <v>0.01</v>
      </c>
      <c r="AF16" s="90">
        <v>49</v>
      </c>
      <c r="AG16" s="90">
        <v>10</v>
      </c>
      <c r="AH16" s="89">
        <v>0.47</v>
      </c>
      <c r="AI16" s="89">
        <v>0.36</v>
      </c>
      <c r="AJ16" s="89">
        <v>0.12</v>
      </c>
      <c r="AK16" s="89">
        <v>0.05</v>
      </c>
      <c r="AL16" s="89">
        <v>0</v>
      </c>
      <c r="AM16" s="347">
        <v>53</v>
      </c>
      <c r="AN16" s="343" t="s">
        <v>910</v>
      </c>
      <c r="AO16" s="347">
        <v>11</v>
      </c>
      <c r="AP16" s="343" t="s">
        <v>910</v>
      </c>
      <c r="AQ16" s="370">
        <v>0.31</v>
      </c>
      <c r="AR16" s="370">
        <v>0.37</v>
      </c>
      <c r="AS16" s="370">
        <v>0.23</v>
      </c>
      <c r="AT16" s="370">
        <v>0.08</v>
      </c>
      <c r="AU16" s="370">
        <v>0.01</v>
      </c>
      <c r="AV16" s="480">
        <v>54</v>
      </c>
      <c r="AW16" s="483" t="s">
        <v>910</v>
      </c>
      <c r="AX16" s="480">
        <v>11</v>
      </c>
      <c r="AY16" s="483" t="s">
        <v>910</v>
      </c>
      <c r="AZ16" s="426">
        <v>0.26</v>
      </c>
      <c r="BA16" s="426">
        <v>0.35</v>
      </c>
      <c r="BB16" s="426">
        <v>0.27</v>
      </c>
      <c r="BC16" s="426">
        <v>0.11</v>
      </c>
      <c r="BD16" s="426">
        <v>0.01</v>
      </c>
      <c r="BE16" s="628">
        <v>55</v>
      </c>
      <c r="BF16" s="639" t="s">
        <v>910</v>
      </c>
      <c r="BG16" s="628">
        <v>11</v>
      </c>
      <c r="BH16" s="639" t="s">
        <v>910</v>
      </c>
      <c r="BI16" s="643">
        <v>0.26</v>
      </c>
      <c r="BJ16" s="643">
        <v>0.36</v>
      </c>
      <c r="BK16" s="643">
        <v>0.25</v>
      </c>
      <c r="BL16" s="643">
        <v>0.12</v>
      </c>
      <c r="BM16" s="643">
        <v>0.01</v>
      </c>
    </row>
    <row r="17" spans="1:65" s="461" customFormat="1" ht="24.9" customHeight="1" x14ac:dyDescent="0.25">
      <c r="A17" s="427" t="s">
        <v>17</v>
      </c>
      <c r="B17" s="427"/>
      <c r="C17" s="427"/>
      <c r="D17" s="495"/>
      <c r="E17" s="495"/>
      <c r="F17" s="499"/>
      <c r="G17" s="499"/>
      <c r="H17" s="499"/>
      <c r="I17" s="499"/>
      <c r="J17" s="499"/>
      <c r="K17" s="495"/>
      <c r="L17" s="495"/>
      <c r="M17" s="497"/>
      <c r="N17" s="497"/>
      <c r="O17" s="497"/>
      <c r="P17" s="497"/>
      <c r="Q17" s="497"/>
      <c r="R17" s="495"/>
      <c r="S17" s="495"/>
      <c r="T17" s="426"/>
      <c r="U17" s="426"/>
      <c r="V17" s="426"/>
      <c r="W17" s="426"/>
      <c r="X17" s="426"/>
      <c r="Y17" s="495"/>
      <c r="Z17" s="495"/>
      <c r="AA17" s="426"/>
      <c r="AB17" s="426"/>
      <c r="AC17" s="426"/>
      <c r="AD17" s="426"/>
      <c r="AE17" s="426"/>
      <c r="AF17" s="498"/>
      <c r="AG17" s="498"/>
      <c r="AH17" s="497"/>
      <c r="AI17" s="497"/>
      <c r="AJ17" s="497"/>
      <c r="AK17" s="497"/>
      <c r="AL17" s="497"/>
      <c r="AM17" s="488"/>
      <c r="AN17" s="513"/>
      <c r="AO17" s="488"/>
      <c r="AP17" s="513"/>
      <c r="AQ17" s="500"/>
      <c r="AR17" s="500"/>
      <c r="AS17" s="500"/>
      <c r="AT17" s="500"/>
      <c r="AU17" s="500"/>
      <c r="AV17" s="480">
        <v>66</v>
      </c>
      <c r="AW17" s="483" t="s">
        <v>911</v>
      </c>
      <c r="AX17" s="480">
        <v>7</v>
      </c>
      <c r="AY17" s="483" t="s">
        <v>912</v>
      </c>
      <c r="AZ17" s="426">
        <v>0</v>
      </c>
      <c r="BA17" s="426">
        <v>0</v>
      </c>
      <c r="BB17" s="426">
        <v>0.67</v>
      </c>
      <c r="BC17" s="426">
        <v>0.33</v>
      </c>
      <c r="BD17" s="426">
        <v>0</v>
      </c>
    </row>
    <row r="18" spans="1:65" s="267" customFormat="1" ht="24.9" customHeight="1" x14ac:dyDescent="0.25">
      <c r="A18" s="6" t="s">
        <v>246</v>
      </c>
      <c r="B18" s="6"/>
      <c r="C18" s="6"/>
      <c r="D18" s="192">
        <f>AVERAGEIF($C$36:$C$167,"=1",D$36:D$167)</f>
        <v>52.647058823529413</v>
      </c>
      <c r="E18" s="192">
        <f>AVERAGEIF($C$36:$C$167,"=1",E$36:E$167)</f>
        <v>8.235294117647058</v>
      </c>
      <c r="F18" s="65">
        <f>AVERAGEIF($C$36:$C$167,"=1",F$36:F$167)</f>
        <v>0.29882352941176465</v>
      </c>
      <c r="G18" s="65">
        <f t="shared" ref="G18:J18" si="0">AVERAGEIF($C$36:$C$167,"=1",G$36:G$167)</f>
        <v>0.4611764705882353</v>
      </c>
      <c r="H18" s="65">
        <f t="shared" si="0"/>
        <v>0.18470588235294122</v>
      </c>
      <c r="I18" s="65">
        <f t="shared" si="0"/>
        <v>5.4705882352941181E-2</v>
      </c>
      <c r="J18" s="65">
        <f t="shared" si="0"/>
        <v>0</v>
      </c>
      <c r="K18" s="192">
        <f>AVERAGEIF($C$36:$C$167,"=1",K$36:K$167)</f>
        <v>50.4375</v>
      </c>
      <c r="L18" s="192">
        <f>AVERAGEIF($C$36:$C$167,"=1",L$36:L$167)</f>
        <v>8.6875</v>
      </c>
      <c r="M18" s="65">
        <f>AVERAGEIF($C$36:$C$167,"=1",M$36:M$167)</f>
        <v>0.41125</v>
      </c>
      <c r="N18" s="65">
        <f t="shared" ref="N18:Q18" si="1">AVERAGEIF($C$36:$C$167,"=1",N$36:N$167)</f>
        <v>0.38874999999999998</v>
      </c>
      <c r="O18" s="65">
        <f t="shared" si="1"/>
        <v>0.15812500000000004</v>
      </c>
      <c r="P18" s="65">
        <f t="shared" si="1"/>
        <v>4.2499999999999996E-2</v>
      </c>
      <c r="Q18" s="65">
        <f t="shared" si="1"/>
        <v>6.2500000000000001E-4</v>
      </c>
      <c r="R18" s="192">
        <f>AVERAGEIF($C$36:$C$167,"=1",R$36:R$167)</f>
        <v>52.117647058823529</v>
      </c>
      <c r="S18" s="192">
        <f>AVERAGEIF($C$36:$C$167,"=1",S$36:S$167)</f>
        <v>8.1764705882352935</v>
      </c>
      <c r="T18" s="65">
        <f>AVERAGEIF($C$36:$C$167,"=1",T$36:T$167)</f>
        <v>0.30294117647058827</v>
      </c>
      <c r="U18" s="65">
        <f t="shared" ref="U18:X18" si="2">AVERAGEIF($C$36:$C$167,"=1",U$36:U$167)</f>
        <v>0.42352941176470588</v>
      </c>
      <c r="V18" s="65">
        <f t="shared" si="2"/>
        <v>0.24117647058823521</v>
      </c>
      <c r="W18" s="65">
        <f t="shared" si="2"/>
        <v>3.2352941176470591E-2</v>
      </c>
      <c r="X18" s="65">
        <f t="shared" si="2"/>
        <v>1.1764705882352942E-3</v>
      </c>
      <c r="Y18" s="192">
        <f>AVERAGEIF($C$36:$C$167,"=1",Y$36:Y$167)</f>
        <v>50.058823529411768</v>
      </c>
      <c r="Z18" s="192">
        <f>AVERAGEIF($C$36:$C$167,"=1",Z$36:Z$167)</f>
        <v>8.9411764705882355</v>
      </c>
      <c r="AA18" s="65">
        <f>AVERAGEIF($C$36:$C$167,"=1",AA$36:AA$167)</f>
        <v>0.37470588235294122</v>
      </c>
      <c r="AB18" s="65">
        <f t="shared" ref="AB18:AE18" si="3">AVERAGEIF($C$36:$C$167,"=1",AB$36:AB$167)</f>
        <v>0.42352941176470582</v>
      </c>
      <c r="AC18" s="65">
        <f t="shared" si="3"/>
        <v>0.16705882352941182</v>
      </c>
      <c r="AD18" s="65">
        <f t="shared" si="3"/>
        <v>3.529411764705883E-2</v>
      </c>
      <c r="AE18" s="65">
        <f t="shared" si="3"/>
        <v>1.764705882352941E-3</v>
      </c>
      <c r="AF18" s="192">
        <f>AVERAGEIF($C$36:$C$167,"=1",AF$36:AF$167)</f>
        <v>48.058823529411768</v>
      </c>
      <c r="AG18" s="192">
        <f>AVERAGEIF($C$36:$C$167,"=1",AG$36:AG$167)</f>
        <v>8.882352941176471</v>
      </c>
      <c r="AH18" s="65">
        <f>AVERAGEIF($C$36:$C$167,"=1",AH$36:AH$167)</f>
        <v>0.52176470588235302</v>
      </c>
      <c r="AI18" s="65">
        <f t="shared" ref="AI18:AL18" si="4">AVERAGEIF($C$36:$C$167,"=1",AI$36:AI$167)</f>
        <v>0.33882352941176475</v>
      </c>
      <c r="AJ18" s="65">
        <f t="shared" si="4"/>
        <v>0.10764705882352942</v>
      </c>
      <c r="AK18" s="65">
        <f t="shared" si="4"/>
        <v>2.9411764705882349E-2</v>
      </c>
      <c r="AL18" s="65">
        <f t="shared" si="4"/>
        <v>2.9411764705882353E-3</v>
      </c>
      <c r="AM18" s="192">
        <f>AVERAGEIF($C$36:$C$167,"=1",AM$36:AM$167)</f>
        <v>52</v>
      </c>
      <c r="AN18" s="336"/>
      <c r="AO18" s="192">
        <f>AVERAGEIF($C$36:$C$167,"=1",AO$36:AO$167)</f>
        <v>9.4705882352941178</v>
      </c>
      <c r="AP18" s="336"/>
      <c r="AQ18" s="65">
        <f t="shared" ref="AQ18:AU18" si="5">AVERAGEIF($C$36:$C$167,"=1",AQ$36:AQ$167)</f>
        <v>0.30294117647058816</v>
      </c>
      <c r="AR18" s="65">
        <f t="shared" si="5"/>
        <v>0.40941176470588231</v>
      </c>
      <c r="AS18" s="65">
        <f t="shared" si="5"/>
        <v>0.23176470588235296</v>
      </c>
      <c r="AT18" s="65">
        <f t="shared" si="5"/>
        <v>5.2352941176470595E-2</v>
      </c>
      <c r="AU18" s="65">
        <f t="shared" si="5"/>
        <v>4.7058823529411769E-3</v>
      </c>
      <c r="AV18" s="192">
        <f>AVERAGEIF($C$36:$C$167,"=1",AV$36:AV$167)</f>
        <v>52</v>
      </c>
      <c r="AX18" s="192">
        <f>AVERAGEIF($C$36:$C$167,"=1",AX$36:AX$167)</f>
        <v>10.055555555555555</v>
      </c>
      <c r="AZ18" s="521">
        <f>AVERAGEIF($C$36:$C$167,"=1",AZ$36:AZ$167)</f>
        <v>0.3288888888888889</v>
      </c>
      <c r="BA18" s="521">
        <f t="shared" ref="BA18:BD18" si="6">AVERAGEIF($C$36:$C$167,"=1",BA$36:BA$167)</f>
        <v>0.37388888888888883</v>
      </c>
      <c r="BB18" s="521">
        <f t="shared" si="6"/>
        <v>0.21944444444444444</v>
      </c>
      <c r="BC18" s="521">
        <f t="shared" si="6"/>
        <v>7.0555555555555552E-2</v>
      </c>
      <c r="BD18" s="521">
        <f t="shared" si="6"/>
        <v>8.333333333333335E-3</v>
      </c>
      <c r="BE18" s="192">
        <f>AVERAGEIF($C$36:$C$167,"=1",BE$36:BE$167)</f>
        <v>53.058823529411768</v>
      </c>
      <c r="BG18" s="192">
        <f>AVERAGEIF($C$36:$C$167,"=1",BG$36:BG$167)</f>
        <v>9.4705882352941178</v>
      </c>
      <c r="BI18" s="521">
        <f>AVERAGEIF($C$36:$C$167,"=1",BI$36:BI$167)</f>
        <v>0.29529411764705887</v>
      </c>
      <c r="BJ18" s="521">
        <f t="shared" ref="BJ18:BM18" si="7">AVERAGEIF($C$36:$C$167,"=1",BJ$36:BJ$167)</f>
        <v>0.40352941176470591</v>
      </c>
      <c r="BK18" s="521">
        <f t="shared" si="7"/>
        <v>0.21647058823529414</v>
      </c>
      <c r="BL18" s="521">
        <f t="shared" si="7"/>
        <v>7.7058823529411763E-2</v>
      </c>
      <c r="BM18" s="521">
        <f t="shared" si="7"/>
        <v>7.6470588235294122E-3</v>
      </c>
    </row>
    <row r="19" spans="1:65" s="267" customFormat="1" ht="24.9" customHeight="1" x14ac:dyDescent="0.25">
      <c r="A19" s="6" t="s">
        <v>247</v>
      </c>
      <c r="B19" s="6"/>
      <c r="C19" s="6"/>
      <c r="D19" s="192">
        <f>AVERAGEIF($C$36:$C$167,"=2",D$36:D$167)</f>
        <v>54.7</v>
      </c>
      <c r="E19" s="192">
        <f>AVERAGEIF($C$36:$C$167,"=2",E$36:E$167)</f>
        <v>9.25</v>
      </c>
      <c r="F19" s="65">
        <f>AVERAGEIF($C$36:$C$167,"=2",F$36:F$167)</f>
        <v>0.26199999999999996</v>
      </c>
      <c r="G19" s="65">
        <f t="shared" ref="G19:J19" si="8">AVERAGEIF($C$36:$C$167,"=2",G$36:G$167)</f>
        <v>0.36</v>
      </c>
      <c r="H19" s="65">
        <f t="shared" si="8"/>
        <v>0.27350000000000002</v>
      </c>
      <c r="I19" s="65">
        <f t="shared" si="8"/>
        <v>9.8000000000000004E-2</v>
      </c>
      <c r="J19" s="65">
        <f t="shared" si="8"/>
        <v>6.5000000000000006E-3</v>
      </c>
      <c r="K19" s="192">
        <f>AVERAGEIF($C$36:$C$167,"=2",K$36:K$167)</f>
        <v>52.315789473684212</v>
      </c>
      <c r="L19" s="192">
        <f>AVERAGEIF($C$36:$C$167,"=2",L$36:L$167)</f>
        <v>8.6842105263157894</v>
      </c>
      <c r="M19" s="65">
        <f>AVERAGEIF($C$36:$C$167,"=2",M$36:M$167)</f>
        <v>0.35105263157894734</v>
      </c>
      <c r="N19" s="65">
        <f t="shared" ref="N19:Q19" si="9">AVERAGEIF($C$36:$C$167,"=2",N$36:N$167)</f>
        <v>0.31894736842105259</v>
      </c>
      <c r="O19" s="65">
        <f t="shared" si="9"/>
        <v>0.2636842105263158</v>
      </c>
      <c r="P19" s="65">
        <f t="shared" si="9"/>
        <v>6.0000000000000005E-2</v>
      </c>
      <c r="Q19" s="65">
        <f t="shared" si="9"/>
        <v>5.7894736842105266E-3</v>
      </c>
      <c r="R19" s="192">
        <f>AVERAGEIF($C$36:$C$167,"=2",R$36:R$167)</f>
        <v>54</v>
      </c>
      <c r="S19" s="192">
        <f>AVERAGEIF($C$36:$C$167,"=2",S$36:S$167)</f>
        <v>8.6315789473684212</v>
      </c>
      <c r="T19" s="65">
        <f>AVERAGEIF($C$36:$C$167,"=2",T$36:T$167)</f>
        <v>0.24578947368421053</v>
      </c>
      <c r="U19" s="65">
        <f t="shared" ref="U19:X19" si="10">AVERAGEIF($C$36:$C$167,"=2",U$36:U$167)</f>
        <v>0.41736842105263161</v>
      </c>
      <c r="V19" s="65">
        <f t="shared" si="10"/>
        <v>0.25105263157894742</v>
      </c>
      <c r="W19" s="65">
        <f t="shared" si="10"/>
        <v>7.4736842105263171E-2</v>
      </c>
      <c r="X19" s="65">
        <f t="shared" si="10"/>
        <v>8.9473684210526309E-3</v>
      </c>
      <c r="Y19" s="192">
        <f>AVERAGEIF($C$36:$C$167,"=2",Y$36:Y$167)</f>
        <v>53.45</v>
      </c>
      <c r="Z19" s="192">
        <f>AVERAGEIF($C$36:$C$167,"=2",Z$36:Z$167)</f>
        <v>9.6999999999999993</v>
      </c>
      <c r="AA19" s="65">
        <f>AVERAGEIF($C$36:$C$167,"=2",AA$36:AA$167)</f>
        <v>0.27450000000000008</v>
      </c>
      <c r="AB19" s="65">
        <f t="shared" ref="AB19:AE19" si="11">AVERAGEIF($C$36:$C$167,"=2",AB$36:AB$167)</f>
        <v>0.38849999999999996</v>
      </c>
      <c r="AC19" s="65">
        <f t="shared" si="11"/>
        <v>0.24100000000000002</v>
      </c>
      <c r="AD19" s="65">
        <f t="shared" si="11"/>
        <v>8.5000000000000006E-2</v>
      </c>
      <c r="AE19" s="65">
        <f t="shared" si="11"/>
        <v>1.0999999999999999E-2</v>
      </c>
      <c r="AF19" s="192">
        <f>AVERAGEIF($C$36:$C$167,"=2",AF$36:AF$167)</f>
        <v>48.583333333333336</v>
      </c>
      <c r="AG19" s="192">
        <f>AVERAGEIF($C$36:$C$167,"=2",AG$36:AG$167)</f>
        <v>7.916666666666667</v>
      </c>
      <c r="AH19" s="65">
        <f>AVERAGEIF($C$36:$C$167,"=2",AH$36:AH$167)</f>
        <v>0.50583333333333336</v>
      </c>
      <c r="AI19" s="65">
        <f t="shared" ref="AI19:AL19" si="12">AVERAGEIF($C$36:$C$167,"=2",AI$36:AI$167)</f>
        <v>0.31958333333333339</v>
      </c>
      <c r="AJ19" s="65">
        <f t="shared" si="12"/>
        <v>0.10124999999999999</v>
      </c>
      <c r="AK19" s="65">
        <f t="shared" si="12"/>
        <v>6.458333333333334E-2</v>
      </c>
      <c r="AL19" s="65">
        <f t="shared" si="12"/>
        <v>9.166666666666665E-3</v>
      </c>
      <c r="AM19" s="192">
        <f>AVERAGEIF($C$36:$C$167,"=2",AM$36:AM$167)</f>
        <v>53.227272727272727</v>
      </c>
      <c r="AN19" s="336"/>
      <c r="AO19" s="192">
        <f>AVERAGEIF($C$36:$C$167,"=2",AO$36:AO$167)</f>
        <v>9.0909090909090917</v>
      </c>
      <c r="AP19" s="336"/>
      <c r="AQ19" s="65">
        <f t="shared" ref="AQ19:AU19" si="13">AVERAGEIF($C$36:$C$167,"=2",AQ$36:AQ$167)</f>
        <v>0.28499999999999998</v>
      </c>
      <c r="AR19" s="65">
        <f t="shared" si="13"/>
        <v>0.3736363636363636</v>
      </c>
      <c r="AS19" s="65">
        <f t="shared" si="13"/>
        <v>0.23727272727272722</v>
      </c>
      <c r="AT19" s="65">
        <f t="shared" si="13"/>
        <v>8.9090909090909096E-2</v>
      </c>
      <c r="AU19" s="65">
        <f t="shared" si="13"/>
        <v>1.3636363636363636E-2</v>
      </c>
      <c r="AV19" s="192">
        <f>AVERAGEIF($C$36:$C$167,"=2",AV$36:AV$167)</f>
        <v>54.96</v>
      </c>
      <c r="AX19" s="192">
        <f>AVERAGEIF($C$36:$C$167,"=2",AX$36:AX$167)</f>
        <v>9.52</v>
      </c>
      <c r="AZ19" s="521">
        <f>AVERAGEIF($C$36:$C$167,"=2",AZ$36:AZ$167)</f>
        <v>0.25840000000000002</v>
      </c>
      <c r="BA19" s="521">
        <f t="shared" ref="BA19:BD19" si="14">AVERAGEIF($C$36:$C$167,"=2",BA$36:BA$167)</f>
        <v>0.28999999999999992</v>
      </c>
      <c r="BB19" s="521">
        <f t="shared" si="14"/>
        <v>0.3044</v>
      </c>
      <c r="BC19" s="521">
        <f t="shared" si="14"/>
        <v>0.13639999999999997</v>
      </c>
      <c r="BD19" s="521">
        <f t="shared" si="14"/>
        <v>1.2800000000000002E-2</v>
      </c>
      <c r="BE19" s="192">
        <f>AVERAGEIF($C$36:$C$167,"=2",BE$36:BE$167)</f>
        <v>54.42307692307692</v>
      </c>
      <c r="BG19" s="192">
        <f>AVERAGEIF($C$36:$C$167,"=2",BG$36:BG$167)</f>
        <v>9.2692307692307701</v>
      </c>
      <c r="BI19" s="521">
        <f>AVERAGEIF($C$36:$C$167,"=2",BI$36:BI$167)</f>
        <v>0.30499999999999994</v>
      </c>
      <c r="BJ19" s="521">
        <f t="shared" ref="BJ19:BM19" si="15">AVERAGEIF($C$36:$C$167,"=2",BJ$36:BJ$167)</f>
        <v>0.32384615384615384</v>
      </c>
      <c r="BK19" s="521">
        <f t="shared" si="15"/>
        <v>0.21269230769230768</v>
      </c>
      <c r="BL19" s="521">
        <f t="shared" si="15"/>
        <v>0.14615384615384611</v>
      </c>
      <c r="BM19" s="521">
        <f t="shared" si="15"/>
        <v>1.1538461538461537E-2</v>
      </c>
    </row>
    <row r="20" spans="1:65" s="267" customFormat="1" ht="24.9" customHeight="1" x14ac:dyDescent="0.25">
      <c r="A20" s="6" t="s">
        <v>248</v>
      </c>
      <c r="B20" s="6"/>
      <c r="C20" s="6"/>
      <c r="D20" s="192">
        <f>AVERAGEIF($C$36:$C$167,"=3",D$36:D$167)</f>
        <v>54.222222222222221</v>
      </c>
      <c r="E20" s="192">
        <f>AVERAGEIF($C$36:$C$167,"=3",E$36:E$167)</f>
        <v>8.9444444444444446</v>
      </c>
      <c r="F20" s="65">
        <f>AVERAGEIF($C$36:$C$167,"=3",F$36:F$167)</f>
        <v>0.25222222222222229</v>
      </c>
      <c r="G20" s="65">
        <f t="shared" ref="G20:J20" si="16">AVERAGEIF($C$36:$C$167,"=3",G$36:G$167)</f>
        <v>0.4005555555555555</v>
      </c>
      <c r="H20" s="65">
        <f t="shared" si="16"/>
        <v>0.27055555555555555</v>
      </c>
      <c r="I20" s="65">
        <f t="shared" si="16"/>
        <v>7.6666666666666661E-2</v>
      </c>
      <c r="J20" s="65">
        <f t="shared" si="16"/>
        <v>2.7777777777777779E-3</v>
      </c>
      <c r="K20" s="192">
        <f>AVERAGEIF($C$36:$C$167,"=3",K$36:K$167)</f>
        <v>51.157894736842103</v>
      </c>
      <c r="L20" s="192">
        <f>AVERAGEIF($C$36:$C$167,"=3",L$36:L$167)</f>
        <v>9.0526315789473681</v>
      </c>
      <c r="M20" s="65">
        <f>AVERAGEIF($C$36:$C$167,"=3",M$36:M$167)</f>
        <v>0.3568421052631579</v>
      </c>
      <c r="N20" s="65">
        <f t="shared" ref="N20:Q20" si="17">AVERAGEIF($C$36:$C$167,"=3",N$36:N$167)</f>
        <v>0.3936842105263158</v>
      </c>
      <c r="O20" s="65">
        <f t="shared" si="17"/>
        <v>0.19789473684210526</v>
      </c>
      <c r="P20" s="65">
        <f t="shared" si="17"/>
        <v>4.9473684210526329E-2</v>
      </c>
      <c r="Q20" s="65">
        <f t="shared" si="17"/>
        <v>3.6842105263157898E-3</v>
      </c>
      <c r="R20" s="192">
        <f>AVERAGEIF($C$36:$C$167,"=3",R$36:R$167)</f>
        <v>52.842105263157897</v>
      </c>
      <c r="S20" s="192">
        <f>AVERAGEIF($C$36:$C$167,"=3",S$36:S$167)</f>
        <v>8.7368421052631575</v>
      </c>
      <c r="T20" s="65">
        <f>AVERAGEIF($C$36:$C$167,"=3",T$36:T$167)</f>
        <v>0.28526315789473689</v>
      </c>
      <c r="U20" s="65">
        <f t="shared" ref="U20:X20" si="18">AVERAGEIF($C$36:$C$167,"=3",U$36:U$167)</f>
        <v>0.41421052631578942</v>
      </c>
      <c r="V20" s="65">
        <f t="shared" si="18"/>
        <v>0.24684210526315792</v>
      </c>
      <c r="W20" s="65">
        <f t="shared" si="18"/>
        <v>4.7894736842105282E-2</v>
      </c>
      <c r="X20" s="65">
        <f t="shared" si="18"/>
        <v>4.7368421052631574E-3</v>
      </c>
      <c r="Y20" s="192">
        <f>AVERAGEIF($C$36:$C$167,"=3",Y$36:Y$167)</f>
        <v>51.578947368421055</v>
      </c>
      <c r="Z20" s="192">
        <f>AVERAGEIF($C$36:$C$167,"=3",Z$36:Z$167)</f>
        <v>9.473684210526315</v>
      </c>
      <c r="AA20" s="65">
        <f>AVERAGEIF($C$36:$C$167,"=3",AA$36:AA$167)</f>
        <v>0.33473684210526317</v>
      </c>
      <c r="AB20" s="65">
        <f t="shared" ref="AB20:AE20" si="19">AVERAGEIF($C$36:$C$167,"=3",AB$36:AB$167)</f>
        <v>0.3978947368421053</v>
      </c>
      <c r="AC20" s="65">
        <f t="shared" si="19"/>
        <v>0.21000000000000002</v>
      </c>
      <c r="AD20" s="65">
        <f t="shared" si="19"/>
        <v>5.6842105263157895E-2</v>
      </c>
      <c r="AE20" s="65">
        <f t="shared" si="19"/>
        <v>1.5789473684210526E-3</v>
      </c>
      <c r="AF20" s="192">
        <f>AVERAGEIF($C$36:$C$167,"=3",AF$36:AF$167)</f>
        <v>49.05</v>
      </c>
      <c r="AG20" s="192">
        <f>AVERAGEIF($C$36:$C$167,"=3",AG$36:AG$167)</f>
        <v>8.5</v>
      </c>
      <c r="AH20" s="65">
        <f>AVERAGEIF($C$36:$C$167,"=3",AH$36:AH$167)</f>
        <v>0.48</v>
      </c>
      <c r="AI20" s="65">
        <f t="shared" ref="AI20:AL20" si="20">AVERAGEIF($C$36:$C$167,"=3",AI$36:AI$167)</f>
        <v>0.35749999999999998</v>
      </c>
      <c r="AJ20" s="65">
        <f t="shared" si="20"/>
        <v>0.11499999999999999</v>
      </c>
      <c r="AK20" s="65">
        <f t="shared" si="20"/>
        <v>4.5999999999999999E-2</v>
      </c>
      <c r="AL20" s="65">
        <f t="shared" si="20"/>
        <v>1.5E-3</v>
      </c>
      <c r="AM20" s="192">
        <f>AVERAGEIF($C$36:$C$167,"=3",AM$36:AM$167)</f>
        <v>52.25</v>
      </c>
      <c r="AN20" s="336"/>
      <c r="AO20" s="192">
        <f>AVERAGEIF($C$36:$C$167,"=3",AO$36:AO$167)</f>
        <v>10.1</v>
      </c>
      <c r="AP20" s="336"/>
      <c r="AQ20" s="65">
        <f t="shared" ref="AQ20:AU20" si="21">AVERAGEIF($C$36:$C$167,"=3",AQ$36:AQ$167)</f>
        <v>0.34799999999999998</v>
      </c>
      <c r="AR20" s="65">
        <f t="shared" si="21"/>
        <v>0.34050000000000002</v>
      </c>
      <c r="AS20" s="65">
        <f t="shared" si="21"/>
        <v>0.21599999999999997</v>
      </c>
      <c r="AT20" s="65">
        <f t="shared" si="21"/>
        <v>8.7000000000000008E-2</v>
      </c>
      <c r="AU20" s="65">
        <f t="shared" si="21"/>
        <v>9.0000000000000011E-3</v>
      </c>
      <c r="AV20" s="192">
        <f>AVERAGEIF($C$36:$C$167,"=3",AV$36:AV$167)</f>
        <v>54.363636363636367</v>
      </c>
      <c r="AX20" s="192">
        <f>AVERAGEIF($C$36:$C$167,"=3",AX$36:AX$167)</f>
        <v>10.090909090909092</v>
      </c>
      <c r="AZ20" s="521">
        <f>AVERAGEIF($C$36:$C$167,"=3",AZ$36:AZ$167)</f>
        <v>0.27590909090909094</v>
      </c>
      <c r="BA20" s="521">
        <f t="shared" ref="BA20:BD20" si="22">AVERAGEIF($C$36:$C$167,"=3",BA$36:BA$167)</f>
        <v>0.33909090909090911</v>
      </c>
      <c r="BB20" s="521">
        <f t="shared" si="22"/>
        <v>0.25090909090909091</v>
      </c>
      <c r="BC20" s="521">
        <f t="shared" si="22"/>
        <v>0.12590909090909086</v>
      </c>
      <c r="BD20" s="521">
        <f t="shared" si="22"/>
        <v>1.0454545454545456E-2</v>
      </c>
      <c r="BE20" s="192">
        <f>AVERAGEIF($C$36:$C$167,"=3",BE$36:BE$167)</f>
        <v>54.409090909090907</v>
      </c>
      <c r="BG20" s="192">
        <f>AVERAGEIF($C$36:$C$167,"=3",BG$36:BG$167)</f>
        <v>9.8636363636363633</v>
      </c>
      <c r="BI20" s="521">
        <f>AVERAGEIF($C$36:$C$167,"=3",BI$36:BI$167)</f>
        <v>0.26500000000000001</v>
      </c>
      <c r="BJ20" s="521">
        <f t="shared" ref="BJ20:BM20" si="23">AVERAGEIF($C$36:$C$167,"=3",BJ$36:BJ$167)</f>
        <v>0.36409090909090908</v>
      </c>
      <c r="BK20" s="521">
        <f t="shared" si="23"/>
        <v>0.25727272727272732</v>
      </c>
      <c r="BL20" s="521">
        <f t="shared" si="23"/>
        <v>9.6818181818181831E-2</v>
      </c>
      <c r="BM20" s="521">
        <f t="shared" si="23"/>
        <v>1.6818181818181822E-2</v>
      </c>
    </row>
    <row r="21" spans="1:65" s="267" customFormat="1" ht="24.9" customHeight="1" x14ac:dyDescent="0.25">
      <c r="A21" s="6" t="s">
        <v>249</v>
      </c>
      <c r="B21" s="6"/>
      <c r="C21" s="6"/>
      <c r="D21" s="192">
        <f>AVERAGEIF($C$36:$C$167,"=4",D$36:D$167)</f>
        <v>50.785714285714285</v>
      </c>
      <c r="E21" s="192">
        <f>AVERAGEIF($C$36:$C$167,"=4",E$36:E$167)</f>
        <v>8.4285714285714288</v>
      </c>
      <c r="F21" s="65">
        <f>AVERAGEIF($C$36:$C$167,"=4",F$36:F$167)</f>
        <v>0.41285714285714292</v>
      </c>
      <c r="G21" s="65">
        <f t="shared" ref="G21:J21" si="24">AVERAGEIF($C$36:$C$167,"=4",G$36:G$167)</f>
        <v>0.36928571428571433</v>
      </c>
      <c r="H21" s="65">
        <f t="shared" si="24"/>
        <v>0.15928571428571428</v>
      </c>
      <c r="I21" s="65">
        <f t="shared" si="24"/>
        <v>5.8571428571428573E-2</v>
      </c>
      <c r="J21" s="65">
        <f t="shared" si="24"/>
        <v>7.1428571428571429E-4</v>
      </c>
      <c r="K21" s="192">
        <f>AVERAGEIF($C$36:$C$167,"=4",K$36:K$167)</f>
        <v>49.466666666666669</v>
      </c>
      <c r="L21" s="192">
        <f>AVERAGEIF($C$36:$C$167,"=4",L$36:L$167)</f>
        <v>7.4666666666666668</v>
      </c>
      <c r="M21" s="65">
        <f>AVERAGEIF($C$36:$C$167,"=4",M$36:M$167)</f>
        <v>0.46666666666666667</v>
      </c>
      <c r="N21" s="65">
        <f t="shared" ref="N21:Q21" si="25">AVERAGEIF($C$36:$C$167,"=4",N$36:N$167)</f>
        <v>0.32333333333333331</v>
      </c>
      <c r="O21" s="65">
        <f t="shared" si="25"/>
        <v>0.19533333333333333</v>
      </c>
      <c r="P21" s="65">
        <f t="shared" si="25"/>
        <v>1.6E-2</v>
      </c>
      <c r="Q21" s="65">
        <f t="shared" si="25"/>
        <v>6.6666666666666664E-4</v>
      </c>
      <c r="R21" s="192">
        <f>AVERAGEIF($C$36:$C$167,"=4",R$36:R$167)</f>
        <v>52.133333333333333</v>
      </c>
      <c r="S21" s="192">
        <f>AVERAGEIF($C$36:$C$167,"=4",S$36:S$167)</f>
        <v>8.2666666666666675</v>
      </c>
      <c r="T21" s="65">
        <f>AVERAGEIF($C$36:$C$167,"=4",T$36:T$167)</f>
        <v>0.35133333333333339</v>
      </c>
      <c r="U21" s="65">
        <f t="shared" ref="U21:X21" si="26">AVERAGEIF($C$36:$C$167,"=4",U$36:U$167)</f>
        <v>0.37066666666666664</v>
      </c>
      <c r="V21" s="65">
        <f t="shared" si="26"/>
        <v>0.19400000000000001</v>
      </c>
      <c r="W21" s="65">
        <f t="shared" si="26"/>
        <v>7.8666666666666676E-2</v>
      </c>
      <c r="X21" s="65">
        <f t="shared" si="26"/>
        <v>4.6666666666666671E-3</v>
      </c>
      <c r="Y21" s="192">
        <f>AVERAGEIF($C$36:$C$167,"=4",Y$36:Y$167)</f>
        <v>48.785714285714285</v>
      </c>
      <c r="Z21" s="192">
        <f>AVERAGEIF($C$36:$C$167,"=4",Z$36:Z$167)</f>
        <v>8.7142857142857135</v>
      </c>
      <c r="AA21" s="65">
        <f>AVERAGEIF($C$36:$C$167,"=4",AA$36:AA$167)</f>
        <v>0.45857142857142863</v>
      </c>
      <c r="AB21" s="65">
        <f t="shared" ref="AB21:AE21" si="27">AVERAGEIF($C$36:$C$167,"=4",AB$36:AB$167)</f>
        <v>0.36857142857142861</v>
      </c>
      <c r="AC21" s="65">
        <f t="shared" si="27"/>
        <v>0.15071428571428572</v>
      </c>
      <c r="AD21" s="65">
        <f t="shared" si="27"/>
        <v>2.2142857142857141E-2</v>
      </c>
      <c r="AE21" s="65">
        <f t="shared" si="27"/>
        <v>1.4285714285714286E-3</v>
      </c>
      <c r="AF21" s="192">
        <f>AVERAGEIF($C$36:$C$167,"=4",AF$36:AF$167)</f>
        <v>45.846153846153847</v>
      </c>
      <c r="AG21" s="192">
        <f>AVERAGEIF($C$36:$C$167,"=4",AG$36:AG$167)</f>
        <v>8.0769230769230766</v>
      </c>
      <c r="AH21" s="65">
        <f>AVERAGEIF($C$36:$C$167,"=4",AH$36:AH$167)</f>
        <v>0.57923076923076922</v>
      </c>
      <c r="AI21" s="65">
        <f t="shared" ref="AI21:AL21" si="28">AVERAGEIF($C$36:$C$167,"=4",AI$36:AI$167)</f>
        <v>0.32692307692307693</v>
      </c>
      <c r="AJ21" s="65">
        <f t="shared" si="28"/>
        <v>8.3846153846153848E-2</v>
      </c>
      <c r="AK21" s="65">
        <f t="shared" si="28"/>
        <v>1.0769230769230771E-2</v>
      </c>
      <c r="AL21" s="65">
        <f t="shared" si="28"/>
        <v>0</v>
      </c>
      <c r="AM21" s="192">
        <f>AVERAGEIF($C$36:$C$167,"=4",AM$36:AM$167)</f>
        <v>48.857142857142854</v>
      </c>
      <c r="AN21" s="336"/>
      <c r="AO21" s="192">
        <f>AVERAGEIF($C$36:$C$167,"=4",AO$36:AO$167)</f>
        <v>8.7142857142857135</v>
      </c>
      <c r="AP21" s="336"/>
      <c r="AQ21" s="65">
        <f t="shared" ref="AQ21:AU21" si="29">AVERAGEIF($C$36:$C$167,"=4",AQ$36:AQ$167)</f>
        <v>0.42928571428571433</v>
      </c>
      <c r="AR21" s="65">
        <f t="shared" si="29"/>
        <v>0.3978571428571428</v>
      </c>
      <c r="AS21" s="65">
        <f t="shared" si="29"/>
        <v>0.1357142857142857</v>
      </c>
      <c r="AT21" s="65">
        <f t="shared" si="29"/>
        <v>3.2857142857142856E-2</v>
      </c>
      <c r="AU21" s="65">
        <f t="shared" si="29"/>
        <v>4.2857142857142859E-3</v>
      </c>
      <c r="AV21" s="192">
        <f>AVERAGEIF($C$36:$C$167,"=4",AV$36:AV$167)</f>
        <v>49.785714285714285</v>
      </c>
      <c r="AX21" s="192">
        <f>AVERAGEIF($C$36:$C$167,"=4",AX$36:AX$167)</f>
        <v>9.3571428571428577</v>
      </c>
      <c r="AZ21" s="521">
        <f>AVERAGEIF($C$36:$C$167,"=4",AZ$36:AZ$167)</f>
        <v>0.40571428571428575</v>
      </c>
      <c r="BA21" s="521">
        <f t="shared" ref="BA21:BD21" si="30">AVERAGEIF($C$36:$C$167,"=4",BA$36:BA$167)</f>
        <v>0.37499999999999994</v>
      </c>
      <c r="BB21" s="521">
        <f t="shared" si="30"/>
        <v>0.17</v>
      </c>
      <c r="BC21" s="521">
        <f t="shared" si="30"/>
        <v>4.9285714285714287E-2</v>
      </c>
      <c r="BD21" s="521">
        <f t="shared" si="30"/>
        <v>0</v>
      </c>
      <c r="BE21" s="192">
        <f>AVERAGEIF($C$36:$C$167,"=4",BE$36:BE$167)</f>
        <v>49.266666666666666</v>
      </c>
      <c r="BG21" s="192">
        <f>AVERAGEIF($C$36:$C$167,"=4",BG$36:BG$167)</f>
        <v>8.9333333333333336</v>
      </c>
      <c r="BI21" s="521">
        <f>AVERAGEIF($C$36:$C$167,"=4",BI$36:BI$167)</f>
        <v>0.4433333333333333</v>
      </c>
      <c r="BJ21" s="521">
        <f t="shared" ref="BJ21:BM21" si="31">AVERAGEIF($C$36:$C$167,"=4",BJ$36:BJ$167)</f>
        <v>0.34933333333333327</v>
      </c>
      <c r="BK21" s="521">
        <f t="shared" si="31"/>
        <v>0.16466666666666666</v>
      </c>
      <c r="BL21" s="521">
        <f t="shared" si="31"/>
        <v>3.8666666666666669E-2</v>
      </c>
      <c r="BM21" s="521">
        <f t="shared" si="31"/>
        <v>2E-3</v>
      </c>
    </row>
    <row r="22" spans="1:65" s="267" customFormat="1" ht="24.9" customHeight="1" x14ac:dyDescent="0.25">
      <c r="A22" s="6" t="s">
        <v>250</v>
      </c>
      <c r="B22" s="6"/>
      <c r="C22" s="6"/>
      <c r="D22" s="192">
        <f>AVERAGEIF($C$36:$C$167,"=5",D$36:D$167)</f>
        <v>57</v>
      </c>
      <c r="E22" s="192">
        <f>AVERAGEIF($C$36:$C$167,"=5",E$36:E$167)</f>
        <v>9.1764705882352935</v>
      </c>
      <c r="F22" s="65">
        <f>AVERAGEIF($C$36:$C$167,"=5",F$36:F$167)</f>
        <v>0.19411764705882351</v>
      </c>
      <c r="G22" s="65">
        <f t="shared" ref="G22:J22" si="32">AVERAGEIF($C$36:$C$167,"=5",G$36:G$167)</f>
        <v>0.36411764705882355</v>
      </c>
      <c r="H22" s="65">
        <f t="shared" si="32"/>
        <v>0.27352941176470591</v>
      </c>
      <c r="I22" s="65">
        <f t="shared" si="32"/>
        <v>0.15882352941176472</v>
      </c>
      <c r="J22" s="65">
        <f t="shared" si="32"/>
        <v>1.0588235294117647E-2</v>
      </c>
      <c r="K22" s="192">
        <f>AVERAGEIF($C$36:$C$167,"=5",K$36:K$167)</f>
        <v>55.411764705882355</v>
      </c>
      <c r="L22" s="192">
        <f>AVERAGEIF($C$36:$C$167,"=5",L$36:L$167)</f>
        <v>8.764705882352942</v>
      </c>
      <c r="M22" s="65">
        <f>AVERAGEIF($C$36:$C$167,"=5",M$36:M$167)</f>
        <v>0.22352941176470589</v>
      </c>
      <c r="N22" s="65">
        <f t="shared" ref="N22:Q22" si="33">AVERAGEIF($C$36:$C$167,"=5",N$36:N$167)</f>
        <v>0.34411764705882358</v>
      </c>
      <c r="O22" s="65">
        <f t="shared" si="33"/>
        <v>0.33235294117647057</v>
      </c>
      <c r="P22" s="65">
        <f t="shared" si="33"/>
        <v>8.529411764705884E-2</v>
      </c>
      <c r="Q22" s="65">
        <f t="shared" si="33"/>
        <v>1.5882352941176472E-2</v>
      </c>
      <c r="R22" s="192">
        <f>AVERAGEIF($C$36:$C$167,"=5",R$36:R$167)</f>
        <v>55.833333333333336</v>
      </c>
      <c r="S22" s="192">
        <f>AVERAGEIF($C$36:$C$167,"=5",S$36:S$167)</f>
        <v>8.7222222222222214</v>
      </c>
      <c r="T22" s="65">
        <f>AVERAGEIF($C$36:$C$167,"=5",T$36:T$167)</f>
        <v>0.19166666666666665</v>
      </c>
      <c r="U22" s="65">
        <f t="shared" ref="U22:X22" si="34">AVERAGEIF($C$36:$C$167,"=5",U$36:U$167)</f>
        <v>0.38500000000000001</v>
      </c>
      <c r="V22" s="65">
        <f t="shared" si="34"/>
        <v>0.27500000000000008</v>
      </c>
      <c r="W22" s="65">
        <f t="shared" si="34"/>
        <v>0.13</v>
      </c>
      <c r="X22" s="65">
        <f t="shared" si="34"/>
        <v>1.666666666666667E-2</v>
      </c>
      <c r="Y22" s="192">
        <f>AVERAGEIF($C$36:$C$167,"=5",Y$36:Y$167)</f>
        <v>55.10526315789474</v>
      </c>
      <c r="Z22" s="192">
        <f>AVERAGEIF($C$36:$C$167,"=5",Z$36:Z$167)</f>
        <v>9.1052631578947363</v>
      </c>
      <c r="AA22" s="65">
        <f>AVERAGEIF($C$36:$C$167,"=5",AA$36:AA$167)</f>
        <v>0.24526315789473685</v>
      </c>
      <c r="AB22" s="65">
        <f t="shared" ref="AB22:AE22" si="35">AVERAGEIF($C$36:$C$167,"=5",AB$36:AB$167)</f>
        <v>0.34789473684210526</v>
      </c>
      <c r="AC22" s="65">
        <f t="shared" si="35"/>
        <v>0.29842105263157898</v>
      </c>
      <c r="AD22" s="65">
        <f t="shared" si="35"/>
        <v>0.10894736842105264</v>
      </c>
      <c r="AE22" s="65">
        <f t="shared" si="35"/>
        <v>1.0526315789473684E-3</v>
      </c>
      <c r="AF22" s="192">
        <f>AVERAGEIF($C$36:$C$167,"=5",AF$36:AF$167)</f>
        <v>51.166666666666664</v>
      </c>
      <c r="AG22" s="192">
        <f>AVERAGEIF($C$36:$C$167,"=5",AG$36:AG$167)</f>
        <v>9.0555555555555554</v>
      </c>
      <c r="AH22" s="65">
        <f>AVERAGEIF($C$36:$C$167,"=5",AH$36:AH$167)</f>
        <v>0.34555555555555556</v>
      </c>
      <c r="AI22" s="65">
        <f t="shared" ref="AI22:AL22" si="36">AVERAGEIF($C$36:$C$167,"=5",AI$36:AI$167)</f>
        <v>0.41000000000000003</v>
      </c>
      <c r="AJ22" s="65">
        <f t="shared" si="36"/>
        <v>0.18277777777777779</v>
      </c>
      <c r="AK22" s="65">
        <f t="shared" si="36"/>
        <v>6.2222222222222227E-2</v>
      </c>
      <c r="AL22" s="65">
        <f t="shared" si="36"/>
        <v>5.5555555555555556E-4</v>
      </c>
      <c r="AM22" s="192">
        <f>AVERAGEIF($C$36:$C$167,"=5",AM$36:AM$167)</f>
        <v>56.111111111111114</v>
      </c>
      <c r="AN22" s="336"/>
      <c r="AO22" s="192">
        <f>AVERAGEIF($C$36:$C$167,"=5",AO$36:AO$167)</f>
        <v>9.6111111111111107</v>
      </c>
      <c r="AP22" s="336"/>
      <c r="AQ22" s="65">
        <f t="shared" ref="AQ22:AU22" si="37">AVERAGEIF($C$36:$C$167,"=5",AQ$36:AQ$167)</f>
        <v>0.20277777777777775</v>
      </c>
      <c r="AR22" s="65">
        <f t="shared" si="37"/>
        <v>0.37888888888888883</v>
      </c>
      <c r="AS22" s="65">
        <f t="shared" si="37"/>
        <v>0.27277777777777779</v>
      </c>
      <c r="AT22" s="65">
        <f t="shared" si="37"/>
        <v>0.14000000000000001</v>
      </c>
      <c r="AU22" s="65">
        <f t="shared" si="37"/>
        <v>5.5555555555555558E-3</v>
      </c>
      <c r="AV22" s="192">
        <f>AVERAGEIF($C$36:$C$167,"=5",AV$36:AV$167)</f>
        <v>57.117647058823529</v>
      </c>
      <c r="AX22" s="192">
        <f>AVERAGEIF($C$36:$C$167,"=5",AX$36:AX$167)</f>
        <v>9.4117647058823533</v>
      </c>
      <c r="AZ22" s="521">
        <f>AVERAGEIF($C$36:$C$167,"=5",AZ$36:AZ$167)</f>
        <v>0.15235294117647055</v>
      </c>
      <c r="BA22" s="521">
        <f t="shared" ref="BA22:BD22" si="38">AVERAGEIF($C$36:$C$167,"=5",BA$36:BA$167)</f>
        <v>0.36176470588235299</v>
      </c>
      <c r="BB22" s="521">
        <f t="shared" si="38"/>
        <v>0.32470588235294118</v>
      </c>
      <c r="BC22" s="521">
        <f t="shared" si="38"/>
        <v>0.14235294117647057</v>
      </c>
      <c r="BD22" s="521">
        <f t="shared" si="38"/>
        <v>1.7058823529411765E-2</v>
      </c>
      <c r="BE22" s="192">
        <f>AVERAGEIF($C$36:$C$167,"=5",BE$36:BE$167)</f>
        <v>57.470588235294116</v>
      </c>
      <c r="BG22" s="192">
        <f>AVERAGEIF($C$36:$C$167,"=5",BG$36:BG$167)</f>
        <v>9.7058823529411757</v>
      </c>
      <c r="BI22" s="521">
        <f>AVERAGEIF($C$36:$C$167,"=5",BI$36:BI$167)</f>
        <v>0.19000000000000006</v>
      </c>
      <c r="BJ22" s="521">
        <f t="shared" ref="BJ22:BM22" si="39">AVERAGEIF($C$36:$C$167,"=5",BJ$36:BJ$167)</f>
        <v>0.30176470588235293</v>
      </c>
      <c r="BK22" s="521">
        <f t="shared" si="39"/>
        <v>0.3294117647058824</v>
      </c>
      <c r="BL22" s="521">
        <f t="shared" si="39"/>
        <v>0.15647058823529411</v>
      </c>
      <c r="BM22" s="521">
        <f t="shared" si="39"/>
        <v>2.2941176470588236E-2</v>
      </c>
    </row>
    <row r="23" spans="1:65" ht="24.9" customHeight="1" x14ac:dyDescent="0.25">
      <c r="A23" s="6" t="s">
        <v>251</v>
      </c>
      <c r="B23" s="6"/>
      <c r="C23" s="6"/>
      <c r="D23" s="192">
        <f>AVERAGEIF($C$36:$C$167,"=6",D$36:D$167)</f>
        <v>54.2</v>
      </c>
      <c r="E23" s="192">
        <f>AVERAGEIF($C$36:$C$167,"=6",E$36:E$167)</f>
        <v>8.3333333333333339</v>
      </c>
      <c r="F23" s="65">
        <f>AVERAGEIF($C$36:$C$167,"=6",F$36:F$167)</f>
        <v>0.30066666666666664</v>
      </c>
      <c r="G23" s="65">
        <f t="shared" ref="G23:J23" si="40">AVERAGEIF($C$36:$C$167,"=6",G$36:G$167)</f>
        <v>0.34599999999999997</v>
      </c>
      <c r="H23" s="65">
        <f t="shared" si="40"/>
        <v>0.28066666666666668</v>
      </c>
      <c r="I23" s="65">
        <f t="shared" si="40"/>
        <v>6.6666666666666666E-2</v>
      </c>
      <c r="J23" s="65">
        <f t="shared" si="40"/>
        <v>4.0000000000000001E-3</v>
      </c>
      <c r="K23" s="192">
        <f>AVERAGEIF($C$36:$C$167,"=6",K$36:K$167)</f>
        <v>50.93333333333333</v>
      </c>
      <c r="L23" s="192">
        <f>AVERAGEIF($C$36:$C$167,"=6",L$36:L$167)</f>
        <v>9.3333333333333339</v>
      </c>
      <c r="M23" s="65">
        <f>AVERAGEIF($C$36:$C$167,"=6",M$36:M$167)</f>
        <v>0.43199999999999988</v>
      </c>
      <c r="N23" s="65">
        <f t="shared" ref="N23:Q23" si="41">AVERAGEIF($C$36:$C$167,"=6",N$36:N$167)</f>
        <v>0.34466666666666668</v>
      </c>
      <c r="O23" s="65">
        <f t="shared" si="41"/>
        <v>0.1566666666666667</v>
      </c>
      <c r="P23" s="65">
        <f t="shared" si="41"/>
        <v>6.0666666666666674E-2</v>
      </c>
      <c r="Q23" s="65">
        <f t="shared" si="41"/>
        <v>7.3333333333333332E-3</v>
      </c>
      <c r="R23" s="192">
        <f>AVERAGEIF($C$36:$C$167,"=6",R$36:R$167)</f>
        <v>52.357142857142854</v>
      </c>
      <c r="S23" s="192">
        <f>AVERAGEIF($C$36:$C$167,"=6",S$36:S$167)</f>
        <v>8.5714285714285712</v>
      </c>
      <c r="T23" s="65">
        <f>AVERAGEIF($C$36:$C$167,"=6",T$36:T$167)</f>
        <v>0.29928571428571432</v>
      </c>
      <c r="U23" s="65">
        <f t="shared" ref="U23:X23" si="42">AVERAGEIF($C$36:$C$167,"=6",U$36:U$167)</f>
        <v>0.45714285714285713</v>
      </c>
      <c r="V23" s="65">
        <f t="shared" si="42"/>
        <v>0.17571428571428571</v>
      </c>
      <c r="W23" s="65">
        <f t="shared" si="42"/>
        <v>6.2857142857142848E-2</v>
      </c>
      <c r="X23" s="65">
        <f t="shared" si="42"/>
        <v>5.0000000000000001E-3</v>
      </c>
      <c r="Y23" s="192">
        <f>AVERAGEIF($C$36:$C$167,"=6",Y$36:Y$167)</f>
        <v>51.733333333333334</v>
      </c>
      <c r="Z23" s="192">
        <f>AVERAGEIF($C$36:$C$167,"=6",Z$36:Z$167)</f>
        <v>9.1999999999999993</v>
      </c>
      <c r="AA23" s="65">
        <f>AVERAGEIF($C$36:$C$167,"=6",AA$36:AA$167)</f>
        <v>0.35933333333333334</v>
      </c>
      <c r="AB23" s="65">
        <f t="shared" ref="AB23:AE23" si="43">AVERAGEIF($C$36:$C$167,"=6",AB$36:AB$167)</f>
        <v>0.36866666666666664</v>
      </c>
      <c r="AC23" s="65">
        <f t="shared" si="43"/>
        <v>0.19466666666666665</v>
      </c>
      <c r="AD23" s="65">
        <f t="shared" si="43"/>
        <v>7.2000000000000022E-2</v>
      </c>
      <c r="AE23" s="65">
        <f t="shared" si="43"/>
        <v>8.0000000000000002E-3</v>
      </c>
      <c r="AF23" s="192">
        <f>AVERAGEIF($C$36:$C$167,"=6",AF$36:AF$167)</f>
        <v>47.588235294117645</v>
      </c>
      <c r="AG23" s="192">
        <f>AVERAGEIF($C$36:$C$167,"=6",AG$36:AG$167)</f>
        <v>9.0588235294117645</v>
      </c>
      <c r="AH23" s="65">
        <f>AVERAGEIF($C$36:$C$167,"=6",AH$36:AH$167)</f>
        <v>0.53941176470588237</v>
      </c>
      <c r="AI23" s="65">
        <f t="shared" ref="AI23:AL23" si="44">AVERAGEIF($C$36:$C$167,"=6",AI$36:AI$167)</f>
        <v>0.30705882352941172</v>
      </c>
      <c r="AJ23" s="65">
        <f t="shared" si="44"/>
        <v>0.1123529411764706</v>
      </c>
      <c r="AK23" s="65">
        <f t="shared" si="44"/>
        <v>3.9411764705882354E-2</v>
      </c>
      <c r="AL23" s="65">
        <f t="shared" si="44"/>
        <v>2.9411764705882353E-3</v>
      </c>
      <c r="AM23" s="192">
        <f>AVERAGEIF($C$36:$C$167,"=6",AM$36:AM$167)</f>
        <v>53.117647058823529</v>
      </c>
      <c r="AO23" s="192">
        <f>AVERAGEIF($C$36:$C$167,"=6",AO$36:AO$167)</f>
        <v>9.4117647058823533</v>
      </c>
      <c r="AQ23" s="65">
        <f t="shared" ref="AQ23:AU23" si="45">AVERAGEIF($C$36:$C$167,"=6",AQ$36:AQ$167)</f>
        <v>0.25588235294117645</v>
      </c>
      <c r="AR23" s="65">
        <f t="shared" si="45"/>
        <v>0.40705882352941175</v>
      </c>
      <c r="AS23" s="65">
        <f t="shared" si="45"/>
        <v>0.24529411764705883</v>
      </c>
      <c r="AT23" s="65">
        <f t="shared" si="45"/>
        <v>7.823529411764707E-2</v>
      </c>
      <c r="AU23" s="65">
        <f t="shared" si="45"/>
        <v>1.5294117647058824E-2</v>
      </c>
      <c r="AV23" s="192">
        <f>AVERAGEIF($C$36:$C$167,"=6",AV$36:AV$167)</f>
        <v>53.842105263157897</v>
      </c>
      <c r="AX23" s="192">
        <f>AVERAGEIF($C$36:$C$167,"=6",AX$36:AX$167)</f>
        <v>9.8947368421052637</v>
      </c>
      <c r="AZ23" s="521">
        <f>AVERAGEIF($C$36:$C$167,"=6",AZ$36:AZ$167)</f>
        <v>0.28526315789473689</v>
      </c>
      <c r="BA23" s="521">
        <f t="shared" ref="BA23:BD23" si="46">AVERAGEIF($C$36:$C$167,"=6",BA$36:BA$167)</f>
        <v>0.37210526315789477</v>
      </c>
      <c r="BB23" s="521">
        <f t="shared" si="46"/>
        <v>0.23684210526315788</v>
      </c>
      <c r="BC23" s="521">
        <f t="shared" si="46"/>
        <v>9.736842105263159E-2</v>
      </c>
      <c r="BD23" s="521">
        <f t="shared" si="46"/>
        <v>8.4210526315789454E-3</v>
      </c>
      <c r="BE23" s="192">
        <f>AVERAGEIF($C$36:$C$167,"=6",BE$36:BE$167)</f>
        <v>53.8</v>
      </c>
      <c r="BG23" s="192">
        <f>AVERAGEIF($C$36:$C$167,"=6",BG$36:BG$167)</f>
        <v>9.25</v>
      </c>
      <c r="BI23" s="521">
        <f>AVERAGEIF($C$36:$C$167,"=6",BI$36:BI$167)</f>
        <v>0.27999999999999997</v>
      </c>
      <c r="BJ23" s="521">
        <f t="shared" ref="BJ23:BM23" si="47">AVERAGEIF($C$36:$C$167,"=6",BJ$36:BJ$167)</f>
        <v>0.38849999999999996</v>
      </c>
      <c r="BK23" s="521">
        <f t="shared" si="47"/>
        <v>0.21300000000000002</v>
      </c>
      <c r="BL23" s="521">
        <f t="shared" si="47"/>
        <v>0.11150000000000002</v>
      </c>
      <c r="BM23" s="521">
        <f t="shared" si="47"/>
        <v>6.5000000000000006E-3</v>
      </c>
    </row>
    <row r="24" spans="1:65" s="434" customFormat="1" ht="24.9" customHeight="1" x14ac:dyDescent="0.25">
      <c r="A24" s="6" t="s">
        <v>931</v>
      </c>
      <c r="B24" s="447"/>
      <c r="C24" s="447"/>
      <c r="D24" s="192">
        <f>AVERAGEIFS(D$36:D$167,$C$36:$C$167,"=1", $B$36:$B$167,"OFICIAL")</f>
        <v>52.25</v>
      </c>
      <c r="E24" s="192">
        <f>AVERAGEIFS(E$36:E$167,$C$36:$C$167,"=1", $B$36:$B$167,"OFICIAL")</f>
        <v>8.5</v>
      </c>
      <c r="F24" s="65">
        <f>AVERAGEIFS(F$36:F$167,$C$36:$C$167,"=1", $B$36:$B$167,"OFICIAL")</f>
        <v>0.31</v>
      </c>
      <c r="G24" s="65">
        <f t="shared" ref="G24:J24" si="48">AVERAGEIFS(G$36:G$167,$C$36:$C$167,"=1", $B$36:$B$167,"OFICIAL")</f>
        <v>0.41250000000000003</v>
      </c>
      <c r="H24" s="65">
        <f t="shared" si="48"/>
        <v>0.23750000000000002</v>
      </c>
      <c r="I24" s="65">
        <f t="shared" si="48"/>
        <v>3.7500000000000006E-2</v>
      </c>
      <c r="J24" s="65">
        <f t="shared" si="48"/>
        <v>0</v>
      </c>
      <c r="K24" s="192">
        <f>AVERAGEIFS(K$36:K$167,$C$36:$C$167,"=1", $B$36:$B$167,"OFICIAL")</f>
        <v>49.5</v>
      </c>
      <c r="L24" s="192">
        <f>AVERAGEIFS(L$36:L$167,$C$36:$C$167,"=1", $B$36:$B$167,"OFICIAL")</f>
        <v>8.25</v>
      </c>
      <c r="M24" s="65">
        <f>AVERAGEIFS(M$36:M$167,$C$36:$C$167,"=1", $B$36:$B$167,"OFICIAL")</f>
        <v>0.43750000000000006</v>
      </c>
      <c r="N24" s="65">
        <f t="shared" ref="N24:Q24" si="49">AVERAGEIFS(N$36:N$167,$C$36:$C$167,"=1", $B$36:$B$167,"OFICIAL")</f>
        <v>0.38</v>
      </c>
      <c r="O24" s="65">
        <f t="shared" si="49"/>
        <v>0.1575</v>
      </c>
      <c r="P24" s="65">
        <f t="shared" si="49"/>
        <v>2.5000000000000001E-2</v>
      </c>
      <c r="Q24" s="65">
        <f t="shared" si="49"/>
        <v>2.5000000000000001E-3</v>
      </c>
      <c r="R24" s="192">
        <f>AVERAGEIFS(R$36:R$167,$C$36:$C$167,"=1", $B$36:$B$167,"OFICIAL")</f>
        <v>51.5</v>
      </c>
      <c r="S24" s="192">
        <f>AVERAGEIFS(S$36:S$167,$C$36:$C$167,"=1", $B$36:$B$167,"OFICIAL")</f>
        <v>9</v>
      </c>
      <c r="T24" s="65">
        <f>AVERAGEIFS(T$36:T$167,$C$36:$C$167,"=1", $B$36:$B$167,"OFICIAL")</f>
        <v>0.33499999999999996</v>
      </c>
      <c r="U24" s="65">
        <f t="shared" ref="U24:X24" si="50">AVERAGEIFS(U$36:U$167,$C$36:$C$167,"=1", $B$36:$B$167,"OFICIAL")</f>
        <v>0.41249999999999998</v>
      </c>
      <c r="V24" s="65">
        <f t="shared" si="50"/>
        <v>0.2</v>
      </c>
      <c r="W24" s="65">
        <f t="shared" si="50"/>
        <v>0.05</v>
      </c>
      <c r="X24" s="65">
        <f t="shared" si="50"/>
        <v>5.0000000000000001E-3</v>
      </c>
      <c r="Y24" s="192">
        <f>AVERAGEIFS(Y$36:Y$167,$C$36:$C$167,"=1", $B$36:$B$167,"OFICIAL")</f>
        <v>50.25</v>
      </c>
      <c r="Z24" s="192">
        <f>AVERAGEIFS(Z$36:Z$167,$C$36:$C$167,"=1", $B$36:$B$167,"OFICIAL")</f>
        <v>9.75</v>
      </c>
      <c r="AA24" s="65">
        <f>AVERAGEIFS(AA$36:AA$167,$C$36:$C$167,"=1", $B$36:$B$167,"OFICIAL")</f>
        <v>0.38</v>
      </c>
      <c r="AB24" s="65">
        <f t="shared" ref="AB24:AE24" si="51">AVERAGEIFS(AB$36:AB$167,$C$36:$C$167,"=1", $B$36:$B$167,"OFICIAL")</f>
        <v>0.41</v>
      </c>
      <c r="AC24" s="65">
        <f t="shared" si="51"/>
        <v>0.16499999999999998</v>
      </c>
      <c r="AD24" s="65">
        <f t="shared" si="51"/>
        <v>0.04</v>
      </c>
      <c r="AE24" s="65">
        <f t="shared" si="51"/>
        <v>7.4999999999999997E-3</v>
      </c>
      <c r="AF24" s="192">
        <f>AVERAGEIFS(AF$36:AF$167,$C$36:$C$167,"=1", $B$36:$B$167,"OFICIAL")</f>
        <v>46.5</v>
      </c>
      <c r="AG24" s="192">
        <f>AVERAGEIFS(AG$36:AG$167,$C$36:$C$167,"=1", $B$36:$B$167,"OFICIAL")</f>
        <v>8.75</v>
      </c>
      <c r="AH24" s="65">
        <f>AVERAGEIFS(AH$36:AH$167,$C$36:$C$167,"=1", $B$36:$B$167,"OFICIAL")</f>
        <v>0.60250000000000004</v>
      </c>
      <c r="AI24" s="65">
        <f t="shared" ref="AI24:AL24" si="52">AVERAGEIFS(AI$36:AI$167,$C$36:$C$167,"=1", $B$36:$B$167,"OFICIAL")</f>
        <v>0.29749999999999999</v>
      </c>
      <c r="AJ24" s="65">
        <f t="shared" si="52"/>
        <v>6.7500000000000004E-2</v>
      </c>
      <c r="AK24" s="65">
        <f t="shared" si="52"/>
        <v>0.03</v>
      </c>
      <c r="AL24" s="65">
        <f t="shared" si="52"/>
        <v>2.5000000000000001E-3</v>
      </c>
      <c r="AM24" s="192">
        <f>AVERAGEIFS(AM$36:AM$167,$C$36:$C$167,"=1", $B$36:$B$167,"OFICIAL")</f>
        <v>49.5</v>
      </c>
      <c r="AO24" s="192">
        <f>AVERAGEIFS(AO$36:AO$167,$C$36:$C$167,"=1", $B$36:$B$167,"OFICIAL")</f>
        <v>9.75</v>
      </c>
      <c r="AQ24" s="65">
        <f t="shared" ref="AQ24:AU24" si="53">AVERAGEIFS(AQ$36:AQ$167,$C$36:$C$167,"=1", $B$36:$B$167,"OFICIAL")</f>
        <v>0.40500000000000003</v>
      </c>
      <c r="AR24" s="65">
        <f t="shared" si="53"/>
        <v>0.39749999999999996</v>
      </c>
      <c r="AS24" s="65">
        <f t="shared" si="53"/>
        <v>0.1575</v>
      </c>
      <c r="AT24" s="65">
        <f t="shared" si="53"/>
        <v>4.2500000000000003E-2</v>
      </c>
      <c r="AU24" s="65">
        <f t="shared" si="53"/>
        <v>0</v>
      </c>
      <c r="AV24" s="192">
        <f>AVERAGEIFS(AV$36:AV$167,$C$36:$C$167,"=1", $B$36:$B$167,"OFICIAL")</f>
        <v>49.6</v>
      </c>
      <c r="AX24" s="192">
        <f>AVERAGEIFS(AX$36:AX$167,$C$36:$C$167,"=1", $B$36:$B$167,"OFICIAL")</f>
        <v>9.6</v>
      </c>
      <c r="AZ24" s="521">
        <f>AVERAGEIFS(AZ$36:AZ$167,$C$36:$C$167,"=1", $B$36:$B$167,"OFICIAL")</f>
        <v>0.42199999999999999</v>
      </c>
      <c r="BA24" s="521">
        <f t="shared" ref="BA24:BD24" si="54">AVERAGEIFS(BA$36:BA$167,$C$36:$C$167,"=1", $B$36:$B$167,"OFICIAL")</f>
        <v>0.38999999999999996</v>
      </c>
      <c r="BB24" s="521">
        <f t="shared" si="54"/>
        <v>0.152</v>
      </c>
      <c r="BC24" s="521">
        <f t="shared" si="54"/>
        <v>3.5999999999999997E-2</v>
      </c>
      <c r="BD24" s="521">
        <f t="shared" si="54"/>
        <v>2E-3</v>
      </c>
      <c r="BE24" s="192">
        <f>AVERAGEIFS(BE$36:BE$167,$C$36:$C$167,"=1", $B$36:$B$167,"OFICIAL")</f>
        <v>49.8</v>
      </c>
      <c r="BG24" s="192">
        <f>AVERAGEIFS(BG$36:BG$167,$C$36:$C$167,"=1", $B$36:$B$167,"OFICIAL")</f>
        <v>9.4</v>
      </c>
      <c r="BI24" s="521">
        <f>AVERAGEIFS(BI$36:BI$167,$C$36:$C$167,"=1", $B$36:$B$167,"OFICIAL")</f>
        <v>0.39800000000000002</v>
      </c>
      <c r="BJ24" s="521">
        <f t="shared" ref="BJ24:BM24" si="55">AVERAGEIFS(BJ$36:BJ$167,$C$36:$C$167,"=1", $B$36:$B$167,"OFICIAL")</f>
        <v>0.41399999999999998</v>
      </c>
      <c r="BK24" s="521">
        <f t="shared" si="55"/>
        <v>0.156</v>
      </c>
      <c r="BL24" s="521">
        <f t="shared" si="55"/>
        <v>2.8000000000000004E-2</v>
      </c>
      <c r="BM24" s="521">
        <f t="shared" si="55"/>
        <v>6.0000000000000001E-3</v>
      </c>
    </row>
    <row r="25" spans="1:65" s="434" customFormat="1" ht="24.9" customHeight="1" x14ac:dyDescent="0.25">
      <c r="A25" s="6" t="s">
        <v>932</v>
      </c>
      <c r="B25" s="447"/>
      <c r="C25" s="447"/>
      <c r="D25" s="192">
        <f>AVERAGEIFS(D$36:D$167,$C$36:$C$167,"=2", $B$36:$B$167,"OFICIAL")</f>
        <v>52</v>
      </c>
      <c r="E25" s="192">
        <f>AVERAGEIFS(E$36:E$167,$C$36:$C$167,"=2", $B$36:$B$167,"OFICIAL")</f>
        <v>8.5</v>
      </c>
      <c r="F25" s="65">
        <f>AVERAGEIFS(F$36:F$167,$C$36:$C$167,"=2", $B$36:$B$167,"OFICIAL")</f>
        <v>0.33</v>
      </c>
      <c r="G25" s="65">
        <f t="shared" ref="G25:J25" si="56">AVERAGEIFS(G$36:G$167,$C$36:$C$167,"=2", $B$36:$B$167,"OFICIAL")</f>
        <v>0.41000000000000003</v>
      </c>
      <c r="H25" s="65">
        <f t="shared" si="56"/>
        <v>0.22500000000000001</v>
      </c>
      <c r="I25" s="65">
        <f t="shared" si="56"/>
        <v>0.04</v>
      </c>
      <c r="J25" s="65">
        <f t="shared" si="56"/>
        <v>0</v>
      </c>
      <c r="K25" s="192">
        <f>AVERAGEIFS(K$36:K$167,$C$36:$C$167,"=2", $B$36:$B$167,"OFICIAL")</f>
        <v>50.5</v>
      </c>
      <c r="L25" s="192">
        <f>AVERAGEIFS(L$36:L$167,$C$36:$C$167,"=2", $B$36:$B$167,"OFICIAL")</f>
        <v>9</v>
      </c>
      <c r="M25" s="65">
        <f>AVERAGEIFS(M$36:M$167,$C$36:$C$167,"=2", $B$36:$B$167,"OFICIAL")</f>
        <v>0.39500000000000002</v>
      </c>
      <c r="N25" s="65">
        <f t="shared" ref="N25:Q25" si="57">AVERAGEIFS(N$36:N$167,$C$36:$C$167,"=2", $B$36:$B$167,"OFICIAL")</f>
        <v>0.39</v>
      </c>
      <c r="O25" s="65">
        <f t="shared" si="57"/>
        <v>0.18</v>
      </c>
      <c r="P25" s="65">
        <f t="shared" si="57"/>
        <v>0.03</v>
      </c>
      <c r="Q25" s="65">
        <f t="shared" si="57"/>
        <v>0</v>
      </c>
      <c r="R25" s="192">
        <f>AVERAGEIFS(R$36:R$167,$C$36:$C$167,"=2", $B$36:$B$167,"OFICIAL")</f>
        <v>51.5</v>
      </c>
      <c r="S25" s="192">
        <f>AVERAGEIFS(S$36:S$167,$C$36:$C$167,"=2", $B$36:$B$167,"OFICIAL")</f>
        <v>9</v>
      </c>
      <c r="T25" s="65">
        <f>AVERAGEIFS(T$36:T$167,$C$36:$C$167,"=2", $B$36:$B$167,"OFICIAL")</f>
        <v>0.34499999999999997</v>
      </c>
      <c r="U25" s="65">
        <f t="shared" ref="U25:X25" si="58">AVERAGEIFS(U$36:U$167,$C$36:$C$167,"=2", $B$36:$B$167,"OFICIAL")</f>
        <v>0.40500000000000003</v>
      </c>
      <c r="V25" s="65">
        <f t="shared" si="58"/>
        <v>0.2</v>
      </c>
      <c r="W25" s="65">
        <f t="shared" si="58"/>
        <v>4.4999999999999998E-2</v>
      </c>
      <c r="X25" s="65">
        <f t="shared" si="58"/>
        <v>0</v>
      </c>
      <c r="Y25" s="192">
        <f>AVERAGEIFS(Y$36:Y$167,$C$36:$C$167,"=2", $B$36:$B$167,"OFICIAL")</f>
        <v>51</v>
      </c>
      <c r="Z25" s="192">
        <f>AVERAGEIFS(Z$36:Z$167,$C$36:$C$167,"=2", $B$36:$B$167,"OFICIAL")</f>
        <v>9.5</v>
      </c>
      <c r="AA25" s="65">
        <f>AVERAGEIFS(AA$36:AA$167,$C$36:$C$167,"=2", $B$36:$B$167,"OFICIAL")</f>
        <v>0.375</v>
      </c>
      <c r="AB25" s="65">
        <f t="shared" ref="AB25:AE25" si="59">AVERAGEIFS(AB$36:AB$167,$C$36:$C$167,"=2", $B$36:$B$167,"OFICIAL")</f>
        <v>0.39</v>
      </c>
      <c r="AC25" s="65">
        <f t="shared" si="59"/>
        <v>0.19</v>
      </c>
      <c r="AD25" s="65">
        <f t="shared" si="59"/>
        <v>4.4999999999999998E-2</v>
      </c>
      <c r="AE25" s="65">
        <f t="shared" si="59"/>
        <v>0</v>
      </c>
      <c r="AF25" s="192">
        <f>AVERAGEIFS(AF$36:AF$167,$C$36:$C$167,"=2", $B$36:$B$167,"OFICIAL")</f>
        <v>47</v>
      </c>
      <c r="AG25" s="192">
        <f>AVERAGEIFS(AG$36:AG$167,$C$36:$C$167,"=2", $B$36:$B$167,"OFICIAL")</f>
        <v>8.5</v>
      </c>
      <c r="AH25" s="65">
        <f>AVERAGEIFS(AH$36:AH$167,$C$36:$C$167,"=2", $B$36:$B$167,"OFICIAL")</f>
        <v>0.57499999999999996</v>
      </c>
      <c r="AI25" s="65">
        <f t="shared" ref="AI25:AL25" si="60">AVERAGEIFS(AI$36:AI$167,$C$36:$C$167,"=2", $B$36:$B$167,"OFICIAL")</f>
        <v>0.32</v>
      </c>
      <c r="AJ25" s="65">
        <f t="shared" si="60"/>
        <v>0.08</v>
      </c>
      <c r="AK25" s="65">
        <f t="shared" si="60"/>
        <v>2.5000000000000001E-2</v>
      </c>
      <c r="AL25" s="65">
        <f t="shared" si="60"/>
        <v>0</v>
      </c>
      <c r="AM25" s="192">
        <f>AVERAGEIFS(AM$36:AM$167,$C$36:$C$167,"=2", $B$36:$B$167,"OFICIAL")</f>
        <v>50</v>
      </c>
      <c r="AO25" s="192">
        <f>AVERAGEIFS(AO$36:AO$167,$C$36:$C$167,"=2", $B$36:$B$167,"OFICIAL")</f>
        <v>10</v>
      </c>
      <c r="AQ25" s="65">
        <f t="shared" ref="AQ25:AU25" si="61">AVERAGEIFS(AQ$36:AQ$167,$C$36:$C$167,"=2", $B$36:$B$167,"OFICIAL")</f>
        <v>0.40500000000000003</v>
      </c>
      <c r="AR25" s="65">
        <f t="shared" si="61"/>
        <v>0.38</v>
      </c>
      <c r="AS25" s="65">
        <f t="shared" si="61"/>
        <v>0.16500000000000001</v>
      </c>
      <c r="AT25" s="65">
        <f t="shared" si="61"/>
        <v>4.4999999999999998E-2</v>
      </c>
      <c r="AU25" s="65">
        <f t="shared" si="61"/>
        <v>0</v>
      </c>
      <c r="AV25" s="192">
        <f>AVERAGEIFS(AV$36:AV$167,$C$36:$C$167,"=2", $B$36:$B$167,"OFICIAL")</f>
        <v>50.5</v>
      </c>
      <c r="AX25" s="192">
        <f>AVERAGEIFS(AX$36:AX$167,$C$36:$C$167,"=2", $B$36:$B$167,"OFICIAL")</f>
        <v>9.5</v>
      </c>
      <c r="AZ25" s="521">
        <f>AVERAGEIFS(AZ$36:AZ$167,$C$36:$C$167,"=2", $B$36:$B$167,"OFICIAL")</f>
        <v>0.39500000000000002</v>
      </c>
      <c r="BA25" s="521">
        <f t="shared" ref="BA25:BD25" si="62">AVERAGEIFS(BA$36:BA$167,$C$36:$C$167,"=2", $B$36:$B$167,"OFICIAL")</f>
        <v>0.35000000000000003</v>
      </c>
      <c r="BB25" s="521">
        <f t="shared" si="62"/>
        <v>0.20499999999999999</v>
      </c>
      <c r="BC25" s="521">
        <f t="shared" si="62"/>
        <v>5.2500000000000005E-2</v>
      </c>
      <c r="BD25" s="521">
        <f t="shared" si="62"/>
        <v>2.5000000000000001E-3</v>
      </c>
      <c r="BE25" s="192">
        <f>AVERAGEIFS(BE$36:BE$167,$C$36:$C$167,"=2", $B$36:$B$167,"OFICIAL")</f>
        <v>51</v>
      </c>
      <c r="BG25" s="192">
        <f>AVERAGEIFS(BG$36:BG$167,$C$36:$C$167,"=2", $B$36:$B$167,"OFICIAL")</f>
        <v>9.5</v>
      </c>
      <c r="BI25" s="521">
        <f>AVERAGEIFS(BI$36:BI$167,$C$36:$C$167,"=2", $B$36:$B$167,"OFICIAL")</f>
        <v>0.38749999999999996</v>
      </c>
      <c r="BJ25" s="521">
        <f t="shared" ref="BJ25:BM25" si="63">AVERAGEIFS(BJ$36:BJ$167,$C$36:$C$167,"=2", $B$36:$B$167,"OFICIAL")</f>
        <v>0.38250000000000006</v>
      </c>
      <c r="BK25" s="521">
        <f t="shared" si="63"/>
        <v>0.17500000000000002</v>
      </c>
      <c r="BL25" s="521">
        <f t="shared" si="63"/>
        <v>5.5E-2</v>
      </c>
      <c r="BM25" s="521">
        <f t="shared" si="63"/>
        <v>0</v>
      </c>
    </row>
    <row r="26" spans="1:65" s="434" customFormat="1" ht="24.9" customHeight="1" x14ac:dyDescent="0.25">
      <c r="A26" s="6" t="s">
        <v>933</v>
      </c>
      <c r="B26" s="447"/>
      <c r="C26" s="447"/>
      <c r="D26" s="192">
        <f>AVERAGEIFS(D$36:D$167,$C$36:$C$167,"=3", $B$36:$B$167,"OFICIAL")</f>
        <v>51.8</v>
      </c>
      <c r="E26" s="192">
        <f>AVERAGEIFS(E$36:E$167,$C$36:$C$167,"=3", $B$36:$B$167,"OFICIAL")</f>
        <v>9</v>
      </c>
      <c r="F26" s="65">
        <f>AVERAGEIFS(F$36:F$167,$C$36:$C$167,"=3", $B$36:$B$167,"OFICIAL")</f>
        <v>0.36</v>
      </c>
      <c r="G26" s="65">
        <f t="shared" ref="G26:J26" si="64">AVERAGEIFS(G$36:G$167,$C$36:$C$167,"=3", $B$36:$B$167,"OFICIAL")</f>
        <v>0.38200000000000001</v>
      </c>
      <c r="H26" s="65">
        <f t="shared" si="64"/>
        <v>0.20800000000000002</v>
      </c>
      <c r="I26" s="65">
        <f t="shared" si="64"/>
        <v>4.4000000000000004E-2</v>
      </c>
      <c r="J26" s="65">
        <f t="shared" si="64"/>
        <v>8.0000000000000002E-3</v>
      </c>
      <c r="K26" s="192">
        <f>AVERAGEIFS(K$36:K$167,$C$36:$C$167,"=3", $B$36:$B$167,"OFICIAL")</f>
        <v>50.4</v>
      </c>
      <c r="L26" s="192">
        <f>AVERAGEIFS(L$36:L$167,$C$36:$C$167,"=3", $B$36:$B$167,"OFICIAL")</f>
        <v>9.4</v>
      </c>
      <c r="M26" s="65">
        <f>AVERAGEIFS(M$36:M$167,$C$36:$C$167,"=3", $B$36:$B$167,"OFICIAL")</f>
        <v>0.39400000000000002</v>
      </c>
      <c r="N26" s="65">
        <f t="shared" ref="N26:Q26" si="65">AVERAGEIFS(N$36:N$167,$C$36:$C$167,"=3", $B$36:$B$167,"OFICIAL")</f>
        <v>0.38800000000000007</v>
      </c>
      <c r="O26" s="65">
        <f t="shared" si="65"/>
        <v>0.17800000000000002</v>
      </c>
      <c r="P26" s="65">
        <f t="shared" si="65"/>
        <v>3.2000000000000001E-2</v>
      </c>
      <c r="Q26" s="65">
        <f t="shared" si="65"/>
        <v>6.0000000000000001E-3</v>
      </c>
      <c r="R26" s="192">
        <f>AVERAGEIFS(R$36:R$167,$C$36:$C$167,"=3", $B$36:$B$167,"OFICIAL")</f>
        <v>51.6</v>
      </c>
      <c r="S26" s="192">
        <f>AVERAGEIFS(S$36:S$167,$C$36:$C$167,"=3", $B$36:$B$167,"OFICIAL")</f>
        <v>9.1999999999999993</v>
      </c>
      <c r="T26" s="65">
        <f>AVERAGEIFS(T$36:T$167,$C$36:$C$167,"=3", $B$36:$B$167,"OFICIAL")</f>
        <v>0.31999999999999995</v>
      </c>
      <c r="U26" s="65">
        <f t="shared" ref="U26:X26" si="66">AVERAGEIFS(U$36:U$167,$C$36:$C$167,"=3", $B$36:$B$167,"OFICIAL")</f>
        <v>0.44400000000000006</v>
      </c>
      <c r="V26" s="65">
        <f t="shared" si="66"/>
        <v>0.19199999999999998</v>
      </c>
      <c r="W26" s="65">
        <f t="shared" si="66"/>
        <v>3.9999999999999994E-2</v>
      </c>
      <c r="X26" s="65">
        <f t="shared" si="66"/>
        <v>2E-3</v>
      </c>
      <c r="Y26" s="192">
        <f>AVERAGEIFS(Y$36:Y$167,$C$36:$C$167,"=3", $B$36:$B$167,"OFICIAL")</f>
        <v>49.4</v>
      </c>
      <c r="Z26" s="192">
        <f>AVERAGEIFS(Z$36:Z$167,$C$36:$C$167,"=3", $B$36:$B$167,"OFICIAL")</f>
        <v>9.6</v>
      </c>
      <c r="AA26" s="65">
        <f>AVERAGEIFS(AA$36:AA$167,$C$36:$C$167,"=3", $B$36:$B$167,"OFICIAL")</f>
        <v>0.43599999999999994</v>
      </c>
      <c r="AB26" s="65">
        <f t="shared" ref="AB26:AE26" si="67">AVERAGEIFS(AB$36:AB$167,$C$36:$C$167,"=3", $B$36:$B$167,"OFICIAL")</f>
        <v>0.376</v>
      </c>
      <c r="AC26" s="65">
        <f t="shared" si="67"/>
        <v>0.15</v>
      </c>
      <c r="AD26" s="65">
        <f t="shared" si="67"/>
        <v>3.5999999999999997E-2</v>
      </c>
      <c r="AE26" s="65">
        <f t="shared" si="67"/>
        <v>0</v>
      </c>
      <c r="AF26" s="192">
        <f>AVERAGEIFS(AF$36:AF$167,$C$36:$C$167,"=3", $B$36:$B$167,"OFICIAL")</f>
        <v>47</v>
      </c>
      <c r="AG26" s="192">
        <f>AVERAGEIFS(AG$36:AG$167,$C$36:$C$167,"=3", $B$36:$B$167,"OFICIAL")</f>
        <v>8.8000000000000007</v>
      </c>
      <c r="AH26" s="65">
        <f>AVERAGEIFS(AH$36:AH$167,$C$36:$C$167,"=3", $B$36:$B$167,"OFICIAL")</f>
        <v>0.55399999999999994</v>
      </c>
      <c r="AI26" s="65">
        <f t="shared" ref="AI26:AL26" si="68">AVERAGEIFS(AI$36:AI$167,$C$36:$C$167,"=3", $B$36:$B$167,"OFICIAL")</f>
        <v>0.34</v>
      </c>
      <c r="AJ26" s="65">
        <f t="shared" si="68"/>
        <v>7.8E-2</v>
      </c>
      <c r="AK26" s="65">
        <f t="shared" si="68"/>
        <v>2.1999999999999999E-2</v>
      </c>
      <c r="AL26" s="65">
        <f t="shared" si="68"/>
        <v>2E-3</v>
      </c>
      <c r="AM26" s="192">
        <f>AVERAGEIFS(AM$36:AM$167,$C$36:$C$167,"=3", $B$36:$B$167,"OFICIAL")</f>
        <v>49</v>
      </c>
      <c r="AO26" s="192">
        <f>AVERAGEIFS(AO$36:AO$167,$C$36:$C$167,"=3", $B$36:$B$167,"OFICIAL")</f>
        <v>10</v>
      </c>
      <c r="AQ26" s="65">
        <f t="shared" ref="AQ26:AU26" si="69">AVERAGEIFS(AQ$36:AQ$167,$C$36:$C$167,"=3", $B$36:$B$167,"OFICIAL")</f>
        <v>0.44400000000000006</v>
      </c>
      <c r="AR26" s="65">
        <f t="shared" si="69"/>
        <v>0.34</v>
      </c>
      <c r="AS26" s="65">
        <f t="shared" si="69"/>
        <v>0.17399999999999999</v>
      </c>
      <c r="AT26" s="65">
        <f t="shared" si="69"/>
        <v>3.7999999999999999E-2</v>
      </c>
      <c r="AU26" s="65">
        <f t="shared" si="69"/>
        <v>2E-3</v>
      </c>
      <c r="AV26" s="192">
        <f>AVERAGEIFS(AV$36:AV$167,$C$36:$C$167,"=3", $B$36:$B$167,"OFICIAL")</f>
        <v>51.666666666666664</v>
      </c>
      <c r="AX26" s="192">
        <f>AVERAGEIFS(AX$36:AX$167,$C$36:$C$167,"=3", $B$36:$B$167,"OFICIAL")</f>
        <v>10.833333333333334</v>
      </c>
      <c r="AZ26" s="521">
        <f>AVERAGEIFS(AZ$36:AZ$167,$C$36:$C$167,"=3", $B$36:$B$167,"OFICIAL")</f>
        <v>0.36499999999999999</v>
      </c>
      <c r="BA26" s="521">
        <f t="shared" ref="BA26:BD26" si="70">AVERAGEIFS(BA$36:BA$167,$C$36:$C$167,"=3", $B$36:$B$167,"OFICIAL")</f>
        <v>0.35000000000000003</v>
      </c>
      <c r="BB26" s="521">
        <f t="shared" si="70"/>
        <v>0.21666666666666667</v>
      </c>
      <c r="BC26" s="521">
        <f t="shared" si="70"/>
        <v>6.1666666666666668E-2</v>
      </c>
      <c r="BD26" s="521">
        <f t="shared" si="70"/>
        <v>8.3333333333333332E-3</v>
      </c>
      <c r="BE26" s="192">
        <f>AVERAGEIFS(BE$36:BE$167,$C$36:$C$167,"=3", $B$36:$B$167,"OFICIAL")</f>
        <v>51.333333333333336</v>
      </c>
      <c r="BG26" s="192">
        <f>AVERAGEIFS(BG$36:BG$167,$C$36:$C$167,"=3", $B$36:$B$167,"OFICIAL")</f>
        <v>9.6666666666666661</v>
      </c>
      <c r="BI26" s="521">
        <f>AVERAGEIFS(BI$36:BI$167,$C$36:$C$167,"=3", $B$36:$B$167,"OFICIAL")</f>
        <v>0.37166666666666665</v>
      </c>
      <c r="BJ26" s="521">
        <f t="shared" ref="BJ26:BM26" si="71">AVERAGEIFS(BJ$36:BJ$167,$C$36:$C$167,"=3", $B$36:$B$167,"OFICIAL")</f>
        <v>0.37333333333333329</v>
      </c>
      <c r="BK26" s="521">
        <f t="shared" si="71"/>
        <v>0.19166666666666668</v>
      </c>
      <c r="BL26" s="521">
        <f t="shared" si="71"/>
        <v>6.1666666666666668E-2</v>
      </c>
      <c r="BM26" s="521">
        <f t="shared" si="71"/>
        <v>1.6666666666666668E-3</v>
      </c>
    </row>
    <row r="27" spans="1:65" s="434" customFormat="1" ht="24.9" customHeight="1" x14ac:dyDescent="0.25">
      <c r="A27" s="6" t="s">
        <v>934</v>
      </c>
      <c r="B27" s="447"/>
      <c r="C27" s="447"/>
      <c r="D27" s="192">
        <f>AVERAGEIFS(D$36:D$167,$C$36:$C$167,"=4", $B$36:$B$167,"OFICIAL")</f>
        <v>49.333333333333336</v>
      </c>
      <c r="E27" s="192">
        <f>AVERAGEIFS(E$36:E$167,$C$36:$C$167,"=4", $B$36:$B$167,"OFICIAL")</f>
        <v>8.5</v>
      </c>
      <c r="F27" s="65">
        <f>AVERAGEIFS(F$36:F$167,$C$36:$C$167,"=4", $B$36:$B$167,"OFICIAL")</f>
        <v>0.45999999999999996</v>
      </c>
      <c r="G27" s="65">
        <f t="shared" ref="G27:J27" si="72">AVERAGEIFS(G$36:G$167,$C$36:$C$167,"=4", $B$36:$B$167,"OFICIAL")</f>
        <v>0.39166666666666661</v>
      </c>
      <c r="H27" s="65">
        <f t="shared" si="72"/>
        <v>0.12666666666666668</v>
      </c>
      <c r="I27" s="65">
        <f t="shared" si="72"/>
        <v>1.8333333333333337E-2</v>
      </c>
      <c r="J27" s="65">
        <f t="shared" si="72"/>
        <v>1.6666666666666668E-3</v>
      </c>
      <c r="K27" s="192">
        <f>AVERAGEIFS(K$36:K$167,$C$36:$C$167,"=4", $B$36:$B$167,"OFICIAL")</f>
        <v>47.333333333333336</v>
      </c>
      <c r="L27" s="192">
        <f>AVERAGEIFS(L$36:L$167,$C$36:$C$167,"=4", $B$36:$B$167,"OFICIAL")</f>
        <v>8.8333333333333339</v>
      </c>
      <c r="M27" s="65">
        <f>AVERAGEIFS(M$36:M$167,$C$36:$C$167,"=4", $B$36:$B$167,"OFICIAL")</f>
        <v>0.53333333333333333</v>
      </c>
      <c r="N27" s="65">
        <f t="shared" ref="N27:Q27" si="73">AVERAGEIFS(N$36:N$167,$C$36:$C$167,"=4", $B$36:$B$167,"OFICIAL")</f>
        <v>0.33666666666666667</v>
      </c>
      <c r="O27" s="65">
        <f t="shared" si="73"/>
        <v>0.11666666666666668</v>
      </c>
      <c r="P27" s="65">
        <f t="shared" si="73"/>
        <v>1.1666666666666667E-2</v>
      </c>
      <c r="Q27" s="65">
        <f t="shared" si="73"/>
        <v>1.6666666666666668E-3</v>
      </c>
      <c r="R27" s="192">
        <f>AVERAGEIFS(R$36:R$167,$C$36:$C$167,"=4", $B$36:$B$167,"OFICIAL")</f>
        <v>48.5</v>
      </c>
      <c r="S27" s="192">
        <f>AVERAGEIFS(S$36:S$167,$C$36:$C$167,"=4", $B$36:$B$167,"OFICIAL")</f>
        <v>8.3333333333333339</v>
      </c>
      <c r="T27" s="65">
        <f>AVERAGEIFS(T$36:T$167,$C$36:$C$167,"=4", $B$36:$B$167,"OFICIAL")</f>
        <v>0.44999999999999996</v>
      </c>
      <c r="U27" s="65">
        <f t="shared" ref="U27:X27" si="74">AVERAGEIFS(U$36:U$167,$C$36:$C$167,"=4", $B$36:$B$167,"OFICIAL")</f>
        <v>0.41833333333333339</v>
      </c>
      <c r="V27" s="65">
        <f t="shared" si="74"/>
        <v>0.10833333333333335</v>
      </c>
      <c r="W27" s="65">
        <f t="shared" si="74"/>
        <v>2.3333333333333334E-2</v>
      </c>
      <c r="X27" s="65">
        <f t="shared" si="74"/>
        <v>0</v>
      </c>
      <c r="Y27" s="192">
        <f>AVERAGEIFS(Y$36:Y$167,$C$36:$C$167,"=4", $B$36:$B$167,"OFICIAL")</f>
        <v>46.833333333333336</v>
      </c>
      <c r="Z27" s="192">
        <f>AVERAGEIFS(Z$36:Z$167,$C$36:$C$167,"=4", $B$36:$B$167,"OFICIAL")</f>
        <v>9.1666666666666661</v>
      </c>
      <c r="AA27" s="65">
        <f>AVERAGEIFS(AA$36:AA$167,$C$36:$C$167,"=4", $B$36:$B$167,"OFICIAL")</f>
        <v>0.53500000000000003</v>
      </c>
      <c r="AB27" s="65">
        <f t="shared" ref="AB27:AE27" si="75">AVERAGEIFS(AB$36:AB$167,$C$36:$C$167,"=4", $B$36:$B$167,"OFICIAL")</f>
        <v>0.34999999999999992</v>
      </c>
      <c r="AC27" s="65">
        <f t="shared" si="75"/>
        <v>0.10166666666666667</v>
      </c>
      <c r="AD27" s="65">
        <f t="shared" si="75"/>
        <v>1.5000000000000001E-2</v>
      </c>
      <c r="AE27" s="65">
        <f t="shared" si="75"/>
        <v>0</v>
      </c>
      <c r="AF27" s="192">
        <f>AVERAGEIFS(AF$36:AF$167,$C$36:$C$167,"=4", $B$36:$B$167,"OFICIAL")</f>
        <v>44</v>
      </c>
      <c r="AG27" s="192">
        <f>AVERAGEIFS(AG$36:AG$167,$C$36:$C$167,"=4", $B$36:$B$167,"OFICIAL")</f>
        <v>7.5</v>
      </c>
      <c r="AH27" s="65">
        <f>AVERAGEIFS(AH$36:AH$167,$C$36:$C$167,"=4", $B$36:$B$167,"OFICIAL")</f>
        <v>0.70333333333333348</v>
      </c>
      <c r="AI27" s="65">
        <f t="shared" ref="AI27:AL27" si="76">AVERAGEIFS(AI$36:AI$167,$C$36:$C$167,"=4", $B$36:$B$167,"OFICIAL")</f>
        <v>0.25666666666666665</v>
      </c>
      <c r="AJ27" s="65">
        <f t="shared" si="76"/>
        <v>3.3333333333333333E-2</v>
      </c>
      <c r="AK27" s="65">
        <f t="shared" si="76"/>
        <v>6.6666666666666671E-3</v>
      </c>
      <c r="AL27" s="65">
        <f t="shared" si="76"/>
        <v>0</v>
      </c>
      <c r="AM27" s="192">
        <f>AVERAGEIFS(AM$36:AM$167,$C$36:$C$167,"=4", $B$36:$B$167,"OFICIAL")</f>
        <v>46</v>
      </c>
      <c r="AO27" s="192">
        <f>AVERAGEIFS(AO$36:AO$167,$C$36:$C$167,"=4", $B$36:$B$167,"OFICIAL")</f>
        <v>8.8333333333333339</v>
      </c>
      <c r="AQ27" s="65">
        <f t="shared" ref="AQ27:AU27" si="77">AVERAGEIFS(AQ$36:AQ$167,$C$36:$C$167,"=4", $B$36:$B$167,"OFICIAL")</f>
        <v>0.55333333333333334</v>
      </c>
      <c r="AR27" s="65">
        <f t="shared" si="77"/>
        <v>0.35000000000000003</v>
      </c>
      <c r="AS27" s="65">
        <f t="shared" si="77"/>
        <v>7.4999999999999997E-2</v>
      </c>
      <c r="AT27" s="65">
        <f t="shared" si="77"/>
        <v>1.8333333333333333E-2</v>
      </c>
      <c r="AU27" s="65">
        <f t="shared" si="77"/>
        <v>0</v>
      </c>
      <c r="AV27" s="192">
        <f>AVERAGEIFS(AV$36:AV$167,$C$36:$C$167,"=4", $B$36:$B$167,"OFICIAL")</f>
        <v>48.333333333333336</v>
      </c>
      <c r="AX27" s="192">
        <f>AVERAGEIFS(AX$36:AX$167,$C$36:$C$167,"=4", $B$36:$B$167,"OFICIAL")</f>
        <v>9.3333333333333339</v>
      </c>
      <c r="AZ27" s="521">
        <f>AVERAGEIFS(AZ$36:AZ$167,$C$36:$C$167,"=4", $B$36:$B$167,"OFICIAL")</f>
        <v>0.47</v>
      </c>
      <c r="BA27" s="521">
        <f t="shared" ref="BA27:BD27" si="78">AVERAGEIFS(BA$36:BA$167,$C$36:$C$167,"=4", $B$36:$B$167,"OFICIAL")</f>
        <v>0.36833333333333335</v>
      </c>
      <c r="BB27" s="521">
        <f t="shared" si="78"/>
        <v>0.12833333333333333</v>
      </c>
      <c r="BC27" s="521">
        <f t="shared" si="78"/>
        <v>3.3333333333333333E-2</v>
      </c>
      <c r="BD27" s="521">
        <f t="shared" si="78"/>
        <v>0</v>
      </c>
      <c r="BE27" s="192">
        <f>AVERAGEIFS(BE$36:BE$167,$C$36:$C$167,"=4", $B$36:$B$167,"OFICIAL")</f>
        <v>47.666666666666664</v>
      </c>
      <c r="BG27" s="192">
        <f>AVERAGEIFS(BG$36:BG$167,$C$36:$C$167,"=4", $B$36:$B$167,"OFICIAL")</f>
        <v>8.8333333333333339</v>
      </c>
      <c r="BI27" s="521">
        <f>AVERAGEIFS(BI$36:BI$167,$C$36:$C$167,"=4", $B$36:$B$167,"OFICIAL")</f>
        <v>0.50666666666666671</v>
      </c>
      <c r="BJ27" s="521">
        <f t="shared" ref="BJ27:BM27" si="79">AVERAGEIFS(BJ$36:BJ$167,$C$36:$C$167,"=4", $B$36:$B$167,"OFICIAL")</f>
        <v>0.3666666666666667</v>
      </c>
      <c r="BK27" s="521">
        <f t="shared" si="79"/>
        <v>0.10000000000000002</v>
      </c>
      <c r="BL27" s="521">
        <f t="shared" si="79"/>
        <v>2.6666666666666668E-2</v>
      </c>
      <c r="BM27" s="521">
        <f t="shared" si="79"/>
        <v>0</v>
      </c>
    </row>
    <row r="28" spans="1:65" s="434" customFormat="1" ht="24.9" customHeight="1" x14ac:dyDescent="0.25">
      <c r="A28" s="6" t="s">
        <v>935</v>
      </c>
      <c r="B28" s="447"/>
      <c r="C28" s="447"/>
      <c r="D28" s="192">
        <f>AVERAGEIFS(D$36:D$167,$C$36:$C$167,"=5", $B$36:$B$167,"OFICIAL")</f>
        <v>53</v>
      </c>
      <c r="E28" s="192">
        <f>AVERAGEIFS(E$36:E$167,$C$36:$C$167,"=5", $B$36:$B$167,"OFICIAL")</f>
        <v>9</v>
      </c>
      <c r="F28" s="65">
        <f>AVERAGEIFS(F$36:F$167,$C$36:$C$167,"=5", $B$36:$B$167,"OFICIAL")</f>
        <v>0.26500000000000001</v>
      </c>
      <c r="G28" s="65">
        <f t="shared" ref="G28:J28" si="80">AVERAGEIFS(G$36:G$167,$C$36:$C$167,"=5", $B$36:$B$167,"OFICIAL")</f>
        <v>0.48</v>
      </c>
      <c r="H28" s="65">
        <f t="shared" si="80"/>
        <v>0.19</v>
      </c>
      <c r="I28" s="65">
        <f t="shared" si="80"/>
        <v>0.06</v>
      </c>
      <c r="J28" s="65">
        <f t="shared" si="80"/>
        <v>5.0000000000000001E-3</v>
      </c>
      <c r="K28" s="192">
        <f>AVERAGEIFS(K$36:K$167,$C$36:$C$167,"=5", $B$36:$B$167,"OFICIAL")</f>
        <v>50</v>
      </c>
      <c r="L28" s="192">
        <f>AVERAGEIFS(L$36:L$167,$C$36:$C$167,"=5", $B$36:$B$167,"OFICIAL")</f>
        <v>9</v>
      </c>
      <c r="M28" s="65">
        <f>AVERAGEIFS(M$36:M$167,$C$36:$C$167,"=5", $B$36:$B$167,"OFICIAL")</f>
        <v>0.38500000000000001</v>
      </c>
      <c r="N28" s="65">
        <f t="shared" ref="N28:Q28" si="81">AVERAGEIFS(N$36:N$167,$C$36:$C$167,"=5", $B$36:$B$167,"OFICIAL")</f>
        <v>0.39</v>
      </c>
      <c r="O28" s="65">
        <f t="shared" si="81"/>
        <v>0.19</v>
      </c>
      <c r="P28" s="65">
        <f t="shared" si="81"/>
        <v>3.5000000000000003E-2</v>
      </c>
      <c r="Q28" s="65">
        <f t="shared" si="81"/>
        <v>0</v>
      </c>
      <c r="R28" s="192">
        <f>AVERAGEIFS(R$36:R$167,$C$36:$C$167,"=5", $B$36:$B$167,"OFICIAL")</f>
        <v>50</v>
      </c>
      <c r="S28" s="192">
        <f>AVERAGEIFS(S$36:S$167,$C$36:$C$167,"=5", $B$36:$B$167,"OFICIAL")</f>
        <v>9</v>
      </c>
      <c r="T28" s="65">
        <f>AVERAGEIFS(T$36:T$167,$C$36:$C$167,"=5", $B$36:$B$167,"OFICIAL")</f>
        <v>0.39</v>
      </c>
      <c r="U28" s="65">
        <f t="shared" ref="U28:X28" si="82">AVERAGEIFS(U$36:U$167,$C$36:$C$167,"=5", $B$36:$B$167,"OFICIAL")</f>
        <v>0.435</v>
      </c>
      <c r="V28" s="65">
        <f t="shared" si="82"/>
        <v>0.14500000000000002</v>
      </c>
      <c r="W28" s="65">
        <f t="shared" si="82"/>
        <v>2.5000000000000001E-2</v>
      </c>
      <c r="X28" s="65">
        <f t="shared" si="82"/>
        <v>5.0000000000000001E-3</v>
      </c>
      <c r="Y28" s="192">
        <f>AVERAGEIFS(Y$36:Y$167,$C$36:$C$167,"=5", $B$36:$B$167,"OFICIAL")</f>
        <v>50</v>
      </c>
      <c r="Z28" s="192">
        <f>AVERAGEIFS(Z$36:Z$167,$C$36:$C$167,"=5", $B$36:$B$167,"OFICIAL")</f>
        <v>10</v>
      </c>
      <c r="AA28" s="65">
        <f>AVERAGEIFS(AA$36:AA$167,$C$36:$C$167,"=5", $B$36:$B$167,"OFICIAL")</f>
        <v>0.42</v>
      </c>
      <c r="AB28" s="65">
        <f t="shared" ref="AB28:AE28" si="83">AVERAGEIFS(AB$36:AB$167,$C$36:$C$167,"=5", $B$36:$B$167,"OFICIAL")</f>
        <v>0.38500000000000001</v>
      </c>
      <c r="AC28" s="65">
        <f t="shared" si="83"/>
        <v>0.16500000000000001</v>
      </c>
      <c r="AD28" s="65">
        <f t="shared" si="83"/>
        <v>3.5000000000000003E-2</v>
      </c>
      <c r="AE28" s="65">
        <f t="shared" si="83"/>
        <v>5.0000000000000001E-3</v>
      </c>
      <c r="AF28" s="192">
        <f>AVERAGEIFS(AF$36:AF$167,$C$36:$C$167,"=5", $B$36:$B$167,"OFICIAL")</f>
        <v>46.5</v>
      </c>
      <c r="AG28" s="192">
        <f>AVERAGEIFS(AG$36:AG$167,$C$36:$C$167,"=5", $B$36:$B$167,"OFICIAL")</f>
        <v>8</v>
      </c>
      <c r="AH28" s="65">
        <f>AVERAGEIFS(AH$36:AH$167,$C$36:$C$167,"=5", $B$36:$B$167,"OFICIAL")</f>
        <v>0.55000000000000004</v>
      </c>
      <c r="AI28" s="65">
        <f t="shared" ref="AI28:AL28" si="84">AVERAGEIFS(AI$36:AI$167,$C$36:$C$167,"=5", $B$36:$B$167,"OFICIAL")</f>
        <v>0.36</v>
      </c>
      <c r="AJ28" s="65">
        <f t="shared" si="84"/>
        <v>7.4999999999999997E-2</v>
      </c>
      <c r="AK28" s="65">
        <f t="shared" si="84"/>
        <v>1.4999999999999999E-2</v>
      </c>
      <c r="AL28" s="65">
        <f t="shared" si="84"/>
        <v>0</v>
      </c>
      <c r="AM28" s="192">
        <f>AVERAGEIFS(AM$36:AM$167,$C$36:$C$167,"=5", $B$36:$B$167,"OFICIAL")</f>
        <v>49.5</v>
      </c>
      <c r="AO28" s="192">
        <f>AVERAGEIFS(AO$36:AO$167,$C$36:$C$167,"=5", $B$36:$B$167,"OFICIAL")</f>
        <v>10</v>
      </c>
      <c r="AQ28" s="65">
        <f t="shared" ref="AQ28:AU28" si="85">AVERAGEIFS(AQ$36:AQ$167,$C$36:$C$167,"=5", $B$36:$B$167,"OFICIAL")</f>
        <v>0.41000000000000003</v>
      </c>
      <c r="AR28" s="65">
        <f t="shared" si="85"/>
        <v>0.39500000000000002</v>
      </c>
      <c r="AS28" s="65">
        <f t="shared" si="85"/>
        <v>0.14500000000000002</v>
      </c>
      <c r="AT28" s="65">
        <f t="shared" si="85"/>
        <v>4.4999999999999998E-2</v>
      </c>
      <c r="AU28" s="65">
        <f t="shared" si="85"/>
        <v>0</v>
      </c>
      <c r="AV28" s="192">
        <f>AVERAGEIFS(AV$36:AV$167,$C$36:$C$167,"=5", $B$36:$B$167,"OFICIAL")</f>
        <v>52</v>
      </c>
      <c r="AX28" s="192">
        <f>AVERAGEIFS(AX$36:AX$167,$C$36:$C$167,"=5", $B$36:$B$167,"OFICIAL")</f>
        <v>11</v>
      </c>
      <c r="AZ28" s="521">
        <f>AVERAGEIFS(AZ$36:AZ$167,$C$36:$C$167,"=5", $B$36:$B$167,"OFICIAL")</f>
        <v>0.35</v>
      </c>
      <c r="BA28" s="521">
        <f t="shared" ref="BA28:BD28" si="86">AVERAGEIFS(BA$36:BA$167,$C$36:$C$167,"=5", $B$36:$B$167,"OFICIAL")</f>
        <v>0.33999999999999997</v>
      </c>
      <c r="BB28" s="521">
        <f t="shared" si="86"/>
        <v>0.23499999999999999</v>
      </c>
      <c r="BC28" s="521">
        <f t="shared" si="86"/>
        <v>7.0000000000000007E-2</v>
      </c>
      <c r="BD28" s="521">
        <f t="shared" si="86"/>
        <v>5.0000000000000001E-3</v>
      </c>
      <c r="BE28" s="192">
        <f>AVERAGEIFS(BE$36:BE$167,$C$36:$C$167,"=5", $B$36:$B$167,"OFICIAL")</f>
        <v>52</v>
      </c>
      <c r="BG28" s="192">
        <f>AVERAGEIFS(BG$36:BG$167,$C$36:$C$167,"=5", $B$36:$B$167,"OFICIAL")</f>
        <v>10</v>
      </c>
      <c r="BI28" s="521">
        <f>AVERAGEIFS(BI$36:BI$167,$C$36:$C$167,"=5", $B$36:$B$167,"OFICIAL")</f>
        <v>0.35499999999999998</v>
      </c>
      <c r="BJ28" s="521">
        <f t="shared" ref="BJ28:BM28" si="87">AVERAGEIFS(BJ$36:BJ$167,$C$36:$C$167,"=5", $B$36:$B$167,"OFICIAL")</f>
        <v>0.40500000000000003</v>
      </c>
      <c r="BK28" s="521">
        <f t="shared" si="87"/>
        <v>0.155</v>
      </c>
      <c r="BL28" s="521">
        <f t="shared" si="87"/>
        <v>6.5000000000000002E-2</v>
      </c>
      <c r="BM28" s="521">
        <f t="shared" si="87"/>
        <v>1.4999999999999999E-2</v>
      </c>
    </row>
    <row r="29" spans="1:65" s="434" customFormat="1" ht="24.6" customHeight="1" x14ac:dyDescent="0.25">
      <c r="A29" s="6" t="s">
        <v>936</v>
      </c>
      <c r="B29" s="447"/>
      <c r="C29" s="447"/>
      <c r="D29" s="192">
        <f>AVERAGEIFS(D$36:D$167,$C$36:$C$167,"=6", $B$36:$B$167,"OFICIAL")</f>
        <v>52.333333333333336</v>
      </c>
      <c r="E29" s="192">
        <f>AVERAGEIFS(E$36:E$167,$C$36:$C$167,"=6", $B$36:$B$167,"OFICIAL")</f>
        <v>8.6666666666666661</v>
      </c>
      <c r="F29" s="65">
        <f>AVERAGEIFS(F$36:F$167,$C$36:$C$167,"=6", $B$36:$B$167,"OFICIAL")</f>
        <v>0.33</v>
      </c>
      <c r="G29" s="65">
        <f t="shared" ref="G29:J29" si="88">AVERAGEIFS(G$36:G$167,$C$36:$C$167,"=6", $B$36:$B$167,"OFICIAL")</f>
        <v>0.40333333333333332</v>
      </c>
      <c r="H29" s="65">
        <f t="shared" si="88"/>
        <v>0.21666666666666667</v>
      </c>
      <c r="I29" s="65">
        <f t="shared" si="88"/>
        <v>5.3333333333333337E-2</v>
      </c>
      <c r="J29" s="65">
        <f t="shared" si="88"/>
        <v>0</v>
      </c>
      <c r="K29" s="192">
        <f>AVERAGEIFS(K$36:K$167,$C$36:$C$167,"=6", $B$36:$B$167,"OFICIAL")</f>
        <v>49.333333333333336</v>
      </c>
      <c r="L29" s="192">
        <f>AVERAGEIFS(L$36:L$167,$C$36:$C$167,"=6", $B$36:$B$167,"OFICIAL")</f>
        <v>10</v>
      </c>
      <c r="M29" s="65">
        <f>AVERAGEIFS(M$36:M$167,$C$36:$C$167,"=6", $B$36:$B$167,"OFICIAL")</f>
        <v>0.47666666666666663</v>
      </c>
      <c r="N29" s="65">
        <f t="shared" ref="N29:Q29" si="89">AVERAGEIFS(N$36:N$167,$C$36:$C$167,"=6", $B$36:$B$167,"OFICIAL")</f>
        <v>0.3133333333333333</v>
      </c>
      <c r="O29" s="65">
        <f t="shared" si="89"/>
        <v>0.15</v>
      </c>
      <c r="P29" s="65">
        <f t="shared" si="89"/>
        <v>5.3333333333333323E-2</v>
      </c>
      <c r="Q29" s="65">
        <f t="shared" si="89"/>
        <v>6.6666666666666671E-3</v>
      </c>
      <c r="R29" s="192">
        <f>AVERAGEIFS(R$36:R$167,$C$36:$C$167,"=6", $B$36:$B$167,"OFICIAL")</f>
        <v>50.666666666666664</v>
      </c>
      <c r="S29" s="192">
        <f>AVERAGEIFS(S$36:S$167,$C$36:$C$167,"=6", $B$36:$B$167,"OFICIAL")</f>
        <v>8.3333333333333339</v>
      </c>
      <c r="T29" s="65">
        <f>AVERAGEIFS(T$36:T$167,$C$36:$C$167,"=6", $B$36:$B$167,"OFICIAL")</f>
        <v>0.35000000000000003</v>
      </c>
      <c r="U29" s="65">
        <f t="shared" ref="U29:X29" si="90">AVERAGEIFS(U$36:U$167,$C$36:$C$167,"=6", $B$36:$B$167,"OFICIAL")</f>
        <v>0.4466666666666666</v>
      </c>
      <c r="V29" s="65">
        <f t="shared" si="90"/>
        <v>0.16</v>
      </c>
      <c r="W29" s="65">
        <f t="shared" si="90"/>
        <v>4.3333333333333335E-2</v>
      </c>
      <c r="X29" s="65">
        <f t="shared" si="90"/>
        <v>0</v>
      </c>
      <c r="Y29" s="192">
        <f>AVERAGEIFS(Y$36:Y$167,$C$36:$C$167,"=6", $B$36:$B$167,"OFICIAL")</f>
        <v>50</v>
      </c>
      <c r="Z29" s="192">
        <f>AVERAGEIFS(Z$36:Z$167,$C$36:$C$167,"=6", $B$36:$B$167,"OFICIAL")</f>
        <v>10</v>
      </c>
      <c r="AA29" s="65">
        <f>AVERAGEIFS(AA$36:AA$167,$C$36:$C$167,"=6", $B$36:$B$167,"OFICIAL")</f>
        <v>0.39666666666666667</v>
      </c>
      <c r="AB29" s="65">
        <f t="shared" ref="AB29:AE29" si="91">AVERAGEIFS(AB$36:AB$167,$C$36:$C$167,"=6", $B$36:$B$167,"OFICIAL")</f>
        <v>0.37666666666666665</v>
      </c>
      <c r="AC29" s="65">
        <f t="shared" si="91"/>
        <v>0.19000000000000003</v>
      </c>
      <c r="AD29" s="65">
        <f t="shared" si="91"/>
        <v>4.3333333333333335E-2</v>
      </c>
      <c r="AE29" s="65">
        <f t="shared" si="91"/>
        <v>0</v>
      </c>
      <c r="AF29" s="192">
        <f>AVERAGEIFS(AF$36:AF$167,$C$36:$C$167,"=6", $B$36:$B$167,"OFICIAL")</f>
        <v>47</v>
      </c>
      <c r="AG29" s="192">
        <f>AVERAGEIFS(AG$36:AG$167,$C$36:$C$167,"=6", $B$36:$B$167,"OFICIAL")</f>
        <v>8.3333333333333339</v>
      </c>
      <c r="AH29" s="65">
        <f>AVERAGEIFS(AH$36:AH$167,$C$36:$C$167,"=6", $B$36:$B$167,"OFICIAL")</f>
        <v>0.56000000000000005</v>
      </c>
      <c r="AI29" s="65">
        <f t="shared" ref="AI29:AL29" si="92">AVERAGEIFS(AI$36:AI$167,$C$36:$C$167,"=6", $B$36:$B$167,"OFICIAL")</f>
        <v>0.33666666666666667</v>
      </c>
      <c r="AJ29" s="65">
        <f t="shared" si="92"/>
        <v>9.0000000000000011E-2</v>
      </c>
      <c r="AK29" s="65">
        <f t="shared" si="92"/>
        <v>1.3333333333333334E-2</v>
      </c>
      <c r="AL29" s="65">
        <f t="shared" si="92"/>
        <v>0</v>
      </c>
      <c r="AM29" s="192">
        <f>AVERAGEIFS(AM$36:AM$167,$C$36:$C$167,"=6", $B$36:$B$167,"OFICIAL")</f>
        <v>50.333333333333336</v>
      </c>
      <c r="AO29" s="192">
        <f>AVERAGEIFS(AO$36:AO$167,$C$36:$C$167,"=6", $B$36:$B$167,"OFICIAL")</f>
        <v>10.666666666666666</v>
      </c>
      <c r="AQ29" s="65">
        <f t="shared" ref="AQ29:AU29" si="93">AVERAGEIFS(AQ$36:AQ$167,$C$36:$C$167,"=6", $B$36:$B$167,"OFICIAL")</f>
        <v>0.41333333333333333</v>
      </c>
      <c r="AR29" s="65">
        <f t="shared" si="93"/>
        <v>0.37333333333333335</v>
      </c>
      <c r="AS29" s="65">
        <f t="shared" si="93"/>
        <v>0.13666666666666669</v>
      </c>
      <c r="AT29" s="65">
        <f t="shared" si="93"/>
        <v>7.3333333333333348E-2</v>
      </c>
      <c r="AU29" s="65">
        <f t="shared" si="93"/>
        <v>3.3333333333333335E-3</v>
      </c>
      <c r="AV29" s="192">
        <f>AVERAGEIFS(AV$36:AV$167,$C$36:$C$167,"=6", $B$36:$B$167,"OFICIAL")</f>
        <v>52</v>
      </c>
      <c r="AX29" s="192">
        <f>AVERAGEIFS(AX$36:AX$167,$C$36:$C$167,"=6", $B$36:$B$167,"OFICIAL")</f>
        <v>10</v>
      </c>
      <c r="AZ29" s="521">
        <f>AVERAGEIFS(AZ$36:AZ$167,$C$36:$C$167,"=6", $B$36:$B$167,"OFICIAL")</f>
        <v>0.3133333333333333</v>
      </c>
      <c r="BA29" s="521">
        <f t="shared" ref="BA29:BD29" si="94">AVERAGEIFS(BA$36:BA$167,$C$36:$C$167,"=6", $B$36:$B$167,"OFICIAL")</f>
        <v>0.40333333333333332</v>
      </c>
      <c r="BB29" s="521">
        <f t="shared" si="94"/>
        <v>0.21333333333333335</v>
      </c>
      <c r="BC29" s="521">
        <f t="shared" si="94"/>
        <v>6.6666666666666666E-2</v>
      </c>
      <c r="BD29" s="521">
        <f t="shared" si="94"/>
        <v>3.3333333333333335E-3</v>
      </c>
      <c r="BE29" s="192">
        <f>AVERAGEIFS(BE$36:BE$167,$C$36:$C$167,"=6", $B$36:$B$167,"OFICIAL")</f>
        <v>50.666666666666664</v>
      </c>
      <c r="BG29" s="192">
        <f>AVERAGEIFS(BG$36:BG$167,$C$36:$C$167,"=6", $B$36:$B$167,"OFICIAL")</f>
        <v>9</v>
      </c>
      <c r="BI29" s="521">
        <f>AVERAGEIFS(BI$36:BI$167,$C$36:$C$167,"=6", $B$36:$B$167,"OFICIAL")</f>
        <v>0.39666666666666667</v>
      </c>
      <c r="BJ29" s="521">
        <f t="shared" ref="BJ29:BM29" si="95">AVERAGEIFS(BJ$36:BJ$167,$C$36:$C$167,"=6", $B$36:$B$167,"OFICIAL")</f>
        <v>0.39333333333333337</v>
      </c>
      <c r="BK29" s="521">
        <f t="shared" si="95"/>
        <v>0.16</v>
      </c>
      <c r="BL29" s="521">
        <f t="shared" si="95"/>
        <v>4.6666666666666669E-2</v>
      </c>
      <c r="BM29" s="521">
        <f t="shared" si="95"/>
        <v>3.3333333333333335E-3</v>
      </c>
    </row>
    <row r="30" spans="1:65" s="434" customFormat="1" ht="24.6" customHeight="1" x14ac:dyDescent="0.25">
      <c r="A30" s="6" t="s">
        <v>937</v>
      </c>
      <c r="B30" s="447"/>
      <c r="C30" s="447"/>
      <c r="D30" s="192">
        <f>AVERAGEIFS(D$36:D$167,$C$36:$C$167,"=1", $B$36:$B$167,"NO OFICIAL")</f>
        <v>52.769230769230766</v>
      </c>
      <c r="E30" s="192">
        <f>AVERAGEIFS(E$36:E$167,$C$36:$C$167,"=1", $B$36:$B$167,"NO OFICIAL")</f>
        <v>8.1538461538461533</v>
      </c>
      <c r="F30" s="65">
        <f>AVERAGEIFS(F$36:F$167,$C$36:$C$167,"=1", $B$36:$B$167,"NO OFICIAL")</f>
        <v>0.29538461538461541</v>
      </c>
      <c r="G30" s="65">
        <f t="shared" ref="G30:J30" si="96">AVERAGEIFS(G$36:G$167,$C$36:$C$167,"=1", $B$36:$B$167,"NO OFICIAL")</f>
        <v>0.47615384615384621</v>
      </c>
      <c r="H30" s="65">
        <f t="shared" si="96"/>
        <v>0.16846153846153847</v>
      </c>
      <c r="I30" s="65">
        <f t="shared" si="96"/>
        <v>6.0000000000000005E-2</v>
      </c>
      <c r="J30" s="65">
        <f t="shared" si="96"/>
        <v>0</v>
      </c>
      <c r="K30" s="192">
        <f>AVERAGEIFS(K$36:K$167,$C$36:$C$167,"=1", $B$36:$B$167,"NO OFICIAL")</f>
        <v>50.75</v>
      </c>
      <c r="L30" s="192">
        <f>AVERAGEIFS(L$36:L$167,$C$36:$C$167,"=1", $B$36:$B$167,"NO OFICIAL")</f>
        <v>8.8333333333333339</v>
      </c>
      <c r="M30" s="65">
        <f>AVERAGEIFS(M$36:M$167,$C$36:$C$167,"=1", $B$36:$B$167,"NO OFICIAL")</f>
        <v>0.40250000000000002</v>
      </c>
      <c r="N30" s="65">
        <f t="shared" ref="N30:Q30" si="97">AVERAGEIFS(N$36:N$167,$C$36:$C$167,"=1", $B$36:$B$167,"NO OFICIAL")</f>
        <v>0.39166666666666666</v>
      </c>
      <c r="O30" s="65">
        <f t="shared" si="97"/>
        <v>0.15833333333333335</v>
      </c>
      <c r="P30" s="65">
        <f t="shared" si="97"/>
        <v>4.8333333333333318E-2</v>
      </c>
      <c r="Q30" s="65">
        <f t="shared" si="97"/>
        <v>0</v>
      </c>
      <c r="R30" s="192">
        <f>AVERAGEIFS(R$36:R$167,$C$36:$C$167,"=1", $B$36:$B$167,"NO OFICIAL")</f>
        <v>52.307692307692307</v>
      </c>
      <c r="S30" s="192">
        <f>AVERAGEIFS(S$36:S$167,$C$36:$C$167,"=1", $B$36:$B$167,"NO OFICIAL")</f>
        <v>7.9230769230769234</v>
      </c>
      <c r="T30" s="65">
        <f>AVERAGEIFS(T$36:T$167,$C$36:$C$167,"=1", $B$36:$B$167,"NO OFICIAL")</f>
        <v>0.29307692307692307</v>
      </c>
      <c r="U30" s="65">
        <f t="shared" ref="U30:X30" si="98">AVERAGEIFS(U$36:U$167,$C$36:$C$167,"=1", $B$36:$B$167,"NO OFICIAL")</f>
        <v>0.42692307692307696</v>
      </c>
      <c r="V30" s="65">
        <f t="shared" si="98"/>
        <v>0.25384615384615383</v>
      </c>
      <c r="W30" s="65">
        <f t="shared" si="98"/>
        <v>2.6923076923076925E-2</v>
      </c>
      <c r="X30" s="65">
        <f t="shared" si="98"/>
        <v>0</v>
      </c>
      <c r="Y30" s="192">
        <f>AVERAGEIFS(Y$36:Y$167,$C$36:$C$167,"=1", $B$36:$B$167,"NO OFICIAL")</f>
        <v>50</v>
      </c>
      <c r="Z30" s="192">
        <f>AVERAGEIFS(Z$36:Z$167,$C$36:$C$167,"=1", $B$36:$B$167,"NO OFICIAL")</f>
        <v>8.6923076923076916</v>
      </c>
      <c r="AA30" s="65">
        <f>AVERAGEIFS(AA$36:AA$167,$C$36:$C$167,"=1", $B$36:$B$167,"NO OFICIAL")</f>
        <v>0.37307692307692314</v>
      </c>
      <c r="AB30" s="65">
        <f t="shared" ref="AB30:AE30" si="99">AVERAGEIFS(AB$36:AB$167,$C$36:$C$167,"=1", $B$36:$B$167,"NO OFICIAL")</f>
        <v>0.4276923076923077</v>
      </c>
      <c r="AC30" s="65">
        <f t="shared" si="99"/>
        <v>0.1676923076923077</v>
      </c>
      <c r="AD30" s="65">
        <f t="shared" si="99"/>
        <v>3.3846153846153845E-2</v>
      </c>
      <c r="AE30" s="65">
        <f t="shared" si="99"/>
        <v>0</v>
      </c>
      <c r="AF30" s="192">
        <f>AVERAGEIFS(AF$36:AF$167,$C$36:$C$167,"=1", $B$36:$B$167,"NO OFICIAL")</f>
        <v>48.53846153846154</v>
      </c>
      <c r="AG30" s="192">
        <f>AVERAGEIFS(AG$36:AG$167,$C$36:$C$167,"=1", $B$36:$B$167,"NO OFICIAL")</f>
        <v>8.9230769230769234</v>
      </c>
      <c r="AH30" s="65">
        <f>AVERAGEIFS(AH$36:AH$167,$C$36:$C$167,"=1", $B$36:$B$167,"NO OFICIAL")</f>
        <v>0.49692307692307697</v>
      </c>
      <c r="AI30" s="65">
        <f t="shared" ref="AI30:AL30" si="100">AVERAGEIFS(AI$36:AI$167,$C$36:$C$167,"=1", $B$36:$B$167,"NO OFICIAL")</f>
        <v>0.35153846153846147</v>
      </c>
      <c r="AJ30" s="65">
        <f t="shared" si="100"/>
        <v>0.11999999999999998</v>
      </c>
      <c r="AK30" s="65">
        <f t="shared" si="100"/>
        <v>2.923076923076923E-2</v>
      </c>
      <c r="AL30" s="65">
        <f t="shared" si="100"/>
        <v>3.0769230769230769E-3</v>
      </c>
      <c r="AM30" s="192">
        <f>AVERAGEIFS(AM$36:AM$167,$C$36:$C$167,"=1", $B$36:$B$167,"NO OFICIAL")</f>
        <v>52.769230769230766</v>
      </c>
      <c r="AO30" s="192">
        <f>AVERAGEIFS(AO$36:AO$167,$C$36:$C$167,"=1", $B$36:$B$167,"NO OFICIAL")</f>
        <v>9.384615384615385</v>
      </c>
      <c r="AQ30" s="65">
        <f t="shared" ref="AQ30:AU30" si="101">AVERAGEIFS(AQ$36:AQ$167,$C$36:$C$167,"=1", $B$36:$B$167,"NO OFICIAL")</f>
        <v>0.27153846153846156</v>
      </c>
      <c r="AR30" s="65">
        <f t="shared" si="101"/>
        <v>0.41307692307692301</v>
      </c>
      <c r="AS30" s="65">
        <f t="shared" si="101"/>
        <v>0.25461538461538463</v>
      </c>
      <c r="AT30" s="65">
        <f t="shared" si="101"/>
        <v>5.5384615384615379E-2</v>
      </c>
      <c r="AU30" s="65">
        <f t="shared" si="101"/>
        <v>6.1538461538461538E-3</v>
      </c>
      <c r="AV30" s="192">
        <f>AVERAGEIFS(AV$36:AV$167,$C$36:$C$167,"=1", $B$36:$B$167,"NO OFICIAL")</f>
        <v>52.92307692307692</v>
      </c>
      <c r="AX30" s="192">
        <f>AVERAGEIFS(AX$36:AX$167,$C$36:$C$167,"=1", $B$36:$B$167,"NO OFICIAL")</f>
        <v>10.23076923076923</v>
      </c>
      <c r="AZ30" s="521">
        <f>AVERAGEIFS(AZ$36:AZ$167,$C$36:$C$167,"=1", $B$36:$B$167,"NO OFICIAL")</f>
        <v>0.29307692307692307</v>
      </c>
      <c r="BA30" s="521">
        <f t="shared" ref="BA30:BD30" si="102">AVERAGEIFS(BA$36:BA$167,$C$36:$C$167,"=1", $B$36:$B$167,"NO OFICIAL")</f>
        <v>0.36769230769230765</v>
      </c>
      <c r="BB30" s="521">
        <f t="shared" si="102"/>
        <v>0.24538461538461542</v>
      </c>
      <c r="BC30" s="521">
        <f t="shared" si="102"/>
        <v>8.3846153846153834E-2</v>
      </c>
      <c r="BD30" s="521">
        <f t="shared" si="102"/>
        <v>1.0769230769230771E-2</v>
      </c>
      <c r="BE30" s="192">
        <f>AVERAGEIFS(BE$36:BE$167,$C$36:$C$167,"=1", $B$36:$B$167,"NO OFICIAL")</f>
        <v>54.416666666666664</v>
      </c>
      <c r="BG30" s="192">
        <f>AVERAGEIFS(BG$36:BG$167,$C$36:$C$167,"=1", $B$36:$B$167,"NO OFICIAL")</f>
        <v>9.5</v>
      </c>
      <c r="BI30" s="521">
        <f>AVERAGEIFS(BI$36:BI$167,$C$36:$C$167,"=1", $B$36:$B$167,"NO OFICIAL")</f>
        <v>0.2525</v>
      </c>
      <c r="BJ30" s="521">
        <f t="shared" ref="BJ30:BM30" si="103">AVERAGEIFS(BJ$36:BJ$167,$C$36:$C$167,"=1", $B$36:$B$167,"NO OFICIAL")</f>
        <v>0.39916666666666673</v>
      </c>
      <c r="BK30" s="521">
        <f t="shared" si="103"/>
        <v>0.24166666666666667</v>
      </c>
      <c r="BL30" s="521">
        <f t="shared" si="103"/>
        <v>9.7500000000000017E-2</v>
      </c>
      <c r="BM30" s="521">
        <f t="shared" si="103"/>
        <v>8.3333333333333332E-3</v>
      </c>
    </row>
    <row r="31" spans="1:65" s="434" customFormat="1" ht="24" customHeight="1" x14ac:dyDescent="0.25">
      <c r="A31" s="6" t="s">
        <v>938</v>
      </c>
      <c r="B31" s="447"/>
      <c r="C31" s="447"/>
      <c r="D31" s="192">
        <f>AVERAGEIFS(D$36:D$167,$C$36:$C$167,"=2", $B$36:$B$167,"NO OFICIAL")</f>
        <v>55</v>
      </c>
      <c r="E31" s="192">
        <f>AVERAGEIFS(E$36:E$167,$C$36:$C$167,"=2", $B$36:$B$167,"NO OFICIAL")</f>
        <v>9.3333333333333339</v>
      </c>
      <c r="F31" s="65">
        <f>AVERAGEIFS(F$36:F$167,$C$36:$C$167,"=2", $B$36:$B$167,"NO OFICIAL")</f>
        <v>0.25444444444444447</v>
      </c>
      <c r="G31" s="65">
        <f t="shared" ref="G31:J31" si="104">AVERAGEIFS(G$36:G$167,$C$36:$C$167,"=2", $B$36:$B$167,"NO OFICIAL")</f>
        <v>0.35444444444444451</v>
      </c>
      <c r="H31" s="65">
        <f t="shared" si="104"/>
        <v>0.27888888888888885</v>
      </c>
      <c r="I31" s="65">
        <f t="shared" si="104"/>
        <v>0.10444444444444445</v>
      </c>
      <c r="J31" s="65">
        <f t="shared" si="104"/>
        <v>7.2222222222222228E-3</v>
      </c>
      <c r="K31" s="192">
        <f>AVERAGEIFS(K$36:K$167,$C$36:$C$167,"=2", $B$36:$B$167,"NO OFICIAL")</f>
        <v>52.529411764705884</v>
      </c>
      <c r="L31" s="192">
        <f>AVERAGEIFS(L$36:L$167,$C$36:$C$167,"=2", $B$36:$B$167,"NO OFICIAL")</f>
        <v>8.6470588235294112</v>
      </c>
      <c r="M31" s="65">
        <f>AVERAGEIFS(M$36:M$167,$C$36:$C$167,"=2", $B$36:$B$167,"NO OFICIAL")</f>
        <v>0.34588235294117653</v>
      </c>
      <c r="N31" s="65">
        <f t="shared" ref="N31:Q31" si="105">AVERAGEIFS(N$36:N$167,$C$36:$C$167,"=2", $B$36:$B$167,"NO OFICIAL")</f>
        <v>0.31058823529411766</v>
      </c>
      <c r="O31" s="65">
        <f t="shared" si="105"/>
        <v>0.27352941176470591</v>
      </c>
      <c r="P31" s="65">
        <f t="shared" si="105"/>
        <v>6.352941176470589E-2</v>
      </c>
      <c r="Q31" s="65">
        <f t="shared" si="105"/>
        <v>6.4705882352941177E-3</v>
      </c>
      <c r="R31" s="192">
        <f>AVERAGEIFS(R$36:R$167,$C$36:$C$167,"=2", $B$36:$B$167,"NO OFICIAL")</f>
        <v>54.294117647058826</v>
      </c>
      <c r="S31" s="192">
        <f>AVERAGEIFS(S$36:S$167,$C$36:$C$167,"=2", $B$36:$B$167,"NO OFICIAL")</f>
        <v>8.5882352941176467</v>
      </c>
      <c r="T31" s="65">
        <f>AVERAGEIFS(T$36:T$167,$C$36:$C$167,"=2", $B$36:$B$167,"NO OFICIAL")</f>
        <v>0.23411764705882351</v>
      </c>
      <c r="U31" s="65">
        <f t="shared" ref="U31:X31" si="106">AVERAGEIFS(U$36:U$167,$C$36:$C$167,"=2", $B$36:$B$167,"NO OFICIAL")</f>
        <v>0.41882352941176471</v>
      </c>
      <c r="V31" s="65">
        <f t="shared" si="106"/>
        <v>0.25705882352941184</v>
      </c>
      <c r="W31" s="65">
        <f t="shared" si="106"/>
        <v>7.823529411764707E-2</v>
      </c>
      <c r="X31" s="65">
        <f t="shared" si="106"/>
        <v>9.9999999999999985E-3</v>
      </c>
      <c r="Y31" s="192">
        <f>AVERAGEIFS(Y$36:Y$167,$C$36:$C$167,"=2", $B$36:$B$167,"NO OFICIAL")</f>
        <v>53.722222222222221</v>
      </c>
      <c r="Z31" s="192">
        <f>AVERAGEIFS(Z$36:Z$167,$C$36:$C$167,"=2", $B$36:$B$167,"NO OFICIAL")</f>
        <v>9.7222222222222214</v>
      </c>
      <c r="AA31" s="65">
        <f>AVERAGEIFS(AA$36:AA$167,$C$36:$C$167,"=2", $B$36:$B$167,"NO OFICIAL")</f>
        <v>0.26333333333333342</v>
      </c>
      <c r="AB31" s="65">
        <f t="shared" ref="AB31:AE31" si="107">AVERAGEIFS(AB$36:AB$167,$C$36:$C$167,"=2", $B$36:$B$167,"NO OFICIAL")</f>
        <v>0.38833333333333331</v>
      </c>
      <c r="AC31" s="65">
        <f t="shared" si="107"/>
        <v>0.2466666666666667</v>
      </c>
      <c r="AD31" s="65">
        <f t="shared" si="107"/>
        <v>8.9444444444444451E-2</v>
      </c>
      <c r="AE31" s="65">
        <f t="shared" si="107"/>
        <v>1.2222222222222221E-2</v>
      </c>
      <c r="AF31" s="192">
        <f>AVERAGEIFS(AF$36:AF$167,$C$36:$C$167,"=2", $B$36:$B$167,"NO OFICIAL")</f>
        <v>48.727272727272727</v>
      </c>
      <c r="AG31" s="192">
        <f>AVERAGEIFS(AG$36:AG$167,$C$36:$C$167,"=2", $B$36:$B$167,"NO OFICIAL")</f>
        <v>7.8636363636363633</v>
      </c>
      <c r="AH31" s="65">
        <f>AVERAGEIFS(AH$36:AH$167,$C$36:$C$167,"=2", $B$36:$B$167,"NO OFICIAL")</f>
        <v>0.49954545454545457</v>
      </c>
      <c r="AI31" s="65">
        <f t="shared" ref="AI31:AL31" si="108">AVERAGEIFS(AI$36:AI$167,$C$36:$C$167,"=2", $B$36:$B$167,"NO OFICIAL")</f>
        <v>0.31954545454545458</v>
      </c>
      <c r="AJ31" s="65">
        <f t="shared" si="108"/>
        <v>0.10318181818181818</v>
      </c>
      <c r="AK31" s="65">
        <f t="shared" si="108"/>
        <v>6.8181818181818177E-2</v>
      </c>
      <c r="AL31" s="65">
        <f t="shared" si="108"/>
        <v>9.9999999999999985E-3</v>
      </c>
      <c r="AM31" s="192">
        <f>AVERAGEIFS(AM$36:AM$167,$C$36:$C$167,"=2", $B$36:$B$167,"NO OFICIAL")</f>
        <v>53.55</v>
      </c>
      <c r="AO31" s="192">
        <f>AVERAGEIFS(AO$36:AO$167,$C$36:$C$167,"=2", $B$36:$B$167,"NO OFICIAL")</f>
        <v>9</v>
      </c>
      <c r="AQ31" s="65">
        <f t="shared" ref="AQ31:AU31" si="109">AVERAGEIFS(AQ$36:AQ$167,$C$36:$C$167,"=2", $B$36:$B$167,"NO OFICIAL")</f>
        <v>0.27300000000000002</v>
      </c>
      <c r="AR31" s="65">
        <f t="shared" si="109"/>
        <v>0.373</v>
      </c>
      <c r="AS31" s="65">
        <f t="shared" si="109"/>
        <v>0.2445</v>
      </c>
      <c r="AT31" s="65">
        <f t="shared" si="109"/>
        <v>9.35E-2</v>
      </c>
      <c r="AU31" s="65">
        <f t="shared" si="109"/>
        <v>1.4999999999999999E-2</v>
      </c>
      <c r="AV31" s="192">
        <f>AVERAGEIFS(AV$36:AV$167,$C$36:$C$167,"=2", $B$36:$B$167,"NO OFICIAL")</f>
        <v>55.80952380952381</v>
      </c>
      <c r="AX31" s="192">
        <f>AVERAGEIFS(AX$36:AX$167,$C$36:$C$167,"=2", $B$36:$B$167,"NO OFICIAL")</f>
        <v>9.5238095238095237</v>
      </c>
      <c r="AZ31" s="521">
        <f>AVERAGEIFS(AZ$36:AZ$167,$C$36:$C$167,"=2", $B$36:$B$167,"NO OFICIAL")</f>
        <v>0.23238095238095238</v>
      </c>
      <c r="BA31" s="521">
        <f t="shared" ref="BA31:BD31" si="110">AVERAGEIFS(BA$36:BA$167,$C$36:$C$167,"=2", $B$36:$B$167,"NO OFICIAL")</f>
        <v>0.27857142857142858</v>
      </c>
      <c r="BB31" s="521">
        <f t="shared" si="110"/>
        <v>0.32333333333333336</v>
      </c>
      <c r="BC31" s="521">
        <f t="shared" si="110"/>
        <v>0.15238095238095237</v>
      </c>
      <c r="BD31" s="521">
        <f t="shared" si="110"/>
        <v>1.4761904761904764E-2</v>
      </c>
      <c r="BE31" s="192">
        <f>AVERAGEIFS(BE$36:BE$167,$C$36:$C$167,"=2", $B$36:$B$167,"NO OFICIAL")</f>
        <v>55.045454545454547</v>
      </c>
      <c r="BG31" s="192">
        <f>AVERAGEIFS(BG$36:BG$167,$C$36:$C$167,"=2", $B$36:$B$167,"NO OFICIAL")</f>
        <v>9.2272727272727266</v>
      </c>
      <c r="BI31" s="521">
        <f>AVERAGEIFS(BI$36:BI$167,$C$36:$C$167,"=2", $B$36:$B$167,"NO OFICIAL")</f>
        <v>0.28999999999999998</v>
      </c>
      <c r="BJ31" s="521">
        <f t="shared" ref="BJ31:BM31" si="111">AVERAGEIFS(BJ$36:BJ$167,$C$36:$C$167,"=2", $B$36:$B$167,"NO OFICIAL")</f>
        <v>0.31318181818181823</v>
      </c>
      <c r="BK31" s="521">
        <f t="shared" si="111"/>
        <v>0.21954545454545446</v>
      </c>
      <c r="BL31" s="521">
        <f t="shared" si="111"/>
        <v>0.16272727272727269</v>
      </c>
      <c r="BM31" s="521">
        <f t="shared" si="111"/>
        <v>1.3636363636363636E-2</v>
      </c>
    </row>
    <row r="32" spans="1:65" s="434" customFormat="1" ht="24" customHeight="1" x14ac:dyDescent="0.25">
      <c r="A32" s="6" t="s">
        <v>939</v>
      </c>
      <c r="B32" s="447"/>
      <c r="C32" s="447"/>
      <c r="D32" s="192">
        <f>AVERAGEIFS(D$36:D$167,$C$36:$C$167,"=3", $B$36:$B$167,"NO OFICIAL")</f>
        <v>55.153846153846153</v>
      </c>
      <c r="E32" s="192">
        <f>AVERAGEIFS(E$36:E$167,$C$36:$C$167,"=3", $B$36:$B$167,"NO OFICIAL")</f>
        <v>8.9230769230769234</v>
      </c>
      <c r="F32" s="65">
        <f>AVERAGEIFS(F$36:F$167,$C$36:$C$167,"=3", $B$36:$B$167,"NO OFICIAL")</f>
        <v>0.21076923076923076</v>
      </c>
      <c r="G32" s="65">
        <f t="shared" ref="G32:J32" si="112">AVERAGEIFS(G$36:G$167,$C$36:$C$167,"=3", $B$36:$B$167,"NO OFICIAL")</f>
        <v>0.40769230769230763</v>
      </c>
      <c r="H32" s="65">
        <f t="shared" si="112"/>
        <v>0.29461538461538467</v>
      </c>
      <c r="I32" s="65">
        <f t="shared" si="112"/>
        <v>8.9230769230769211E-2</v>
      </c>
      <c r="J32" s="65">
        <f t="shared" si="112"/>
        <v>7.6923076923076923E-4</v>
      </c>
      <c r="K32" s="192">
        <f>AVERAGEIFS(K$36:K$167,$C$36:$C$167,"=3", $B$36:$B$167,"NO OFICIAL")</f>
        <v>51.428571428571431</v>
      </c>
      <c r="L32" s="192">
        <f>AVERAGEIFS(L$36:L$167,$C$36:$C$167,"=3", $B$36:$B$167,"NO OFICIAL")</f>
        <v>8.9285714285714288</v>
      </c>
      <c r="M32" s="65">
        <f>AVERAGEIFS(M$36:M$167,$C$36:$C$167,"=3", $B$36:$B$167,"NO OFICIAL")</f>
        <v>0.34357142857142858</v>
      </c>
      <c r="N32" s="65">
        <f t="shared" ref="N32:Q32" si="113">AVERAGEIFS(N$36:N$167,$C$36:$C$167,"=3", $B$36:$B$167,"NO OFICIAL")</f>
        <v>0.39571428571428563</v>
      </c>
      <c r="O32" s="65">
        <f t="shared" si="113"/>
        <v>0.20499999999999999</v>
      </c>
      <c r="P32" s="65">
        <f t="shared" si="113"/>
        <v>5.5714285714285723E-2</v>
      </c>
      <c r="Q32" s="65">
        <f t="shared" si="113"/>
        <v>2.8571428571428571E-3</v>
      </c>
      <c r="R32" s="192">
        <f>AVERAGEIFS(R$36:R$167,$C$36:$C$167,"=3", $B$36:$B$167,"NO OFICIAL")</f>
        <v>53.285714285714285</v>
      </c>
      <c r="S32" s="192">
        <f>AVERAGEIFS(S$36:S$167,$C$36:$C$167,"=3", $B$36:$B$167,"NO OFICIAL")</f>
        <v>8.5714285714285712</v>
      </c>
      <c r="T32" s="65">
        <f>AVERAGEIFS(T$36:T$167,$C$36:$C$167,"=3", $B$36:$B$167,"NO OFICIAL")</f>
        <v>0.27285714285714285</v>
      </c>
      <c r="U32" s="65">
        <f t="shared" ref="U32:X32" si="114">AVERAGEIFS(U$36:U$167,$C$36:$C$167,"=3", $B$36:$B$167,"NO OFICIAL")</f>
        <v>0.40357142857142853</v>
      </c>
      <c r="V32" s="65">
        <f t="shared" si="114"/>
        <v>0.2664285714285714</v>
      </c>
      <c r="W32" s="65">
        <f t="shared" si="114"/>
        <v>5.0714285714285726E-2</v>
      </c>
      <c r="X32" s="65">
        <f t="shared" si="114"/>
        <v>5.7142857142857143E-3</v>
      </c>
      <c r="Y32" s="192">
        <f>AVERAGEIFS(Y$36:Y$167,$C$36:$C$167,"=3", $B$36:$B$167,"NO OFICIAL")</f>
        <v>52.357142857142854</v>
      </c>
      <c r="Z32" s="192">
        <f>AVERAGEIFS(Z$36:Z$167,$C$36:$C$167,"=3", $B$36:$B$167,"NO OFICIAL")</f>
        <v>9.4285714285714288</v>
      </c>
      <c r="AA32" s="65">
        <f>AVERAGEIFS(AA$36:AA$167,$C$36:$C$167,"=3", $B$36:$B$167,"NO OFICIAL")</f>
        <v>0.2985714285714286</v>
      </c>
      <c r="AB32" s="65">
        <f t="shared" ref="AB32:AE32" si="115">AVERAGEIFS(AB$36:AB$167,$C$36:$C$167,"=3", $B$36:$B$167,"NO OFICIAL")</f>
        <v>0.40571428571428575</v>
      </c>
      <c r="AC32" s="65">
        <f t="shared" si="115"/>
        <v>0.23142857142857146</v>
      </c>
      <c r="AD32" s="65">
        <f t="shared" si="115"/>
        <v>6.4285714285714279E-2</v>
      </c>
      <c r="AE32" s="65">
        <f t="shared" si="115"/>
        <v>2.142857142857143E-3</v>
      </c>
      <c r="AF32" s="192">
        <f>AVERAGEIFS(AF$36:AF$167,$C$36:$C$167,"=3", $B$36:$B$167,"NO OFICIAL")</f>
        <v>49.733333333333334</v>
      </c>
      <c r="AG32" s="192">
        <f>AVERAGEIFS(AG$36:AG$167,$C$36:$C$167,"=3", $B$36:$B$167,"NO OFICIAL")</f>
        <v>8.4</v>
      </c>
      <c r="AH32" s="65">
        <f>AVERAGEIFS(AH$36:AH$167,$C$36:$C$167,"=3", $B$36:$B$167,"NO OFICIAL")</f>
        <v>0.45533333333333326</v>
      </c>
      <c r="AI32" s="65">
        <f t="shared" ref="AI32:AL32" si="116">AVERAGEIFS(AI$36:AI$167,$C$36:$C$167,"=3", $B$36:$B$167,"NO OFICIAL")</f>
        <v>0.36333333333333334</v>
      </c>
      <c r="AJ32" s="65">
        <f t="shared" si="116"/>
        <v>0.12733333333333335</v>
      </c>
      <c r="AK32" s="65">
        <f t="shared" si="116"/>
        <v>5.3999999999999999E-2</v>
      </c>
      <c r="AL32" s="65">
        <f t="shared" si="116"/>
        <v>1.3333333333333333E-3</v>
      </c>
      <c r="AM32" s="192">
        <f>AVERAGEIFS(AM$36:AM$167,$C$36:$C$167,"=3", $B$36:$B$167,"NO OFICIAL")</f>
        <v>53.333333333333336</v>
      </c>
      <c r="AO32" s="192">
        <f>AVERAGEIFS(AO$36:AO$167,$C$36:$C$167,"=3", $B$36:$B$167,"NO OFICIAL")</f>
        <v>10.133333333333333</v>
      </c>
      <c r="AQ32" s="65">
        <f t="shared" ref="AQ32:AU32" si="117">AVERAGEIFS(AQ$36:AQ$167,$C$36:$C$167,"=3", $B$36:$B$167,"NO OFICIAL")</f>
        <v>0.31599999999999995</v>
      </c>
      <c r="AR32" s="65">
        <f t="shared" si="117"/>
        <v>0.34066666666666667</v>
      </c>
      <c r="AS32" s="65">
        <f t="shared" si="117"/>
        <v>0.23</v>
      </c>
      <c r="AT32" s="65">
        <f t="shared" si="117"/>
        <v>0.10333333333333333</v>
      </c>
      <c r="AU32" s="65">
        <f t="shared" si="117"/>
        <v>1.1333333333333334E-2</v>
      </c>
      <c r="AV32" s="192">
        <f>AVERAGEIFS(AV$36:AV$167,$C$36:$C$167,"=3", $B$36:$B$167,"NO OFICIAL")</f>
        <v>55.375</v>
      </c>
      <c r="AX32" s="192">
        <f>AVERAGEIFS(AX$36:AX$167,$C$36:$C$167,"=3", $B$36:$B$167,"NO OFICIAL")</f>
        <v>9.8125</v>
      </c>
      <c r="AZ32" s="521">
        <f>AVERAGEIFS(AZ$36:AZ$167,$C$36:$C$167,"=3", $B$36:$B$167,"NO OFICIAL")</f>
        <v>0.24249999999999999</v>
      </c>
      <c r="BA32" s="521">
        <f t="shared" ref="BA32:BD32" si="118">AVERAGEIFS(BA$36:BA$167,$C$36:$C$167,"=3", $B$36:$B$167,"NO OFICIAL")</f>
        <v>0.33500000000000002</v>
      </c>
      <c r="BB32" s="521">
        <f t="shared" si="118"/>
        <v>0.26374999999999998</v>
      </c>
      <c r="BC32" s="521">
        <f t="shared" si="118"/>
        <v>0.15</v>
      </c>
      <c r="BD32" s="521">
        <f t="shared" si="118"/>
        <v>1.125E-2</v>
      </c>
      <c r="BE32" s="192">
        <f>AVERAGEIFS(BE$36:BE$167,$C$36:$C$167,"=3", $B$36:$B$167,"NO OFICIAL")</f>
        <v>55.5625</v>
      </c>
      <c r="BG32" s="192">
        <f>AVERAGEIFS(BG$36:BG$167,$C$36:$C$167,"=3", $B$36:$B$167,"NO OFICIAL")</f>
        <v>9.9375</v>
      </c>
      <c r="BI32" s="521">
        <f>AVERAGEIFS(BI$36:BI$167,$C$36:$C$167,"=3", $B$36:$B$167,"NO OFICIAL")</f>
        <v>0.22500000000000001</v>
      </c>
      <c r="BJ32" s="521">
        <f t="shared" ref="BJ32:BM32" si="119">AVERAGEIFS(BJ$36:BJ$167,$C$36:$C$167,"=3", $B$36:$B$167,"NO OFICIAL")</f>
        <v>0.36062500000000003</v>
      </c>
      <c r="BK32" s="521">
        <f t="shared" si="119"/>
        <v>0.28187500000000004</v>
      </c>
      <c r="BL32" s="521">
        <f t="shared" si="119"/>
        <v>0.11000000000000001</v>
      </c>
      <c r="BM32" s="521">
        <f t="shared" si="119"/>
        <v>2.2500000000000006E-2</v>
      </c>
    </row>
    <row r="33" spans="1:65" s="434" customFormat="1" ht="24" customHeight="1" x14ac:dyDescent="0.25">
      <c r="A33" s="6" t="s">
        <v>940</v>
      </c>
      <c r="B33" s="447"/>
      <c r="C33" s="447"/>
      <c r="D33" s="192">
        <f>AVERAGEIFS(D$36:D$167,$C$36:$C$167,"=4", $B$36:$B$167,"NO OFICIAL")</f>
        <v>51.875</v>
      </c>
      <c r="E33" s="192">
        <f>AVERAGEIFS(E$36:E$167,$C$36:$C$167,"=4", $B$36:$B$167,"NO OFICIAL")</f>
        <v>8.375</v>
      </c>
      <c r="F33" s="65">
        <f>AVERAGEIFS(F$36:F$167,$C$36:$C$167,"=4", $B$36:$B$167,"NO OFICIAL")</f>
        <v>0.3775</v>
      </c>
      <c r="G33" s="65">
        <f t="shared" ref="G33:J33" si="120">AVERAGEIFS(G$36:G$167,$C$36:$C$167,"=4", $B$36:$B$167,"NO OFICIAL")</f>
        <v>0.35250000000000004</v>
      </c>
      <c r="H33" s="65">
        <f t="shared" si="120"/>
        <v>0.18374999999999997</v>
      </c>
      <c r="I33" s="65">
        <f t="shared" si="120"/>
        <v>8.8749999999999996E-2</v>
      </c>
      <c r="J33" s="65">
        <f t="shared" si="120"/>
        <v>0</v>
      </c>
      <c r="K33" s="192">
        <f>AVERAGEIFS(K$36:K$167,$C$36:$C$167,"=4", $B$36:$B$167,"NO OFICIAL")</f>
        <v>50.888888888888886</v>
      </c>
      <c r="L33" s="192">
        <f>AVERAGEIFS(L$36:L$167,$C$36:$C$167,"=4", $B$36:$B$167,"NO OFICIAL")</f>
        <v>6.5555555555555554</v>
      </c>
      <c r="M33" s="65">
        <f>AVERAGEIFS(M$36:M$167,$C$36:$C$167,"=4", $B$36:$B$167,"NO OFICIAL")</f>
        <v>0.42222222222222222</v>
      </c>
      <c r="N33" s="65">
        <f t="shared" ref="N33:Q33" si="121">AVERAGEIFS(N$36:N$167,$C$36:$C$167,"=4", $B$36:$B$167,"NO OFICIAL")</f>
        <v>0.31444444444444447</v>
      </c>
      <c r="O33" s="65">
        <f t="shared" si="121"/>
        <v>0.24777777777777776</v>
      </c>
      <c r="P33" s="65">
        <f t="shared" si="121"/>
        <v>1.8888888888888886E-2</v>
      </c>
      <c r="Q33" s="65">
        <f t="shared" si="121"/>
        <v>0</v>
      </c>
      <c r="R33" s="192">
        <f>AVERAGEIFS(R$36:R$167,$C$36:$C$167,"=4", $B$36:$B$167,"NO OFICIAL")</f>
        <v>54.555555555555557</v>
      </c>
      <c r="S33" s="192">
        <f>AVERAGEIFS(S$36:S$167,$C$36:$C$167,"=4", $B$36:$B$167,"NO OFICIAL")</f>
        <v>8.2222222222222214</v>
      </c>
      <c r="T33" s="65">
        <f>AVERAGEIFS(T$36:T$167,$C$36:$C$167,"=4", $B$36:$B$167,"NO OFICIAL")</f>
        <v>0.28555555555555556</v>
      </c>
      <c r="U33" s="65">
        <f t="shared" ref="U33:X33" si="122">AVERAGEIFS(U$36:U$167,$C$36:$C$167,"=4", $B$36:$B$167,"NO OFICIAL")</f>
        <v>0.33888888888888885</v>
      </c>
      <c r="V33" s="65">
        <f t="shared" si="122"/>
        <v>0.25111111111111106</v>
      </c>
      <c r="W33" s="65">
        <f t="shared" si="122"/>
        <v>0.11555555555555556</v>
      </c>
      <c r="X33" s="65">
        <f t="shared" si="122"/>
        <v>7.7777777777777784E-3</v>
      </c>
      <c r="Y33" s="192">
        <f>AVERAGEIFS(Y$36:Y$167,$C$36:$C$167,"=4", $B$36:$B$167,"NO OFICIAL")</f>
        <v>50.25</v>
      </c>
      <c r="Z33" s="192">
        <f>AVERAGEIFS(Z$36:Z$167,$C$36:$C$167,"=4", $B$36:$B$167,"NO OFICIAL")</f>
        <v>8.375</v>
      </c>
      <c r="AA33" s="65">
        <f>AVERAGEIFS(AA$36:AA$167,$C$36:$C$167,"=4", $B$36:$B$167,"NO OFICIAL")</f>
        <v>0.40125</v>
      </c>
      <c r="AB33" s="65">
        <f t="shared" ref="AB33:AE33" si="123">AVERAGEIFS(AB$36:AB$167,$C$36:$C$167,"=4", $B$36:$B$167,"NO OFICIAL")</f>
        <v>0.38250000000000001</v>
      </c>
      <c r="AC33" s="65">
        <f t="shared" si="123"/>
        <v>0.1875</v>
      </c>
      <c r="AD33" s="65">
        <f t="shared" si="123"/>
        <v>2.7500000000000004E-2</v>
      </c>
      <c r="AE33" s="65">
        <f t="shared" si="123"/>
        <v>2.5000000000000001E-3</v>
      </c>
      <c r="AF33" s="192">
        <f>AVERAGEIFS(AF$36:AF$167,$C$36:$C$167,"=4", $B$36:$B$167,"NO OFICIAL")</f>
        <v>47.428571428571431</v>
      </c>
      <c r="AG33" s="192">
        <f>AVERAGEIFS(AG$36:AG$167,$C$36:$C$167,"=4", $B$36:$B$167,"NO OFICIAL")</f>
        <v>8.5714285714285712</v>
      </c>
      <c r="AH33" s="65">
        <f>AVERAGEIFS(AH$36:AH$167,$C$36:$C$167,"=4", $B$36:$B$167,"NO OFICIAL")</f>
        <v>0.47285714285714286</v>
      </c>
      <c r="AI33" s="65">
        <f t="shared" ref="AI33:AL33" si="124">AVERAGEIFS(AI$36:AI$167,$C$36:$C$167,"=4", $B$36:$B$167,"NO OFICIAL")</f>
        <v>0.38714285714285712</v>
      </c>
      <c r="AJ33" s="65">
        <f t="shared" si="124"/>
        <v>0.12714285714285714</v>
      </c>
      <c r="AK33" s="65">
        <f t="shared" si="124"/>
        <v>1.4285714285714287E-2</v>
      </c>
      <c r="AL33" s="65">
        <f t="shared" si="124"/>
        <v>0</v>
      </c>
      <c r="AM33" s="192">
        <f>AVERAGEIFS(AM$36:AM$167,$C$36:$C$167,"=4", $B$36:$B$167,"NO OFICIAL")</f>
        <v>51</v>
      </c>
      <c r="AO33" s="192">
        <f>AVERAGEIFS(AO$36:AO$167,$C$36:$C$167,"=4", $B$36:$B$167,"NO OFICIAL")</f>
        <v>8.625</v>
      </c>
      <c r="AQ33" s="65">
        <f t="shared" ref="AQ33:AU33" si="125">AVERAGEIFS(AQ$36:AQ$167,$C$36:$C$167,"=4", $B$36:$B$167,"NO OFICIAL")</f>
        <v>0.33624999999999994</v>
      </c>
      <c r="AR33" s="65">
        <f t="shared" si="125"/>
        <v>0.43375000000000002</v>
      </c>
      <c r="AS33" s="65">
        <f t="shared" si="125"/>
        <v>0.18124999999999999</v>
      </c>
      <c r="AT33" s="65">
        <f t="shared" si="125"/>
        <v>4.3750000000000004E-2</v>
      </c>
      <c r="AU33" s="65">
        <f t="shared" si="125"/>
        <v>7.4999999999999997E-3</v>
      </c>
      <c r="AV33" s="192">
        <f>AVERAGEIFS(AV$36:AV$167,$C$36:$C$167,"=4", $B$36:$B$167,"NO OFICIAL")</f>
        <v>50.875</v>
      </c>
      <c r="AX33" s="192">
        <f>AVERAGEIFS(AX$36:AX$167,$C$36:$C$167,"=4", $B$36:$B$167,"NO OFICIAL")</f>
        <v>9.375</v>
      </c>
      <c r="AZ33" s="521">
        <f>AVERAGEIFS(AZ$36:AZ$167,$C$36:$C$167,"=4", $B$36:$B$167,"NO OFICIAL")</f>
        <v>0.35749999999999998</v>
      </c>
      <c r="BA33" s="521">
        <f t="shared" ref="BA33:BD33" si="126">AVERAGEIFS(BA$36:BA$167,$C$36:$C$167,"=4", $B$36:$B$167,"NO OFICIAL")</f>
        <v>0.38</v>
      </c>
      <c r="BB33" s="521">
        <f t="shared" si="126"/>
        <v>0.20125000000000001</v>
      </c>
      <c r="BC33" s="521">
        <f t="shared" si="126"/>
        <v>6.1249999999999999E-2</v>
      </c>
      <c r="BD33" s="521">
        <f t="shared" si="126"/>
        <v>0</v>
      </c>
      <c r="BE33" s="192">
        <f>AVERAGEIFS(BE$36:BE$167,$C$36:$C$167,"=4", $B$36:$B$167,"NO OFICIAL")</f>
        <v>50.333333333333336</v>
      </c>
      <c r="BG33" s="192">
        <f>AVERAGEIFS(BG$36:BG$167,$C$36:$C$167,"=4", $B$36:$B$167,"NO OFICIAL")</f>
        <v>9</v>
      </c>
      <c r="BI33" s="521">
        <f>AVERAGEIFS(BI$36:BI$167,$C$36:$C$167,"=4", $B$36:$B$167,"NO OFICIAL")</f>
        <v>0.40111111111111108</v>
      </c>
      <c r="BJ33" s="521">
        <f t="shared" ref="BJ33:BM33" si="127">AVERAGEIFS(BJ$36:BJ$167,$C$36:$C$167,"=4", $B$36:$B$167,"NO OFICIAL")</f>
        <v>0.33777777777777779</v>
      </c>
      <c r="BK33" s="521">
        <f t="shared" si="127"/>
        <v>0.20777777777777781</v>
      </c>
      <c r="BL33" s="521">
        <f t="shared" si="127"/>
        <v>4.6666666666666669E-2</v>
      </c>
      <c r="BM33" s="521">
        <f t="shared" si="127"/>
        <v>3.3333333333333331E-3</v>
      </c>
    </row>
    <row r="34" spans="1:65" s="434" customFormat="1" ht="24" customHeight="1" x14ac:dyDescent="0.25">
      <c r="A34" s="6" t="s">
        <v>941</v>
      </c>
      <c r="B34" s="447"/>
      <c r="C34" s="447"/>
      <c r="D34" s="192">
        <f>AVERAGEIFS(D$36:D$167,$C$36:$C$167,"=5", $B$36:$B$167,"NO OFICIAL")</f>
        <v>57.533333333333331</v>
      </c>
      <c r="E34" s="192">
        <f>AVERAGEIFS(E$36:E$167,$C$36:$C$167,"=5", $B$36:$B$167,"NO OFICIAL")</f>
        <v>9.1999999999999993</v>
      </c>
      <c r="F34" s="65">
        <f>AVERAGEIFS(F$36:F$167,$C$36:$C$167,"=5", $B$36:$B$167,"NO OFICIAL")</f>
        <v>0.1846666666666667</v>
      </c>
      <c r="G34" s="65">
        <f t="shared" ref="G34:J34" si="128">AVERAGEIFS(G$36:G$167,$C$36:$C$167,"=5", $B$36:$B$167,"NO OFICIAL")</f>
        <v>0.34866666666666668</v>
      </c>
      <c r="H34" s="65">
        <f t="shared" si="128"/>
        <v>0.28466666666666668</v>
      </c>
      <c r="I34" s="65">
        <f t="shared" si="128"/>
        <v>0.17200000000000001</v>
      </c>
      <c r="J34" s="65">
        <f t="shared" si="128"/>
        <v>1.1333333333333334E-2</v>
      </c>
      <c r="K34" s="192">
        <f>AVERAGEIFS(K$36:K$167,$C$36:$C$167,"=5", $B$36:$B$167,"NO OFICIAL")</f>
        <v>56.133333333333333</v>
      </c>
      <c r="L34" s="192">
        <f>AVERAGEIFS(L$36:L$167,$C$36:$C$167,"=5", $B$36:$B$167,"NO OFICIAL")</f>
        <v>8.7333333333333325</v>
      </c>
      <c r="M34" s="65">
        <f>AVERAGEIFS(M$36:M$167,$C$36:$C$167,"=5", $B$36:$B$167,"NO OFICIAL")</f>
        <v>0.20199999999999999</v>
      </c>
      <c r="N34" s="65">
        <f t="shared" ref="N34:Q34" si="129">AVERAGEIFS(N$36:N$167,$C$36:$C$167,"=5", $B$36:$B$167,"NO OFICIAL")</f>
        <v>0.33799999999999997</v>
      </c>
      <c r="O34" s="65">
        <f t="shared" si="129"/>
        <v>0.35133333333333333</v>
      </c>
      <c r="P34" s="65">
        <f t="shared" si="129"/>
        <v>9.1999999999999998E-2</v>
      </c>
      <c r="Q34" s="65">
        <f t="shared" si="129"/>
        <v>1.8000000000000002E-2</v>
      </c>
      <c r="R34" s="192">
        <f>AVERAGEIFS(R$36:R$167,$C$36:$C$167,"=5", $B$36:$B$167,"NO OFICIAL")</f>
        <v>56.5625</v>
      </c>
      <c r="S34" s="192">
        <f>AVERAGEIFS(S$36:S$167,$C$36:$C$167,"=5", $B$36:$B$167,"NO OFICIAL")</f>
        <v>8.6875</v>
      </c>
      <c r="T34" s="65">
        <f>AVERAGEIFS(T$36:T$167,$C$36:$C$167,"=5", $B$36:$B$167,"NO OFICIAL")</f>
        <v>0.166875</v>
      </c>
      <c r="U34" s="65">
        <f t="shared" ref="U34:X34" si="130">AVERAGEIFS(U$36:U$167,$C$36:$C$167,"=5", $B$36:$B$167,"NO OFICIAL")</f>
        <v>0.37875000000000003</v>
      </c>
      <c r="V34" s="65">
        <f t="shared" si="130"/>
        <v>0.29125000000000006</v>
      </c>
      <c r="W34" s="65">
        <f t="shared" si="130"/>
        <v>0.14312500000000003</v>
      </c>
      <c r="X34" s="65">
        <f t="shared" si="130"/>
        <v>1.8125000000000002E-2</v>
      </c>
      <c r="Y34" s="192">
        <f>AVERAGEIFS(Y$36:Y$167,$C$36:$C$167,"=5", $B$36:$B$167,"NO OFICIAL")</f>
        <v>55.705882352941174</v>
      </c>
      <c r="Z34" s="192">
        <f>AVERAGEIFS(Z$36:Z$167,$C$36:$C$167,"=5", $B$36:$B$167,"NO OFICIAL")</f>
        <v>9</v>
      </c>
      <c r="AA34" s="65">
        <f>AVERAGEIFS(AA$36:AA$167,$C$36:$C$167,"=5", $B$36:$B$167,"NO OFICIAL")</f>
        <v>0.22470588235294114</v>
      </c>
      <c r="AB34" s="65">
        <f t="shared" ref="AB34:AE34" si="131">AVERAGEIFS(AB$36:AB$167,$C$36:$C$167,"=5", $B$36:$B$167,"NO OFICIAL")</f>
        <v>0.34352941176470592</v>
      </c>
      <c r="AC34" s="65">
        <f t="shared" si="131"/>
        <v>0.3141176470588235</v>
      </c>
      <c r="AD34" s="65">
        <f t="shared" si="131"/>
        <v>0.11764705882352941</v>
      </c>
      <c r="AE34" s="65">
        <f t="shared" si="131"/>
        <v>5.8823529411764712E-4</v>
      </c>
      <c r="AF34" s="192">
        <f>AVERAGEIFS(AF$36:AF$167,$C$36:$C$167,"=5", $B$36:$B$167,"NO OFICIAL")</f>
        <v>51.75</v>
      </c>
      <c r="AG34" s="192">
        <f>AVERAGEIFS(AG$36:AG$167,$C$36:$C$167,"=5", $B$36:$B$167,"NO OFICIAL")</f>
        <v>9.1875</v>
      </c>
      <c r="AH34" s="65">
        <f>AVERAGEIFS(AH$36:AH$167,$C$36:$C$167,"=5", $B$36:$B$167,"NO OFICIAL")</f>
        <v>0.32</v>
      </c>
      <c r="AI34" s="65">
        <f t="shared" ref="AI34:AL34" si="132">AVERAGEIFS(AI$36:AI$167,$C$36:$C$167,"=5", $B$36:$B$167,"NO OFICIAL")</f>
        <v>0.41625000000000006</v>
      </c>
      <c r="AJ34" s="65">
        <f t="shared" si="132"/>
        <v>0.19624999999999998</v>
      </c>
      <c r="AK34" s="65">
        <f t="shared" si="132"/>
        <v>6.8125000000000019E-2</v>
      </c>
      <c r="AL34" s="65">
        <f t="shared" si="132"/>
        <v>6.2500000000000001E-4</v>
      </c>
      <c r="AM34" s="192">
        <f>AVERAGEIFS(AM$36:AM$167,$C$36:$C$167,"=5", $B$36:$B$167,"NO OFICIAL")</f>
        <v>56.9375</v>
      </c>
      <c r="AO34" s="192">
        <f>AVERAGEIFS(AO$36:AO$167,$C$36:$C$167,"=5", $B$36:$B$167,"NO OFICIAL")</f>
        <v>9.5625</v>
      </c>
      <c r="AQ34" s="65">
        <f t="shared" ref="AQ34:AU34" si="133">AVERAGEIFS(AQ$36:AQ$167,$C$36:$C$167,"=5", $B$36:$B$167,"NO OFICIAL")</f>
        <v>0.17687499999999995</v>
      </c>
      <c r="AR34" s="65">
        <f t="shared" si="133"/>
        <v>0.37687499999999996</v>
      </c>
      <c r="AS34" s="65">
        <f t="shared" si="133"/>
        <v>0.28874999999999995</v>
      </c>
      <c r="AT34" s="65">
        <f t="shared" si="133"/>
        <v>0.15187500000000001</v>
      </c>
      <c r="AU34" s="65">
        <f t="shared" si="133"/>
        <v>6.2500000000000003E-3</v>
      </c>
      <c r="AV34" s="192">
        <f>AVERAGEIFS(AV$36:AV$167,$C$36:$C$167,"=5", $B$36:$B$167,"NO OFICIAL")</f>
        <v>57.8</v>
      </c>
      <c r="AX34" s="192">
        <f>AVERAGEIFS(AX$36:AX$167,$C$36:$C$167,"=5", $B$36:$B$167,"NO OFICIAL")</f>
        <v>9.1999999999999993</v>
      </c>
      <c r="AZ34" s="521">
        <f>AVERAGEIFS(AZ$36:AZ$167,$C$36:$C$167,"=5", $B$36:$B$167,"NO OFICIAL")</f>
        <v>0.126</v>
      </c>
      <c r="BA34" s="521">
        <f t="shared" ref="BA34:BD34" si="134">AVERAGEIFS(BA$36:BA$167,$C$36:$C$167,"=5", $B$36:$B$167,"NO OFICIAL")</f>
        <v>0.36466666666666664</v>
      </c>
      <c r="BB34" s="521">
        <f t="shared" si="134"/>
        <v>0.33666666666666667</v>
      </c>
      <c r="BC34" s="521">
        <f t="shared" si="134"/>
        <v>0.152</v>
      </c>
      <c r="BD34" s="521">
        <f t="shared" si="134"/>
        <v>1.8666666666666665E-2</v>
      </c>
      <c r="BE34" s="192">
        <f>AVERAGEIFS(BE$36:BE$167,$C$36:$C$167,"=5", $B$36:$B$167,"NO OFICIAL")</f>
        <v>58.2</v>
      </c>
      <c r="BG34" s="192">
        <f>AVERAGEIFS(BG$36:BG$167,$C$36:$C$167,"=5", $B$36:$B$167,"NO OFICIAL")</f>
        <v>9.6666666666666661</v>
      </c>
      <c r="BI34" s="521">
        <f>AVERAGEIFS(BI$36:BI$167,$C$36:$C$167,"=5", $B$36:$B$167,"NO OFICIAL")</f>
        <v>0.16800000000000004</v>
      </c>
      <c r="BJ34" s="521">
        <f t="shared" ref="BJ34:BM34" si="135">AVERAGEIFS(BJ$36:BJ$167,$C$36:$C$167,"=5", $B$36:$B$167,"NO OFICIAL")</f>
        <v>0.28799999999999998</v>
      </c>
      <c r="BK34" s="521">
        <f t="shared" si="135"/>
        <v>0.35266666666666663</v>
      </c>
      <c r="BL34" s="521">
        <f t="shared" si="135"/>
        <v>0.16866666666666666</v>
      </c>
      <c r="BM34" s="521">
        <f t="shared" si="135"/>
        <v>2.4000000000000004E-2</v>
      </c>
    </row>
    <row r="35" spans="1:65" s="434" customFormat="1" ht="24.9" customHeight="1" x14ac:dyDescent="0.25">
      <c r="A35" s="6" t="s">
        <v>942</v>
      </c>
      <c r="B35" s="447"/>
      <c r="C35" s="447"/>
      <c r="D35" s="192">
        <f>AVERAGEIFS(D$36:D$167,$C$36:$C$167,"=6", $B$36:$B$167,"NO OFICIAL")</f>
        <v>54.666666666666664</v>
      </c>
      <c r="E35" s="192">
        <f>AVERAGEIFS(E$36:E$167,$C$36:$C$167,"=6", $B$36:$B$167,"NO OFICIAL")</f>
        <v>8.25</v>
      </c>
      <c r="F35" s="65">
        <f>AVERAGEIFS(F$36:F$167,$C$36:$C$167,"=6", $B$36:$B$167,"NO OFICIAL")</f>
        <v>0.29333333333333339</v>
      </c>
      <c r="G35" s="65">
        <f t="shared" ref="G35:J35" si="136">AVERAGEIFS(G$36:G$167,$C$36:$C$167,"=6", $B$36:$B$167,"NO OFICIAL")</f>
        <v>0.33166666666666661</v>
      </c>
      <c r="H35" s="65">
        <f t="shared" si="136"/>
        <v>0.29666666666666669</v>
      </c>
      <c r="I35" s="65">
        <f t="shared" si="136"/>
        <v>7.0000000000000007E-2</v>
      </c>
      <c r="J35" s="65">
        <f t="shared" si="136"/>
        <v>5.0000000000000001E-3</v>
      </c>
      <c r="K35" s="192">
        <f>AVERAGEIFS(K$36:K$167,$C$36:$C$167,"=6", $B$36:$B$167,"NO OFICIAL")</f>
        <v>51.333333333333336</v>
      </c>
      <c r="L35" s="192">
        <f>AVERAGEIFS(L$36:L$167,$C$36:$C$167,"=6", $B$36:$B$167,"NO OFICIAL")</f>
        <v>9.1666666666666661</v>
      </c>
      <c r="M35" s="65">
        <f>AVERAGEIFS(M$36:M$167,$C$36:$C$167,"=6", $B$36:$B$167,"NO OFICIAL")</f>
        <v>0.42083333333333323</v>
      </c>
      <c r="N35" s="65">
        <f t="shared" ref="N35:Q35" si="137">AVERAGEIFS(N$36:N$167,$C$36:$C$167,"=6", $B$36:$B$167,"NO OFICIAL")</f>
        <v>0.35250000000000004</v>
      </c>
      <c r="O35" s="65">
        <f t="shared" si="137"/>
        <v>0.15833333333333333</v>
      </c>
      <c r="P35" s="65">
        <f t="shared" si="137"/>
        <v>6.25E-2</v>
      </c>
      <c r="Q35" s="65">
        <f t="shared" si="137"/>
        <v>7.5000000000000006E-3</v>
      </c>
      <c r="R35" s="192">
        <f>AVERAGEIFS(R$36:R$167,$C$36:$C$167,"=6", $B$36:$B$167,"NO OFICIAL")</f>
        <v>52.81818181818182</v>
      </c>
      <c r="S35" s="192">
        <f>AVERAGEIFS(S$36:S$167,$C$36:$C$167,"=6", $B$36:$B$167,"NO OFICIAL")</f>
        <v>8.6363636363636367</v>
      </c>
      <c r="T35" s="65">
        <f>AVERAGEIFS(T$36:T$167,$C$36:$C$167,"=6", $B$36:$B$167,"NO OFICIAL")</f>
        <v>0.28545454545454552</v>
      </c>
      <c r="U35" s="65">
        <f t="shared" ref="U35:X35" si="138">AVERAGEIFS(U$36:U$167,$C$36:$C$167,"=6", $B$36:$B$167,"NO OFICIAL")</f>
        <v>0.46</v>
      </c>
      <c r="V35" s="65">
        <f t="shared" si="138"/>
        <v>0.18</v>
      </c>
      <c r="W35" s="65">
        <f t="shared" si="138"/>
        <v>6.8181818181818177E-2</v>
      </c>
      <c r="X35" s="65">
        <f t="shared" si="138"/>
        <v>6.3636363636363638E-3</v>
      </c>
      <c r="Y35" s="192">
        <f>AVERAGEIFS(Y$36:Y$167,$C$36:$C$167,"=6", $B$36:$B$167,"NO OFICIAL")</f>
        <v>52.166666666666664</v>
      </c>
      <c r="Z35" s="192">
        <f>AVERAGEIFS(Z$36:Z$167,$C$36:$C$167,"=6", $B$36:$B$167,"NO OFICIAL")</f>
        <v>9</v>
      </c>
      <c r="AA35" s="65">
        <f>AVERAGEIFS(AA$36:AA$167,$C$36:$C$167,"=6", $B$36:$B$167,"NO OFICIAL")</f>
        <v>0.35000000000000003</v>
      </c>
      <c r="AB35" s="65">
        <f t="shared" ref="AB35:AE35" si="139">AVERAGEIFS(AB$36:AB$167,$C$36:$C$167,"=6", $B$36:$B$167,"NO OFICIAL")</f>
        <v>0.3666666666666667</v>
      </c>
      <c r="AC35" s="65">
        <f t="shared" si="139"/>
        <v>0.19583333333333333</v>
      </c>
      <c r="AD35" s="65">
        <f t="shared" si="139"/>
        <v>7.9166666666666663E-2</v>
      </c>
      <c r="AE35" s="65">
        <f t="shared" si="139"/>
        <v>0.01</v>
      </c>
      <c r="AF35" s="192">
        <f>AVERAGEIFS(AF$36:AF$167,$C$36:$C$167,"=6", $B$36:$B$167,"NO OFICIAL")</f>
        <v>47.714285714285715</v>
      </c>
      <c r="AG35" s="192">
        <f>AVERAGEIFS(AG$36:AG$167,$C$36:$C$167,"=6", $B$36:$B$167,"NO OFICIAL")</f>
        <v>9.2142857142857135</v>
      </c>
      <c r="AH35" s="65">
        <f>AVERAGEIFS(AH$36:AH$167,$C$36:$C$167,"=6", $B$36:$B$167,"NO OFICIAL")</f>
        <v>0.53500000000000003</v>
      </c>
      <c r="AI35" s="65">
        <f t="shared" ref="AI35:AL35" si="140">AVERAGEIFS(AI$36:AI$167,$C$36:$C$167,"=6", $B$36:$B$167,"NO OFICIAL")</f>
        <v>0.30071428571428577</v>
      </c>
      <c r="AJ35" s="65">
        <f t="shared" si="140"/>
        <v>0.11714285714285715</v>
      </c>
      <c r="AK35" s="65">
        <f t="shared" si="140"/>
        <v>4.4999999999999998E-2</v>
      </c>
      <c r="AL35" s="65">
        <f t="shared" si="140"/>
        <v>3.5714285714285718E-3</v>
      </c>
      <c r="AM35" s="192">
        <f>AVERAGEIFS(AM$36:AM$167,$C$36:$C$167,"=6", $B$36:$B$167,"NO OFICIAL")</f>
        <v>53.714285714285715</v>
      </c>
      <c r="AO35" s="192">
        <f>AVERAGEIFS(AO$36:AO$167,$C$36:$C$167,"=6", $B$36:$B$167,"NO OFICIAL")</f>
        <v>9.1428571428571423</v>
      </c>
      <c r="AQ35" s="65">
        <f t="shared" ref="AQ35:AU35" si="141">AVERAGEIFS(AQ$36:AQ$167,$C$36:$C$167,"=6", $B$36:$B$167,"NO OFICIAL")</f>
        <v>0.22214285714285717</v>
      </c>
      <c r="AR35" s="65">
        <f t="shared" si="141"/>
        <v>0.41428571428571431</v>
      </c>
      <c r="AS35" s="65">
        <f t="shared" si="141"/>
        <v>0.26857142857142857</v>
      </c>
      <c r="AT35" s="65">
        <f t="shared" si="141"/>
        <v>7.9285714285714293E-2</v>
      </c>
      <c r="AU35" s="65">
        <f t="shared" si="141"/>
        <v>1.7857142857142856E-2</v>
      </c>
      <c r="AV35" s="192">
        <f>AVERAGEIFS(AV$36:AV$167,$C$36:$C$167,"=6", $B$36:$B$167,"NO OFICIAL")</f>
        <v>54.1875</v>
      </c>
      <c r="AX35" s="192">
        <f>AVERAGEIFS(AX$36:AX$167,$C$36:$C$167,"=6", $B$36:$B$167,"NO OFICIAL")</f>
        <v>9.875</v>
      </c>
      <c r="AZ35" s="521">
        <f>AVERAGEIFS(AZ$36:AZ$167,$C$36:$C$167,"=6", $B$36:$B$167,"NO OFICIAL")</f>
        <v>0.28000000000000003</v>
      </c>
      <c r="BA35" s="521">
        <f t="shared" ref="BA35:BD35" si="142">AVERAGEIFS(BA$36:BA$167,$C$36:$C$167,"=6", $B$36:$B$167,"NO OFICIAL")</f>
        <v>0.36625000000000002</v>
      </c>
      <c r="BB35" s="521">
        <f t="shared" si="142"/>
        <v>0.24125000000000005</v>
      </c>
      <c r="BC35" s="521">
        <f t="shared" si="142"/>
        <v>0.10312499999999999</v>
      </c>
      <c r="BD35" s="521">
        <f t="shared" si="142"/>
        <v>9.3749999999999997E-3</v>
      </c>
      <c r="BE35" s="192">
        <f>AVERAGEIFS(BE$36:BE$167,$C$36:$C$167,"=6", $B$36:$B$167,"NO OFICIAL")</f>
        <v>54.352941176470587</v>
      </c>
      <c r="BG35" s="192">
        <f>AVERAGEIFS(BG$36:BG$167,$C$36:$C$167,"=6", $B$36:$B$167,"NO OFICIAL")</f>
        <v>9.2941176470588243</v>
      </c>
      <c r="BI35" s="521">
        <f>AVERAGEIFS(BI$36:BI$167,$C$36:$C$167,"=6", $B$36:$B$167,"NO OFICIAL")</f>
        <v>0.25941176470588234</v>
      </c>
      <c r="BJ35" s="521">
        <f t="shared" ref="BJ35:BM35" si="143">AVERAGEIFS(BJ$36:BJ$167,$C$36:$C$167,"=6", $B$36:$B$167,"NO OFICIAL")</f>
        <v>0.3876470588235294</v>
      </c>
      <c r="BK35" s="521">
        <f t="shared" si="143"/>
        <v>0.22235294117647061</v>
      </c>
      <c r="BL35" s="521">
        <f t="shared" si="143"/>
        <v>0.12294117647058825</v>
      </c>
      <c r="BM35" s="521">
        <f t="shared" si="143"/>
        <v>7.0588235294117641E-3</v>
      </c>
    </row>
    <row r="36" spans="1:65" ht="24.9" customHeight="1" x14ac:dyDescent="0.25">
      <c r="A36" s="188" t="s">
        <v>29</v>
      </c>
      <c r="B36" s="1" t="s">
        <v>222</v>
      </c>
      <c r="C36" s="2">
        <v>2</v>
      </c>
      <c r="D36" s="16">
        <v>52</v>
      </c>
      <c r="E36" s="16">
        <v>8</v>
      </c>
      <c r="F36" s="99">
        <v>0.31</v>
      </c>
      <c r="G36" s="99">
        <v>0.49</v>
      </c>
      <c r="H36" s="99">
        <v>0.19</v>
      </c>
      <c r="I36" s="99">
        <v>0.01</v>
      </c>
      <c r="J36" s="99">
        <v>0</v>
      </c>
      <c r="K36" s="16">
        <v>51</v>
      </c>
      <c r="L36" s="16">
        <v>10</v>
      </c>
      <c r="M36" s="92">
        <v>0.39</v>
      </c>
      <c r="N36" s="92">
        <v>0.36</v>
      </c>
      <c r="O36" s="92">
        <v>0.21</v>
      </c>
      <c r="P36" s="92">
        <v>0.03</v>
      </c>
      <c r="Q36" s="92">
        <v>0.01</v>
      </c>
      <c r="R36" s="16">
        <v>52</v>
      </c>
      <c r="S36" s="16">
        <v>9</v>
      </c>
      <c r="T36" s="96">
        <v>0.35</v>
      </c>
      <c r="U36" s="96">
        <v>0.37</v>
      </c>
      <c r="V36" s="96">
        <v>0.22</v>
      </c>
      <c r="W36" s="96">
        <v>0.06</v>
      </c>
      <c r="X36" s="96">
        <v>0</v>
      </c>
      <c r="Y36" s="16">
        <v>51</v>
      </c>
      <c r="Z36" s="16">
        <v>10</v>
      </c>
      <c r="AA36" s="96">
        <v>0.38</v>
      </c>
      <c r="AB36" s="96">
        <v>0.34</v>
      </c>
      <c r="AC36" s="96">
        <v>0.25</v>
      </c>
      <c r="AD36" s="96">
        <v>0.03</v>
      </c>
      <c r="AE36" s="96">
        <v>0</v>
      </c>
      <c r="AF36" s="91">
        <v>48</v>
      </c>
      <c r="AG36" s="91">
        <v>8</v>
      </c>
      <c r="AH36" s="92">
        <v>0.61</v>
      </c>
      <c r="AI36" s="92">
        <v>0.25</v>
      </c>
      <c r="AJ36" s="92">
        <v>0.08</v>
      </c>
      <c r="AK36" s="92">
        <v>0.05</v>
      </c>
      <c r="AL36" s="92">
        <v>0</v>
      </c>
      <c r="AM36" s="349">
        <v>53</v>
      </c>
      <c r="AN36" s="348" t="s">
        <v>910</v>
      </c>
      <c r="AO36" s="349">
        <v>9</v>
      </c>
      <c r="AP36" s="348" t="s">
        <v>910</v>
      </c>
      <c r="AQ36" s="371">
        <v>0.25</v>
      </c>
      <c r="AR36" s="371">
        <v>0.41</v>
      </c>
      <c r="AS36" s="371">
        <v>0.3</v>
      </c>
      <c r="AT36" s="371">
        <v>0.04</v>
      </c>
      <c r="AU36" s="371">
        <v>0</v>
      </c>
    </row>
    <row r="37" spans="1:65" s="53" customFormat="1" ht="24.9" customHeight="1" x14ac:dyDescent="0.25">
      <c r="A37" s="189" t="s">
        <v>272</v>
      </c>
      <c r="B37" s="15" t="s">
        <v>222</v>
      </c>
      <c r="C37" s="2">
        <v>2</v>
      </c>
      <c r="D37" s="13" t="s">
        <v>226</v>
      </c>
      <c r="E37" s="13" t="s">
        <v>226</v>
      </c>
      <c r="F37" s="13"/>
      <c r="G37" s="13"/>
      <c r="H37" s="13"/>
      <c r="I37" s="13"/>
      <c r="J37" s="13"/>
      <c r="K37" s="13" t="s">
        <v>226</v>
      </c>
      <c r="L37" s="13" t="s">
        <v>226</v>
      </c>
      <c r="M37" s="92"/>
      <c r="N37" s="92"/>
      <c r="O37" s="92"/>
      <c r="P37" s="92"/>
      <c r="Q37" s="92"/>
      <c r="R37" s="13" t="s">
        <v>226</v>
      </c>
      <c r="S37" s="13" t="s">
        <v>226</v>
      </c>
      <c r="T37" s="2"/>
      <c r="U37" s="2"/>
      <c r="V37" s="2"/>
      <c r="W37" s="2"/>
      <c r="X37" s="2"/>
      <c r="Y37" s="13" t="s">
        <v>226</v>
      </c>
      <c r="Z37" s="13" t="s">
        <v>226</v>
      </c>
      <c r="AA37" s="2"/>
      <c r="AB37" s="2"/>
      <c r="AC37" s="2"/>
      <c r="AD37" s="2"/>
      <c r="AE37" s="2"/>
      <c r="AF37" s="91">
        <v>35</v>
      </c>
      <c r="AG37" s="91">
        <v>2</v>
      </c>
      <c r="AH37" s="92">
        <v>1</v>
      </c>
      <c r="AI37" s="92">
        <v>0</v>
      </c>
      <c r="AJ37" s="92">
        <v>0</v>
      </c>
      <c r="AK37" s="92">
        <v>0</v>
      </c>
      <c r="AL37" s="92">
        <v>0</v>
      </c>
      <c r="AM37" s="349">
        <v>50</v>
      </c>
      <c r="AN37" s="348" t="s">
        <v>910</v>
      </c>
      <c r="AO37" s="349">
        <v>0</v>
      </c>
      <c r="AP37" s="348" t="s">
        <v>912</v>
      </c>
      <c r="AQ37" s="371">
        <v>0</v>
      </c>
      <c r="AR37" s="371">
        <v>1</v>
      </c>
      <c r="AS37" s="371">
        <v>0</v>
      </c>
      <c r="AT37" s="371">
        <v>0</v>
      </c>
      <c r="AU37" s="371">
        <v>0</v>
      </c>
      <c r="AV37" s="469">
        <v>41</v>
      </c>
      <c r="AW37" s="471" t="s">
        <v>912</v>
      </c>
      <c r="AX37" s="469">
        <v>11</v>
      </c>
      <c r="AY37" s="471" t="s">
        <v>910</v>
      </c>
      <c r="AZ37" s="501">
        <v>0.67</v>
      </c>
      <c r="BA37" s="501">
        <v>0.33</v>
      </c>
      <c r="BB37" s="501">
        <v>0</v>
      </c>
      <c r="BC37" s="501">
        <v>0</v>
      </c>
      <c r="BD37" s="501">
        <v>0</v>
      </c>
      <c r="BE37" s="630">
        <v>43</v>
      </c>
      <c r="BF37" s="640" t="s">
        <v>912</v>
      </c>
      <c r="BG37" s="630">
        <v>0</v>
      </c>
      <c r="BH37" s="640" t="s">
        <v>912</v>
      </c>
      <c r="BI37" s="644">
        <v>1</v>
      </c>
      <c r="BJ37" s="644">
        <v>0</v>
      </c>
      <c r="BK37" s="644">
        <v>0</v>
      </c>
      <c r="BL37" s="644">
        <v>0</v>
      </c>
      <c r="BM37" s="644">
        <v>0</v>
      </c>
    </row>
    <row r="38" spans="1:65" s="461" customFormat="1" ht="24.9" customHeight="1" x14ac:dyDescent="0.25">
      <c r="A38" s="470" t="s">
        <v>952</v>
      </c>
      <c r="B38" s="15" t="s">
        <v>222</v>
      </c>
      <c r="C38" s="471">
        <v>2</v>
      </c>
      <c r="D38" s="505"/>
      <c r="E38" s="505"/>
      <c r="F38" s="505"/>
      <c r="G38" s="505"/>
      <c r="H38" s="505"/>
      <c r="I38" s="505"/>
      <c r="J38" s="505"/>
      <c r="K38" s="505"/>
      <c r="L38" s="505"/>
      <c r="M38" s="504"/>
      <c r="N38" s="504"/>
      <c r="O38" s="504"/>
      <c r="P38" s="504"/>
      <c r="Q38" s="504"/>
      <c r="R38" s="505"/>
      <c r="S38" s="505"/>
      <c r="T38" s="471"/>
      <c r="U38" s="471"/>
      <c r="V38" s="471"/>
      <c r="W38" s="471"/>
      <c r="X38" s="471"/>
      <c r="Y38" s="505"/>
      <c r="Z38" s="505"/>
      <c r="AA38" s="471"/>
      <c r="AB38" s="471"/>
      <c r="AC38" s="471"/>
      <c r="AD38" s="471"/>
      <c r="AE38" s="471"/>
      <c r="AF38" s="514"/>
      <c r="AG38" s="514"/>
      <c r="AH38" s="504"/>
      <c r="AI38" s="504"/>
      <c r="AJ38" s="504"/>
      <c r="AK38" s="504"/>
      <c r="AL38" s="504"/>
      <c r="AM38" s="475"/>
      <c r="AN38" s="493"/>
      <c r="AO38" s="475"/>
      <c r="AP38" s="493"/>
      <c r="AQ38" s="507"/>
      <c r="AR38" s="507"/>
      <c r="AS38" s="507"/>
      <c r="AT38" s="507"/>
      <c r="AU38" s="507"/>
      <c r="AV38" s="469">
        <v>44</v>
      </c>
      <c r="AW38" s="471" t="s">
        <v>912</v>
      </c>
      <c r="AX38" s="469">
        <v>10</v>
      </c>
      <c r="AY38" s="471" t="s">
        <v>910</v>
      </c>
      <c r="AZ38" s="501">
        <v>0.75</v>
      </c>
      <c r="BA38" s="501">
        <v>0.13</v>
      </c>
      <c r="BB38" s="501">
        <v>0.13</v>
      </c>
      <c r="BC38" s="501">
        <v>0</v>
      </c>
      <c r="BD38" s="501">
        <v>0</v>
      </c>
      <c r="BE38" s="630">
        <v>49</v>
      </c>
      <c r="BF38" s="640" t="s">
        <v>910</v>
      </c>
      <c r="BG38" s="630">
        <v>13</v>
      </c>
      <c r="BH38" s="640" t="s">
        <v>910</v>
      </c>
      <c r="BI38" s="644">
        <v>0.75</v>
      </c>
      <c r="BJ38" s="644">
        <v>0</v>
      </c>
      <c r="BK38" s="644">
        <v>0</v>
      </c>
      <c r="BL38" s="644">
        <v>0.25</v>
      </c>
      <c r="BM38" s="644">
        <v>0</v>
      </c>
    </row>
    <row r="39" spans="1:65" ht="24.9" customHeight="1" x14ac:dyDescent="0.25">
      <c r="A39" s="188" t="s">
        <v>34</v>
      </c>
      <c r="B39" s="1" t="s">
        <v>222</v>
      </c>
      <c r="C39" s="2">
        <v>3</v>
      </c>
      <c r="D39" s="16">
        <v>54</v>
      </c>
      <c r="E39" s="16">
        <v>7</v>
      </c>
      <c r="F39" s="99">
        <v>0.26</v>
      </c>
      <c r="G39" s="99">
        <v>0.45</v>
      </c>
      <c r="H39" s="99">
        <v>0.28000000000000003</v>
      </c>
      <c r="I39" s="99">
        <v>0.02</v>
      </c>
      <c r="J39" s="99">
        <v>0</v>
      </c>
      <c r="K39" s="16">
        <v>49</v>
      </c>
      <c r="L39" s="16">
        <v>9</v>
      </c>
      <c r="M39" s="92">
        <v>0.47</v>
      </c>
      <c r="N39" s="92">
        <v>0.33</v>
      </c>
      <c r="O39" s="92">
        <v>0.2</v>
      </c>
      <c r="P39" s="92">
        <v>0</v>
      </c>
      <c r="Q39" s="92">
        <v>0</v>
      </c>
      <c r="R39" s="16">
        <v>50</v>
      </c>
      <c r="S39" s="16">
        <v>10</v>
      </c>
      <c r="T39" s="96">
        <v>0.37</v>
      </c>
      <c r="U39" s="96">
        <v>0.43</v>
      </c>
      <c r="V39" s="96">
        <v>0.13</v>
      </c>
      <c r="W39" s="96">
        <v>7.0000000000000007E-2</v>
      </c>
      <c r="X39" s="96">
        <v>0</v>
      </c>
      <c r="Y39" s="16">
        <v>49</v>
      </c>
      <c r="Z39" s="16">
        <v>7</v>
      </c>
      <c r="AA39" s="96">
        <v>0.38</v>
      </c>
      <c r="AB39" s="96">
        <v>0.54</v>
      </c>
      <c r="AC39" s="96">
        <v>0.08</v>
      </c>
      <c r="AD39" s="96">
        <v>0</v>
      </c>
      <c r="AE39" s="96">
        <v>0</v>
      </c>
      <c r="AF39" s="91">
        <v>50</v>
      </c>
      <c r="AG39" s="91">
        <v>8</v>
      </c>
      <c r="AH39" s="92">
        <v>0.45</v>
      </c>
      <c r="AI39" s="92">
        <v>0.38</v>
      </c>
      <c r="AJ39" s="92">
        <v>0.12</v>
      </c>
      <c r="AK39" s="92">
        <v>0.05</v>
      </c>
      <c r="AL39" s="92">
        <v>0</v>
      </c>
      <c r="AM39" s="349">
        <v>54</v>
      </c>
      <c r="AN39" s="348" t="s">
        <v>910</v>
      </c>
      <c r="AO39" s="349">
        <v>9</v>
      </c>
      <c r="AP39" s="348" t="s">
        <v>910</v>
      </c>
      <c r="AQ39" s="371">
        <v>0.23</v>
      </c>
      <c r="AR39" s="371">
        <v>0.36</v>
      </c>
      <c r="AS39" s="371">
        <v>0.38</v>
      </c>
      <c r="AT39" s="371">
        <v>0.03</v>
      </c>
      <c r="AU39" s="371">
        <v>0</v>
      </c>
      <c r="AV39" s="469">
        <v>51</v>
      </c>
      <c r="AW39" s="471" t="s">
        <v>910</v>
      </c>
      <c r="AX39" s="469">
        <v>12</v>
      </c>
      <c r="AY39" s="471" t="s">
        <v>910</v>
      </c>
      <c r="AZ39" s="501">
        <v>0.36</v>
      </c>
      <c r="BA39" s="501">
        <v>0.36</v>
      </c>
      <c r="BB39" s="501">
        <v>0.21</v>
      </c>
      <c r="BC39" s="501">
        <v>0</v>
      </c>
      <c r="BD39" s="501">
        <v>0.06</v>
      </c>
      <c r="BE39" s="630">
        <v>54</v>
      </c>
      <c r="BF39" s="640" t="s">
        <v>910</v>
      </c>
      <c r="BG39" s="630">
        <v>9</v>
      </c>
      <c r="BH39" s="640" t="s">
        <v>910</v>
      </c>
      <c r="BI39" s="644">
        <v>0.25</v>
      </c>
      <c r="BJ39" s="644">
        <v>0.46</v>
      </c>
      <c r="BK39" s="644">
        <v>0.25</v>
      </c>
      <c r="BL39" s="644">
        <v>0</v>
      </c>
      <c r="BM39" s="644">
        <v>0.04</v>
      </c>
    </row>
    <row r="40" spans="1:65" ht="24.9" customHeight="1" x14ac:dyDescent="0.25">
      <c r="A40" s="189" t="s">
        <v>273</v>
      </c>
      <c r="B40" s="1" t="s">
        <v>222</v>
      </c>
      <c r="C40" s="2">
        <v>4</v>
      </c>
      <c r="D40" s="16">
        <v>50</v>
      </c>
      <c r="E40" s="16">
        <v>10</v>
      </c>
      <c r="F40" s="99">
        <v>0.5</v>
      </c>
      <c r="G40" s="99">
        <v>0.33</v>
      </c>
      <c r="H40" s="99">
        <v>0.15</v>
      </c>
      <c r="I40" s="99">
        <v>0.02</v>
      </c>
      <c r="J40" s="99">
        <v>0</v>
      </c>
      <c r="K40" s="16">
        <v>45</v>
      </c>
      <c r="L40" s="16">
        <v>8</v>
      </c>
      <c r="M40" s="92">
        <v>0.64</v>
      </c>
      <c r="N40" s="92">
        <v>0.3</v>
      </c>
      <c r="O40" s="92">
        <v>7.0000000000000007E-2</v>
      </c>
      <c r="P40" s="92">
        <v>0</v>
      </c>
      <c r="Q40" s="92">
        <v>0</v>
      </c>
      <c r="R40" s="16">
        <v>45</v>
      </c>
      <c r="S40" s="16">
        <v>6</v>
      </c>
      <c r="T40" s="96">
        <v>0.65</v>
      </c>
      <c r="U40" s="96">
        <v>0.32</v>
      </c>
      <c r="V40" s="96">
        <v>0.03</v>
      </c>
      <c r="W40" s="96">
        <v>0</v>
      </c>
      <c r="X40" s="96">
        <v>0</v>
      </c>
      <c r="Y40" s="16">
        <v>46</v>
      </c>
      <c r="Z40" s="16">
        <v>8</v>
      </c>
      <c r="AA40" s="96">
        <v>0.64</v>
      </c>
      <c r="AB40" s="96">
        <v>0.31</v>
      </c>
      <c r="AC40" s="96">
        <v>0.02</v>
      </c>
      <c r="AD40" s="96">
        <v>0.02</v>
      </c>
      <c r="AE40" s="96">
        <v>0</v>
      </c>
      <c r="AF40" s="91">
        <v>43</v>
      </c>
      <c r="AG40" s="91">
        <v>7</v>
      </c>
      <c r="AH40" s="92">
        <v>0.73</v>
      </c>
      <c r="AI40" s="92">
        <v>0.25</v>
      </c>
      <c r="AJ40" s="92">
        <v>0.03</v>
      </c>
      <c r="AK40" s="92">
        <v>0</v>
      </c>
      <c r="AL40" s="92">
        <v>0</v>
      </c>
      <c r="AM40" s="349">
        <v>47</v>
      </c>
      <c r="AN40" s="348" t="s">
        <v>910</v>
      </c>
      <c r="AO40" s="349">
        <v>10</v>
      </c>
      <c r="AP40" s="348" t="s">
        <v>910</v>
      </c>
      <c r="AQ40" s="371">
        <v>0.56000000000000005</v>
      </c>
      <c r="AR40" s="371">
        <v>0.34</v>
      </c>
      <c r="AS40" s="371">
        <v>7.0000000000000007E-2</v>
      </c>
      <c r="AT40" s="371">
        <v>0.02</v>
      </c>
      <c r="AU40" s="371">
        <v>0</v>
      </c>
      <c r="AV40" s="469">
        <v>46</v>
      </c>
      <c r="AW40" s="471" t="s">
        <v>910</v>
      </c>
      <c r="AX40" s="469">
        <v>9</v>
      </c>
      <c r="AY40" s="471" t="s">
        <v>910</v>
      </c>
      <c r="AZ40" s="501">
        <v>0.52</v>
      </c>
      <c r="BA40" s="501">
        <v>0.37</v>
      </c>
      <c r="BB40" s="501">
        <v>0.11</v>
      </c>
      <c r="BC40" s="501">
        <v>0</v>
      </c>
      <c r="BD40" s="501">
        <v>0</v>
      </c>
      <c r="BE40" s="630">
        <v>49</v>
      </c>
      <c r="BF40" s="640" t="s">
        <v>910</v>
      </c>
      <c r="BG40" s="630">
        <v>9</v>
      </c>
      <c r="BH40" s="640" t="s">
        <v>910</v>
      </c>
      <c r="BI40" s="644">
        <v>0.46</v>
      </c>
      <c r="BJ40" s="644">
        <v>0.35</v>
      </c>
      <c r="BK40" s="644">
        <v>0.16</v>
      </c>
      <c r="BL40" s="644">
        <v>0.03</v>
      </c>
      <c r="BM40" s="644">
        <v>0</v>
      </c>
    </row>
    <row r="41" spans="1:65" s="53" customFormat="1" ht="24.9" customHeight="1" x14ac:dyDescent="0.25">
      <c r="A41" s="188" t="s">
        <v>296</v>
      </c>
      <c r="B41" s="1" t="s">
        <v>222</v>
      </c>
      <c r="C41" s="2">
        <v>5</v>
      </c>
      <c r="D41" s="13" t="s">
        <v>226</v>
      </c>
      <c r="E41" s="13" t="s">
        <v>226</v>
      </c>
      <c r="F41" s="13"/>
      <c r="G41" s="13"/>
      <c r="H41" s="13"/>
      <c r="I41" s="13"/>
      <c r="J41" s="13"/>
      <c r="K41" s="13" t="s">
        <v>226</v>
      </c>
      <c r="L41" s="13" t="s">
        <v>226</v>
      </c>
      <c r="M41" s="92"/>
      <c r="N41" s="92"/>
      <c r="O41" s="92"/>
      <c r="P41" s="92"/>
      <c r="Q41" s="92"/>
      <c r="R41" s="16">
        <v>51</v>
      </c>
      <c r="S41" s="16">
        <v>5</v>
      </c>
      <c r="T41" s="96">
        <v>0.28000000000000003</v>
      </c>
      <c r="U41" s="96">
        <v>0.61</v>
      </c>
      <c r="V41" s="96">
        <v>0.11</v>
      </c>
      <c r="W41" s="96">
        <v>0</v>
      </c>
      <c r="X41" s="96">
        <v>0</v>
      </c>
      <c r="Y41" s="16">
        <v>47</v>
      </c>
      <c r="Z41" s="16">
        <v>9</v>
      </c>
      <c r="AA41" s="96">
        <v>0.6</v>
      </c>
      <c r="AB41" s="96">
        <v>0.27</v>
      </c>
      <c r="AC41" s="96">
        <v>0.13</v>
      </c>
      <c r="AD41" s="96">
        <v>0</v>
      </c>
      <c r="AE41" s="96">
        <v>0</v>
      </c>
      <c r="AF41" s="91">
        <v>47</v>
      </c>
      <c r="AG41" s="91">
        <v>10</v>
      </c>
      <c r="AH41" s="92">
        <v>0.5</v>
      </c>
      <c r="AI41" s="92">
        <v>0.36</v>
      </c>
      <c r="AJ41" s="92">
        <v>0.09</v>
      </c>
      <c r="AK41" s="92">
        <v>0.05</v>
      </c>
      <c r="AL41" s="92">
        <v>0</v>
      </c>
      <c r="AM41" s="349">
        <v>53</v>
      </c>
      <c r="AN41" s="348" t="s">
        <v>910</v>
      </c>
      <c r="AO41" s="349">
        <v>10</v>
      </c>
      <c r="AP41" s="348" t="s">
        <v>910</v>
      </c>
      <c r="AQ41" s="371">
        <v>0.35</v>
      </c>
      <c r="AR41" s="371">
        <v>0.38</v>
      </c>
      <c r="AS41" s="371">
        <v>0.23</v>
      </c>
      <c r="AT41" s="371">
        <v>0.04</v>
      </c>
      <c r="AU41" s="371">
        <v>0</v>
      </c>
      <c r="AV41" s="469">
        <v>58</v>
      </c>
      <c r="AW41" s="471" t="s">
        <v>910</v>
      </c>
      <c r="AX41" s="469">
        <v>8</v>
      </c>
      <c r="AY41" s="471" t="s">
        <v>910</v>
      </c>
      <c r="AZ41" s="501">
        <v>0.08</v>
      </c>
      <c r="BA41" s="501">
        <v>0.31</v>
      </c>
      <c r="BB41" s="501">
        <v>0.46</v>
      </c>
      <c r="BC41" s="501">
        <v>0.15</v>
      </c>
      <c r="BD41" s="501">
        <v>0</v>
      </c>
      <c r="BE41" s="630">
        <v>53</v>
      </c>
      <c r="BF41" s="640" t="s">
        <v>910</v>
      </c>
      <c r="BG41" s="630">
        <v>12</v>
      </c>
      <c r="BH41" s="640" t="s">
        <v>910</v>
      </c>
      <c r="BI41" s="644">
        <v>0.36</v>
      </c>
      <c r="BJ41" s="644">
        <v>0.41</v>
      </c>
      <c r="BK41" s="644">
        <v>0.05</v>
      </c>
      <c r="BL41" s="644">
        <v>0.14000000000000001</v>
      </c>
      <c r="BM41" s="644">
        <v>0.05</v>
      </c>
    </row>
    <row r="42" spans="1:65" ht="24.9" customHeight="1" x14ac:dyDescent="0.25">
      <c r="A42" s="189" t="s">
        <v>269</v>
      </c>
      <c r="B42" s="15" t="s">
        <v>222</v>
      </c>
      <c r="C42" s="2">
        <v>6</v>
      </c>
      <c r="D42" s="13" t="s">
        <v>226</v>
      </c>
      <c r="E42" s="13" t="s">
        <v>226</v>
      </c>
      <c r="F42" s="13"/>
      <c r="G42" s="13"/>
      <c r="H42" s="13"/>
      <c r="I42" s="13"/>
      <c r="J42" s="13"/>
      <c r="K42" s="13" t="s">
        <v>226</v>
      </c>
      <c r="L42" s="13" t="s">
        <v>226</v>
      </c>
      <c r="M42" s="92"/>
      <c r="N42" s="92"/>
      <c r="O42" s="92"/>
      <c r="P42" s="92"/>
      <c r="Q42" s="92"/>
      <c r="R42" s="13" t="s">
        <v>226</v>
      </c>
      <c r="S42" s="13" t="s">
        <v>226</v>
      </c>
      <c r="T42" s="2"/>
      <c r="U42" s="2"/>
      <c r="V42" s="2"/>
      <c r="W42" s="2"/>
      <c r="X42" s="2"/>
      <c r="Y42" s="13" t="s">
        <v>226</v>
      </c>
      <c r="Z42" s="13" t="s">
        <v>226</v>
      </c>
      <c r="AA42" s="2"/>
      <c r="AB42" s="2"/>
      <c r="AC42" s="2"/>
      <c r="AD42" s="2"/>
      <c r="AE42" s="2"/>
      <c r="AF42" s="91">
        <v>55</v>
      </c>
      <c r="AG42" s="91">
        <v>8</v>
      </c>
      <c r="AH42" s="92">
        <v>0</v>
      </c>
      <c r="AI42" s="92">
        <v>0.5</v>
      </c>
      <c r="AJ42" s="92">
        <v>0.5</v>
      </c>
      <c r="AK42" s="92">
        <v>0</v>
      </c>
      <c r="AL42" s="92">
        <v>0</v>
      </c>
      <c r="AM42" s="349">
        <v>58</v>
      </c>
      <c r="AN42" s="348" t="s">
        <v>910</v>
      </c>
      <c r="AO42" s="349">
        <v>0</v>
      </c>
      <c r="AP42" s="348" t="s">
        <v>912</v>
      </c>
      <c r="AQ42" s="371">
        <v>0</v>
      </c>
      <c r="AR42" s="371">
        <v>0</v>
      </c>
      <c r="AS42" s="371">
        <v>1</v>
      </c>
      <c r="AT42" s="371">
        <v>0</v>
      </c>
      <c r="AU42" s="371">
        <v>0</v>
      </c>
      <c r="AV42" s="469">
        <v>62</v>
      </c>
      <c r="AW42" s="471" t="s">
        <v>911</v>
      </c>
      <c r="AX42" s="469">
        <v>7</v>
      </c>
      <c r="AY42" s="471" t="s">
        <v>912</v>
      </c>
      <c r="AZ42" s="501">
        <v>0</v>
      </c>
      <c r="BA42" s="501">
        <v>0.33</v>
      </c>
      <c r="BB42" s="501">
        <v>0.67</v>
      </c>
      <c r="BC42" s="501">
        <v>0</v>
      </c>
      <c r="BD42" s="501">
        <v>0</v>
      </c>
      <c r="BE42" s="630">
        <v>53</v>
      </c>
      <c r="BF42" s="640" t="s">
        <v>910</v>
      </c>
      <c r="BG42" s="630">
        <v>8</v>
      </c>
      <c r="BH42" s="640" t="s">
        <v>910</v>
      </c>
      <c r="BI42" s="644">
        <v>0.25</v>
      </c>
      <c r="BJ42" s="644">
        <v>0.67</v>
      </c>
      <c r="BK42" s="644">
        <v>0</v>
      </c>
      <c r="BL42" s="644">
        <v>0.08</v>
      </c>
      <c r="BM42" s="644">
        <v>0</v>
      </c>
    </row>
    <row r="43" spans="1:65" ht="24.9" customHeight="1" x14ac:dyDescent="0.25">
      <c r="A43" s="188" t="s">
        <v>190</v>
      </c>
      <c r="B43" s="1" t="s">
        <v>222</v>
      </c>
      <c r="C43" s="2">
        <v>2</v>
      </c>
      <c r="D43" s="16">
        <v>50</v>
      </c>
      <c r="E43" s="16">
        <v>0</v>
      </c>
      <c r="F43" s="99">
        <v>0</v>
      </c>
      <c r="G43" s="99">
        <v>1</v>
      </c>
      <c r="H43" s="99">
        <v>0</v>
      </c>
      <c r="I43" s="99">
        <v>0</v>
      </c>
      <c r="J43" s="99">
        <v>0</v>
      </c>
      <c r="K43" s="13" t="s">
        <v>226</v>
      </c>
      <c r="L43" s="13" t="s">
        <v>226</v>
      </c>
      <c r="M43" s="92"/>
      <c r="N43" s="92"/>
      <c r="O43" s="92"/>
      <c r="P43" s="92"/>
      <c r="Q43" s="92"/>
      <c r="R43" s="13" t="s">
        <v>226</v>
      </c>
      <c r="S43" s="13" t="s">
        <v>226</v>
      </c>
      <c r="T43" s="2"/>
      <c r="U43" s="2"/>
      <c r="V43" s="2"/>
      <c r="W43" s="2"/>
      <c r="X43" s="2"/>
      <c r="Y43" s="13" t="s">
        <v>226</v>
      </c>
      <c r="Z43" s="13" t="s">
        <v>226</v>
      </c>
      <c r="AA43" s="2"/>
      <c r="AB43" s="2"/>
      <c r="AC43" s="2"/>
      <c r="AD43" s="2"/>
      <c r="AE43" s="2"/>
      <c r="AF43" s="91">
        <v>48</v>
      </c>
      <c r="AG43" s="91">
        <v>0</v>
      </c>
      <c r="AH43" s="92">
        <v>0</v>
      </c>
      <c r="AI43" s="92">
        <v>1</v>
      </c>
      <c r="AJ43" s="92">
        <v>0</v>
      </c>
      <c r="AK43" s="92">
        <v>0</v>
      </c>
      <c r="AL43" s="92">
        <v>0</v>
      </c>
    </row>
    <row r="44" spans="1:65" s="461" customFormat="1" ht="24.9" customHeight="1" x14ac:dyDescent="0.25">
      <c r="A44" s="470" t="s">
        <v>954</v>
      </c>
      <c r="B44" s="15" t="s">
        <v>222</v>
      </c>
      <c r="C44" s="471">
        <v>2</v>
      </c>
      <c r="D44" s="502"/>
      <c r="E44" s="502"/>
      <c r="F44" s="508"/>
      <c r="G44" s="508"/>
      <c r="H44" s="508"/>
      <c r="I44" s="508"/>
      <c r="J44" s="508"/>
      <c r="K44" s="505"/>
      <c r="L44" s="505"/>
      <c r="M44" s="504"/>
      <c r="N44" s="504"/>
      <c r="O44" s="504"/>
      <c r="P44" s="504"/>
      <c r="Q44" s="504"/>
      <c r="R44" s="505"/>
      <c r="S44" s="505"/>
      <c r="T44" s="471"/>
      <c r="U44" s="471"/>
      <c r="V44" s="471"/>
      <c r="W44" s="471"/>
      <c r="X44" s="471"/>
      <c r="Y44" s="505"/>
      <c r="Z44" s="505"/>
      <c r="AA44" s="471"/>
      <c r="AB44" s="471"/>
      <c r="AC44" s="471"/>
      <c r="AD44" s="471"/>
      <c r="AE44" s="471"/>
      <c r="AF44" s="514"/>
      <c r="AG44" s="514"/>
      <c r="AH44" s="504"/>
      <c r="AI44" s="504"/>
      <c r="AJ44" s="504"/>
      <c r="AK44" s="504"/>
      <c r="AL44" s="504"/>
      <c r="AV44" s="469">
        <v>66</v>
      </c>
      <c r="AW44" s="471" t="s">
        <v>911</v>
      </c>
      <c r="AX44" s="469">
        <v>7</v>
      </c>
      <c r="AY44" s="471" t="s">
        <v>912</v>
      </c>
      <c r="AZ44" s="501">
        <v>0</v>
      </c>
      <c r="BA44" s="501">
        <v>0</v>
      </c>
      <c r="BB44" s="501">
        <v>0.67</v>
      </c>
      <c r="BC44" s="501">
        <v>0.33</v>
      </c>
      <c r="BD44" s="501">
        <v>0</v>
      </c>
      <c r="BE44" s="630">
        <v>56</v>
      </c>
      <c r="BF44" s="640" t="s">
        <v>910</v>
      </c>
      <c r="BG44" s="630">
        <v>11</v>
      </c>
      <c r="BH44" s="640" t="s">
        <v>910</v>
      </c>
      <c r="BI44" s="644">
        <v>0.14000000000000001</v>
      </c>
      <c r="BJ44" s="644">
        <v>0.56999999999999995</v>
      </c>
      <c r="BK44" s="644">
        <v>0.14000000000000001</v>
      </c>
      <c r="BL44" s="644">
        <v>0.14000000000000001</v>
      </c>
      <c r="BM44" s="644">
        <v>0</v>
      </c>
    </row>
    <row r="45" spans="1:65" ht="24.9" customHeight="1" x14ac:dyDescent="0.25">
      <c r="A45" s="188" t="s">
        <v>63</v>
      </c>
      <c r="B45" s="1" t="s">
        <v>222</v>
      </c>
      <c r="C45" s="2">
        <v>4</v>
      </c>
      <c r="D45" s="16">
        <v>52</v>
      </c>
      <c r="E45" s="16">
        <v>9</v>
      </c>
      <c r="F45" s="99">
        <v>0.2</v>
      </c>
      <c r="G45" s="99">
        <v>0.5</v>
      </c>
      <c r="H45" s="99">
        <v>0.2</v>
      </c>
      <c r="I45" s="99">
        <v>0.1</v>
      </c>
      <c r="J45" s="99">
        <v>0</v>
      </c>
      <c r="K45" s="13">
        <v>46</v>
      </c>
      <c r="L45" s="13">
        <v>2</v>
      </c>
      <c r="M45" s="92">
        <v>0.8</v>
      </c>
      <c r="N45" s="92">
        <v>0.2</v>
      </c>
      <c r="O45" s="92">
        <v>0</v>
      </c>
      <c r="P45" s="92">
        <v>0</v>
      </c>
      <c r="Q45" s="92">
        <v>0</v>
      </c>
      <c r="R45" s="13">
        <v>57</v>
      </c>
      <c r="S45" s="13">
        <v>13</v>
      </c>
      <c r="T45" s="96">
        <v>0.27</v>
      </c>
      <c r="U45" s="96">
        <v>0.18</v>
      </c>
      <c r="V45" s="96">
        <v>0.27</v>
      </c>
      <c r="W45" s="96">
        <v>0.27</v>
      </c>
      <c r="X45" s="96">
        <v>0</v>
      </c>
      <c r="Y45" s="13">
        <v>57</v>
      </c>
      <c r="Z45" s="13">
        <v>8</v>
      </c>
      <c r="AA45" s="96">
        <v>0.2</v>
      </c>
      <c r="AB45" s="96">
        <v>0.3</v>
      </c>
      <c r="AC45" s="96">
        <v>0.4</v>
      </c>
      <c r="AD45" s="96">
        <v>0.1</v>
      </c>
      <c r="AE45" s="96">
        <v>0</v>
      </c>
      <c r="AF45" s="91">
        <v>48</v>
      </c>
      <c r="AG45" s="91">
        <v>11</v>
      </c>
      <c r="AH45" s="92">
        <v>0.46</v>
      </c>
      <c r="AI45" s="92">
        <v>0.23</v>
      </c>
      <c r="AJ45" s="92">
        <v>0.31</v>
      </c>
      <c r="AK45" s="92">
        <v>0</v>
      </c>
      <c r="AL45" s="92">
        <v>0</v>
      </c>
      <c r="AM45" s="349">
        <v>52</v>
      </c>
      <c r="AN45" s="348" t="s">
        <v>910</v>
      </c>
      <c r="AO45" s="349">
        <v>10</v>
      </c>
      <c r="AP45" s="348" t="s">
        <v>910</v>
      </c>
      <c r="AQ45" s="371">
        <v>0.43</v>
      </c>
      <c r="AR45" s="371">
        <v>0.28999999999999998</v>
      </c>
      <c r="AS45" s="371">
        <v>0.19</v>
      </c>
      <c r="AT45" s="371">
        <v>0.1</v>
      </c>
      <c r="AU45" s="371">
        <v>0</v>
      </c>
      <c r="AV45" s="469">
        <v>50</v>
      </c>
      <c r="AW45" s="471" t="s">
        <v>910</v>
      </c>
      <c r="AX45" s="469">
        <v>10</v>
      </c>
      <c r="AY45" s="471" t="s">
        <v>910</v>
      </c>
      <c r="AZ45" s="501">
        <v>0.4</v>
      </c>
      <c r="BA45" s="501">
        <v>0.44</v>
      </c>
      <c r="BB45" s="501">
        <v>0.12</v>
      </c>
      <c r="BC45" s="501">
        <v>0.04</v>
      </c>
      <c r="BD45" s="501">
        <v>0</v>
      </c>
      <c r="BE45" s="630">
        <v>51</v>
      </c>
      <c r="BF45" s="640" t="s">
        <v>910</v>
      </c>
      <c r="BG45" s="630">
        <v>10</v>
      </c>
      <c r="BH45" s="640" t="s">
        <v>910</v>
      </c>
      <c r="BI45" s="644">
        <v>0.39</v>
      </c>
      <c r="BJ45" s="644">
        <v>0.33</v>
      </c>
      <c r="BK45" s="644">
        <v>0.22</v>
      </c>
      <c r="BL45" s="644">
        <v>0.06</v>
      </c>
      <c r="BM45" s="644">
        <v>0</v>
      </c>
    </row>
    <row r="46" spans="1:65" ht="24.9" customHeight="1" x14ac:dyDescent="0.25">
      <c r="A46" s="188" t="s">
        <v>44</v>
      </c>
      <c r="B46" s="1" t="s">
        <v>222</v>
      </c>
      <c r="C46" s="2">
        <v>1</v>
      </c>
      <c r="D46" s="16">
        <v>51</v>
      </c>
      <c r="E46" s="16">
        <v>11</v>
      </c>
      <c r="F46" s="99">
        <v>0.4</v>
      </c>
      <c r="G46" s="99">
        <v>0.4</v>
      </c>
      <c r="H46" s="99">
        <v>0.13</v>
      </c>
      <c r="I46" s="99">
        <v>7.0000000000000007E-2</v>
      </c>
      <c r="J46" s="99">
        <v>0</v>
      </c>
      <c r="K46" s="13" t="s">
        <v>226</v>
      </c>
      <c r="L46" s="13" t="s">
        <v>226</v>
      </c>
      <c r="M46" s="92"/>
      <c r="N46" s="92"/>
      <c r="O46" s="92"/>
      <c r="P46" s="92"/>
      <c r="Q46" s="92"/>
      <c r="R46" s="13" t="s">
        <v>226</v>
      </c>
      <c r="S46" s="13" t="s">
        <v>226</v>
      </c>
      <c r="T46" s="2"/>
      <c r="U46" s="2"/>
      <c r="V46" s="2"/>
      <c r="W46" s="2"/>
      <c r="X46" s="2"/>
      <c r="Y46" s="13" t="s">
        <v>226</v>
      </c>
      <c r="Z46" s="13" t="s">
        <v>226</v>
      </c>
      <c r="AA46" s="2"/>
      <c r="AB46" s="2"/>
      <c r="AC46" s="2"/>
      <c r="AD46" s="2"/>
      <c r="AE46" s="2"/>
      <c r="AF46" s="91"/>
      <c r="AG46" s="91"/>
      <c r="AH46" s="92"/>
      <c r="AI46" s="92"/>
      <c r="AJ46" s="92"/>
      <c r="AK46" s="92"/>
      <c r="AL46" s="92"/>
    </row>
    <row r="47" spans="1:65" s="53" customFormat="1" ht="24.9" customHeight="1" x14ac:dyDescent="0.25">
      <c r="A47" s="188" t="s">
        <v>69</v>
      </c>
      <c r="B47" s="1" t="s">
        <v>222</v>
      </c>
      <c r="C47" s="2">
        <v>2</v>
      </c>
      <c r="D47" s="16">
        <v>52</v>
      </c>
      <c r="E47" s="16">
        <v>10</v>
      </c>
      <c r="F47" s="99">
        <v>0.33</v>
      </c>
      <c r="G47" s="99">
        <v>0.42</v>
      </c>
      <c r="H47" s="99">
        <v>0.17</v>
      </c>
      <c r="I47" s="99">
        <v>0.08</v>
      </c>
      <c r="J47" s="99">
        <v>0</v>
      </c>
      <c r="K47" s="13" t="s">
        <v>226</v>
      </c>
      <c r="L47" s="13" t="s">
        <v>226</v>
      </c>
      <c r="M47" s="92"/>
      <c r="N47" s="92"/>
      <c r="O47" s="92"/>
      <c r="P47" s="92"/>
      <c r="Q47" s="92"/>
      <c r="R47" s="16">
        <v>51</v>
      </c>
      <c r="S47" s="16">
        <v>7</v>
      </c>
      <c r="T47" s="96">
        <v>0.28999999999999998</v>
      </c>
      <c r="U47" s="96">
        <v>0.56999999999999995</v>
      </c>
      <c r="V47" s="96">
        <v>0.14000000000000001</v>
      </c>
      <c r="W47" s="96">
        <v>0</v>
      </c>
      <c r="X47" s="96">
        <v>0</v>
      </c>
      <c r="Y47" s="16">
        <v>53</v>
      </c>
      <c r="Z47" s="16">
        <v>9</v>
      </c>
      <c r="AA47" s="96">
        <v>0.15</v>
      </c>
      <c r="AB47" s="96">
        <v>0.46</v>
      </c>
      <c r="AC47" s="96">
        <v>0.38</v>
      </c>
      <c r="AD47" s="96">
        <v>0</v>
      </c>
      <c r="AE47" s="96">
        <v>0</v>
      </c>
      <c r="AF47" s="91">
        <v>51</v>
      </c>
      <c r="AG47" s="91">
        <v>13</v>
      </c>
      <c r="AH47" s="92">
        <v>0.5</v>
      </c>
      <c r="AI47" s="92">
        <v>0.33</v>
      </c>
      <c r="AJ47" s="92">
        <v>0</v>
      </c>
      <c r="AK47" s="92">
        <v>0.17</v>
      </c>
      <c r="AL47" s="92">
        <v>0</v>
      </c>
      <c r="AM47" s="349">
        <v>46</v>
      </c>
      <c r="AN47" s="348" t="s">
        <v>910</v>
      </c>
      <c r="AO47" s="349">
        <v>12</v>
      </c>
      <c r="AP47" s="348" t="s">
        <v>910</v>
      </c>
      <c r="AQ47" s="371">
        <v>0.57999999999999996</v>
      </c>
      <c r="AR47" s="371">
        <v>0.25</v>
      </c>
      <c r="AS47" s="371">
        <v>0.08</v>
      </c>
      <c r="AT47" s="371">
        <v>0.08</v>
      </c>
      <c r="AU47" s="371">
        <v>0</v>
      </c>
      <c r="BE47" s="630">
        <v>54</v>
      </c>
      <c r="BF47" s="640" t="s">
        <v>910</v>
      </c>
      <c r="BG47" s="630">
        <v>6</v>
      </c>
      <c r="BH47" s="640" t="s">
        <v>912</v>
      </c>
      <c r="BI47" s="644">
        <v>0.28999999999999998</v>
      </c>
      <c r="BJ47" s="644">
        <v>0.14000000000000001</v>
      </c>
      <c r="BK47" s="644">
        <v>0.56999999999999995</v>
      </c>
      <c r="BL47" s="644">
        <v>0</v>
      </c>
      <c r="BM47" s="644">
        <v>0</v>
      </c>
    </row>
    <row r="48" spans="1:65" ht="24.9" customHeight="1" x14ac:dyDescent="0.25">
      <c r="A48" s="189" t="s">
        <v>270</v>
      </c>
      <c r="B48" s="1" t="s">
        <v>222</v>
      </c>
      <c r="C48" s="2">
        <v>6</v>
      </c>
      <c r="D48" s="16"/>
      <c r="E48" s="16"/>
      <c r="F48" s="16"/>
      <c r="G48" s="16"/>
      <c r="H48" s="16"/>
      <c r="I48" s="16"/>
      <c r="J48" s="16"/>
      <c r="K48" s="13"/>
      <c r="L48" s="13"/>
      <c r="M48" s="92"/>
      <c r="N48" s="92"/>
      <c r="O48" s="92"/>
      <c r="P48" s="92"/>
      <c r="Q48" s="92"/>
      <c r="R48" s="16"/>
      <c r="S48" s="16"/>
      <c r="T48" s="2"/>
      <c r="U48" s="2"/>
      <c r="V48" s="2"/>
      <c r="W48" s="2"/>
      <c r="X48" s="2"/>
      <c r="Y48" s="16"/>
      <c r="Z48" s="16"/>
      <c r="AA48" s="2"/>
      <c r="AB48" s="2"/>
      <c r="AC48" s="2"/>
      <c r="AD48" s="2"/>
      <c r="AE48" s="2"/>
      <c r="AF48" s="91">
        <v>45</v>
      </c>
      <c r="AG48" s="91">
        <v>9</v>
      </c>
      <c r="AH48" s="92">
        <v>0.64</v>
      </c>
      <c r="AI48" s="92">
        <v>0.32</v>
      </c>
      <c r="AJ48" s="92">
        <v>0.04</v>
      </c>
      <c r="AK48" s="92">
        <v>0</v>
      </c>
      <c r="AL48" s="92">
        <v>0</v>
      </c>
      <c r="AM48" s="349">
        <v>53</v>
      </c>
      <c r="AN48" s="348" t="s">
        <v>910</v>
      </c>
      <c r="AO48" s="349">
        <v>14</v>
      </c>
      <c r="AP48" s="348" t="s">
        <v>910</v>
      </c>
      <c r="AQ48" s="371">
        <v>0.35</v>
      </c>
      <c r="AR48" s="371">
        <v>0.38</v>
      </c>
      <c r="AS48" s="371">
        <v>0.15</v>
      </c>
      <c r="AT48" s="371">
        <v>0.08</v>
      </c>
      <c r="AU48" s="371">
        <v>0.04</v>
      </c>
      <c r="AV48" s="469">
        <v>48</v>
      </c>
      <c r="AW48" s="471" t="s">
        <v>910</v>
      </c>
      <c r="AX48" s="469">
        <v>11</v>
      </c>
      <c r="AY48" s="471" t="s">
        <v>910</v>
      </c>
      <c r="AZ48" s="501">
        <v>0.5</v>
      </c>
      <c r="BA48" s="501">
        <v>0.22</v>
      </c>
      <c r="BB48" s="501">
        <v>0.25</v>
      </c>
      <c r="BC48" s="501">
        <v>0.03</v>
      </c>
      <c r="BD48" s="501">
        <v>0</v>
      </c>
      <c r="BE48" s="630">
        <v>52</v>
      </c>
      <c r="BF48" s="640" t="s">
        <v>910</v>
      </c>
      <c r="BG48" s="630">
        <v>11</v>
      </c>
      <c r="BH48" s="640" t="s">
        <v>910</v>
      </c>
      <c r="BI48" s="644">
        <v>0.39</v>
      </c>
      <c r="BJ48" s="644">
        <v>0.36</v>
      </c>
      <c r="BK48" s="644">
        <v>0.11</v>
      </c>
      <c r="BL48" s="644">
        <v>0.14000000000000001</v>
      </c>
      <c r="BM48" s="644">
        <v>0</v>
      </c>
    </row>
    <row r="49" spans="1:65" ht="24.9" customHeight="1" x14ac:dyDescent="0.25">
      <c r="A49" s="188" t="s">
        <v>225</v>
      </c>
      <c r="B49" s="1" t="s">
        <v>222</v>
      </c>
      <c r="C49" s="2">
        <v>3</v>
      </c>
      <c r="D49" s="13" t="s">
        <v>226</v>
      </c>
      <c r="E49" s="13" t="s">
        <v>226</v>
      </c>
      <c r="F49" s="13"/>
      <c r="G49" s="13"/>
      <c r="H49" s="13"/>
      <c r="I49" s="13"/>
      <c r="J49" s="13"/>
      <c r="K49" s="16">
        <v>47</v>
      </c>
      <c r="L49" s="16">
        <v>9</v>
      </c>
      <c r="M49" s="92">
        <v>0.56000000000000005</v>
      </c>
      <c r="N49" s="92">
        <v>0.3</v>
      </c>
      <c r="O49" s="92">
        <v>0.12</v>
      </c>
      <c r="P49" s="92">
        <v>0.02</v>
      </c>
      <c r="Q49" s="92">
        <v>0</v>
      </c>
      <c r="R49" s="16">
        <v>49</v>
      </c>
      <c r="S49" s="16">
        <v>7</v>
      </c>
      <c r="T49" s="96">
        <v>0.41</v>
      </c>
      <c r="U49" s="96">
        <v>0.5</v>
      </c>
      <c r="V49" s="96">
        <v>0.09</v>
      </c>
      <c r="W49" s="96">
        <v>0</v>
      </c>
      <c r="X49" s="96">
        <v>0</v>
      </c>
      <c r="Y49" s="16">
        <v>47</v>
      </c>
      <c r="Z49" s="16">
        <v>10</v>
      </c>
      <c r="AA49" s="96">
        <v>0.52</v>
      </c>
      <c r="AB49" s="96">
        <v>0.36</v>
      </c>
      <c r="AC49" s="96">
        <v>0.1</v>
      </c>
      <c r="AD49" s="96">
        <v>0.03</v>
      </c>
      <c r="AE49" s="96">
        <v>0</v>
      </c>
      <c r="AF49" s="91">
        <v>44</v>
      </c>
      <c r="AG49" s="91">
        <v>8</v>
      </c>
      <c r="AH49" s="92">
        <v>0.65</v>
      </c>
      <c r="AI49" s="92">
        <v>0.3</v>
      </c>
      <c r="AJ49" s="92">
        <v>0.04</v>
      </c>
      <c r="AK49" s="92">
        <v>0.01</v>
      </c>
      <c r="AL49" s="92">
        <v>0</v>
      </c>
      <c r="AM49" s="349">
        <v>46</v>
      </c>
      <c r="AN49" s="348" t="s">
        <v>910</v>
      </c>
      <c r="AO49" s="349">
        <v>10</v>
      </c>
      <c r="AP49" s="348" t="s">
        <v>910</v>
      </c>
      <c r="AQ49" s="371">
        <v>0.61</v>
      </c>
      <c r="AR49" s="371">
        <v>0.32</v>
      </c>
      <c r="AS49" s="371">
        <v>0.05</v>
      </c>
      <c r="AT49" s="371">
        <v>0.02</v>
      </c>
      <c r="AU49" s="371">
        <v>0</v>
      </c>
      <c r="AV49" s="469">
        <v>47</v>
      </c>
      <c r="AW49" s="471" t="s">
        <v>910</v>
      </c>
      <c r="AX49" s="469">
        <v>10</v>
      </c>
      <c r="AY49" s="471" t="s">
        <v>910</v>
      </c>
      <c r="AZ49" s="501">
        <v>0.47</v>
      </c>
      <c r="BA49" s="501">
        <v>0.4</v>
      </c>
      <c r="BB49" s="501">
        <v>0.11</v>
      </c>
      <c r="BC49" s="501">
        <v>0.02</v>
      </c>
      <c r="BD49" s="501">
        <v>0.01</v>
      </c>
      <c r="BE49" s="630">
        <v>51</v>
      </c>
      <c r="BF49" s="640" t="s">
        <v>910</v>
      </c>
      <c r="BG49" s="630">
        <v>10</v>
      </c>
      <c r="BH49" s="640" t="s">
        <v>910</v>
      </c>
      <c r="BI49" s="644">
        <v>0.39</v>
      </c>
      <c r="BJ49" s="644">
        <v>0.37</v>
      </c>
      <c r="BK49" s="644">
        <v>0.17</v>
      </c>
      <c r="BL49" s="644">
        <v>7.0000000000000007E-2</v>
      </c>
      <c r="BM49" s="644">
        <v>0</v>
      </c>
    </row>
    <row r="50" spans="1:65" s="53" customFormat="1" ht="24.9" customHeight="1" x14ac:dyDescent="0.25">
      <c r="A50" s="188" t="s">
        <v>126</v>
      </c>
      <c r="B50" s="1" t="s">
        <v>222</v>
      </c>
      <c r="C50" s="2">
        <v>2</v>
      </c>
      <c r="D50" s="16">
        <v>62</v>
      </c>
      <c r="E50" s="16">
        <v>10</v>
      </c>
      <c r="F50" s="99">
        <v>0.1</v>
      </c>
      <c r="G50" s="99">
        <v>0.21</v>
      </c>
      <c r="H50" s="99">
        <v>0.4</v>
      </c>
      <c r="I50" s="99">
        <v>0.26</v>
      </c>
      <c r="J50" s="99">
        <v>0.03</v>
      </c>
      <c r="K50" s="16">
        <v>59</v>
      </c>
      <c r="L50" s="16">
        <v>10</v>
      </c>
      <c r="M50" s="92">
        <v>0.15</v>
      </c>
      <c r="N50" s="92">
        <v>0.26</v>
      </c>
      <c r="O50" s="92">
        <v>0.42</v>
      </c>
      <c r="P50" s="92">
        <v>0.13</v>
      </c>
      <c r="Q50" s="92">
        <v>0.03</v>
      </c>
      <c r="R50" s="16">
        <v>59</v>
      </c>
      <c r="S50" s="16">
        <v>9</v>
      </c>
      <c r="T50" s="96">
        <v>0.11</v>
      </c>
      <c r="U50" s="96">
        <v>0.36</v>
      </c>
      <c r="V50" s="96">
        <v>0.35</v>
      </c>
      <c r="W50" s="96">
        <v>0.15</v>
      </c>
      <c r="X50" s="96">
        <v>0.02</v>
      </c>
      <c r="Y50" s="16">
        <v>62</v>
      </c>
      <c r="Z50" s="16">
        <v>9</v>
      </c>
      <c r="AA50" s="96">
        <v>0.03</v>
      </c>
      <c r="AB50" s="96">
        <v>0.35</v>
      </c>
      <c r="AC50" s="96">
        <v>0.33</v>
      </c>
      <c r="AD50" s="96">
        <v>0.24</v>
      </c>
      <c r="AE50" s="96">
        <v>0.06</v>
      </c>
      <c r="AF50" s="91">
        <v>58</v>
      </c>
      <c r="AG50" s="91">
        <v>10</v>
      </c>
      <c r="AH50" s="92">
        <v>0.16</v>
      </c>
      <c r="AI50" s="92">
        <v>0.37</v>
      </c>
      <c r="AJ50" s="92">
        <v>0.28000000000000003</v>
      </c>
      <c r="AK50" s="92">
        <v>0.18</v>
      </c>
      <c r="AL50" s="92">
        <v>0.01</v>
      </c>
      <c r="AM50" s="349">
        <v>63</v>
      </c>
      <c r="AN50" s="348" t="s">
        <v>911</v>
      </c>
      <c r="AO50" s="349">
        <v>10</v>
      </c>
      <c r="AP50" s="348" t="s">
        <v>910</v>
      </c>
      <c r="AQ50" s="371">
        <v>0.05</v>
      </c>
      <c r="AR50" s="371">
        <v>0.24</v>
      </c>
      <c r="AS50" s="371">
        <v>0.43</v>
      </c>
      <c r="AT50" s="371">
        <v>0.24</v>
      </c>
      <c r="AU50" s="371">
        <v>0.05</v>
      </c>
      <c r="AV50" s="469">
        <v>63</v>
      </c>
      <c r="AW50" s="471" t="s">
        <v>911</v>
      </c>
      <c r="AX50" s="469">
        <v>9</v>
      </c>
      <c r="AY50" s="471" t="s">
        <v>910</v>
      </c>
      <c r="AZ50" s="501">
        <v>0.05</v>
      </c>
      <c r="BA50" s="501">
        <v>0.19</v>
      </c>
      <c r="BB50" s="501">
        <v>0.44</v>
      </c>
      <c r="BC50" s="501">
        <v>0.3</v>
      </c>
      <c r="BD50" s="501">
        <v>0.02</v>
      </c>
      <c r="BE50" s="630">
        <v>63</v>
      </c>
      <c r="BF50" s="640" t="s">
        <v>911</v>
      </c>
      <c r="BG50" s="630">
        <v>10</v>
      </c>
      <c r="BH50" s="640" t="s">
        <v>910</v>
      </c>
      <c r="BI50" s="644">
        <v>0.06</v>
      </c>
      <c r="BJ50" s="644">
        <v>0.2</v>
      </c>
      <c r="BK50" s="644">
        <v>0.41</v>
      </c>
      <c r="BL50" s="644">
        <v>0.26</v>
      </c>
      <c r="BM50" s="644">
        <v>0.06</v>
      </c>
    </row>
    <row r="51" spans="1:65" ht="24.9" customHeight="1" x14ac:dyDescent="0.25">
      <c r="A51" s="189" t="s">
        <v>271</v>
      </c>
      <c r="B51" s="1" t="s">
        <v>222</v>
      </c>
      <c r="C51" s="2">
        <v>2</v>
      </c>
      <c r="D51" s="13" t="s">
        <v>226</v>
      </c>
      <c r="E51" s="13" t="s">
        <v>226</v>
      </c>
      <c r="F51" s="13"/>
      <c r="G51" s="13"/>
      <c r="H51" s="13"/>
      <c r="I51" s="13"/>
      <c r="J51" s="13"/>
      <c r="K51" s="13" t="s">
        <v>226</v>
      </c>
      <c r="L51" s="13" t="s">
        <v>226</v>
      </c>
      <c r="M51" s="92"/>
      <c r="N51" s="92"/>
      <c r="O51" s="92"/>
      <c r="P51" s="92"/>
      <c r="Q51" s="92"/>
      <c r="R51" s="13" t="s">
        <v>226</v>
      </c>
      <c r="S51" s="13" t="s">
        <v>226</v>
      </c>
      <c r="T51" s="2"/>
      <c r="U51" s="2"/>
      <c r="V51" s="2"/>
      <c r="W51" s="2"/>
      <c r="X51" s="2"/>
      <c r="Y51" s="13" t="s">
        <v>226</v>
      </c>
      <c r="Z51" s="13" t="s">
        <v>226</v>
      </c>
      <c r="AA51" s="2"/>
      <c r="AB51" s="2"/>
      <c r="AC51" s="2"/>
      <c r="AD51" s="2"/>
      <c r="AE51" s="2"/>
      <c r="AF51" s="91">
        <v>33</v>
      </c>
      <c r="AG51" s="91">
        <v>0</v>
      </c>
      <c r="AH51" s="92">
        <v>1</v>
      </c>
      <c r="AI51" s="92">
        <v>0</v>
      </c>
      <c r="AJ51" s="92">
        <v>0</v>
      </c>
      <c r="AK51" s="92">
        <v>0</v>
      </c>
      <c r="AL51" s="92">
        <v>0</v>
      </c>
    </row>
    <row r="52" spans="1:65" ht="24.9" customHeight="1" x14ac:dyDescent="0.25">
      <c r="A52" s="188" t="s">
        <v>134</v>
      </c>
      <c r="B52" s="1" t="s">
        <v>222</v>
      </c>
      <c r="C52" s="2">
        <v>5</v>
      </c>
      <c r="D52" s="16">
        <v>57</v>
      </c>
      <c r="E52" s="16">
        <v>8</v>
      </c>
      <c r="F52" s="99">
        <v>0.17</v>
      </c>
      <c r="G52" s="99">
        <v>0.46</v>
      </c>
      <c r="H52" s="99">
        <v>0.33</v>
      </c>
      <c r="I52" s="99">
        <v>0.04</v>
      </c>
      <c r="J52" s="99">
        <v>0</v>
      </c>
      <c r="K52" s="16">
        <v>56</v>
      </c>
      <c r="L52" s="16">
        <v>11</v>
      </c>
      <c r="M52" s="92">
        <v>0.22</v>
      </c>
      <c r="N52" s="92">
        <v>0.28000000000000003</v>
      </c>
      <c r="O52" s="92">
        <v>0.44</v>
      </c>
      <c r="P52" s="92">
        <v>0</v>
      </c>
      <c r="Q52" s="92">
        <v>0.06</v>
      </c>
      <c r="R52" s="16">
        <v>55</v>
      </c>
      <c r="S52" s="16">
        <v>10</v>
      </c>
      <c r="T52" s="96">
        <v>0.22</v>
      </c>
      <c r="U52" s="96">
        <v>0.44</v>
      </c>
      <c r="V52" s="96">
        <v>0.22</v>
      </c>
      <c r="W52" s="96">
        <v>0.11</v>
      </c>
      <c r="X52" s="96">
        <v>0</v>
      </c>
      <c r="Y52" s="16">
        <v>56</v>
      </c>
      <c r="Z52" s="16">
        <v>10</v>
      </c>
      <c r="AA52" s="96">
        <v>0.16</v>
      </c>
      <c r="AB52" s="96">
        <v>0.47</v>
      </c>
      <c r="AC52" s="96">
        <v>0.26</v>
      </c>
      <c r="AD52" s="96">
        <v>0.11</v>
      </c>
      <c r="AE52" s="96">
        <v>0</v>
      </c>
      <c r="AF52" s="91">
        <v>53</v>
      </c>
      <c r="AG52" s="91">
        <v>8</v>
      </c>
      <c r="AH52" s="92">
        <v>0.24</v>
      </c>
      <c r="AI52" s="92">
        <v>0.48</v>
      </c>
      <c r="AJ52" s="92">
        <v>0.24</v>
      </c>
      <c r="AK52" s="92">
        <v>0.05</v>
      </c>
      <c r="AL52" s="92">
        <v>0</v>
      </c>
      <c r="AM52" s="349">
        <v>62</v>
      </c>
      <c r="AN52" s="348" t="s">
        <v>911</v>
      </c>
      <c r="AO52" s="349">
        <v>9</v>
      </c>
      <c r="AP52" s="348" t="s">
        <v>910</v>
      </c>
      <c r="AQ52" s="371">
        <v>0.05</v>
      </c>
      <c r="AR52" s="371">
        <v>0.24</v>
      </c>
      <c r="AS52" s="371">
        <v>0.52</v>
      </c>
      <c r="AT52" s="371">
        <v>0.19</v>
      </c>
      <c r="AU52" s="371">
        <v>0</v>
      </c>
      <c r="AV52" s="469">
        <v>60</v>
      </c>
      <c r="AW52" s="471" t="s">
        <v>910</v>
      </c>
      <c r="AX52" s="469">
        <v>9</v>
      </c>
      <c r="AY52" s="471" t="s">
        <v>910</v>
      </c>
      <c r="AZ52" s="501">
        <v>0.06</v>
      </c>
      <c r="BA52" s="501">
        <v>0.39</v>
      </c>
      <c r="BB52" s="501">
        <v>0.33</v>
      </c>
      <c r="BC52" s="501">
        <v>0.22</v>
      </c>
      <c r="BD52" s="501">
        <v>0</v>
      </c>
      <c r="BE52" s="630">
        <v>58</v>
      </c>
      <c r="BF52" s="640" t="s">
        <v>910</v>
      </c>
      <c r="BG52" s="630">
        <v>7</v>
      </c>
      <c r="BH52" s="640" t="s">
        <v>912</v>
      </c>
      <c r="BI52" s="644">
        <v>0.05</v>
      </c>
      <c r="BJ52" s="644">
        <v>0.52</v>
      </c>
      <c r="BK52" s="644">
        <v>0.28999999999999998</v>
      </c>
      <c r="BL52" s="644">
        <v>0.14000000000000001</v>
      </c>
      <c r="BM52" s="644">
        <v>0</v>
      </c>
    </row>
    <row r="53" spans="1:65" s="461" customFormat="1" ht="24.9" customHeight="1" x14ac:dyDescent="0.25">
      <c r="A53" s="470" t="s">
        <v>956</v>
      </c>
      <c r="B53" s="15" t="s">
        <v>222</v>
      </c>
      <c r="C53" s="471">
        <v>6</v>
      </c>
      <c r="D53" s="502"/>
      <c r="E53" s="502"/>
      <c r="F53" s="508"/>
      <c r="G53" s="508"/>
      <c r="H53" s="508"/>
      <c r="I53" s="508"/>
      <c r="J53" s="508"/>
      <c r="K53" s="502"/>
      <c r="L53" s="502"/>
      <c r="M53" s="504"/>
      <c r="N53" s="504"/>
      <c r="O53" s="504"/>
      <c r="P53" s="504"/>
      <c r="Q53" s="504"/>
      <c r="R53" s="502"/>
      <c r="S53" s="502"/>
      <c r="T53" s="501"/>
      <c r="U53" s="501"/>
      <c r="V53" s="501"/>
      <c r="W53" s="501"/>
      <c r="X53" s="501"/>
      <c r="Y53" s="502"/>
      <c r="Z53" s="502"/>
      <c r="AA53" s="501"/>
      <c r="AB53" s="501"/>
      <c r="AC53" s="501"/>
      <c r="AD53" s="501"/>
      <c r="AE53" s="501"/>
      <c r="AF53" s="514"/>
      <c r="AG53" s="514"/>
      <c r="AH53" s="504"/>
      <c r="AI53" s="504"/>
      <c r="AJ53" s="504"/>
      <c r="AK53" s="504"/>
      <c r="AL53" s="504"/>
      <c r="AM53" s="475"/>
      <c r="AN53" s="493"/>
      <c r="AO53" s="475"/>
      <c r="AP53" s="493"/>
      <c r="AQ53" s="507"/>
      <c r="AR53" s="507"/>
      <c r="AS53" s="507"/>
      <c r="AT53" s="507"/>
      <c r="AU53" s="507"/>
      <c r="AV53" s="469">
        <v>64</v>
      </c>
      <c r="AW53" s="471" t="s">
        <v>911</v>
      </c>
      <c r="AX53" s="469">
        <v>10</v>
      </c>
      <c r="AY53" s="471" t="s">
        <v>910</v>
      </c>
      <c r="AZ53" s="501">
        <v>0.13</v>
      </c>
      <c r="BA53" s="501">
        <v>0.13</v>
      </c>
      <c r="BB53" s="501">
        <v>0.38</v>
      </c>
      <c r="BC53" s="501">
        <v>0.38</v>
      </c>
      <c r="BD53" s="501">
        <v>0</v>
      </c>
      <c r="BE53" s="630">
        <v>62</v>
      </c>
      <c r="BF53" s="640" t="s">
        <v>911</v>
      </c>
      <c r="BG53" s="630">
        <v>10</v>
      </c>
      <c r="BH53" s="640" t="s">
        <v>910</v>
      </c>
      <c r="BI53" s="644">
        <v>0.15</v>
      </c>
      <c r="BJ53" s="644">
        <v>0.22</v>
      </c>
      <c r="BK53" s="644">
        <v>0.26</v>
      </c>
      <c r="BL53" s="644">
        <v>0.33</v>
      </c>
      <c r="BM53" s="644">
        <v>0.04</v>
      </c>
    </row>
    <row r="54" spans="1:65" ht="24.9" customHeight="1" x14ac:dyDescent="0.25">
      <c r="A54" s="188" t="s">
        <v>101</v>
      </c>
      <c r="B54" s="1" t="s">
        <v>222</v>
      </c>
      <c r="C54" s="2">
        <v>1</v>
      </c>
      <c r="D54" s="16">
        <v>54</v>
      </c>
      <c r="E54" s="16">
        <v>9</v>
      </c>
      <c r="F54" s="99">
        <v>0.32</v>
      </c>
      <c r="G54" s="99">
        <v>0.35</v>
      </c>
      <c r="H54" s="99">
        <v>0.25</v>
      </c>
      <c r="I54" s="99">
        <v>0.08</v>
      </c>
      <c r="J54" s="99">
        <v>0</v>
      </c>
      <c r="K54" s="16">
        <v>53</v>
      </c>
      <c r="L54" s="16">
        <v>10</v>
      </c>
      <c r="M54" s="92">
        <v>0.38</v>
      </c>
      <c r="N54" s="92">
        <v>0.27</v>
      </c>
      <c r="O54" s="92">
        <v>0.28999999999999998</v>
      </c>
      <c r="P54" s="92">
        <v>0.06</v>
      </c>
      <c r="Q54" s="92">
        <v>0</v>
      </c>
      <c r="R54" s="16">
        <v>54</v>
      </c>
      <c r="S54" s="16">
        <v>9</v>
      </c>
      <c r="T54" s="96">
        <v>0.18</v>
      </c>
      <c r="U54" s="96">
        <v>0.56000000000000005</v>
      </c>
      <c r="V54" s="96">
        <v>0.18</v>
      </c>
      <c r="W54" s="96">
        <v>0.09</v>
      </c>
      <c r="X54" s="96">
        <v>0</v>
      </c>
      <c r="Y54" s="16">
        <v>52</v>
      </c>
      <c r="Z54" s="16">
        <v>10</v>
      </c>
      <c r="AA54" s="96">
        <v>0.33</v>
      </c>
      <c r="AB54" s="96">
        <v>0.35</v>
      </c>
      <c r="AC54" s="96">
        <v>0.23</v>
      </c>
      <c r="AD54" s="96">
        <v>0.09</v>
      </c>
      <c r="AE54" s="96">
        <v>0</v>
      </c>
      <c r="AF54" s="91">
        <v>50</v>
      </c>
      <c r="AG54" s="91">
        <v>10</v>
      </c>
      <c r="AH54" s="92">
        <v>0.47</v>
      </c>
      <c r="AI54" s="92">
        <v>0.31</v>
      </c>
      <c r="AJ54" s="92">
        <v>0.15</v>
      </c>
      <c r="AK54" s="92">
        <v>7.0000000000000007E-2</v>
      </c>
      <c r="AL54" s="92">
        <v>0</v>
      </c>
      <c r="AM54" s="349">
        <v>55</v>
      </c>
      <c r="AN54" s="348" t="s">
        <v>910</v>
      </c>
      <c r="AO54" s="349">
        <v>8</v>
      </c>
      <c r="AP54" s="348" t="s">
        <v>910</v>
      </c>
      <c r="AQ54" s="371">
        <v>0.15</v>
      </c>
      <c r="AR54" s="371">
        <v>0.53</v>
      </c>
      <c r="AS54" s="371">
        <v>0.25</v>
      </c>
      <c r="AT54" s="371">
        <v>7.0000000000000007E-2</v>
      </c>
      <c r="AU54" s="371">
        <v>0</v>
      </c>
      <c r="AV54" s="469">
        <v>51</v>
      </c>
      <c r="AW54" s="471" t="s">
        <v>910</v>
      </c>
      <c r="AX54" s="469">
        <v>9</v>
      </c>
      <c r="AY54" s="471" t="s">
        <v>910</v>
      </c>
      <c r="AZ54" s="501">
        <v>0.36</v>
      </c>
      <c r="BA54" s="501">
        <v>0.43</v>
      </c>
      <c r="BB54" s="501">
        <v>0.15</v>
      </c>
      <c r="BC54" s="501">
        <v>0.06</v>
      </c>
      <c r="BD54" s="501">
        <v>0</v>
      </c>
      <c r="BE54" s="630">
        <v>55</v>
      </c>
      <c r="BF54" s="640" t="s">
        <v>910</v>
      </c>
      <c r="BG54" s="630">
        <v>9</v>
      </c>
      <c r="BH54" s="640" t="s">
        <v>910</v>
      </c>
      <c r="BI54" s="644">
        <v>0.25</v>
      </c>
      <c r="BJ54" s="644">
        <v>0.33</v>
      </c>
      <c r="BK54" s="644">
        <v>0.3</v>
      </c>
      <c r="BL54" s="644">
        <v>0.12</v>
      </c>
      <c r="BM54" s="644">
        <v>0</v>
      </c>
    </row>
    <row r="55" spans="1:65" ht="24.9" customHeight="1" x14ac:dyDescent="0.25">
      <c r="A55" s="188" t="s">
        <v>231</v>
      </c>
      <c r="B55" s="1" t="s">
        <v>222</v>
      </c>
      <c r="C55" s="2">
        <v>1</v>
      </c>
      <c r="D55" s="13" t="s">
        <v>226</v>
      </c>
      <c r="E55" s="13" t="s">
        <v>226</v>
      </c>
      <c r="F55" s="13"/>
      <c r="G55" s="13"/>
      <c r="H55" s="13"/>
      <c r="I55" s="13"/>
      <c r="J55" s="13"/>
      <c r="K55" s="13" t="s">
        <v>226</v>
      </c>
      <c r="L55" s="13" t="s">
        <v>226</v>
      </c>
      <c r="M55" s="92"/>
      <c r="N55" s="92"/>
      <c r="O55" s="92"/>
      <c r="P55" s="92"/>
      <c r="Q55" s="92"/>
      <c r="R55" s="16">
        <v>56</v>
      </c>
      <c r="S55" s="16">
        <v>7</v>
      </c>
      <c r="T55" s="96">
        <v>0.17</v>
      </c>
      <c r="U55" s="96">
        <v>0.33</v>
      </c>
      <c r="V55" s="96">
        <v>0.5</v>
      </c>
      <c r="W55" s="96">
        <v>0</v>
      </c>
      <c r="X55" s="96">
        <v>0</v>
      </c>
      <c r="Y55" s="16">
        <v>49</v>
      </c>
      <c r="Z55" s="16">
        <v>8</v>
      </c>
      <c r="AA55" s="96">
        <v>0.4</v>
      </c>
      <c r="AB55" s="96">
        <v>0.5</v>
      </c>
      <c r="AC55" s="96">
        <v>0.1</v>
      </c>
      <c r="AD55" s="96">
        <v>0</v>
      </c>
      <c r="AE55" s="96">
        <v>0</v>
      </c>
      <c r="AF55" s="91">
        <v>46</v>
      </c>
      <c r="AG55" s="91">
        <v>9</v>
      </c>
      <c r="AH55" s="92">
        <v>0.7</v>
      </c>
      <c r="AI55" s="92">
        <v>0.2</v>
      </c>
      <c r="AJ55" s="92">
        <v>0.1</v>
      </c>
      <c r="AK55" s="92">
        <v>0</v>
      </c>
      <c r="AL55" s="92">
        <v>0</v>
      </c>
      <c r="AM55" s="349">
        <v>57</v>
      </c>
      <c r="AN55" s="348" t="s">
        <v>910</v>
      </c>
      <c r="AO55" s="349">
        <v>3</v>
      </c>
      <c r="AP55" s="348" t="s">
        <v>912</v>
      </c>
      <c r="AQ55" s="371">
        <v>0</v>
      </c>
      <c r="AR55" s="371">
        <v>0.5</v>
      </c>
      <c r="AS55" s="371">
        <v>0.5</v>
      </c>
      <c r="AT55" s="371">
        <v>0</v>
      </c>
      <c r="AU55" s="371">
        <v>0</v>
      </c>
      <c r="AV55" s="469">
        <v>57</v>
      </c>
      <c r="AW55" s="471" t="s">
        <v>910</v>
      </c>
      <c r="AX55" s="469">
        <v>14</v>
      </c>
      <c r="AY55" s="471" t="s">
        <v>910</v>
      </c>
      <c r="AZ55" s="501">
        <v>0.3</v>
      </c>
      <c r="BA55" s="501">
        <v>0.3</v>
      </c>
      <c r="BB55" s="501">
        <v>0</v>
      </c>
      <c r="BC55" s="501">
        <v>0.3</v>
      </c>
      <c r="BD55" s="501">
        <v>0.1</v>
      </c>
      <c r="BE55" s="630">
        <v>55</v>
      </c>
      <c r="BF55" s="640" t="s">
        <v>910</v>
      </c>
      <c r="BG55" s="630">
        <v>12</v>
      </c>
      <c r="BH55" s="640" t="s">
        <v>910</v>
      </c>
      <c r="BI55" s="644">
        <v>0.25</v>
      </c>
      <c r="BJ55" s="644">
        <v>0.35</v>
      </c>
      <c r="BK55" s="644">
        <v>0.3</v>
      </c>
      <c r="BL55" s="644">
        <v>0.05</v>
      </c>
      <c r="BM55" s="644">
        <v>0.05</v>
      </c>
    </row>
    <row r="56" spans="1:65" ht="24.9" customHeight="1" x14ac:dyDescent="0.25">
      <c r="A56" s="188" t="s">
        <v>116</v>
      </c>
      <c r="B56" s="1" t="s">
        <v>222</v>
      </c>
      <c r="C56" s="2">
        <v>2</v>
      </c>
      <c r="D56" s="16">
        <v>55</v>
      </c>
      <c r="E56" s="16">
        <v>10</v>
      </c>
      <c r="F56" s="99">
        <v>0.28000000000000003</v>
      </c>
      <c r="G56" s="99">
        <v>0.33</v>
      </c>
      <c r="H56" s="99">
        <v>0.3</v>
      </c>
      <c r="I56" s="99">
        <v>0.09</v>
      </c>
      <c r="J56" s="99">
        <v>0</v>
      </c>
      <c r="K56" s="16">
        <v>52</v>
      </c>
      <c r="L56" s="16">
        <v>10</v>
      </c>
      <c r="M56" s="92">
        <v>0.41</v>
      </c>
      <c r="N56" s="92">
        <v>0.24</v>
      </c>
      <c r="O56" s="92">
        <v>0.3</v>
      </c>
      <c r="P56" s="92">
        <v>0.06</v>
      </c>
      <c r="Q56" s="92">
        <v>0</v>
      </c>
      <c r="R56" s="16">
        <v>52</v>
      </c>
      <c r="S56" s="16">
        <v>9</v>
      </c>
      <c r="T56" s="96">
        <v>0.3</v>
      </c>
      <c r="U56" s="96">
        <v>0.45</v>
      </c>
      <c r="V56" s="96">
        <v>0.18</v>
      </c>
      <c r="W56" s="96">
        <v>7.0000000000000007E-2</v>
      </c>
      <c r="X56" s="96">
        <v>0</v>
      </c>
      <c r="Y56" s="16">
        <v>54</v>
      </c>
      <c r="Z56" s="16">
        <v>10</v>
      </c>
      <c r="AA56" s="96">
        <v>0.23</v>
      </c>
      <c r="AB56" s="96">
        <v>0.48</v>
      </c>
      <c r="AC56" s="96">
        <v>0.19</v>
      </c>
      <c r="AD56" s="96">
        <v>0.08</v>
      </c>
      <c r="AE56" s="96">
        <v>0.02</v>
      </c>
      <c r="AF56" s="91">
        <v>47</v>
      </c>
      <c r="AG56" s="91">
        <v>7</v>
      </c>
      <c r="AH56" s="92">
        <v>0.59</v>
      </c>
      <c r="AI56" s="92">
        <v>0.28999999999999998</v>
      </c>
      <c r="AJ56" s="92">
        <v>0.11</v>
      </c>
      <c r="AK56" s="92">
        <v>0.01</v>
      </c>
      <c r="AL56" s="92">
        <v>0</v>
      </c>
      <c r="AM56" s="349">
        <v>55</v>
      </c>
      <c r="AN56" s="348" t="s">
        <v>910</v>
      </c>
      <c r="AO56" s="349">
        <v>10</v>
      </c>
      <c r="AP56" s="348" t="s">
        <v>910</v>
      </c>
      <c r="AQ56" s="371">
        <v>0.22</v>
      </c>
      <c r="AR56" s="371">
        <v>0.38</v>
      </c>
      <c r="AS56" s="371">
        <v>0.3</v>
      </c>
      <c r="AT56" s="371">
        <v>0.1</v>
      </c>
      <c r="AU56" s="371">
        <v>0</v>
      </c>
      <c r="AV56" s="469">
        <v>57</v>
      </c>
      <c r="AW56" s="471" t="s">
        <v>910</v>
      </c>
      <c r="AX56" s="469">
        <v>10</v>
      </c>
      <c r="AY56" s="471" t="s">
        <v>910</v>
      </c>
      <c r="AZ56" s="501">
        <v>0.18</v>
      </c>
      <c r="BA56" s="501">
        <v>0.35</v>
      </c>
      <c r="BB56" s="501">
        <v>0.35</v>
      </c>
      <c r="BC56" s="501">
        <v>0.08</v>
      </c>
      <c r="BD56" s="501">
        <v>0.04</v>
      </c>
      <c r="BE56" s="630">
        <v>58</v>
      </c>
      <c r="BF56" s="640" t="s">
        <v>910</v>
      </c>
      <c r="BG56" s="630">
        <v>9</v>
      </c>
      <c r="BH56" s="640" t="s">
        <v>910</v>
      </c>
      <c r="BI56" s="644">
        <v>0.1</v>
      </c>
      <c r="BJ56" s="644">
        <v>0.38</v>
      </c>
      <c r="BK56" s="644">
        <v>0.39</v>
      </c>
      <c r="BL56" s="644">
        <v>0.13</v>
      </c>
      <c r="BM56" s="644">
        <v>0.01</v>
      </c>
    </row>
    <row r="57" spans="1:65" ht="24.9" customHeight="1" x14ac:dyDescent="0.25">
      <c r="A57" s="188" t="s">
        <v>151</v>
      </c>
      <c r="B57" s="1" t="s">
        <v>222</v>
      </c>
      <c r="C57" s="2">
        <v>3</v>
      </c>
      <c r="D57" s="16">
        <v>59</v>
      </c>
      <c r="E57" s="16">
        <v>10</v>
      </c>
      <c r="F57" s="99">
        <v>0.19</v>
      </c>
      <c r="G57" s="99">
        <v>0.19</v>
      </c>
      <c r="H57" s="99">
        <v>0.44</v>
      </c>
      <c r="I57" s="99">
        <v>0.19</v>
      </c>
      <c r="J57" s="99">
        <v>0</v>
      </c>
      <c r="K57" s="16">
        <v>47</v>
      </c>
      <c r="L57" s="16">
        <v>9</v>
      </c>
      <c r="M57" s="92">
        <v>0.43</v>
      </c>
      <c r="N57" s="92">
        <v>0.5</v>
      </c>
      <c r="O57" s="92">
        <v>7.0000000000000007E-2</v>
      </c>
      <c r="P57" s="92">
        <v>0</v>
      </c>
      <c r="Q57" s="92">
        <v>0</v>
      </c>
      <c r="R57" s="16">
        <v>55</v>
      </c>
      <c r="S57" s="16">
        <v>10</v>
      </c>
      <c r="T57" s="96">
        <v>0.17</v>
      </c>
      <c r="U57" s="96">
        <v>0.43</v>
      </c>
      <c r="V57" s="96">
        <v>0.35</v>
      </c>
      <c r="W57" s="96">
        <v>0.04</v>
      </c>
      <c r="X57" s="96">
        <v>0</v>
      </c>
      <c r="Y57" s="16">
        <v>49</v>
      </c>
      <c r="Z57" s="16">
        <v>10</v>
      </c>
      <c r="AA57" s="96">
        <v>0.32</v>
      </c>
      <c r="AB57" s="96">
        <v>0.55000000000000004</v>
      </c>
      <c r="AC57" s="96">
        <v>0.14000000000000001</v>
      </c>
      <c r="AD57" s="96">
        <v>0</v>
      </c>
      <c r="AE57" s="96">
        <v>0</v>
      </c>
      <c r="AF57" s="91">
        <v>51</v>
      </c>
      <c r="AG57" s="91">
        <v>9</v>
      </c>
      <c r="AH57" s="92">
        <v>0.34</v>
      </c>
      <c r="AI57" s="92">
        <v>0.45</v>
      </c>
      <c r="AJ57" s="92">
        <v>0.14000000000000001</v>
      </c>
      <c r="AK57" s="92">
        <v>7.0000000000000007E-2</v>
      </c>
      <c r="AL57" s="92">
        <v>0</v>
      </c>
      <c r="AM57" s="349">
        <v>53</v>
      </c>
      <c r="AN57" s="348" t="s">
        <v>910</v>
      </c>
      <c r="AO57" s="349">
        <v>11</v>
      </c>
      <c r="AP57" s="348" t="s">
        <v>910</v>
      </c>
      <c r="AQ57" s="371">
        <v>0.35</v>
      </c>
      <c r="AR57" s="371">
        <v>0.35</v>
      </c>
      <c r="AS57" s="371">
        <v>0.2</v>
      </c>
      <c r="AT57" s="371">
        <v>0.11</v>
      </c>
      <c r="AU57" s="371">
        <v>0</v>
      </c>
      <c r="AV57" s="469">
        <v>48</v>
      </c>
      <c r="AW57" s="471" t="s">
        <v>910</v>
      </c>
      <c r="AX57" s="469">
        <v>11</v>
      </c>
      <c r="AY57" s="471" t="s">
        <v>910</v>
      </c>
      <c r="AZ57" s="501">
        <v>0.56000000000000005</v>
      </c>
      <c r="BA57" s="501">
        <v>0.28000000000000003</v>
      </c>
      <c r="BB57" s="501">
        <v>0.08</v>
      </c>
      <c r="BC57" s="501">
        <v>0.08</v>
      </c>
      <c r="BD57" s="501">
        <v>0</v>
      </c>
      <c r="BE57" s="630">
        <v>52</v>
      </c>
      <c r="BF57" s="640" t="s">
        <v>910</v>
      </c>
      <c r="BG57" s="630">
        <v>12</v>
      </c>
      <c r="BH57" s="640" t="s">
        <v>910</v>
      </c>
      <c r="BI57" s="644">
        <v>0.45</v>
      </c>
      <c r="BJ57" s="644">
        <v>0.32</v>
      </c>
      <c r="BK57" s="644">
        <v>0.16</v>
      </c>
      <c r="BL57" s="644">
        <v>0.05</v>
      </c>
      <c r="BM57" s="644">
        <v>0.03</v>
      </c>
    </row>
    <row r="58" spans="1:65" s="219" customFormat="1" ht="24.9" customHeight="1" x14ac:dyDescent="0.25">
      <c r="A58" s="188" t="s">
        <v>877</v>
      </c>
      <c r="B58" s="1" t="s">
        <v>222</v>
      </c>
      <c r="C58" s="2">
        <v>4</v>
      </c>
      <c r="D58" s="16"/>
      <c r="E58" s="16"/>
      <c r="F58" s="99"/>
      <c r="G58" s="99"/>
      <c r="H58" s="99"/>
      <c r="I58" s="99"/>
      <c r="J58" s="99"/>
      <c r="K58" s="16"/>
      <c r="L58" s="16"/>
      <c r="M58" s="92"/>
      <c r="N58" s="92"/>
      <c r="O58" s="92"/>
      <c r="P58" s="92"/>
      <c r="Q58" s="92"/>
      <c r="R58" s="16"/>
      <c r="S58" s="16"/>
      <c r="T58" s="96"/>
      <c r="U58" s="96"/>
      <c r="V58" s="96"/>
      <c r="W58" s="96"/>
      <c r="X58" s="96"/>
      <c r="Y58" s="16"/>
      <c r="Z58" s="16"/>
      <c r="AA58" s="96"/>
      <c r="AB58" s="96"/>
      <c r="AC58" s="96"/>
      <c r="AD58" s="96"/>
      <c r="AE58" s="96"/>
      <c r="AF58" s="91"/>
      <c r="AG58" s="91"/>
      <c r="AH58" s="92"/>
      <c r="AI58" s="92"/>
      <c r="AJ58" s="92"/>
      <c r="AK58" s="92"/>
      <c r="AL58" s="92"/>
      <c r="AN58" s="336"/>
      <c r="AP58" s="336"/>
    </row>
    <row r="59" spans="1:65" ht="24.9" customHeight="1" x14ac:dyDescent="0.25">
      <c r="A59" s="188" t="s">
        <v>200</v>
      </c>
      <c r="B59" s="1" t="s">
        <v>222</v>
      </c>
      <c r="C59" s="2">
        <v>3</v>
      </c>
      <c r="D59" s="16">
        <v>58</v>
      </c>
      <c r="E59" s="16">
        <v>9</v>
      </c>
      <c r="F59" s="99">
        <v>0.13</v>
      </c>
      <c r="G59" s="99">
        <v>0.34</v>
      </c>
      <c r="H59" s="99">
        <v>0.38</v>
      </c>
      <c r="I59" s="99">
        <v>0.13</v>
      </c>
      <c r="J59" s="99">
        <v>0.01</v>
      </c>
      <c r="K59" s="16">
        <v>57</v>
      </c>
      <c r="L59" s="16">
        <v>9</v>
      </c>
      <c r="M59" s="92">
        <v>0.11</v>
      </c>
      <c r="N59" s="92">
        <v>0.44</v>
      </c>
      <c r="O59" s="92">
        <v>0.3</v>
      </c>
      <c r="P59" s="92">
        <v>0.15</v>
      </c>
      <c r="Q59" s="92">
        <v>0</v>
      </c>
      <c r="R59" s="16">
        <v>57</v>
      </c>
      <c r="S59" s="16">
        <v>9</v>
      </c>
      <c r="T59" s="96">
        <v>0.16</v>
      </c>
      <c r="U59" s="96">
        <v>0.35</v>
      </c>
      <c r="V59" s="96">
        <v>0.39</v>
      </c>
      <c r="W59" s="96">
        <v>0.09</v>
      </c>
      <c r="X59" s="96">
        <v>0.01</v>
      </c>
      <c r="Y59" s="16">
        <v>58</v>
      </c>
      <c r="Z59" s="16">
        <v>9</v>
      </c>
      <c r="AA59" s="96">
        <v>0.16</v>
      </c>
      <c r="AB59" s="96">
        <v>0.34</v>
      </c>
      <c r="AC59" s="96">
        <v>0.31</v>
      </c>
      <c r="AD59" s="96">
        <v>0.19</v>
      </c>
      <c r="AE59" s="96">
        <v>0.01</v>
      </c>
      <c r="AF59" s="91">
        <v>52</v>
      </c>
      <c r="AG59" s="91">
        <v>9</v>
      </c>
      <c r="AH59" s="92">
        <v>0.28000000000000003</v>
      </c>
      <c r="AI59" s="92">
        <v>0.47</v>
      </c>
      <c r="AJ59" s="92">
        <v>0.18</v>
      </c>
      <c r="AK59" s="92">
        <v>7.0000000000000007E-2</v>
      </c>
      <c r="AL59" s="92">
        <v>0</v>
      </c>
      <c r="AM59" s="349">
        <v>57</v>
      </c>
      <c r="AN59" s="348" t="s">
        <v>910</v>
      </c>
      <c r="AO59" s="349">
        <v>11</v>
      </c>
      <c r="AP59" s="348" t="s">
        <v>910</v>
      </c>
      <c r="AQ59" s="371">
        <v>0.18</v>
      </c>
      <c r="AR59" s="371">
        <v>0.4</v>
      </c>
      <c r="AS59" s="371">
        <v>0.26</v>
      </c>
      <c r="AT59" s="371">
        <v>0.14000000000000001</v>
      </c>
      <c r="AU59" s="371">
        <v>0.02</v>
      </c>
      <c r="AV59" s="469">
        <v>60</v>
      </c>
      <c r="AW59" s="471" t="s">
        <v>910</v>
      </c>
      <c r="AX59" s="469">
        <v>11</v>
      </c>
      <c r="AY59" s="471" t="s">
        <v>910</v>
      </c>
      <c r="AZ59" s="501">
        <v>0.11</v>
      </c>
      <c r="BA59" s="501">
        <v>0.3</v>
      </c>
      <c r="BB59" s="501">
        <v>0.35</v>
      </c>
      <c r="BC59" s="501">
        <v>0.23</v>
      </c>
      <c r="BD59" s="501">
        <v>0.01</v>
      </c>
      <c r="BE59" s="630">
        <v>60</v>
      </c>
      <c r="BF59" s="640" t="s">
        <v>910</v>
      </c>
      <c r="BG59" s="630">
        <v>9</v>
      </c>
      <c r="BH59" s="640" t="s">
        <v>910</v>
      </c>
      <c r="BI59" s="644">
        <v>0.09</v>
      </c>
      <c r="BJ59" s="644">
        <v>0.33</v>
      </c>
      <c r="BK59" s="644">
        <v>0.34</v>
      </c>
      <c r="BL59" s="644">
        <v>0.21</v>
      </c>
      <c r="BM59" s="644">
        <v>0.02</v>
      </c>
    </row>
    <row r="60" spans="1:65" ht="24.9" customHeight="1" x14ac:dyDescent="0.25">
      <c r="A60" s="188" t="s">
        <v>175</v>
      </c>
      <c r="B60" s="1" t="s">
        <v>222</v>
      </c>
      <c r="C60" s="2">
        <v>2</v>
      </c>
      <c r="D60" s="16">
        <v>54</v>
      </c>
      <c r="E60" s="16">
        <v>9</v>
      </c>
      <c r="F60" s="99">
        <v>0.23</v>
      </c>
      <c r="G60" s="99">
        <v>0.54</v>
      </c>
      <c r="H60" s="99">
        <v>0.13</v>
      </c>
      <c r="I60" s="99">
        <v>0.1</v>
      </c>
      <c r="J60" s="99">
        <v>0</v>
      </c>
      <c r="K60" s="16">
        <v>49</v>
      </c>
      <c r="L60" s="16">
        <v>10</v>
      </c>
      <c r="M60" s="92">
        <v>0.53</v>
      </c>
      <c r="N60" s="92">
        <v>0.33</v>
      </c>
      <c r="O60" s="92">
        <v>7.0000000000000007E-2</v>
      </c>
      <c r="P60" s="92">
        <v>7.0000000000000007E-2</v>
      </c>
      <c r="Q60" s="92">
        <v>0</v>
      </c>
      <c r="R60" s="16">
        <v>53</v>
      </c>
      <c r="S60" s="16">
        <v>9</v>
      </c>
      <c r="T60" s="96">
        <v>0.31</v>
      </c>
      <c r="U60" s="96">
        <v>0.42</v>
      </c>
      <c r="V60" s="96">
        <v>0.25</v>
      </c>
      <c r="W60" s="96">
        <v>0</v>
      </c>
      <c r="X60" s="96">
        <v>0.03</v>
      </c>
      <c r="Y60" s="16">
        <v>58</v>
      </c>
      <c r="Z60" s="16">
        <v>9</v>
      </c>
      <c r="AA60" s="96">
        <v>0.12</v>
      </c>
      <c r="AB60" s="96">
        <v>0.42</v>
      </c>
      <c r="AC60" s="96">
        <v>0.35</v>
      </c>
      <c r="AD60" s="96">
        <v>0.08</v>
      </c>
      <c r="AE60" s="96">
        <v>0.04</v>
      </c>
      <c r="AF60" s="91">
        <v>49</v>
      </c>
      <c r="AG60" s="91">
        <v>10</v>
      </c>
      <c r="AH60" s="92">
        <v>0.53</v>
      </c>
      <c r="AI60" s="92">
        <v>0.28000000000000003</v>
      </c>
      <c r="AJ60" s="92">
        <v>0.17</v>
      </c>
      <c r="AK60" s="92">
        <v>0.03</v>
      </c>
      <c r="AL60" s="92">
        <v>0</v>
      </c>
      <c r="AM60" s="349">
        <v>57</v>
      </c>
      <c r="AN60" s="348" t="s">
        <v>910</v>
      </c>
      <c r="AO60" s="349">
        <v>9</v>
      </c>
      <c r="AP60" s="348" t="s">
        <v>910</v>
      </c>
      <c r="AQ60" s="371">
        <v>0.13</v>
      </c>
      <c r="AR60" s="371">
        <v>0.44</v>
      </c>
      <c r="AS60" s="371">
        <v>0.34</v>
      </c>
      <c r="AT60" s="371">
        <v>0.09</v>
      </c>
      <c r="AU60" s="371">
        <v>0</v>
      </c>
      <c r="AV60" s="469">
        <v>60</v>
      </c>
      <c r="AW60" s="471" t="s">
        <v>910</v>
      </c>
      <c r="AX60" s="469">
        <v>9</v>
      </c>
      <c r="AY60" s="471" t="s">
        <v>910</v>
      </c>
      <c r="AZ60" s="501">
        <v>0.08</v>
      </c>
      <c r="BA60" s="501">
        <v>0.28999999999999998</v>
      </c>
      <c r="BB60" s="501">
        <v>0.42</v>
      </c>
      <c r="BC60" s="501">
        <v>0.21</v>
      </c>
      <c r="BD60" s="501">
        <v>0</v>
      </c>
      <c r="BE60" s="630">
        <v>57</v>
      </c>
      <c r="BF60" s="640" t="s">
        <v>910</v>
      </c>
      <c r="BG60" s="630">
        <v>11</v>
      </c>
      <c r="BH60" s="640" t="s">
        <v>910</v>
      </c>
      <c r="BI60" s="644">
        <v>0.12</v>
      </c>
      <c r="BJ60" s="644">
        <v>0.36</v>
      </c>
      <c r="BK60" s="644">
        <v>0.36</v>
      </c>
      <c r="BL60" s="644">
        <v>0.15</v>
      </c>
      <c r="BM60" s="644">
        <v>0</v>
      </c>
    </row>
    <row r="61" spans="1:65" ht="24.9" customHeight="1" x14ac:dyDescent="0.25">
      <c r="A61" s="188" t="s">
        <v>84</v>
      </c>
      <c r="B61" s="1" t="s">
        <v>222</v>
      </c>
      <c r="C61" s="2">
        <v>2</v>
      </c>
      <c r="D61" s="16">
        <v>60</v>
      </c>
      <c r="E61" s="16">
        <v>6</v>
      </c>
      <c r="F61" s="99">
        <v>0</v>
      </c>
      <c r="G61" s="99">
        <v>0.43</v>
      </c>
      <c r="H61" s="99">
        <v>0.52</v>
      </c>
      <c r="I61" s="99">
        <v>0.04</v>
      </c>
      <c r="J61" s="99">
        <v>0</v>
      </c>
      <c r="K61" s="16">
        <v>58</v>
      </c>
      <c r="L61" s="16">
        <v>6</v>
      </c>
      <c r="M61" s="92">
        <v>0.05</v>
      </c>
      <c r="N61" s="92">
        <v>0.26</v>
      </c>
      <c r="O61" s="92">
        <v>0.63</v>
      </c>
      <c r="P61" s="92">
        <v>0.05</v>
      </c>
      <c r="Q61" s="92">
        <v>0</v>
      </c>
      <c r="R61" s="16">
        <v>63</v>
      </c>
      <c r="S61" s="16">
        <v>8</v>
      </c>
      <c r="T61" s="96">
        <v>0</v>
      </c>
      <c r="U61" s="96">
        <v>0.25</v>
      </c>
      <c r="V61" s="96">
        <v>0.5</v>
      </c>
      <c r="W61" s="96">
        <v>0.19</v>
      </c>
      <c r="X61" s="96">
        <v>0.06</v>
      </c>
      <c r="Y61" s="16">
        <v>58</v>
      </c>
      <c r="Z61" s="16">
        <v>11</v>
      </c>
      <c r="AA61" s="96">
        <v>0.14000000000000001</v>
      </c>
      <c r="AB61" s="96">
        <v>0.45</v>
      </c>
      <c r="AC61" s="96">
        <v>0.18</v>
      </c>
      <c r="AD61" s="96">
        <v>0.18</v>
      </c>
      <c r="AE61" s="96">
        <v>0.05</v>
      </c>
      <c r="AF61" s="91">
        <v>53</v>
      </c>
      <c r="AG61" s="91">
        <v>9</v>
      </c>
      <c r="AH61" s="92">
        <v>0.22</v>
      </c>
      <c r="AI61" s="92">
        <v>0.52</v>
      </c>
      <c r="AJ61" s="92">
        <v>0.15</v>
      </c>
      <c r="AK61" s="92">
        <v>7.0000000000000007E-2</v>
      </c>
      <c r="AL61" s="92">
        <v>0.04</v>
      </c>
      <c r="AM61" s="349">
        <v>60</v>
      </c>
      <c r="AN61" s="348" t="s">
        <v>911</v>
      </c>
      <c r="AO61" s="349">
        <v>9</v>
      </c>
      <c r="AP61" s="348" t="s">
        <v>910</v>
      </c>
      <c r="AQ61" s="371">
        <v>0.05</v>
      </c>
      <c r="AR61" s="371">
        <v>0.48</v>
      </c>
      <c r="AS61" s="371">
        <v>0.33</v>
      </c>
      <c r="AT61" s="371">
        <v>0.1</v>
      </c>
      <c r="AU61" s="371">
        <v>0.05</v>
      </c>
      <c r="AV61" s="469">
        <v>59</v>
      </c>
      <c r="AW61" s="471" t="s">
        <v>910</v>
      </c>
      <c r="AX61" s="469">
        <v>9</v>
      </c>
      <c r="AY61" s="471" t="s">
        <v>910</v>
      </c>
      <c r="AZ61" s="501">
        <v>0.1</v>
      </c>
      <c r="BA61" s="501">
        <v>0.2</v>
      </c>
      <c r="BB61" s="501">
        <v>0.55000000000000004</v>
      </c>
      <c r="BC61" s="501">
        <v>0.15</v>
      </c>
      <c r="BD61" s="501">
        <v>0</v>
      </c>
      <c r="BE61" s="630">
        <v>61</v>
      </c>
      <c r="BF61" s="640" t="s">
        <v>911</v>
      </c>
      <c r="BG61" s="630">
        <v>12</v>
      </c>
      <c r="BH61" s="640" t="s">
        <v>910</v>
      </c>
      <c r="BI61" s="644">
        <v>0.13</v>
      </c>
      <c r="BJ61" s="644">
        <v>0.31</v>
      </c>
      <c r="BK61" s="644">
        <v>0.13</v>
      </c>
      <c r="BL61" s="644">
        <v>0.44</v>
      </c>
      <c r="BM61" s="644">
        <v>0</v>
      </c>
    </row>
    <row r="62" spans="1:65" ht="24.9" customHeight="1" x14ac:dyDescent="0.25">
      <c r="A62" s="188" t="s">
        <v>186</v>
      </c>
      <c r="B62" s="1" t="s">
        <v>222</v>
      </c>
      <c r="C62" s="2">
        <v>1</v>
      </c>
      <c r="D62" s="16">
        <v>48</v>
      </c>
      <c r="E62" s="16">
        <v>7</v>
      </c>
      <c r="F62" s="99">
        <v>0.54</v>
      </c>
      <c r="G62" s="99">
        <v>0.46</v>
      </c>
      <c r="H62" s="99">
        <v>0</v>
      </c>
      <c r="I62" s="99">
        <v>0</v>
      </c>
      <c r="J62" s="99">
        <v>0</v>
      </c>
      <c r="K62" s="16">
        <v>46</v>
      </c>
      <c r="L62" s="16">
        <v>8</v>
      </c>
      <c r="M62" s="92">
        <v>0.6</v>
      </c>
      <c r="N62" s="92">
        <v>0.4</v>
      </c>
      <c r="O62" s="92">
        <v>0</v>
      </c>
      <c r="P62" s="92">
        <v>0</v>
      </c>
      <c r="Q62" s="92">
        <v>0</v>
      </c>
      <c r="R62" s="16">
        <v>48</v>
      </c>
      <c r="S62" s="16">
        <v>8</v>
      </c>
      <c r="T62" s="96">
        <v>0.42</v>
      </c>
      <c r="U62" s="96">
        <v>0.47</v>
      </c>
      <c r="V62" s="96">
        <v>0.05</v>
      </c>
      <c r="W62" s="96">
        <v>0.05</v>
      </c>
      <c r="X62" s="96">
        <v>0</v>
      </c>
      <c r="Y62" s="16">
        <v>41</v>
      </c>
      <c r="Z62" s="16">
        <v>8</v>
      </c>
      <c r="AA62" s="96">
        <v>0.71</v>
      </c>
      <c r="AB62" s="96">
        <v>0.28999999999999998</v>
      </c>
      <c r="AC62" s="96">
        <v>0</v>
      </c>
      <c r="AD62" s="96">
        <v>0</v>
      </c>
      <c r="AE62" s="96">
        <v>0</v>
      </c>
      <c r="AF62" s="91">
        <v>44</v>
      </c>
      <c r="AG62" s="91">
        <v>7</v>
      </c>
      <c r="AH62" s="92">
        <v>0.59</v>
      </c>
      <c r="AI62" s="92">
        <v>0.41</v>
      </c>
      <c r="AJ62" s="92">
        <v>0</v>
      </c>
      <c r="AK62" s="92">
        <v>0</v>
      </c>
      <c r="AL62" s="92">
        <v>0</v>
      </c>
      <c r="AM62" s="349">
        <v>50</v>
      </c>
      <c r="AN62" s="348" t="s">
        <v>910</v>
      </c>
      <c r="AO62" s="349">
        <v>8</v>
      </c>
      <c r="AP62" s="348" t="s">
        <v>910</v>
      </c>
      <c r="AQ62" s="371">
        <v>0.31</v>
      </c>
      <c r="AR62" s="371">
        <v>0.56000000000000005</v>
      </c>
      <c r="AS62" s="371">
        <v>0.13</v>
      </c>
      <c r="AT62" s="371">
        <v>0</v>
      </c>
      <c r="AU62" s="371">
        <v>0</v>
      </c>
      <c r="AV62" s="469">
        <v>47</v>
      </c>
      <c r="AW62" s="471" t="s">
        <v>910</v>
      </c>
      <c r="AX62" s="469">
        <v>9</v>
      </c>
      <c r="AY62" s="471" t="s">
        <v>910</v>
      </c>
      <c r="AZ62" s="501">
        <v>0.44</v>
      </c>
      <c r="BA62" s="501">
        <v>0.44</v>
      </c>
      <c r="BB62" s="501">
        <v>0.13</v>
      </c>
      <c r="BC62" s="501">
        <v>0</v>
      </c>
      <c r="BD62" s="501">
        <v>0</v>
      </c>
      <c r="BE62" s="630">
        <v>54</v>
      </c>
      <c r="BF62" s="640" t="s">
        <v>910</v>
      </c>
      <c r="BG62" s="630">
        <v>5</v>
      </c>
      <c r="BH62" s="640" t="s">
        <v>912</v>
      </c>
      <c r="BI62" s="644">
        <v>0.13</v>
      </c>
      <c r="BJ62" s="644">
        <v>0.63</v>
      </c>
      <c r="BK62" s="644">
        <v>0.25</v>
      </c>
      <c r="BL62" s="644">
        <v>0</v>
      </c>
      <c r="BM62" s="644">
        <v>0</v>
      </c>
    </row>
    <row r="63" spans="1:65" ht="24.9" customHeight="1" x14ac:dyDescent="0.25">
      <c r="A63" s="188" t="s">
        <v>162</v>
      </c>
      <c r="B63" s="1" t="s">
        <v>222</v>
      </c>
      <c r="C63" s="2">
        <v>4</v>
      </c>
      <c r="D63" s="16">
        <v>53</v>
      </c>
      <c r="E63" s="16">
        <v>8</v>
      </c>
      <c r="F63" s="99">
        <v>0.27</v>
      </c>
      <c r="G63" s="99">
        <v>0.39</v>
      </c>
      <c r="H63" s="99">
        <v>0.28999999999999998</v>
      </c>
      <c r="I63" s="99">
        <v>0.05</v>
      </c>
      <c r="J63" s="99">
        <v>0</v>
      </c>
      <c r="K63" s="16">
        <v>48</v>
      </c>
      <c r="L63" s="16">
        <v>8</v>
      </c>
      <c r="M63" s="92">
        <v>0.46</v>
      </c>
      <c r="N63" s="92">
        <v>0.44</v>
      </c>
      <c r="O63" s="92">
        <v>0.1</v>
      </c>
      <c r="P63" s="92">
        <v>0</v>
      </c>
      <c r="Q63" s="92">
        <v>0</v>
      </c>
      <c r="R63" s="16">
        <v>52</v>
      </c>
      <c r="S63" s="16">
        <v>7</v>
      </c>
      <c r="T63" s="96">
        <v>0.3</v>
      </c>
      <c r="U63" s="96">
        <v>0.53</v>
      </c>
      <c r="V63" s="96">
        <v>0.14000000000000001</v>
      </c>
      <c r="W63" s="96">
        <v>0.02</v>
      </c>
      <c r="X63" s="96">
        <v>0</v>
      </c>
      <c r="Y63" s="16">
        <v>48</v>
      </c>
      <c r="Z63" s="16">
        <v>7</v>
      </c>
      <c r="AA63" s="96">
        <v>0.49</v>
      </c>
      <c r="AB63" s="96">
        <v>0.41</v>
      </c>
      <c r="AC63" s="96">
        <v>0.11</v>
      </c>
      <c r="AD63" s="96">
        <v>0</v>
      </c>
      <c r="AE63" s="96">
        <v>0</v>
      </c>
      <c r="AF63" s="91">
        <v>50</v>
      </c>
      <c r="AG63" s="91">
        <v>7</v>
      </c>
      <c r="AH63" s="92">
        <v>0.39</v>
      </c>
      <c r="AI63" s="92">
        <v>0.49</v>
      </c>
      <c r="AJ63" s="92">
        <v>0.1</v>
      </c>
      <c r="AK63" s="92">
        <v>0.02</v>
      </c>
      <c r="AL63" s="92">
        <v>0</v>
      </c>
      <c r="AM63" s="349">
        <v>52</v>
      </c>
      <c r="AN63" s="348" t="s">
        <v>910</v>
      </c>
      <c r="AO63" s="349">
        <v>9</v>
      </c>
      <c r="AP63" s="348" t="s">
        <v>910</v>
      </c>
      <c r="AQ63" s="371">
        <v>0.3</v>
      </c>
      <c r="AR63" s="371">
        <v>0.45</v>
      </c>
      <c r="AS63" s="371">
        <v>0.23</v>
      </c>
      <c r="AT63" s="371">
        <v>0.03</v>
      </c>
      <c r="AU63" s="371">
        <v>0</v>
      </c>
      <c r="AV63" s="469">
        <v>51</v>
      </c>
      <c r="AW63" s="471" t="s">
        <v>910</v>
      </c>
      <c r="AX63" s="469">
        <v>10</v>
      </c>
      <c r="AY63" s="471" t="s">
        <v>910</v>
      </c>
      <c r="AZ63" s="501">
        <v>0.3</v>
      </c>
      <c r="BA63" s="501">
        <v>0.43</v>
      </c>
      <c r="BB63" s="501">
        <v>0.22</v>
      </c>
      <c r="BC63" s="501">
        <v>0.05</v>
      </c>
      <c r="BD63" s="501">
        <v>0</v>
      </c>
      <c r="BE63" s="630">
        <v>52</v>
      </c>
      <c r="BF63" s="640" t="s">
        <v>910</v>
      </c>
      <c r="BG63" s="630">
        <v>10</v>
      </c>
      <c r="BH63" s="640" t="s">
        <v>910</v>
      </c>
      <c r="BI63" s="644">
        <v>0.24</v>
      </c>
      <c r="BJ63" s="644">
        <v>0.52</v>
      </c>
      <c r="BK63" s="644">
        <v>0.19</v>
      </c>
      <c r="BL63" s="644">
        <v>0.02</v>
      </c>
      <c r="BM63" s="644">
        <v>0.02</v>
      </c>
    </row>
    <row r="64" spans="1:65" ht="24.9" customHeight="1" x14ac:dyDescent="0.25">
      <c r="A64" s="188" t="s">
        <v>114</v>
      </c>
      <c r="B64" s="1" t="s">
        <v>222</v>
      </c>
      <c r="C64" s="2">
        <v>3</v>
      </c>
      <c r="D64" s="16">
        <v>57</v>
      </c>
      <c r="E64" s="16">
        <v>8</v>
      </c>
      <c r="F64" s="99">
        <v>0.09</v>
      </c>
      <c r="G64" s="99">
        <v>0.49</v>
      </c>
      <c r="H64" s="99">
        <v>0.34</v>
      </c>
      <c r="I64" s="99">
        <v>0.09</v>
      </c>
      <c r="J64" s="99">
        <v>0</v>
      </c>
      <c r="K64" s="16">
        <v>56</v>
      </c>
      <c r="L64" s="16">
        <v>6</v>
      </c>
      <c r="M64" s="92">
        <v>0.06</v>
      </c>
      <c r="N64" s="92">
        <v>0.5</v>
      </c>
      <c r="O64" s="92">
        <v>0.42</v>
      </c>
      <c r="P64" s="92">
        <v>0.03</v>
      </c>
      <c r="Q64" s="92">
        <v>0</v>
      </c>
      <c r="R64" s="16">
        <v>56</v>
      </c>
      <c r="S64" s="16">
        <v>10</v>
      </c>
      <c r="T64" s="96">
        <v>0.16</v>
      </c>
      <c r="U64" s="96">
        <v>0.42</v>
      </c>
      <c r="V64" s="96">
        <v>0.3</v>
      </c>
      <c r="W64" s="96">
        <v>0.08</v>
      </c>
      <c r="X64" s="96">
        <v>0.04</v>
      </c>
      <c r="Y64" s="16">
        <v>52</v>
      </c>
      <c r="Z64" s="16">
        <v>7</v>
      </c>
      <c r="AA64" s="96">
        <v>0.31</v>
      </c>
      <c r="AB64" s="96">
        <v>0.46</v>
      </c>
      <c r="AC64" s="96">
        <v>0.2</v>
      </c>
      <c r="AD64" s="96">
        <v>0.03</v>
      </c>
      <c r="AE64" s="96">
        <v>0</v>
      </c>
      <c r="AF64" s="91">
        <v>51</v>
      </c>
      <c r="AG64" s="91">
        <v>8</v>
      </c>
      <c r="AH64" s="92">
        <v>0.34</v>
      </c>
      <c r="AI64" s="92">
        <v>0.42</v>
      </c>
      <c r="AJ64" s="92">
        <v>0.24</v>
      </c>
      <c r="AK64" s="92">
        <v>0</v>
      </c>
      <c r="AL64" s="92">
        <v>0</v>
      </c>
      <c r="AM64" s="349">
        <v>56</v>
      </c>
      <c r="AN64" s="348" t="s">
        <v>910</v>
      </c>
      <c r="AO64" s="349">
        <v>11</v>
      </c>
      <c r="AP64" s="348" t="s">
        <v>910</v>
      </c>
      <c r="AQ64" s="371">
        <v>0.27</v>
      </c>
      <c r="AR64" s="371">
        <v>0.3</v>
      </c>
      <c r="AS64" s="371">
        <v>0.3</v>
      </c>
      <c r="AT64" s="371">
        <v>0.1</v>
      </c>
      <c r="AU64" s="371">
        <v>0.03</v>
      </c>
      <c r="AV64" s="469">
        <v>58</v>
      </c>
      <c r="AW64" s="471" t="s">
        <v>910</v>
      </c>
      <c r="AX64" s="469">
        <v>10</v>
      </c>
      <c r="AY64" s="471" t="s">
        <v>910</v>
      </c>
      <c r="AZ64" s="501">
        <v>0.13</v>
      </c>
      <c r="BA64" s="501">
        <v>0.33</v>
      </c>
      <c r="BB64" s="501">
        <v>0.35</v>
      </c>
      <c r="BC64" s="501">
        <v>0.19</v>
      </c>
      <c r="BD64" s="501">
        <v>0</v>
      </c>
      <c r="BE64" s="630">
        <v>58</v>
      </c>
      <c r="BF64" s="640" t="s">
        <v>910</v>
      </c>
      <c r="BG64" s="630">
        <v>10</v>
      </c>
      <c r="BH64" s="640" t="s">
        <v>910</v>
      </c>
      <c r="BI64" s="644">
        <v>0.16</v>
      </c>
      <c r="BJ64" s="644">
        <v>0.33</v>
      </c>
      <c r="BK64" s="644">
        <v>0.28000000000000003</v>
      </c>
      <c r="BL64" s="644">
        <v>0.21</v>
      </c>
      <c r="BM64" s="644">
        <v>0.02</v>
      </c>
    </row>
    <row r="65" spans="1:65" ht="24.9" customHeight="1" x14ac:dyDescent="0.25">
      <c r="A65" s="188" t="s">
        <v>128</v>
      </c>
      <c r="B65" s="1" t="s">
        <v>222</v>
      </c>
      <c r="C65" s="2">
        <v>5</v>
      </c>
      <c r="D65" s="16">
        <v>60</v>
      </c>
      <c r="E65" s="16">
        <v>10</v>
      </c>
      <c r="F65" s="99">
        <v>0.1</v>
      </c>
      <c r="G65" s="99">
        <v>0.4</v>
      </c>
      <c r="H65" s="99">
        <v>0.23</v>
      </c>
      <c r="I65" s="99">
        <v>0.27</v>
      </c>
      <c r="J65" s="99">
        <v>0</v>
      </c>
      <c r="K65" s="16">
        <v>59</v>
      </c>
      <c r="L65" s="16">
        <v>7</v>
      </c>
      <c r="M65" s="92">
        <v>0.06</v>
      </c>
      <c r="N65" s="92">
        <v>0.28000000000000003</v>
      </c>
      <c r="O65" s="92">
        <v>0.61</v>
      </c>
      <c r="P65" s="92">
        <v>0.06</v>
      </c>
      <c r="Q65" s="92">
        <v>0</v>
      </c>
      <c r="R65" s="16">
        <v>60</v>
      </c>
      <c r="S65" s="16">
        <v>9</v>
      </c>
      <c r="T65" s="96">
        <v>0.1</v>
      </c>
      <c r="U65" s="96">
        <v>0.28000000000000003</v>
      </c>
      <c r="V65" s="96">
        <v>0.41</v>
      </c>
      <c r="W65" s="96">
        <v>0.17</v>
      </c>
      <c r="X65" s="96">
        <v>0.03</v>
      </c>
      <c r="Y65" s="16">
        <v>59</v>
      </c>
      <c r="Z65" s="16">
        <v>10</v>
      </c>
      <c r="AA65" s="96">
        <v>0.11</v>
      </c>
      <c r="AB65" s="96">
        <v>0.28000000000000003</v>
      </c>
      <c r="AC65" s="96">
        <v>0.44</v>
      </c>
      <c r="AD65" s="96">
        <v>0.17</v>
      </c>
      <c r="AE65" s="96">
        <v>0</v>
      </c>
      <c r="AF65" s="91">
        <v>54</v>
      </c>
      <c r="AG65" s="91">
        <v>10</v>
      </c>
      <c r="AH65" s="92">
        <v>0.25</v>
      </c>
      <c r="AI65" s="92">
        <v>0.5</v>
      </c>
      <c r="AJ65" s="92">
        <v>0.1</v>
      </c>
      <c r="AK65" s="92">
        <v>0.15</v>
      </c>
      <c r="AL65" s="92">
        <v>0</v>
      </c>
      <c r="AM65" s="349">
        <v>57</v>
      </c>
      <c r="AN65" s="348" t="s">
        <v>910</v>
      </c>
      <c r="AO65" s="349">
        <v>10</v>
      </c>
      <c r="AP65" s="348" t="s">
        <v>910</v>
      </c>
      <c r="AQ65" s="371">
        <v>0.2</v>
      </c>
      <c r="AR65" s="371">
        <v>0.35</v>
      </c>
      <c r="AS65" s="371">
        <v>0.3</v>
      </c>
      <c r="AT65" s="371">
        <v>0.15</v>
      </c>
      <c r="AU65" s="371">
        <v>0</v>
      </c>
      <c r="AV65" s="469">
        <v>59</v>
      </c>
      <c r="AW65" s="471" t="s">
        <v>910</v>
      </c>
      <c r="AX65" s="469">
        <v>9</v>
      </c>
      <c r="AY65" s="471" t="s">
        <v>910</v>
      </c>
      <c r="AZ65" s="501">
        <v>7.0000000000000007E-2</v>
      </c>
      <c r="BA65" s="501">
        <v>0.39</v>
      </c>
      <c r="BB65" s="501">
        <v>0.36</v>
      </c>
      <c r="BC65" s="501">
        <v>0.18</v>
      </c>
      <c r="BD65" s="501">
        <v>0</v>
      </c>
      <c r="BE65" s="630">
        <v>59</v>
      </c>
      <c r="BF65" s="640" t="s">
        <v>910</v>
      </c>
      <c r="BG65" s="630">
        <v>11</v>
      </c>
      <c r="BH65" s="640" t="s">
        <v>910</v>
      </c>
      <c r="BI65" s="644">
        <v>0.15</v>
      </c>
      <c r="BJ65" s="644">
        <v>0.26</v>
      </c>
      <c r="BK65" s="644">
        <v>0.37</v>
      </c>
      <c r="BL65" s="644">
        <v>0.22</v>
      </c>
      <c r="BM65" s="644">
        <v>0</v>
      </c>
    </row>
    <row r="66" spans="1:65" ht="24.9" customHeight="1" x14ac:dyDescent="0.25">
      <c r="A66" s="188" t="s">
        <v>160</v>
      </c>
      <c r="B66" s="1" t="s">
        <v>222</v>
      </c>
      <c r="C66" s="2">
        <v>3</v>
      </c>
      <c r="D66" s="16">
        <v>55</v>
      </c>
      <c r="E66" s="16">
        <v>9</v>
      </c>
      <c r="F66" s="99">
        <v>0.18</v>
      </c>
      <c r="G66" s="99">
        <v>0.45</v>
      </c>
      <c r="H66" s="99">
        <v>0.34</v>
      </c>
      <c r="I66" s="99">
        <v>0.03</v>
      </c>
      <c r="J66" s="99">
        <v>0</v>
      </c>
      <c r="K66" s="16">
        <v>54</v>
      </c>
      <c r="L66" s="16">
        <v>8</v>
      </c>
      <c r="M66" s="92">
        <v>0.22</v>
      </c>
      <c r="N66" s="92">
        <v>0.48</v>
      </c>
      <c r="O66" s="92">
        <v>0.26</v>
      </c>
      <c r="P66" s="92">
        <v>0.04</v>
      </c>
      <c r="Q66" s="92">
        <v>0</v>
      </c>
      <c r="R66" s="16">
        <v>60</v>
      </c>
      <c r="S66" s="16">
        <v>9</v>
      </c>
      <c r="T66" s="96">
        <v>0.11</v>
      </c>
      <c r="U66" s="96">
        <v>0.17</v>
      </c>
      <c r="V66" s="96">
        <v>0.56000000000000005</v>
      </c>
      <c r="W66" s="96">
        <v>0.17</v>
      </c>
      <c r="X66" s="96">
        <v>0</v>
      </c>
      <c r="Y66" s="16">
        <v>56</v>
      </c>
      <c r="Z66" s="16">
        <v>10</v>
      </c>
      <c r="AA66" s="96">
        <v>0.12</v>
      </c>
      <c r="AB66" s="96">
        <v>0.42</v>
      </c>
      <c r="AC66" s="96">
        <v>0.35</v>
      </c>
      <c r="AD66" s="96">
        <v>0.12</v>
      </c>
      <c r="AE66" s="96">
        <v>0</v>
      </c>
      <c r="AF66" s="91">
        <v>55</v>
      </c>
      <c r="AG66" s="91">
        <v>9</v>
      </c>
      <c r="AH66" s="92">
        <v>0.21</v>
      </c>
      <c r="AI66" s="92">
        <v>0.42</v>
      </c>
      <c r="AJ66" s="92">
        <v>0.26</v>
      </c>
      <c r="AK66" s="92">
        <v>0.11</v>
      </c>
      <c r="AL66" s="92">
        <v>0</v>
      </c>
      <c r="AM66" s="349">
        <v>55</v>
      </c>
      <c r="AN66" s="348" t="s">
        <v>910</v>
      </c>
      <c r="AO66" s="349">
        <v>9</v>
      </c>
      <c r="AP66" s="348" t="s">
        <v>910</v>
      </c>
      <c r="AQ66" s="371">
        <v>0.18</v>
      </c>
      <c r="AR66" s="371">
        <v>0.35</v>
      </c>
      <c r="AS66" s="371">
        <v>0.38</v>
      </c>
      <c r="AT66" s="371">
        <v>0.09</v>
      </c>
      <c r="AU66" s="371">
        <v>0</v>
      </c>
      <c r="AV66" s="469">
        <v>59</v>
      </c>
      <c r="AW66" s="471" t="s">
        <v>910</v>
      </c>
      <c r="AX66" s="469">
        <v>10</v>
      </c>
      <c r="AY66" s="471" t="s">
        <v>910</v>
      </c>
      <c r="AZ66" s="501">
        <v>0.11</v>
      </c>
      <c r="BA66" s="501">
        <v>0.5</v>
      </c>
      <c r="BB66" s="501">
        <v>0.24</v>
      </c>
      <c r="BC66" s="501">
        <v>0.11</v>
      </c>
      <c r="BD66" s="501">
        <v>0.05</v>
      </c>
      <c r="BE66" s="630">
        <v>57</v>
      </c>
      <c r="BF66" s="640" t="s">
        <v>910</v>
      </c>
      <c r="BG66" s="630">
        <v>7</v>
      </c>
      <c r="BH66" s="640" t="s">
        <v>912</v>
      </c>
      <c r="BI66" s="644">
        <v>7.0000000000000007E-2</v>
      </c>
      <c r="BJ66" s="644">
        <v>0.43</v>
      </c>
      <c r="BK66" s="644">
        <v>0.45</v>
      </c>
      <c r="BL66" s="644">
        <v>0.05</v>
      </c>
      <c r="BM66" s="644">
        <v>0</v>
      </c>
    </row>
    <row r="67" spans="1:65" ht="24.9" customHeight="1" x14ac:dyDescent="0.25">
      <c r="A67" s="188" t="s">
        <v>59</v>
      </c>
      <c r="B67" s="1" t="s">
        <v>222</v>
      </c>
      <c r="C67" s="2">
        <v>1</v>
      </c>
      <c r="D67" s="16">
        <v>59</v>
      </c>
      <c r="E67" s="16">
        <v>8</v>
      </c>
      <c r="F67" s="99">
        <v>0.06</v>
      </c>
      <c r="G67" s="99">
        <v>0.5</v>
      </c>
      <c r="H67" s="99">
        <v>0.28000000000000003</v>
      </c>
      <c r="I67" s="99">
        <v>0.17</v>
      </c>
      <c r="J67" s="99">
        <v>0</v>
      </c>
      <c r="K67" s="16">
        <v>50</v>
      </c>
      <c r="L67" s="16">
        <v>9</v>
      </c>
      <c r="M67" s="92">
        <v>0.43</v>
      </c>
      <c r="N67" s="92">
        <v>0.4</v>
      </c>
      <c r="O67" s="92">
        <v>0.1</v>
      </c>
      <c r="P67" s="92">
        <v>7.0000000000000007E-2</v>
      </c>
      <c r="Q67" s="92">
        <v>0</v>
      </c>
      <c r="R67" s="16">
        <v>52</v>
      </c>
      <c r="S67" s="16">
        <v>7</v>
      </c>
      <c r="T67" s="96">
        <v>0.27</v>
      </c>
      <c r="U67" s="96">
        <v>0.41</v>
      </c>
      <c r="V67" s="96">
        <v>0.32</v>
      </c>
      <c r="W67" s="96">
        <v>0</v>
      </c>
      <c r="X67" s="96">
        <v>0</v>
      </c>
      <c r="Y67" s="16">
        <v>53</v>
      </c>
      <c r="Z67" s="16">
        <v>9</v>
      </c>
      <c r="AA67" s="96">
        <v>0.27</v>
      </c>
      <c r="AB67" s="96">
        <v>0.42</v>
      </c>
      <c r="AC67" s="96">
        <v>0.23</v>
      </c>
      <c r="AD67" s="96">
        <v>0.08</v>
      </c>
      <c r="AE67" s="96">
        <v>0</v>
      </c>
      <c r="AF67" s="91">
        <v>48</v>
      </c>
      <c r="AG67" s="91">
        <v>9</v>
      </c>
      <c r="AH67" s="92">
        <v>0.56000000000000005</v>
      </c>
      <c r="AI67" s="92">
        <v>0.32</v>
      </c>
      <c r="AJ67" s="92">
        <v>0.08</v>
      </c>
      <c r="AK67" s="92">
        <v>0.04</v>
      </c>
      <c r="AL67" s="92">
        <v>0</v>
      </c>
      <c r="AM67" s="349">
        <v>49</v>
      </c>
      <c r="AN67" s="348" t="s">
        <v>910</v>
      </c>
      <c r="AO67" s="349">
        <v>11</v>
      </c>
      <c r="AP67" s="348" t="s">
        <v>910</v>
      </c>
      <c r="AQ67" s="371">
        <v>0.41</v>
      </c>
      <c r="AR67" s="371">
        <v>0.44</v>
      </c>
      <c r="AS67" s="371">
        <v>0.11</v>
      </c>
      <c r="AT67" s="371">
        <v>0.04</v>
      </c>
      <c r="AU67" s="371">
        <v>0</v>
      </c>
      <c r="AV67" s="469">
        <v>48</v>
      </c>
      <c r="AW67" s="471" t="s">
        <v>910</v>
      </c>
      <c r="AX67" s="469">
        <v>11</v>
      </c>
      <c r="AY67" s="471" t="s">
        <v>910</v>
      </c>
      <c r="AZ67" s="501">
        <v>0.5</v>
      </c>
      <c r="BA67" s="501">
        <v>0.36</v>
      </c>
      <c r="BB67" s="501">
        <v>0.11</v>
      </c>
      <c r="BC67" s="501">
        <v>0.04</v>
      </c>
      <c r="BD67" s="501">
        <v>0</v>
      </c>
      <c r="BE67" s="630">
        <v>51</v>
      </c>
      <c r="BF67" s="640" t="s">
        <v>910</v>
      </c>
      <c r="BG67" s="630">
        <v>10</v>
      </c>
      <c r="BH67" s="640" t="s">
        <v>910</v>
      </c>
      <c r="BI67" s="644">
        <v>0.36</v>
      </c>
      <c r="BJ67" s="644">
        <v>0.45</v>
      </c>
      <c r="BK67" s="644">
        <v>0.14000000000000001</v>
      </c>
      <c r="BL67" s="644">
        <v>0.05</v>
      </c>
      <c r="BM67" s="644">
        <v>0</v>
      </c>
    </row>
    <row r="68" spans="1:65" ht="24.9" customHeight="1" x14ac:dyDescent="0.25">
      <c r="A68" s="188" t="s">
        <v>132</v>
      </c>
      <c r="B68" s="1" t="s">
        <v>222</v>
      </c>
      <c r="C68" s="2">
        <v>3</v>
      </c>
      <c r="D68" s="16">
        <v>57</v>
      </c>
      <c r="E68" s="16">
        <v>8</v>
      </c>
      <c r="F68" s="99">
        <v>0.12</v>
      </c>
      <c r="G68" s="99">
        <v>0.47</v>
      </c>
      <c r="H68" s="99">
        <v>0.32</v>
      </c>
      <c r="I68" s="99">
        <v>0.09</v>
      </c>
      <c r="J68" s="99">
        <v>0</v>
      </c>
      <c r="K68" s="16">
        <v>57</v>
      </c>
      <c r="L68" s="16">
        <v>11</v>
      </c>
      <c r="M68" s="92">
        <v>0.21</v>
      </c>
      <c r="N68" s="92">
        <v>0.3</v>
      </c>
      <c r="O68" s="92">
        <v>0.3</v>
      </c>
      <c r="P68" s="92">
        <v>0.16</v>
      </c>
      <c r="Q68" s="92">
        <v>0.04</v>
      </c>
      <c r="R68" s="16">
        <v>55</v>
      </c>
      <c r="S68" s="16">
        <v>9</v>
      </c>
      <c r="T68" s="96">
        <v>0.19</v>
      </c>
      <c r="U68" s="96">
        <v>0.4</v>
      </c>
      <c r="V68" s="96">
        <v>0.31</v>
      </c>
      <c r="W68" s="96">
        <v>0.1</v>
      </c>
      <c r="X68" s="96">
        <v>0</v>
      </c>
      <c r="Y68" s="16">
        <v>55</v>
      </c>
      <c r="Z68" s="16">
        <v>8</v>
      </c>
      <c r="AA68" s="96">
        <v>0.18</v>
      </c>
      <c r="AB68" s="96">
        <v>0.39</v>
      </c>
      <c r="AC68" s="96">
        <v>0.37</v>
      </c>
      <c r="AD68" s="96">
        <v>0.04</v>
      </c>
      <c r="AE68" s="96">
        <v>0.02</v>
      </c>
      <c r="AF68" s="91">
        <v>49</v>
      </c>
      <c r="AG68" s="91">
        <v>9</v>
      </c>
      <c r="AH68" s="92">
        <v>0.56999999999999995</v>
      </c>
      <c r="AI68" s="92">
        <v>0.28999999999999998</v>
      </c>
      <c r="AJ68" s="92">
        <v>0.08</v>
      </c>
      <c r="AK68" s="92">
        <v>0.04</v>
      </c>
      <c r="AL68" s="92">
        <v>0.02</v>
      </c>
      <c r="AM68" s="349">
        <v>58</v>
      </c>
      <c r="AN68" s="348" t="s">
        <v>910</v>
      </c>
      <c r="AO68" s="349">
        <v>10</v>
      </c>
      <c r="AP68" s="348" t="s">
        <v>910</v>
      </c>
      <c r="AQ68" s="371">
        <v>0.14000000000000001</v>
      </c>
      <c r="AR68" s="371">
        <v>0.4</v>
      </c>
      <c r="AS68" s="371">
        <v>0.23</v>
      </c>
      <c r="AT68" s="371">
        <v>0.23</v>
      </c>
      <c r="AU68" s="371">
        <v>0</v>
      </c>
      <c r="AV68" s="469">
        <v>56</v>
      </c>
      <c r="AW68" s="471" t="s">
        <v>910</v>
      </c>
      <c r="AX68" s="469">
        <v>7</v>
      </c>
      <c r="AY68" s="471" t="s">
        <v>912</v>
      </c>
      <c r="AZ68" s="501">
        <v>0.14000000000000001</v>
      </c>
      <c r="BA68" s="501">
        <v>0.43</v>
      </c>
      <c r="BB68" s="501">
        <v>0.43</v>
      </c>
      <c r="BC68" s="501">
        <v>0</v>
      </c>
      <c r="BD68" s="501">
        <v>0</v>
      </c>
      <c r="BE68" s="630">
        <v>58</v>
      </c>
      <c r="BF68" s="640" t="s">
        <v>910</v>
      </c>
      <c r="BG68" s="630">
        <v>10</v>
      </c>
      <c r="BH68" s="640" t="s">
        <v>910</v>
      </c>
      <c r="BI68" s="644">
        <v>0.12</v>
      </c>
      <c r="BJ68" s="644">
        <v>0.38</v>
      </c>
      <c r="BK68" s="644">
        <v>0.31</v>
      </c>
      <c r="BL68" s="644">
        <v>0.19</v>
      </c>
      <c r="BM68" s="644">
        <v>0</v>
      </c>
    </row>
    <row r="69" spans="1:65" ht="24.9" customHeight="1" x14ac:dyDescent="0.25">
      <c r="A69" s="188" t="s">
        <v>179</v>
      </c>
      <c r="B69" s="1" t="s">
        <v>222</v>
      </c>
      <c r="C69" s="2">
        <v>5</v>
      </c>
      <c r="D69" s="16">
        <v>59</v>
      </c>
      <c r="E69" s="16">
        <v>8</v>
      </c>
      <c r="F69" s="99">
        <v>0.1</v>
      </c>
      <c r="G69" s="99">
        <v>0.35</v>
      </c>
      <c r="H69" s="99">
        <v>0.4</v>
      </c>
      <c r="I69" s="99">
        <v>0.15</v>
      </c>
      <c r="J69" s="99">
        <v>0</v>
      </c>
      <c r="K69" s="16">
        <v>55</v>
      </c>
      <c r="L69" s="16">
        <v>8</v>
      </c>
      <c r="M69" s="92">
        <v>0.16</v>
      </c>
      <c r="N69" s="92">
        <v>0.47</v>
      </c>
      <c r="O69" s="92">
        <v>0.32</v>
      </c>
      <c r="P69" s="92">
        <v>0.05</v>
      </c>
      <c r="Q69" s="92">
        <v>0.01</v>
      </c>
      <c r="R69" s="16">
        <v>58</v>
      </c>
      <c r="S69" s="16">
        <v>8</v>
      </c>
      <c r="T69" s="96">
        <v>0.1</v>
      </c>
      <c r="U69" s="96">
        <v>0.37</v>
      </c>
      <c r="V69" s="96">
        <v>0.42</v>
      </c>
      <c r="W69" s="96">
        <v>0.09</v>
      </c>
      <c r="X69" s="96">
        <v>0.01</v>
      </c>
      <c r="Y69" s="16">
        <v>56</v>
      </c>
      <c r="Z69" s="16">
        <v>9</v>
      </c>
      <c r="AA69" s="96">
        <v>0.17</v>
      </c>
      <c r="AB69" s="96">
        <v>0.42</v>
      </c>
      <c r="AC69" s="96">
        <v>0.31</v>
      </c>
      <c r="AD69" s="96">
        <v>0.09</v>
      </c>
      <c r="AE69" s="96">
        <v>0.01</v>
      </c>
      <c r="AF69" s="91">
        <v>51</v>
      </c>
      <c r="AG69" s="91">
        <v>8</v>
      </c>
      <c r="AH69" s="92">
        <v>0.33</v>
      </c>
      <c r="AI69" s="92">
        <v>0.48</v>
      </c>
      <c r="AJ69" s="92">
        <v>0.16</v>
      </c>
      <c r="AK69" s="92">
        <v>0.03</v>
      </c>
      <c r="AL69" s="92">
        <v>0</v>
      </c>
      <c r="AM69" s="349">
        <v>55</v>
      </c>
      <c r="AN69" s="348" t="s">
        <v>910</v>
      </c>
      <c r="AO69" s="349">
        <v>10</v>
      </c>
      <c r="AP69" s="348" t="s">
        <v>910</v>
      </c>
      <c r="AQ69" s="371">
        <v>0.18</v>
      </c>
      <c r="AR69" s="371">
        <v>0.45</v>
      </c>
      <c r="AS69" s="371">
        <v>0.25</v>
      </c>
      <c r="AT69" s="371">
        <v>0.11</v>
      </c>
      <c r="AU69" s="371">
        <v>0.02</v>
      </c>
      <c r="AV69" s="469">
        <v>57</v>
      </c>
      <c r="AW69" s="471" t="s">
        <v>910</v>
      </c>
      <c r="AX69" s="469">
        <v>11</v>
      </c>
      <c r="AY69" s="471" t="s">
        <v>910</v>
      </c>
      <c r="AZ69" s="501">
        <v>0.18</v>
      </c>
      <c r="BA69" s="501">
        <v>0.31</v>
      </c>
      <c r="BB69" s="501">
        <v>0.35</v>
      </c>
      <c r="BC69" s="501">
        <v>0.13</v>
      </c>
      <c r="BD69" s="501">
        <v>0.02</v>
      </c>
      <c r="BE69" s="630">
        <v>56</v>
      </c>
      <c r="BF69" s="640" t="s">
        <v>910</v>
      </c>
      <c r="BG69" s="630">
        <v>11</v>
      </c>
      <c r="BH69" s="640" t="s">
        <v>910</v>
      </c>
      <c r="BI69" s="644">
        <v>0.25</v>
      </c>
      <c r="BJ69" s="644">
        <v>0.31</v>
      </c>
      <c r="BK69" s="644">
        <v>0.31</v>
      </c>
      <c r="BL69" s="644">
        <v>0.1</v>
      </c>
      <c r="BM69" s="644">
        <v>0.03</v>
      </c>
    </row>
    <row r="70" spans="1:65" ht="24.9" customHeight="1" x14ac:dyDescent="0.25">
      <c r="A70" s="188" t="s">
        <v>75</v>
      </c>
      <c r="B70" s="1" t="s">
        <v>222</v>
      </c>
      <c r="C70" s="2">
        <v>1</v>
      </c>
      <c r="D70" s="16">
        <v>52</v>
      </c>
      <c r="E70" s="16">
        <v>6</v>
      </c>
      <c r="F70" s="99">
        <v>0.31</v>
      </c>
      <c r="G70" s="99">
        <v>0.56999999999999995</v>
      </c>
      <c r="H70" s="99">
        <v>0.11</v>
      </c>
      <c r="I70" s="99">
        <v>0</v>
      </c>
      <c r="J70" s="99">
        <v>0</v>
      </c>
      <c r="K70" s="16">
        <v>52</v>
      </c>
      <c r="L70" s="16">
        <v>8</v>
      </c>
      <c r="M70" s="92">
        <v>0.31</v>
      </c>
      <c r="N70" s="92">
        <v>0.44</v>
      </c>
      <c r="O70" s="92">
        <v>0.22</v>
      </c>
      <c r="P70" s="92">
        <v>0.03</v>
      </c>
      <c r="Q70" s="92">
        <v>0</v>
      </c>
      <c r="R70" s="16">
        <v>51</v>
      </c>
      <c r="S70" s="16">
        <v>8</v>
      </c>
      <c r="T70" s="96">
        <v>0.36</v>
      </c>
      <c r="U70" s="96">
        <v>0.43</v>
      </c>
      <c r="V70" s="96">
        <v>0.21</v>
      </c>
      <c r="W70" s="96">
        <v>0</v>
      </c>
      <c r="X70" s="96">
        <v>0</v>
      </c>
      <c r="Y70" s="16">
        <v>49</v>
      </c>
      <c r="Z70" s="16">
        <v>9</v>
      </c>
      <c r="AA70" s="96">
        <v>0.42</v>
      </c>
      <c r="AB70" s="96">
        <v>0.42</v>
      </c>
      <c r="AC70" s="96">
        <v>0.17</v>
      </c>
      <c r="AD70" s="96">
        <v>0</v>
      </c>
      <c r="AE70" s="96">
        <v>0</v>
      </c>
      <c r="AF70" s="91">
        <v>50</v>
      </c>
      <c r="AG70" s="91">
        <v>10</v>
      </c>
      <c r="AH70" s="92">
        <v>0.47</v>
      </c>
      <c r="AI70" s="92">
        <v>0.33</v>
      </c>
      <c r="AJ70" s="92">
        <v>0.14000000000000001</v>
      </c>
      <c r="AK70" s="92">
        <v>0.06</v>
      </c>
      <c r="AL70" s="92">
        <v>0</v>
      </c>
      <c r="AM70" s="349">
        <v>53</v>
      </c>
      <c r="AN70" s="348" t="s">
        <v>910</v>
      </c>
      <c r="AO70" s="349">
        <v>10</v>
      </c>
      <c r="AP70" s="348" t="s">
        <v>910</v>
      </c>
      <c r="AQ70" s="371">
        <v>0.31</v>
      </c>
      <c r="AR70" s="371">
        <v>0.38</v>
      </c>
      <c r="AS70" s="371">
        <v>0.25</v>
      </c>
      <c r="AT70" s="371">
        <v>0.06</v>
      </c>
      <c r="AU70" s="371">
        <v>0</v>
      </c>
      <c r="AV70" s="469">
        <v>51</v>
      </c>
      <c r="AW70" s="471" t="s">
        <v>910</v>
      </c>
      <c r="AX70" s="469">
        <v>11</v>
      </c>
      <c r="AY70" s="471" t="s">
        <v>910</v>
      </c>
      <c r="AZ70" s="501">
        <v>0.39</v>
      </c>
      <c r="BA70" s="501">
        <v>0.3</v>
      </c>
      <c r="BB70" s="501">
        <v>0.27</v>
      </c>
      <c r="BC70" s="501">
        <v>0.03</v>
      </c>
      <c r="BD70" s="501">
        <v>0</v>
      </c>
      <c r="BE70" s="630">
        <v>51</v>
      </c>
      <c r="BF70" s="640" t="s">
        <v>910</v>
      </c>
      <c r="BG70" s="630">
        <v>9</v>
      </c>
      <c r="BH70" s="640" t="s">
        <v>910</v>
      </c>
      <c r="BI70" s="644">
        <v>0.41</v>
      </c>
      <c r="BJ70" s="644">
        <v>0.41</v>
      </c>
      <c r="BK70" s="644">
        <v>0.1</v>
      </c>
      <c r="BL70" s="644">
        <v>7.0000000000000007E-2</v>
      </c>
      <c r="BM70" s="644">
        <v>0</v>
      </c>
    </row>
    <row r="71" spans="1:65" ht="24.9" customHeight="1" x14ac:dyDescent="0.25">
      <c r="A71" s="188" t="s">
        <v>25</v>
      </c>
      <c r="B71" s="1" t="s">
        <v>222</v>
      </c>
      <c r="C71" s="2">
        <v>3</v>
      </c>
      <c r="D71" s="16">
        <v>54</v>
      </c>
      <c r="E71" s="16">
        <v>10</v>
      </c>
      <c r="F71" s="99">
        <v>0.27</v>
      </c>
      <c r="G71" s="99">
        <v>0.42</v>
      </c>
      <c r="H71" s="99">
        <v>0.23</v>
      </c>
      <c r="I71" s="99">
        <v>0.08</v>
      </c>
      <c r="J71" s="99">
        <v>0</v>
      </c>
      <c r="K71" s="16">
        <v>51</v>
      </c>
      <c r="L71" s="16">
        <v>8</v>
      </c>
      <c r="M71" s="92">
        <v>0.33</v>
      </c>
      <c r="N71" s="92">
        <v>0.5</v>
      </c>
      <c r="O71" s="92">
        <v>0.13</v>
      </c>
      <c r="P71" s="92">
        <v>0.04</v>
      </c>
      <c r="Q71" s="92">
        <v>0</v>
      </c>
      <c r="R71" s="16">
        <v>53</v>
      </c>
      <c r="S71" s="16">
        <v>8</v>
      </c>
      <c r="T71" s="96">
        <v>0.27</v>
      </c>
      <c r="U71" s="96">
        <v>0.5</v>
      </c>
      <c r="V71" s="96">
        <v>0.23</v>
      </c>
      <c r="W71" s="96">
        <v>0</v>
      </c>
      <c r="X71" s="96">
        <v>0</v>
      </c>
      <c r="Y71" s="16">
        <v>53</v>
      </c>
      <c r="Z71" s="16">
        <v>9</v>
      </c>
      <c r="AA71" s="96">
        <v>0.26</v>
      </c>
      <c r="AB71" s="96">
        <v>0.38</v>
      </c>
      <c r="AC71" s="96">
        <v>0.32</v>
      </c>
      <c r="AD71" s="96">
        <v>0.03</v>
      </c>
      <c r="AE71" s="96">
        <v>0</v>
      </c>
      <c r="AF71" s="91">
        <v>49</v>
      </c>
      <c r="AG71" s="91">
        <v>9</v>
      </c>
      <c r="AH71" s="92">
        <v>0.53</v>
      </c>
      <c r="AI71" s="92">
        <v>0.36</v>
      </c>
      <c r="AJ71" s="92">
        <v>0.05</v>
      </c>
      <c r="AK71" s="92">
        <v>7.0000000000000007E-2</v>
      </c>
      <c r="AL71" s="92">
        <v>0</v>
      </c>
      <c r="AM71" s="349">
        <v>54</v>
      </c>
      <c r="AN71" s="348" t="s">
        <v>910</v>
      </c>
      <c r="AO71" s="349">
        <v>11</v>
      </c>
      <c r="AP71" s="348" t="s">
        <v>910</v>
      </c>
      <c r="AQ71" s="371">
        <v>0.25</v>
      </c>
      <c r="AR71" s="371">
        <v>0.33</v>
      </c>
      <c r="AS71" s="371">
        <v>0.31</v>
      </c>
      <c r="AT71" s="371">
        <v>0.11</v>
      </c>
      <c r="AU71" s="371">
        <v>0</v>
      </c>
      <c r="AV71" s="469">
        <v>56</v>
      </c>
      <c r="AW71" s="471" t="s">
        <v>910</v>
      </c>
      <c r="AX71" s="469">
        <v>9</v>
      </c>
      <c r="AY71" s="471" t="s">
        <v>910</v>
      </c>
      <c r="AZ71" s="501">
        <v>0.13</v>
      </c>
      <c r="BA71" s="501">
        <v>0.45</v>
      </c>
      <c r="BB71" s="501">
        <v>0.32</v>
      </c>
      <c r="BC71" s="501">
        <v>0.09</v>
      </c>
      <c r="BD71" s="501">
        <v>0.02</v>
      </c>
      <c r="BE71" s="630">
        <v>54</v>
      </c>
      <c r="BF71" s="640" t="s">
        <v>910</v>
      </c>
      <c r="BG71" s="630">
        <v>9</v>
      </c>
      <c r="BH71" s="640" t="s">
        <v>910</v>
      </c>
      <c r="BI71" s="644">
        <v>0.25</v>
      </c>
      <c r="BJ71" s="644">
        <v>0.4</v>
      </c>
      <c r="BK71" s="644">
        <v>0.27</v>
      </c>
      <c r="BL71" s="644">
        <v>0.06</v>
      </c>
      <c r="BM71" s="644">
        <v>0.02</v>
      </c>
    </row>
    <row r="72" spans="1:65" s="336" customFormat="1" ht="24.9" customHeight="1" x14ac:dyDescent="0.25">
      <c r="A72" s="361" t="s">
        <v>914</v>
      </c>
      <c r="B72" s="1" t="s">
        <v>222</v>
      </c>
      <c r="C72" s="354">
        <v>6</v>
      </c>
      <c r="D72" s="362"/>
      <c r="E72" s="362"/>
      <c r="F72" s="366"/>
      <c r="G72" s="366"/>
      <c r="H72" s="366"/>
      <c r="I72" s="366"/>
      <c r="J72" s="366"/>
      <c r="K72" s="362"/>
      <c r="L72" s="362"/>
      <c r="M72" s="365"/>
      <c r="N72" s="365"/>
      <c r="O72" s="365"/>
      <c r="P72" s="365"/>
      <c r="Q72" s="365"/>
      <c r="R72" s="362"/>
      <c r="S72" s="362"/>
      <c r="T72" s="363"/>
      <c r="U72" s="363"/>
      <c r="V72" s="363"/>
      <c r="W72" s="363"/>
      <c r="X72" s="363"/>
      <c r="Y72" s="362"/>
      <c r="Z72" s="362"/>
      <c r="AA72" s="363"/>
      <c r="AB72" s="363"/>
      <c r="AC72" s="363"/>
      <c r="AD72" s="363"/>
      <c r="AE72" s="363"/>
      <c r="AF72" s="373"/>
      <c r="AG72" s="373"/>
      <c r="AH72" s="365"/>
      <c r="AI72" s="365"/>
      <c r="AJ72" s="365"/>
      <c r="AK72" s="365"/>
      <c r="AL72" s="365"/>
      <c r="AM72" s="349">
        <v>51</v>
      </c>
      <c r="AN72" s="348" t="s">
        <v>910</v>
      </c>
      <c r="AO72" s="349">
        <v>9</v>
      </c>
      <c r="AP72" s="348" t="s">
        <v>910</v>
      </c>
      <c r="AQ72" s="371">
        <v>0.28000000000000003</v>
      </c>
      <c r="AR72" s="371">
        <v>0.44</v>
      </c>
      <c r="AS72" s="371">
        <v>0.28000000000000003</v>
      </c>
      <c r="AT72" s="371">
        <v>0</v>
      </c>
      <c r="AU72" s="371">
        <v>0</v>
      </c>
      <c r="AV72" s="469">
        <v>51</v>
      </c>
      <c r="AW72" s="471" t="s">
        <v>910</v>
      </c>
      <c r="AX72" s="469">
        <v>10</v>
      </c>
      <c r="AY72" s="471" t="s">
        <v>910</v>
      </c>
      <c r="AZ72" s="501">
        <v>0.32</v>
      </c>
      <c r="BA72" s="501">
        <v>0.45</v>
      </c>
      <c r="BB72" s="501">
        <v>0.16</v>
      </c>
      <c r="BC72" s="501">
        <v>0.06</v>
      </c>
      <c r="BD72" s="501">
        <v>0</v>
      </c>
      <c r="BE72" s="630">
        <v>56</v>
      </c>
      <c r="BF72" s="640" t="s">
        <v>910</v>
      </c>
      <c r="BG72" s="630">
        <v>11</v>
      </c>
      <c r="BH72" s="640" t="s">
        <v>910</v>
      </c>
      <c r="BI72" s="644">
        <v>0.28000000000000003</v>
      </c>
      <c r="BJ72" s="644">
        <v>0.31</v>
      </c>
      <c r="BK72" s="644">
        <v>0.28000000000000003</v>
      </c>
      <c r="BL72" s="644">
        <v>0.14000000000000001</v>
      </c>
      <c r="BM72" s="644">
        <v>0</v>
      </c>
    </row>
    <row r="73" spans="1:65" ht="24.9" customHeight="1" x14ac:dyDescent="0.25">
      <c r="A73" s="188" t="s">
        <v>94</v>
      </c>
      <c r="B73" s="1" t="s">
        <v>222</v>
      </c>
      <c r="C73" s="2">
        <v>6</v>
      </c>
      <c r="D73" s="16">
        <v>54</v>
      </c>
      <c r="E73" s="16">
        <v>10</v>
      </c>
      <c r="F73" s="99">
        <v>0.5</v>
      </c>
      <c r="G73" s="99">
        <v>0</v>
      </c>
      <c r="H73" s="99">
        <v>0.5</v>
      </c>
      <c r="I73" s="99">
        <v>0</v>
      </c>
      <c r="J73" s="99">
        <v>0</v>
      </c>
      <c r="K73" s="16">
        <v>51</v>
      </c>
      <c r="L73" s="16">
        <v>8</v>
      </c>
      <c r="M73" s="92">
        <v>0.25</v>
      </c>
      <c r="N73" s="92">
        <v>0.75</v>
      </c>
      <c r="O73" s="92">
        <v>0</v>
      </c>
      <c r="P73" s="92">
        <v>0</v>
      </c>
      <c r="Q73" s="92">
        <v>0</v>
      </c>
      <c r="R73" s="13" t="s">
        <v>226</v>
      </c>
      <c r="S73" s="13" t="s">
        <v>228</v>
      </c>
      <c r="T73" s="2"/>
      <c r="U73" s="2"/>
      <c r="V73" s="2"/>
      <c r="W73" s="2"/>
      <c r="X73" s="2"/>
      <c r="Y73" s="16">
        <v>38</v>
      </c>
      <c r="Z73" s="16">
        <v>8</v>
      </c>
      <c r="AA73" s="96">
        <v>1</v>
      </c>
      <c r="AB73" s="96">
        <v>0</v>
      </c>
      <c r="AC73" s="96">
        <v>0</v>
      </c>
      <c r="AD73" s="96">
        <v>0</v>
      </c>
      <c r="AE73" s="96">
        <v>0</v>
      </c>
      <c r="AF73" s="91">
        <v>46</v>
      </c>
      <c r="AG73" s="91">
        <v>12</v>
      </c>
      <c r="AH73" s="92">
        <v>0.63</v>
      </c>
      <c r="AI73" s="92">
        <v>0.25</v>
      </c>
      <c r="AJ73" s="92">
        <v>0</v>
      </c>
      <c r="AK73" s="92">
        <v>0.13</v>
      </c>
      <c r="AL73" s="92">
        <v>0</v>
      </c>
      <c r="BE73" s="630">
        <v>56</v>
      </c>
      <c r="BF73" s="640" t="s">
        <v>910</v>
      </c>
      <c r="BG73" s="630">
        <v>8</v>
      </c>
      <c r="BH73" s="640" t="s">
        <v>910</v>
      </c>
      <c r="BI73" s="644">
        <v>0.2</v>
      </c>
      <c r="BJ73" s="644">
        <v>0.2</v>
      </c>
      <c r="BK73" s="644">
        <v>0.6</v>
      </c>
      <c r="BL73" s="644">
        <v>0</v>
      </c>
      <c r="BM73" s="644">
        <v>0</v>
      </c>
    </row>
    <row r="74" spans="1:65" ht="24.9" customHeight="1" x14ac:dyDescent="0.25">
      <c r="A74" s="188" t="s">
        <v>167</v>
      </c>
      <c r="B74" s="1" t="s">
        <v>222</v>
      </c>
      <c r="C74" s="2">
        <v>3</v>
      </c>
      <c r="D74" s="16">
        <v>46</v>
      </c>
      <c r="E74" s="16">
        <v>7</v>
      </c>
      <c r="F74" s="99">
        <v>0.44</v>
      </c>
      <c r="G74" s="99">
        <v>0.56000000000000005</v>
      </c>
      <c r="H74" s="99">
        <v>0</v>
      </c>
      <c r="I74" s="99">
        <v>0</v>
      </c>
      <c r="J74" s="99">
        <v>0</v>
      </c>
      <c r="K74" s="16">
        <v>46</v>
      </c>
      <c r="L74" s="16">
        <v>7</v>
      </c>
      <c r="M74" s="92">
        <v>0.6</v>
      </c>
      <c r="N74" s="92">
        <v>0.36</v>
      </c>
      <c r="O74" s="92">
        <v>0.04</v>
      </c>
      <c r="P74" s="92">
        <v>0</v>
      </c>
      <c r="Q74" s="92">
        <v>0</v>
      </c>
      <c r="R74" s="16">
        <v>54</v>
      </c>
      <c r="S74" s="16">
        <v>9</v>
      </c>
      <c r="T74" s="96">
        <v>0.26</v>
      </c>
      <c r="U74" s="96">
        <v>0.3</v>
      </c>
      <c r="V74" s="96">
        <v>0.43</v>
      </c>
      <c r="W74" s="96">
        <v>0</v>
      </c>
      <c r="X74" s="96">
        <v>0</v>
      </c>
      <c r="Y74" s="16">
        <v>54</v>
      </c>
      <c r="Z74" s="16">
        <v>9</v>
      </c>
      <c r="AA74" s="96">
        <v>0.28000000000000003</v>
      </c>
      <c r="AB74" s="96">
        <v>0.44</v>
      </c>
      <c r="AC74" s="96">
        <v>0.17</v>
      </c>
      <c r="AD74" s="96">
        <v>0.11</v>
      </c>
      <c r="AE74" s="96">
        <v>0</v>
      </c>
      <c r="AF74" s="91">
        <v>46</v>
      </c>
      <c r="AG74" s="91">
        <v>8</v>
      </c>
      <c r="AH74" s="92">
        <v>0.73</v>
      </c>
      <c r="AI74" s="92">
        <v>0.19</v>
      </c>
      <c r="AJ74" s="92">
        <v>0.04</v>
      </c>
      <c r="AK74" s="92">
        <v>0.04</v>
      </c>
      <c r="AL74" s="92">
        <v>0</v>
      </c>
      <c r="AM74" s="349">
        <v>46</v>
      </c>
      <c r="AN74" s="348" t="s">
        <v>910</v>
      </c>
      <c r="AO74" s="349">
        <v>8</v>
      </c>
      <c r="AP74" s="348" t="s">
        <v>910</v>
      </c>
      <c r="AQ74" s="371">
        <v>0.59</v>
      </c>
      <c r="AR74" s="371">
        <v>0.35</v>
      </c>
      <c r="AS74" s="371">
        <v>0.06</v>
      </c>
      <c r="AT74" s="371">
        <v>0</v>
      </c>
      <c r="AU74" s="371">
        <v>0</v>
      </c>
      <c r="AV74" s="469">
        <v>56</v>
      </c>
      <c r="AW74" s="471" t="s">
        <v>910</v>
      </c>
      <c r="AX74" s="469">
        <v>12</v>
      </c>
      <c r="AY74" s="471" t="s">
        <v>910</v>
      </c>
      <c r="AZ74" s="501">
        <v>0.28999999999999998</v>
      </c>
      <c r="BA74" s="501">
        <v>0.17</v>
      </c>
      <c r="BB74" s="501">
        <v>0.28999999999999998</v>
      </c>
      <c r="BC74" s="501">
        <v>0.25</v>
      </c>
      <c r="BD74" s="501">
        <v>0</v>
      </c>
      <c r="BE74" s="630">
        <v>61</v>
      </c>
      <c r="BF74" s="640" t="s">
        <v>911</v>
      </c>
      <c r="BG74" s="630">
        <v>9</v>
      </c>
      <c r="BH74" s="640" t="s">
        <v>910</v>
      </c>
      <c r="BI74" s="644">
        <v>0.04</v>
      </c>
      <c r="BJ74" s="644">
        <v>0.28999999999999998</v>
      </c>
      <c r="BK74" s="644">
        <v>0.42</v>
      </c>
      <c r="BL74" s="644">
        <v>0.25</v>
      </c>
      <c r="BM74" s="644">
        <v>0</v>
      </c>
    </row>
    <row r="75" spans="1:65" ht="24.9" customHeight="1" x14ac:dyDescent="0.25">
      <c r="A75" s="188" t="s">
        <v>204</v>
      </c>
      <c r="B75" s="1" t="s">
        <v>222</v>
      </c>
      <c r="C75" s="2">
        <v>1</v>
      </c>
      <c r="D75" s="16">
        <v>53</v>
      </c>
      <c r="E75" s="16">
        <v>8</v>
      </c>
      <c r="F75" s="99">
        <v>0.35</v>
      </c>
      <c r="G75" s="99">
        <v>0.41</v>
      </c>
      <c r="H75" s="99">
        <v>0.18</v>
      </c>
      <c r="I75" s="99">
        <v>0.06</v>
      </c>
      <c r="J75" s="99">
        <v>0</v>
      </c>
      <c r="K75" s="16">
        <v>50</v>
      </c>
      <c r="L75" s="16">
        <v>7</v>
      </c>
      <c r="M75" s="92">
        <v>0.44</v>
      </c>
      <c r="N75" s="92">
        <v>0.44</v>
      </c>
      <c r="O75" s="92">
        <v>0.11</v>
      </c>
      <c r="P75" s="92">
        <v>0</v>
      </c>
      <c r="Q75" s="92">
        <v>0</v>
      </c>
      <c r="R75" s="16">
        <v>53</v>
      </c>
      <c r="S75" s="16">
        <v>8</v>
      </c>
      <c r="T75" s="96">
        <v>0.25</v>
      </c>
      <c r="U75" s="96">
        <v>0.5</v>
      </c>
      <c r="V75" s="96">
        <v>0.25</v>
      </c>
      <c r="W75" s="96">
        <v>0</v>
      </c>
      <c r="X75" s="96">
        <v>0</v>
      </c>
      <c r="Y75" s="16">
        <v>48</v>
      </c>
      <c r="Z75" s="16">
        <v>8</v>
      </c>
      <c r="AA75" s="96">
        <v>0.56000000000000005</v>
      </c>
      <c r="AB75" s="96">
        <v>0.33</v>
      </c>
      <c r="AC75" s="96">
        <v>0.11</v>
      </c>
      <c r="AD75" s="96">
        <v>0</v>
      </c>
      <c r="AE75" s="96">
        <v>0</v>
      </c>
      <c r="AF75" s="91">
        <v>49</v>
      </c>
      <c r="AG75" s="91">
        <v>9</v>
      </c>
      <c r="AH75" s="92">
        <v>0.5</v>
      </c>
      <c r="AI75" s="92">
        <v>0.38</v>
      </c>
      <c r="AJ75" s="92">
        <v>0.13</v>
      </c>
      <c r="AK75" s="92">
        <v>0</v>
      </c>
      <c r="AL75" s="92">
        <v>0</v>
      </c>
      <c r="AM75" s="349">
        <v>55</v>
      </c>
      <c r="AN75" s="348" t="s">
        <v>910</v>
      </c>
      <c r="AO75" s="349">
        <v>11</v>
      </c>
      <c r="AP75" s="348" t="s">
        <v>910</v>
      </c>
      <c r="AQ75" s="371">
        <v>0.18</v>
      </c>
      <c r="AR75" s="371">
        <v>0.45</v>
      </c>
      <c r="AS75" s="371">
        <v>0.27</v>
      </c>
      <c r="AT75" s="371">
        <v>0.09</v>
      </c>
      <c r="AU75" s="371">
        <v>0</v>
      </c>
      <c r="AV75" s="469">
        <v>52</v>
      </c>
      <c r="AW75" s="471" t="s">
        <v>910</v>
      </c>
      <c r="AX75" s="469">
        <v>11</v>
      </c>
      <c r="AY75" s="471" t="s">
        <v>910</v>
      </c>
      <c r="AZ75" s="501">
        <v>0.26</v>
      </c>
      <c r="BA75" s="501">
        <v>0.43</v>
      </c>
      <c r="BB75" s="501">
        <v>0.22</v>
      </c>
      <c r="BC75" s="501">
        <v>0.09</v>
      </c>
      <c r="BD75" s="501">
        <v>0</v>
      </c>
      <c r="BE75" s="630">
        <v>55</v>
      </c>
      <c r="BF75" s="640" t="s">
        <v>910</v>
      </c>
      <c r="BG75" s="630">
        <v>7</v>
      </c>
      <c r="BH75" s="640" t="s">
        <v>912</v>
      </c>
      <c r="BI75" s="644">
        <v>0.18</v>
      </c>
      <c r="BJ75" s="644">
        <v>0.5</v>
      </c>
      <c r="BK75" s="644">
        <v>0.27</v>
      </c>
      <c r="BL75" s="644">
        <v>0.05</v>
      </c>
      <c r="BM75" s="644">
        <v>0</v>
      </c>
    </row>
    <row r="76" spans="1:65" s="461" customFormat="1" ht="24.9" customHeight="1" x14ac:dyDescent="0.25">
      <c r="A76" s="470" t="s">
        <v>958</v>
      </c>
      <c r="B76" s="15" t="s">
        <v>222</v>
      </c>
      <c r="C76" s="471">
        <v>2</v>
      </c>
      <c r="D76" s="502"/>
      <c r="E76" s="502"/>
      <c r="F76" s="508"/>
      <c r="G76" s="508"/>
      <c r="H76" s="508"/>
      <c r="I76" s="508"/>
      <c r="J76" s="508"/>
      <c r="K76" s="502"/>
      <c r="L76" s="502"/>
      <c r="M76" s="504"/>
      <c r="N76" s="504"/>
      <c r="O76" s="504"/>
      <c r="P76" s="504"/>
      <c r="Q76" s="504"/>
      <c r="R76" s="502"/>
      <c r="S76" s="502"/>
      <c r="T76" s="501"/>
      <c r="U76" s="501"/>
      <c r="V76" s="501"/>
      <c r="W76" s="501"/>
      <c r="X76" s="501"/>
      <c r="Y76" s="502"/>
      <c r="Z76" s="502"/>
      <c r="AA76" s="501"/>
      <c r="AB76" s="501"/>
      <c r="AC76" s="501"/>
      <c r="AD76" s="501"/>
      <c r="AE76" s="501"/>
      <c r="AF76" s="514"/>
      <c r="AG76" s="514"/>
      <c r="AH76" s="504"/>
      <c r="AI76" s="504"/>
      <c r="AJ76" s="504"/>
      <c r="AK76" s="504"/>
      <c r="AL76" s="504"/>
      <c r="AM76" s="475"/>
      <c r="AN76" s="493"/>
      <c r="AO76" s="475"/>
      <c r="AP76" s="493"/>
      <c r="AQ76" s="507"/>
      <c r="AR76" s="507"/>
      <c r="AS76" s="507"/>
      <c r="AT76" s="507"/>
      <c r="AU76" s="507"/>
      <c r="AV76" s="469">
        <v>54</v>
      </c>
      <c r="AW76" s="471" t="s">
        <v>910</v>
      </c>
      <c r="AX76" s="469">
        <v>11</v>
      </c>
      <c r="AY76" s="471" t="s">
        <v>910</v>
      </c>
      <c r="AZ76" s="501">
        <v>0.27</v>
      </c>
      <c r="BA76" s="501">
        <v>0.47</v>
      </c>
      <c r="BB76" s="501">
        <v>0.13</v>
      </c>
      <c r="BC76" s="501">
        <v>0.13</v>
      </c>
      <c r="BD76" s="501">
        <v>0</v>
      </c>
      <c r="BE76" s="630">
        <v>54</v>
      </c>
      <c r="BF76" s="640" t="s">
        <v>910</v>
      </c>
      <c r="BG76" s="630">
        <v>8</v>
      </c>
      <c r="BH76" s="640" t="s">
        <v>910</v>
      </c>
      <c r="BI76" s="644">
        <v>0.24</v>
      </c>
      <c r="BJ76" s="644">
        <v>0.33</v>
      </c>
      <c r="BK76" s="644">
        <v>0.38</v>
      </c>
      <c r="BL76" s="644">
        <v>0.05</v>
      </c>
      <c r="BM76" s="644">
        <v>0</v>
      </c>
    </row>
    <row r="77" spans="1:65" ht="24.9" customHeight="1" x14ac:dyDescent="0.25">
      <c r="A77" s="188" t="s">
        <v>81</v>
      </c>
      <c r="B77" s="1" t="s">
        <v>222</v>
      </c>
      <c r="C77" s="2">
        <v>4</v>
      </c>
      <c r="D77" s="16">
        <v>49</v>
      </c>
      <c r="E77" s="16">
        <v>10</v>
      </c>
      <c r="F77" s="99">
        <v>0.51</v>
      </c>
      <c r="G77" s="99">
        <v>0.28999999999999998</v>
      </c>
      <c r="H77" s="99">
        <v>0.16</v>
      </c>
      <c r="I77" s="99">
        <v>0.04</v>
      </c>
      <c r="J77" s="99">
        <v>0</v>
      </c>
      <c r="K77" s="16">
        <v>48</v>
      </c>
      <c r="L77" s="16">
        <v>11</v>
      </c>
      <c r="M77" s="92">
        <v>0.61</v>
      </c>
      <c r="N77" s="92">
        <v>0.22</v>
      </c>
      <c r="O77" s="92">
        <v>0.12</v>
      </c>
      <c r="P77" s="92">
        <v>0.06</v>
      </c>
      <c r="Q77" s="92">
        <v>0</v>
      </c>
      <c r="R77" s="16">
        <v>55</v>
      </c>
      <c r="S77" s="16">
        <v>7</v>
      </c>
      <c r="T77" s="96">
        <v>0.25</v>
      </c>
      <c r="U77" s="96">
        <v>0.33</v>
      </c>
      <c r="V77" s="96">
        <v>0.42</v>
      </c>
      <c r="W77" s="96">
        <v>0</v>
      </c>
      <c r="X77" s="96">
        <v>0</v>
      </c>
      <c r="Y77" s="16">
        <v>45</v>
      </c>
      <c r="Z77" s="16">
        <v>10</v>
      </c>
      <c r="AA77" s="96">
        <v>0.56000000000000005</v>
      </c>
      <c r="AB77" s="96">
        <v>0.39</v>
      </c>
      <c r="AC77" s="96">
        <v>0.06</v>
      </c>
      <c r="AD77" s="96">
        <v>0</v>
      </c>
      <c r="AE77" s="96">
        <v>0</v>
      </c>
      <c r="AF77" s="91"/>
      <c r="AG77" s="91"/>
      <c r="AH77" s="92"/>
      <c r="AI77" s="92"/>
      <c r="AJ77" s="92"/>
      <c r="AK77" s="92"/>
      <c r="AL77" s="92"/>
      <c r="AM77" s="349">
        <v>48</v>
      </c>
      <c r="AN77" s="348" t="s">
        <v>910</v>
      </c>
      <c r="AO77" s="349">
        <v>0</v>
      </c>
      <c r="AP77" s="348" t="s">
        <v>912</v>
      </c>
      <c r="AQ77" s="371">
        <v>0</v>
      </c>
      <c r="AR77" s="371">
        <v>1</v>
      </c>
      <c r="AS77" s="371">
        <v>0</v>
      </c>
      <c r="AT77" s="371">
        <v>0</v>
      </c>
      <c r="AU77" s="371">
        <v>0</v>
      </c>
    </row>
    <row r="78" spans="1:65" ht="24.9" customHeight="1" x14ac:dyDescent="0.25">
      <c r="A78" s="188" t="s">
        <v>169</v>
      </c>
      <c r="B78" s="1" t="s">
        <v>222</v>
      </c>
      <c r="C78" s="2">
        <v>6</v>
      </c>
      <c r="D78" s="16">
        <v>51</v>
      </c>
      <c r="E78" s="16">
        <v>7</v>
      </c>
      <c r="F78" s="99">
        <v>0.33</v>
      </c>
      <c r="G78" s="99">
        <v>0.53</v>
      </c>
      <c r="H78" s="99">
        <v>0.13</v>
      </c>
      <c r="I78" s="99">
        <v>0</v>
      </c>
      <c r="J78" s="99">
        <v>0</v>
      </c>
      <c r="K78" s="16">
        <v>48</v>
      </c>
      <c r="L78" s="16">
        <v>6</v>
      </c>
      <c r="M78" s="92">
        <v>0.71</v>
      </c>
      <c r="N78" s="92">
        <v>0.28999999999999998</v>
      </c>
      <c r="O78" s="92">
        <v>0</v>
      </c>
      <c r="P78" s="92">
        <v>0</v>
      </c>
      <c r="Q78" s="92">
        <v>0</v>
      </c>
      <c r="R78" s="16">
        <v>48</v>
      </c>
      <c r="S78" s="16">
        <v>7</v>
      </c>
      <c r="T78" s="96">
        <v>0.63</v>
      </c>
      <c r="U78" s="96">
        <v>0.38</v>
      </c>
      <c r="V78" s="96">
        <v>0</v>
      </c>
      <c r="W78" s="96">
        <v>0</v>
      </c>
      <c r="X78" s="96">
        <v>0</v>
      </c>
      <c r="Y78" s="16">
        <v>53</v>
      </c>
      <c r="Z78" s="16">
        <v>12</v>
      </c>
      <c r="AA78" s="96">
        <v>0.27</v>
      </c>
      <c r="AB78" s="96">
        <v>0.45</v>
      </c>
      <c r="AC78" s="96">
        <v>0.18</v>
      </c>
      <c r="AD78" s="96">
        <v>0.09</v>
      </c>
      <c r="AE78" s="96">
        <v>0</v>
      </c>
      <c r="AF78" s="91">
        <v>45</v>
      </c>
      <c r="AG78" s="91">
        <v>7</v>
      </c>
      <c r="AH78" s="92">
        <v>0.91</v>
      </c>
      <c r="AI78" s="92">
        <v>0</v>
      </c>
      <c r="AJ78" s="92">
        <v>0.09</v>
      </c>
      <c r="AK78" s="92">
        <v>0</v>
      </c>
      <c r="AL78" s="92">
        <v>0</v>
      </c>
      <c r="AM78" s="349">
        <v>51</v>
      </c>
      <c r="AN78" s="348" t="s">
        <v>910</v>
      </c>
      <c r="AO78" s="349">
        <v>11</v>
      </c>
      <c r="AP78" s="348" t="s">
        <v>910</v>
      </c>
      <c r="AQ78" s="371">
        <v>0.33</v>
      </c>
      <c r="AR78" s="371">
        <v>0.4</v>
      </c>
      <c r="AS78" s="371">
        <v>0.2</v>
      </c>
      <c r="AT78" s="371">
        <v>7.0000000000000007E-2</v>
      </c>
      <c r="AU78" s="371">
        <v>0</v>
      </c>
      <c r="AV78" s="469">
        <v>50</v>
      </c>
      <c r="AW78" s="471" t="s">
        <v>910</v>
      </c>
      <c r="AX78" s="469">
        <v>11</v>
      </c>
      <c r="AY78" s="471" t="s">
        <v>910</v>
      </c>
      <c r="AZ78" s="501">
        <v>0.4</v>
      </c>
      <c r="BA78" s="501">
        <v>0.25</v>
      </c>
      <c r="BB78" s="501">
        <v>0.35</v>
      </c>
      <c r="BC78" s="501">
        <v>0</v>
      </c>
      <c r="BD78" s="501">
        <v>0</v>
      </c>
      <c r="BE78" s="630">
        <v>50</v>
      </c>
      <c r="BF78" s="640" t="s">
        <v>910</v>
      </c>
      <c r="BG78" s="630">
        <v>11</v>
      </c>
      <c r="BH78" s="640" t="s">
        <v>910</v>
      </c>
      <c r="BI78" s="644">
        <v>0.47</v>
      </c>
      <c r="BJ78" s="644">
        <v>0.33</v>
      </c>
      <c r="BK78" s="644">
        <v>0.13</v>
      </c>
      <c r="BL78" s="644">
        <v>7.0000000000000007E-2</v>
      </c>
      <c r="BM78" s="644">
        <v>0</v>
      </c>
    </row>
    <row r="79" spans="1:65" ht="24.9" customHeight="1" x14ac:dyDescent="0.25">
      <c r="A79" s="188" t="s">
        <v>232</v>
      </c>
      <c r="B79" s="1" t="s">
        <v>222</v>
      </c>
      <c r="C79" s="2">
        <v>2</v>
      </c>
      <c r="D79" s="13" t="s">
        <v>226</v>
      </c>
      <c r="E79" s="13" t="s">
        <v>226</v>
      </c>
      <c r="F79" s="13"/>
      <c r="G79" s="13"/>
      <c r="H79" s="13"/>
      <c r="I79" s="13"/>
      <c r="J79" s="13"/>
      <c r="K79" s="16">
        <v>59</v>
      </c>
      <c r="L79" s="16">
        <v>8</v>
      </c>
      <c r="M79" s="92">
        <v>0.04</v>
      </c>
      <c r="N79" s="92">
        <v>0.25</v>
      </c>
      <c r="O79" s="92">
        <v>0.63</v>
      </c>
      <c r="P79" s="92">
        <v>0.08</v>
      </c>
      <c r="Q79" s="92">
        <v>0</v>
      </c>
      <c r="R79" s="16">
        <v>57</v>
      </c>
      <c r="S79" s="16">
        <v>9</v>
      </c>
      <c r="T79" s="96">
        <v>0.28999999999999998</v>
      </c>
      <c r="U79" s="96">
        <v>0.21</v>
      </c>
      <c r="V79" s="96">
        <v>0.43</v>
      </c>
      <c r="W79" s="96">
        <v>7.0000000000000007E-2</v>
      </c>
      <c r="X79" s="96">
        <v>0</v>
      </c>
      <c r="Y79" s="16">
        <v>60</v>
      </c>
      <c r="Z79" s="16">
        <v>9</v>
      </c>
      <c r="AA79" s="96">
        <v>0.06</v>
      </c>
      <c r="AB79" s="96">
        <v>0.38</v>
      </c>
      <c r="AC79" s="96">
        <v>0.31</v>
      </c>
      <c r="AD79" s="96">
        <v>0.25</v>
      </c>
      <c r="AE79" s="96">
        <v>0</v>
      </c>
      <c r="AF79" s="91">
        <v>61</v>
      </c>
      <c r="AG79" s="91">
        <v>12</v>
      </c>
      <c r="AH79" s="92">
        <v>0.13</v>
      </c>
      <c r="AI79" s="92">
        <v>0.25</v>
      </c>
      <c r="AJ79" s="92">
        <v>0.38</v>
      </c>
      <c r="AK79" s="92">
        <v>0.19</v>
      </c>
      <c r="AL79" s="92">
        <v>0.06</v>
      </c>
      <c r="AM79" s="349">
        <v>67</v>
      </c>
      <c r="AN79" s="348" t="s">
        <v>911</v>
      </c>
      <c r="AO79" s="349">
        <v>9</v>
      </c>
      <c r="AP79" s="348" t="s">
        <v>910</v>
      </c>
      <c r="AQ79" s="371">
        <v>0</v>
      </c>
      <c r="AR79" s="371">
        <v>0.25</v>
      </c>
      <c r="AS79" s="371">
        <v>0.25</v>
      </c>
      <c r="AT79" s="371">
        <v>0.35</v>
      </c>
      <c r="AU79" s="371">
        <v>0.15</v>
      </c>
      <c r="AV79" s="469">
        <v>66</v>
      </c>
      <c r="AW79" s="471" t="s">
        <v>911</v>
      </c>
      <c r="AX79" s="469">
        <v>11</v>
      </c>
      <c r="AY79" s="471" t="s">
        <v>910</v>
      </c>
      <c r="AZ79" s="501">
        <v>0.04</v>
      </c>
      <c r="BA79" s="501">
        <v>0.12</v>
      </c>
      <c r="BB79" s="501">
        <v>0.46</v>
      </c>
      <c r="BC79" s="501">
        <v>0.35</v>
      </c>
      <c r="BD79" s="501">
        <v>0.04</v>
      </c>
      <c r="BE79" s="630">
        <v>66</v>
      </c>
      <c r="BF79" s="640" t="s">
        <v>911</v>
      </c>
      <c r="BG79" s="630">
        <v>10</v>
      </c>
      <c r="BH79" s="640" t="s">
        <v>910</v>
      </c>
      <c r="BI79" s="644">
        <v>0.03</v>
      </c>
      <c r="BJ79" s="644">
        <v>0.1</v>
      </c>
      <c r="BK79" s="644">
        <v>0.41</v>
      </c>
      <c r="BL79" s="644">
        <v>0.41</v>
      </c>
      <c r="BM79" s="644">
        <v>0.03</v>
      </c>
    </row>
    <row r="80" spans="1:65" ht="24.9" customHeight="1" x14ac:dyDescent="0.25">
      <c r="A80" s="188" t="s">
        <v>42</v>
      </c>
      <c r="B80" s="1" t="s">
        <v>222</v>
      </c>
      <c r="C80" s="2">
        <v>6</v>
      </c>
      <c r="D80" s="16">
        <v>56</v>
      </c>
      <c r="E80" s="16">
        <v>9</v>
      </c>
      <c r="F80" s="99">
        <v>0.21</v>
      </c>
      <c r="G80" s="99">
        <v>0.52</v>
      </c>
      <c r="H80" s="99">
        <v>0.18</v>
      </c>
      <c r="I80" s="99">
        <v>0.06</v>
      </c>
      <c r="J80" s="99">
        <v>0.03</v>
      </c>
      <c r="K80" s="16">
        <v>53</v>
      </c>
      <c r="L80" s="16">
        <v>12</v>
      </c>
      <c r="M80" s="92">
        <v>0.38</v>
      </c>
      <c r="N80" s="92">
        <v>0.28999999999999998</v>
      </c>
      <c r="O80" s="92">
        <v>0.21</v>
      </c>
      <c r="P80" s="92">
        <v>0.08</v>
      </c>
      <c r="Q80" s="92">
        <v>0.04</v>
      </c>
      <c r="R80" s="16">
        <v>54</v>
      </c>
      <c r="S80" s="16">
        <v>9</v>
      </c>
      <c r="T80" s="96">
        <v>0.28000000000000003</v>
      </c>
      <c r="U80" s="96">
        <v>0.47</v>
      </c>
      <c r="V80" s="96">
        <v>0.19</v>
      </c>
      <c r="W80" s="96">
        <v>0.03</v>
      </c>
      <c r="X80" s="96">
        <v>0.03</v>
      </c>
      <c r="Y80" s="16">
        <v>55</v>
      </c>
      <c r="Z80" s="16">
        <v>8</v>
      </c>
      <c r="AA80" s="96">
        <v>0.23</v>
      </c>
      <c r="AB80" s="96">
        <v>0.33</v>
      </c>
      <c r="AC80" s="96">
        <v>0.37</v>
      </c>
      <c r="AD80" s="96">
        <v>7.0000000000000007E-2</v>
      </c>
      <c r="AE80" s="96">
        <v>0</v>
      </c>
      <c r="AF80" s="91">
        <v>51</v>
      </c>
      <c r="AG80" s="91">
        <v>11</v>
      </c>
      <c r="AH80" s="92">
        <v>0.46</v>
      </c>
      <c r="AI80" s="92">
        <v>0.23</v>
      </c>
      <c r="AJ80" s="92">
        <v>0.19</v>
      </c>
      <c r="AK80" s="92">
        <v>0.12</v>
      </c>
      <c r="AL80" s="92">
        <v>0</v>
      </c>
      <c r="AM80" s="349">
        <v>52</v>
      </c>
      <c r="AN80" s="348" t="s">
        <v>910</v>
      </c>
      <c r="AO80" s="349">
        <v>8</v>
      </c>
      <c r="AP80" s="348" t="s">
        <v>910</v>
      </c>
      <c r="AQ80" s="371">
        <v>0.2</v>
      </c>
      <c r="AR80" s="371">
        <v>0.59</v>
      </c>
      <c r="AS80" s="371">
        <v>0.16</v>
      </c>
      <c r="AT80" s="371">
        <v>0.05</v>
      </c>
      <c r="AU80" s="371">
        <v>0</v>
      </c>
      <c r="AV80" s="469">
        <v>58</v>
      </c>
      <c r="AW80" s="471" t="s">
        <v>910</v>
      </c>
      <c r="AX80" s="469">
        <v>10</v>
      </c>
      <c r="AY80" s="471" t="s">
        <v>910</v>
      </c>
      <c r="AZ80" s="501">
        <v>0.1</v>
      </c>
      <c r="BA80" s="501">
        <v>0.48</v>
      </c>
      <c r="BB80" s="501">
        <v>0.21</v>
      </c>
      <c r="BC80" s="501">
        <v>0.21</v>
      </c>
      <c r="BD80" s="501">
        <v>0</v>
      </c>
      <c r="BE80" s="630">
        <v>54</v>
      </c>
      <c r="BF80" s="640" t="s">
        <v>910</v>
      </c>
      <c r="BG80" s="630">
        <v>11</v>
      </c>
      <c r="BH80" s="640" t="s">
        <v>910</v>
      </c>
      <c r="BI80" s="644">
        <v>0.28000000000000003</v>
      </c>
      <c r="BJ80" s="644">
        <v>0.39</v>
      </c>
      <c r="BK80" s="644">
        <v>0.22</v>
      </c>
      <c r="BL80" s="644">
        <v>0.11</v>
      </c>
      <c r="BM80" s="644">
        <v>0</v>
      </c>
    </row>
    <row r="81" spans="1:65" s="461" customFormat="1" ht="24.9" customHeight="1" x14ac:dyDescent="0.25">
      <c r="A81" s="470" t="s">
        <v>960</v>
      </c>
      <c r="B81" s="15" t="s">
        <v>222</v>
      </c>
      <c r="C81" s="471">
        <v>3</v>
      </c>
      <c r="D81" s="502"/>
      <c r="E81" s="502"/>
      <c r="F81" s="508"/>
      <c r="G81" s="508"/>
      <c r="H81" s="508"/>
      <c r="I81" s="508"/>
      <c r="J81" s="508"/>
      <c r="K81" s="502"/>
      <c r="L81" s="502"/>
      <c r="M81" s="504"/>
      <c r="N81" s="504"/>
      <c r="O81" s="504"/>
      <c r="P81" s="504"/>
      <c r="Q81" s="504"/>
      <c r="R81" s="502"/>
      <c r="S81" s="502"/>
      <c r="T81" s="501"/>
      <c r="U81" s="501"/>
      <c r="V81" s="501"/>
      <c r="W81" s="501"/>
      <c r="X81" s="501"/>
      <c r="Y81" s="502"/>
      <c r="Z81" s="502"/>
      <c r="AA81" s="501"/>
      <c r="AB81" s="501"/>
      <c r="AC81" s="501"/>
      <c r="AD81" s="501"/>
      <c r="AE81" s="501"/>
      <c r="AF81" s="514"/>
      <c r="AG81" s="514"/>
      <c r="AH81" s="504"/>
      <c r="AI81" s="504"/>
      <c r="AJ81" s="504"/>
      <c r="AK81" s="504"/>
      <c r="AL81" s="504"/>
      <c r="AM81" s="475"/>
      <c r="AN81" s="493"/>
      <c r="AO81" s="475"/>
      <c r="AP81" s="493"/>
      <c r="AQ81" s="507"/>
      <c r="AR81" s="507"/>
      <c r="AS81" s="507"/>
      <c r="AT81" s="507"/>
      <c r="AU81" s="507"/>
      <c r="AV81" s="469">
        <v>62</v>
      </c>
      <c r="AW81" s="471" t="s">
        <v>911</v>
      </c>
      <c r="AX81" s="469">
        <v>8</v>
      </c>
      <c r="AY81" s="471" t="s">
        <v>910</v>
      </c>
      <c r="AZ81" s="501">
        <v>7.0000000000000007E-2</v>
      </c>
      <c r="BA81" s="501">
        <v>0.21</v>
      </c>
      <c r="BB81" s="501">
        <v>0.36</v>
      </c>
      <c r="BC81" s="501">
        <v>0.36</v>
      </c>
      <c r="BD81" s="501">
        <v>0</v>
      </c>
      <c r="BE81" s="630">
        <v>52</v>
      </c>
      <c r="BF81" s="640" t="s">
        <v>910</v>
      </c>
      <c r="BG81" s="630">
        <v>12</v>
      </c>
      <c r="BH81" s="640" t="s">
        <v>910</v>
      </c>
      <c r="BI81" s="644">
        <v>0.3</v>
      </c>
      <c r="BJ81" s="644">
        <v>0.35</v>
      </c>
      <c r="BK81" s="644">
        <v>0.25</v>
      </c>
      <c r="BL81" s="644">
        <v>0.1</v>
      </c>
      <c r="BM81" s="644">
        <v>0</v>
      </c>
    </row>
    <row r="82" spans="1:65" ht="24.9" customHeight="1" x14ac:dyDescent="0.25">
      <c r="A82" s="188" t="s">
        <v>108</v>
      </c>
      <c r="B82" s="1" t="s">
        <v>222</v>
      </c>
      <c r="C82" s="2">
        <v>6</v>
      </c>
      <c r="D82" s="16">
        <v>59</v>
      </c>
      <c r="E82" s="16">
        <v>8</v>
      </c>
      <c r="F82" s="99">
        <v>0.13</v>
      </c>
      <c r="G82" s="99">
        <v>0.33</v>
      </c>
      <c r="H82" s="99">
        <v>0.4</v>
      </c>
      <c r="I82" s="99">
        <v>0.13</v>
      </c>
      <c r="J82" s="99">
        <v>0</v>
      </c>
      <c r="K82" s="16">
        <v>52</v>
      </c>
      <c r="L82" s="16">
        <v>8</v>
      </c>
      <c r="M82" s="92">
        <v>0.24</v>
      </c>
      <c r="N82" s="92">
        <v>0.53</v>
      </c>
      <c r="O82" s="92">
        <v>0.18</v>
      </c>
      <c r="P82" s="92">
        <v>0.06</v>
      </c>
      <c r="Q82" s="92">
        <v>0</v>
      </c>
      <c r="R82" s="16">
        <v>55</v>
      </c>
      <c r="S82" s="16">
        <v>8</v>
      </c>
      <c r="T82" s="96">
        <v>0.18</v>
      </c>
      <c r="U82" s="96">
        <v>0.55000000000000004</v>
      </c>
      <c r="V82" s="96">
        <v>0.18</v>
      </c>
      <c r="W82" s="96">
        <v>0.09</v>
      </c>
      <c r="X82" s="96">
        <v>0</v>
      </c>
      <c r="Y82" s="16">
        <v>57</v>
      </c>
      <c r="Z82" s="16">
        <v>11</v>
      </c>
      <c r="AA82" s="96">
        <v>0.19</v>
      </c>
      <c r="AB82" s="96">
        <v>0.38</v>
      </c>
      <c r="AC82" s="96">
        <v>0.25</v>
      </c>
      <c r="AD82" s="96">
        <v>0.13</v>
      </c>
      <c r="AE82" s="96">
        <v>0.06</v>
      </c>
      <c r="AF82" s="91">
        <v>47</v>
      </c>
      <c r="AG82" s="91">
        <v>15</v>
      </c>
      <c r="AH82" s="92">
        <v>0.53</v>
      </c>
      <c r="AI82" s="92">
        <v>0.26</v>
      </c>
      <c r="AJ82" s="92">
        <v>0.11</v>
      </c>
      <c r="AK82" s="92">
        <v>0.11</v>
      </c>
      <c r="AL82" s="92">
        <v>0</v>
      </c>
      <c r="AM82" s="349">
        <v>56</v>
      </c>
      <c r="AN82" s="348" t="s">
        <v>910</v>
      </c>
      <c r="AO82" s="349">
        <v>9</v>
      </c>
      <c r="AP82" s="348" t="s">
        <v>910</v>
      </c>
      <c r="AQ82" s="371">
        <v>0.08</v>
      </c>
      <c r="AR82" s="371">
        <v>0.62</v>
      </c>
      <c r="AS82" s="371">
        <v>0.15</v>
      </c>
      <c r="AT82" s="371">
        <v>0.15</v>
      </c>
      <c r="AU82" s="371">
        <v>0</v>
      </c>
      <c r="AV82" s="469">
        <v>55</v>
      </c>
      <c r="AW82" s="471" t="s">
        <v>910</v>
      </c>
      <c r="AX82" s="469">
        <v>10</v>
      </c>
      <c r="AY82" s="471" t="s">
        <v>910</v>
      </c>
      <c r="AZ82" s="501">
        <v>0.4</v>
      </c>
      <c r="BA82" s="501">
        <v>0.3</v>
      </c>
      <c r="BB82" s="501">
        <v>0.2</v>
      </c>
      <c r="BC82" s="501">
        <v>0.1</v>
      </c>
      <c r="BD82" s="501">
        <v>0</v>
      </c>
      <c r="BE82" s="630">
        <v>54</v>
      </c>
      <c r="BF82" s="640" t="s">
        <v>910</v>
      </c>
      <c r="BG82" s="630">
        <v>10</v>
      </c>
      <c r="BH82" s="640" t="s">
        <v>910</v>
      </c>
      <c r="BI82" s="644">
        <v>0.22</v>
      </c>
      <c r="BJ82" s="644">
        <v>0.22</v>
      </c>
      <c r="BK82" s="644">
        <v>0.44</v>
      </c>
      <c r="BL82" s="644">
        <v>0.11</v>
      </c>
      <c r="BM82" s="644">
        <v>0</v>
      </c>
    </row>
    <row r="83" spans="1:65" ht="24.9" customHeight="1" x14ac:dyDescent="0.25">
      <c r="A83" s="188" t="s">
        <v>38</v>
      </c>
      <c r="B83" s="1" t="s">
        <v>222</v>
      </c>
      <c r="C83" s="2">
        <v>6</v>
      </c>
      <c r="D83" s="16">
        <v>56</v>
      </c>
      <c r="E83" s="16">
        <v>10</v>
      </c>
      <c r="F83" s="99">
        <v>0.16</v>
      </c>
      <c r="G83" s="99">
        <v>0.41</v>
      </c>
      <c r="H83" s="99">
        <v>0.35</v>
      </c>
      <c r="I83" s="99">
        <v>0.05</v>
      </c>
      <c r="J83" s="99">
        <v>0.03</v>
      </c>
      <c r="K83" s="16">
        <v>52</v>
      </c>
      <c r="L83" s="16">
        <v>11</v>
      </c>
      <c r="M83" s="92">
        <v>0.52</v>
      </c>
      <c r="N83" s="92">
        <v>0.16</v>
      </c>
      <c r="O83" s="92">
        <v>0.23</v>
      </c>
      <c r="P83" s="92">
        <v>0.1</v>
      </c>
      <c r="Q83" s="92">
        <v>0</v>
      </c>
      <c r="R83" s="16">
        <v>51</v>
      </c>
      <c r="S83" s="16">
        <v>9</v>
      </c>
      <c r="T83" s="96">
        <v>0.32</v>
      </c>
      <c r="U83" s="96">
        <v>0.49</v>
      </c>
      <c r="V83" s="96">
        <v>0.13</v>
      </c>
      <c r="W83" s="96">
        <v>0.06</v>
      </c>
      <c r="X83" s="96">
        <v>0</v>
      </c>
      <c r="Y83" s="16">
        <v>55</v>
      </c>
      <c r="Z83" s="16">
        <v>10</v>
      </c>
      <c r="AA83" s="96">
        <v>0.16</v>
      </c>
      <c r="AB83" s="96">
        <v>0.5</v>
      </c>
      <c r="AC83" s="96">
        <v>0.25</v>
      </c>
      <c r="AD83" s="96">
        <v>7.0000000000000007E-2</v>
      </c>
      <c r="AE83" s="96">
        <v>0.02</v>
      </c>
      <c r="AF83" s="91">
        <v>46</v>
      </c>
      <c r="AG83" s="91">
        <v>11</v>
      </c>
      <c r="AH83" s="92">
        <v>0.59</v>
      </c>
      <c r="AI83" s="92">
        <v>0.28999999999999998</v>
      </c>
      <c r="AJ83" s="92">
        <v>0.05</v>
      </c>
      <c r="AK83" s="92">
        <v>7.0000000000000007E-2</v>
      </c>
      <c r="AL83" s="92">
        <v>0</v>
      </c>
      <c r="AM83" s="349">
        <v>50</v>
      </c>
      <c r="AN83" s="348" t="s">
        <v>910</v>
      </c>
      <c r="AO83" s="349">
        <v>11</v>
      </c>
      <c r="AP83" s="348" t="s">
        <v>910</v>
      </c>
      <c r="AQ83" s="371">
        <v>0.39</v>
      </c>
      <c r="AR83" s="371">
        <v>0.36</v>
      </c>
      <c r="AS83" s="371">
        <v>0.17</v>
      </c>
      <c r="AT83" s="371">
        <v>0.09</v>
      </c>
      <c r="AU83" s="371">
        <v>0</v>
      </c>
      <c r="AV83" s="469">
        <v>53</v>
      </c>
      <c r="AW83" s="471" t="s">
        <v>910</v>
      </c>
      <c r="AX83" s="469">
        <v>10</v>
      </c>
      <c r="AY83" s="471" t="s">
        <v>910</v>
      </c>
      <c r="AZ83" s="501">
        <v>0.28999999999999998</v>
      </c>
      <c r="BA83" s="501">
        <v>0.37</v>
      </c>
      <c r="BB83" s="501">
        <v>0.26</v>
      </c>
      <c r="BC83" s="501">
        <v>7.0000000000000007E-2</v>
      </c>
      <c r="BD83" s="501">
        <v>0</v>
      </c>
      <c r="BE83" s="630">
        <v>53</v>
      </c>
      <c r="BF83" s="640" t="s">
        <v>910</v>
      </c>
      <c r="BG83" s="630">
        <v>11</v>
      </c>
      <c r="BH83" s="640" t="s">
        <v>910</v>
      </c>
      <c r="BI83" s="644">
        <v>0.32</v>
      </c>
      <c r="BJ83" s="644">
        <v>0.37</v>
      </c>
      <c r="BK83" s="644">
        <v>0.19</v>
      </c>
      <c r="BL83" s="644">
        <v>0.12</v>
      </c>
      <c r="BM83" s="644">
        <v>0</v>
      </c>
    </row>
    <row r="84" spans="1:65" ht="24.9" customHeight="1" x14ac:dyDescent="0.25">
      <c r="A84" s="188" t="s">
        <v>184</v>
      </c>
      <c r="B84" s="1" t="s">
        <v>222</v>
      </c>
      <c r="C84" s="2">
        <v>3</v>
      </c>
      <c r="D84" s="16">
        <v>56</v>
      </c>
      <c r="E84" s="16">
        <v>10</v>
      </c>
      <c r="F84" s="99">
        <v>0.17</v>
      </c>
      <c r="G84" s="99">
        <v>0.35</v>
      </c>
      <c r="H84" s="99">
        <v>0.39</v>
      </c>
      <c r="I84" s="99">
        <v>0.09</v>
      </c>
      <c r="J84" s="99">
        <v>0</v>
      </c>
      <c r="K84" s="16">
        <v>50</v>
      </c>
      <c r="L84" s="16">
        <v>14</v>
      </c>
      <c r="M84" s="92">
        <v>0.54</v>
      </c>
      <c r="N84" s="92">
        <v>0.13</v>
      </c>
      <c r="O84" s="92">
        <v>0.21</v>
      </c>
      <c r="P84" s="92">
        <v>0.13</v>
      </c>
      <c r="Q84" s="92">
        <v>0</v>
      </c>
      <c r="R84" s="16">
        <v>52</v>
      </c>
      <c r="S84" s="16">
        <v>8</v>
      </c>
      <c r="T84" s="96">
        <v>0.28000000000000003</v>
      </c>
      <c r="U84" s="96">
        <v>0.5</v>
      </c>
      <c r="V84" s="96">
        <v>0.17</v>
      </c>
      <c r="W84" s="96">
        <v>0.06</v>
      </c>
      <c r="X84" s="96">
        <v>0</v>
      </c>
      <c r="Y84" s="16">
        <v>53</v>
      </c>
      <c r="Z84" s="16">
        <v>15</v>
      </c>
      <c r="AA84" s="96">
        <v>0.28000000000000003</v>
      </c>
      <c r="AB84" s="96">
        <v>0.28000000000000003</v>
      </c>
      <c r="AC84" s="96">
        <v>0.28000000000000003</v>
      </c>
      <c r="AD84" s="96">
        <v>0.17</v>
      </c>
      <c r="AE84" s="96">
        <v>0</v>
      </c>
      <c r="AF84" s="91">
        <v>59</v>
      </c>
      <c r="AG84" s="91">
        <v>9</v>
      </c>
      <c r="AH84" s="92">
        <v>0.1</v>
      </c>
      <c r="AI84" s="92">
        <v>0.45</v>
      </c>
      <c r="AJ84" s="92">
        <v>0.2</v>
      </c>
      <c r="AK84" s="92">
        <v>0.25</v>
      </c>
      <c r="AL84" s="92">
        <v>0</v>
      </c>
      <c r="AM84" s="349">
        <v>56</v>
      </c>
      <c r="AN84" s="348" t="s">
        <v>910</v>
      </c>
      <c r="AO84" s="349">
        <v>11</v>
      </c>
      <c r="AP84" s="348" t="s">
        <v>910</v>
      </c>
      <c r="AQ84" s="371">
        <v>0.19</v>
      </c>
      <c r="AR84" s="371">
        <v>0.38</v>
      </c>
      <c r="AS84" s="371">
        <v>0.25</v>
      </c>
      <c r="AT84" s="371">
        <v>0.19</v>
      </c>
      <c r="AU84" s="371">
        <v>0</v>
      </c>
      <c r="AV84" s="469">
        <v>53</v>
      </c>
      <c r="AW84" s="471" t="s">
        <v>910</v>
      </c>
      <c r="AX84" s="469">
        <v>8</v>
      </c>
      <c r="AY84" s="471" t="s">
        <v>910</v>
      </c>
      <c r="AZ84" s="501">
        <v>0.19</v>
      </c>
      <c r="BA84" s="501">
        <v>0.5</v>
      </c>
      <c r="BB84" s="501">
        <v>0.25</v>
      </c>
      <c r="BC84" s="501">
        <v>0.06</v>
      </c>
      <c r="BD84" s="501">
        <v>0</v>
      </c>
      <c r="BE84" s="630">
        <v>55</v>
      </c>
      <c r="BF84" s="640" t="s">
        <v>910</v>
      </c>
      <c r="BG84" s="630">
        <v>13</v>
      </c>
      <c r="BH84" s="640" t="s">
        <v>910</v>
      </c>
      <c r="BI84" s="644">
        <v>0.38</v>
      </c>
      <c r="BJ84" s="644">
        <v>0.31</v>
      </c>
      <c r="BK84" s="644">
        <v>0.15</v>
      </c>
      <c r="BL84" s="644">
        <v>0.08</v>
      </c>
      <c r="BM84" s="644">
        <v>0.08</v>
      </c>
    </row>
    <row r="85" spans="1:65" ht="24.9" customHeight="1" x14ac:dyDescent="0.25">
      <c r="A85" s="188" t="s">
        <v>110</v>
      </c>
      <c r="B85" s="1" t="s">
        <v>222</v>
      </c>
      <c r="C85" s="2">
        <v>2</v>
      </c>
      <c r="D85" s="16">
        <v>65</v>
      </c>
      <c r="E85" s="16">
        <v>9</v>
      </c>
      <c r="F85" s="99">
        <v>0.06</v>
      </c>
      <c r="G85" s="99">
        <v>0.12</v>
      </c>
      <c r="H85" s="99">
        <v>0.36</v>
      </c>
      <c r="I85" s="99">
        <v>0.45</v>
      </c>
      <c r="J85" s="99">
        <v>0.01</v>
      </c>
      <c r="K85" s="16">
        <v>63</v>
      </c>
      <c r="L85" s="16">
        <v>8</v>
      </c>
      <c r="M85" s="92">
        <v>0.04</v>
      </c>
      <c r="N85" s="92">
        <v>0.22</v>
      </c>
      <c r="O85" s="92">
        <v>0.48</v>
      </c>
      <c r="P85" s="92">
        <v>0.22</v>
      </c>
      <c r="Q85" s="92">
        <v>0.04</v>
      </c>
      <c r="R85" s="16">
        <v>64</v>
      </c>
      <c r="S85" s="16">
        <v>8</v>
      </c>
      <c r="T85" s="96">
        <v>0</v>
      </c>
      <c r="U85" s="96">
        <v>0.27</v>
      </c>
      <c r="V85" s="96">
        <v>0.43</v>
      </c>
      <c r="W85" s="96">
        <v>0.24</v>
      </c>
      <c r="X85" s="96">
        <v>0.06</v>
      </c>
      <c r="Y85" s="16">
        <v>67</v>
      </c>
      <c r="Z85" s="16">
        <v>9</v>
      </c>
      <c r="AA85" s="96">
        <v>0</v>
      </c>
      <c r="AB85" s="96">
        <v>0.13</v>
      </c>
      <c r="AC85" s="96">
        <v>0.4</v>
      </c>
      <c r="AD85" s="96">
        <v>0.43</v>
      </c>
      <c r="AE85" s="96">
        <v>0.05</v>
      </c>
      <c r="AF85" s="91">
        <v>65</v>
      </c>
      <c r="AG85" s="91">
        <v>11</v>
      </c>
      <c r="AH85" s="92">
        <v>0.1</v>
      </c>
      <c r="AI85" s="92">
        <v>0.19</v>
      </c>
      <c r="AJ85" s="92">
        <v>0.33</v>
      </c>
      <c r="AK85" s="92">
        <v>0.31</v>
      </c>
      <c r="AL85" s="92">
        <v>7.0000000000000007E-2</v>
      </c>
      <c r="AM85" s="349">
        <v>65</v>
      </c>
      <c r="AN85" s="348" t="s">
        <v>911</v>
      </c>
      <c r="AO85" s="349">
        <v>9</v>
      </c>
      <c r="AP85" s="348" t="s">
        <v>910</v>
      </c>
      <c r="AQ85" s="371">
        <v>0.08</v>
      </c>
      <c r="AR85" s="371">
        <v>0.11</v>
      </c>
      <c r="AS85" s="371">
        <v>0.39</v>
      </c>
      <c r="AT85" s="371">
        <v>0.37</v>
      </c>
      <c r="AU85" s="371">
        <v>0.05</v>
      </c>
      <c r="AV85" s="469">
        <v>71</v>
      </c>
      <c r="AW85" s="471" t="s">
        <v>911</v>
      </c>
      <c r="AX85" s="469">
        <v>8</v>
      </c>
      <c r="AY85" s="471" t="s">
        <v>910</v>
      </c>
      <c r="AZ85" s="501">
        <v>0</v>
      </c>
      <c r="BA85" s="501">
        <v>0.09</v>
      </c>
      <c r="BB85" s="501">
        <v>0.17</v>
      </c>
      <c r="BC85" s="501">
        <v>0.56999999999999995</v>
      </c>
      <c r="BD85" s="501">
        <v>0.17</v>
      </c>
      <c r="BE85" s="630">
        <v>71</v>
      </c>
      <c r="BF85" s="640" t="s">
        <v>911</v>
      </c>
      <c r="BG85" s="630">
        <v>6</v>
      </c>
      <c r="BH85" s="640" t="s">
        <v>912</v>
      </c>
      <c r="BI85" s="644">
        <v>0</v>
      </c>
      <c r="BJ85" s="644">
        <v>0</v>
      </c>
      <c r="BK85" s="644">
        <v>0.24</v>
      </c>
      <c r="BL85" s="644">
        <v>0.65</v>
      </c>
      <c r="BM85" s="644">
        <v>0.12</v>
      </c>
    </row>
    <row r="86" spans="1:65" s="461" customFormat="1" ht="24.9" customHeight="1" x14ac:dyDescent="0.25">
      <c r="A86" s="470" t="s">
        <v>962</v>
      </c>
      <c r="B86" s="15" t="s">
        <v>222</v>
      </c>
      <c r="C86" s="471">
        <v>6</v>
      </c>
      <c r="D86" s="502"/>
      <c r="E86" s="502"/>
      <c r="F86" s="508"/>
      <c r="G86" s="508"/>
      <c r="H86" s="508"/>
      <c r="I86" s="508"/>
      <c r="J86" s="508"/>
      <c r="K86" s="502"/>
      <c r="L86" s="502"/>
      <c r="M86" s="504"/>
      <c r="N86" s="504"/>
      <c r="O86" s="504"/>
      <c r="P86" s="504"/>
      <c r="Q86" s="504"/>
      <c r="R86" s="502"/>
      <c r="S86" s="502"/>
      <c r="T86" s="501"/>
      <c r="U86" s="501"/>
      <c r="V86" s="501"/>
      <c r="W86" s="501"/>
      <c r="X86" s="501"/>
      <c r="Y86" s="502"/>
      <c r="Z86" s="502"/>
      <c r="AA86" s="501"/>
      <c r="AB86" s="501"/>
      <c r="AC86" s="501"/>
      <c r="AD86" s="501"/>
      <c r="AE86" s="501"/>
      <c r="AF86" s="514"/>
      <c r="AG86" s="514"/>
      <c r="AH86" s="504"/>
      <c r="AI86" s="504"/>
      <c r="AJ86" s="504"/>
      <c r="AK86" s="504"/>
      <c r="AL86" s="504"/>
      <c r="AM86" s="475"/>
      <c r="AN86" s="493"/>
      <c r="AO86" s="475"/>
      <c r="AP86" s="493"/>
      <c r="AQ86" s="507"/>
      <c r="AR86" s="507"/>
      <c r="AS86" s="507"/>
      <c r="AT86" s="507"/>
      <c r="AU86" s="507"/>
      <c r="AV86" s="469">
        <v>46</v>
      </c>
      <c r="AW86" s="471" t="s">
        <v>910</v>
      </c>
      <c r="AX86" s="469">
        <v>11</v>
      </c>
      <c r="AY86" s="471" t="s">
        <v>910</v>
      </c>
      <c r="AZ86" s="501">
        <v>0.65</v>
      </c>
      <c r="BA86" s="501">
        <v>0.28999999999999998</v>
      </c>
      <c r="BB86" s="501">
        <v>0</v>
      </c>
      <c r="BC86" s="501">
        <v>0</v>
      </c>
      <c r="BD86" s="501">
        <v>0.06</v>
      </c>
      <c r="BE86" s="630">
        <v>50</v>
      </c>
      <c r="BF86" s="640" t="s">
        <v>910</v>
      </c>
      <c r="BG86" s="630">
        <v>0</v>
      </c>
      <c r="BH86" s="640" t="s">
        <v>912</v>
      </c>
      <c r="BI86" s="644">
        <v>0</v>
      </c>
      <c r="BJ86" s="644">
        <v>1</v>
      </c>
      <c r="BK86" s="644">
        <v>0</v>
      </c>
      <c r="BL86" s="644">
        <v>0</v>
      </c>
      <c r="BM86" s="644">
        <v>0</v>
      </c>
    </row>
    <row r="87" spans="1:65" s="53" customFormat="1" ht="24.9" customHeight="1" x14ac:dyDescent="0.25">
      <c r="A87" s="189" t="s">
        <v>268</v>
      </c>
      <c r="B87" s="1" t="s">
        <v>222</v>
      </c>
      <c r="C87" s="2">
        <v>3</v>
      </c>
      <c r="D87" s="13" t="s">
        <v>226</v>
      </c>
      <c r="E87" s="13" t="s">
        <v>226</v>
      </c>
      <c r="F87" s="13"/>
      <c r="G87" s="13"/>
      <c r="H87" s="13"/>
      <c r="I87" s="13"/>
      <c r="J87" s="13"/>
      <c r="K87" s="13" t="s">
        <v>226</v>
      </c>
      <c r="L87" s="13" t="s">
        <v>226</v>
      </c>
      <c r="M87" s="92"/>
      <c r="N87" s="92"/>
      <c r="O87" s="92"/>
      <c r="P87" s="92"/>
      <c r="Q87" s="92"/>
      <c r="R87" s="13" t="s">
        <v>226</v>
      </c>
      <c r="S87" s="13" t="s">
        <v>226</v>
      </c>
      <c r="T87" s="2"/>
      <c r="U87" s="2"/>
      <c r="V87" s="2"/>
      <c r="W87" s="2"/>
      <c r="X87" s="2"/>
      <c r="Y87" s="13" t="s">
        <v>226</v>
      </c>
      <c r="Z87" s="13" t="s">
        <v>226</v>
      </c>
      <c r="AA87" s="2"/>
      <c r="AB87" s="2"/>
      <c r="AC87" s="2"/>
      <c r="AD87" s="2"/>
      <c r="AE87" s="2"/>
      <c r="AF87" s="91">
        <v>52</v>
      </c>
      <c r="AG87" s="91">
        <v>9</v>
      </c>
      <c r="AH87" s="92">
        <v>0.25</v>
      </c>
      <c r="AI87" s="92">
        <v>0.5</v>
      </c>
      <c r="AJ87" s="92">
        <v>0.25</v>
      </c>
      <c r="AK87" s="92">
        <v>0</v>
      </c>
      <c r="AL87" s="92">
        <v>0</v>
      </c>
      <c r="AM87" s="349">
        <v>62</v>
      </c>
      <c r="AN87" s="348" t="s">
        <v>911</v>
      </c>
      <c r="AO87" s="349">
        <v>13</v>
      </c>
      <c r="AP87" s="348" t="s">
        <v>910</v>
      </c>
      <c r="AQ87" s="371">
        <v>0.11</v>
      </c>
      <c r="AR87" s="371">
        <v>0.22</v>
      </c>
      <c r="AS87" s="371">
        <v>0.33</v>
      </c>
      <c r="AT87" s="371">
        <v>0.22</v>
      </c>
      <c r="AU87" s="371">
        <v>0.11</v>
      </c>
      <c r="AV87" s="469">
        <v>67</v>
      </c>
      <c r="AW87" s="471" t="s">
        <v>911</v>
      </c>
      <c r="AX87" s="469">
        <v>7</v>
      </c>
      <c r="AY87" s="471" t="s">
        <v>912</v>
      </c>
      <c r="AZ87" s="501">
        <v>0</v>
      </c>
      <c r="BA87" s="501">
        <v>0.11</v>
      </c>
      <c r="BB87" s="501">
        <v>0.28000000000000003</v>
      </c>
      <c r="BC87" s="501">
        <v>0.61</v>
      </c>
      <c r="BD87" s="501">
        <v>0</v>
      </c>
      <c r="BE87" s="630">
        <v>63</v>
      </c>
      <c r="BF87" s="640" t="s">
        <v>911</v>
      </c>
      <c r="BG87" s="630">
        <v>11</v>
      </c>
      <c r="BH87" s="640" t="s">
        <v>910</v>
      </c>
      <c r="BI87" s="644">
        <v>0.1</v>
      </c>
      <c r="BJ87" s="644">
        <v>0.2</v>
      </c>
      <c r="BK87" s="644">
        <v>0.4</v>
      </c>
      <c r="BL87" s="644">
        <v>0.2</v>
      </c>
      <c r="BM87" s="644">
        <v>0.1</v>
      </c>
    </row>
    <row r="88" spans="1:65" ht="24.9" customHeight="1" x14ac:dyDescent="0.25">
      <c r="A88" s="188" t="s">
        <v>234</v>
      </c>
      <c r="B88" s="1" t="s">
        <v>222</v>
      </c>
      <c r="C88" s="2">
        <v>5</v>
      </c>
      <c r="D88" s="13" t="s">
        <v>226</v>
      </c>
      <c r="E88" s="13" t="s">
        <v>226</v>
      </c>
      <c r="F88" s="13"/>
      <c r="G88" s="13"/>
      <c r="H88" s="13"/>
      <c r="I88" s="13"/>
      <c r="J88" s="13"/>
      <c r="K88" s="13" t="s">
        <v>226</v>
      </c>
      <c r="L88" s="13" t="s">
        <v>226</v>
      </c>
      <c r="M88" s="92"/>
      <c r="N88" s="92"/>
      <c r="O88" s="92"/>
      <c r="P88" s="92"/>
      <c r="Q88" s="92"/>
      <c r="R88" s="13" t="s">
        <v>226</v>
      </c>
      <c r="S88" s="13" t="s">
        <v>226</v>
      </c>
      <c r="T88" s="2"/>
      <c r="U88" s="2"/>
      <c r="V88" s="2"/>
      <c r="W88" s="2"/>
      <c r="X88" s="2"/>
      <c r="Y88" s="16">
        <v>50</v>
      </c>
      <c r="Z88" s="16">
        <v>13</v>
      </c>
      <c r="AA88" s="96">
        <v>0.5</v>
      </c>
      <c r="AB88" s="96">
        <v>0.17</v>
      </c>
      <c r="AC88" s="96">
        <v>0.17</v>
      </c>
      <c r="AD88" s="96">
        <v>0.17</v>
      </c>
      <c r="AE88" s="96">
        <v>0</v>
      </c>
      <c r="AF88" s="91"/>
      <c r="AG88" s="91"/>
      <c r="AH88" s="92"/>
      <c r="AI88" s="92"/>
      <c r="AJ88" s="92"/>
      <c r="AK88" s="92"/>
      <c r="AL88" s="92"/>
    </row>
    <row r="89" spans="1:65" ht="24.9" customHeight="1" x14ac:dyDescent="0.25">
      <c r="A89" s="189" t="s">
        <v>153</v>
      </c>
      <c r="B89" s="1" t="s">
        <v>222</v>
      </c>
      <c r="C89" s="2">
        <v>2</v>
      </c>
      <c r="D89" s="16">
        <v>60</v>
      </c>
      <c r="E89" s="16">
        <v>8</v>
      </c>
      <c r="F89" s="99">
        <v>7.0000000000000007E-2</v>
      </c>
      <c r="G89" s="99">
        <v>0.41</v>
      </c>
      <c r="H89" s="99">
        <v>0.34</v>
      </c>
      <c r="I89" s="99">
        <v>0.14000000000000001</v>
      </c>
      <c r="J89" s="99">
        <v>0.03</v>
      </c>
      <c r="K89" s="16">
        <v>55</v>
      </c>
      <c r="L89" s="16">
        <v>9</v>
      </c>
      <c r="M89" s="92">
        <v>0.27</v>
      </c>
      <c r="N89" s="92">
        <v>0.23</v>
      </c>
      <c r="O89" s="92">
        <v>0.4</v>
      </c>
      <c r="P89" s="92">
        <v>0.1</v>
      </c>
      <c r="Q89" s="92">
        <v>0</v>
      </c>
      <c r="R89" s="16">
        <v>55</v>
      </c>
      <c r="S89" s="16">
        <v>8</v>
      </c>
      <c r="T89" s="96">
        <v>0.21</v>
      </c>
      <c r="U89" s="96">
        <v>0.44</v>
      </c>
      <c r="V89" s="96">
        <v>0.28999999999999998</v>
      </c>
      <c r="W89" s="96">
        <v>0.06</v>
      </c>
      <c r="X89" s="96">
        <v>0</v>
      </c>
      <c r="Y89" s="16">
        <v>54</v>
      </c>
      <c r="Z89" s="16">
        <v>10</v>
      </c>
      <c r="AA89" s="96">
        <v>0.26</v>
      </c>
      <c r="AB89" s="96">
        <v>0.3</v>
      </c>
      <c r="AC89" s="96">
        <v>0.33</v>
      </c>
      <c r="AD89" s="96">
        <v>0.11</v>
      </c>
      <c r="AE89" s="96">
        <v>0</v>
      </c>
      <c r="AF89" s="91">
        <v>51</v>
      </c>
      <c r="AG89" s="91">
        <v>10</v>
      </c>
      <c r="AH89" s="92">
        <v>0.37</v>
      </c>
      <c r="AI89" s="92">
        <v>0.4</v>
      </c>
      <c r="AJ89" s="92">
        <v>0.14000000000000001</v>
      </c>
      <c r="AK89" s="92">
        <v>0.09</v>
      </c>
      <c r="AL89" s="92">
        <v>0</v>
      </c>
      <c r="AM89" s="349">
        <v>55</v>
      </c>
      <c r="AN89" s="348" t="s">
        <v>910</v>
      </c>
      <c r="AO89" s="349">
        <v>8</v>
      </c>
      <c r="AP89" s="348" t="s">
        <v>910</v>
      </c>
      <c r="AQ89" s="371">
        <v>0.22</v>
      </c>
      <c r="AR89" s="371">
        <v>0.38</v>
      </c>
      <c r="AS89" s="371">
        <v>0.32</v>
      </c>
      <c r="AT89" s="371">
        <v>0.08</v>
      </c>
      <c r="AU89" s="371">
        <v>0</v>
      </c>
      <c r="AV89" s="469">
        <v>55</v>
      </c>
      <c r="AW89" s="471" t="s">
        <v>910</v>
      </c>
      <c r="AX89" s="469">
        <v>11</v>
      </c>
      <c r="AY89" s="471" t="s">
        <v>910</v>
      </c>
      <c r="AZ89" s="501">
        <v>0.23</v>
      </c>
      <c r="BA89" s="501">
        <v>0.28999999999999998</v>
      </c>
      <c r="BB89" s="501">
        <v>0.35</v>
      </c>
      <c r="BC89" s="501">
        <v>0.13</v>
      </c>
      <c r="BD89" s="501">
        <v>0</v>
      </c>
      <c r="BE89" s="630">
        <v>55</v>
      </c>
      <c r="BF89" s="640" t="s">
        <v>910</v>
      </c>
      <c r="BG89" s="630">
        <v>9</v>
      </c>
      <c r="BH89" s="640" t="s">
        <v>910</v>
      </c>
      <c r="BI89" s="644">
        <v>0.21</v>
      </c>
      <c r="BJ89" s="644">
        <v>0.48</v>
      </c>
      <c r="BK89" s="644">
        <v>0.18</v>
      </c>
      <c r="BL89" s="644">
        <v>0.12</v>
      </c>
      <c r="BM89" s="644">
        <v>0</v>
      </c>
    </row>
    <row r="90" spans="1:65" ht="24.9" customHeight="1" x14ac:dyDescent="0.25">
      <c r="A90" s="188" t="s">
        <v>136</v>
      </c>
      <c r="B90" s="1" t="s">
        <v>222</v>
      </c>
      <c r="C90" s="2">
        <v>4</v>
      </c>
      <c r="D90" s="16">
        <v>51</v>
      </c>
      <c r="E90" s="16">
        <v>7</v>
      </c>
      <c r="F90" s="99">
        <v>0.27</v>
      </c>
      <c r="G90" s="99">
        <v>0.62</v>
      </c>
      <c r="H90" s="99">
        <v>0.12</v>
      </c>
      <c r="I90" s="99">
        <v>0</v>
      </c>
      <c r="J90" s="99">
        <v>0</v>
      </c>
      <c r="K90" s="16">
        <v>49</v>
      </c>
      <c r="L90" s="16">
        <v>7</v>
      </c>
      <c r="M90" s="92">
        <v>0.39</v>
      </c>
      <c r="N90" s="92">
        <v>0.56000000000000005</v>
      </c>
      <c r="O90" s="92">
        <v>0.06</v>
      </c>
      <c r="P90" s="92">
        <v>0</v>
      </c>
      <c r="Q90" s="92">
        <v>0</v>
      </c>
      <c r="R90" s="16">
        <v>48</v>
      </c>
      <c r="S90" s="16">
        <v>8</v>
      </c>
      <c r="T90" s="96">
        <v>0.47</v>
      </c>
      <c r="U90" s="96">
        <v>0.39</v>
      </c>
      <c r="V90" s="96">
        <v>0.14000000000000001</v>
      </c>
      <c r="W90" s="96">
        <v>0</v>
      </c>
      <c r="X90" s="96">
        <v>0</v>
      </c>
      <c r="Y90" s="16">
        <v>48</v>
      </c>
      <c r="Z90" s="16">
        <v>9</v>
      </c>
      <c r="AA90" s="96">
        <v>0.48</v>
      </c>
      <c r="AB90" s="96">
        <v>0.38</v>
      </c>
      <c r="AC90" s="96">
        <v>0.1</v>
      </c>
      <c r="AD90" s="96">
        <v>0.02</v>
      </c>
      <c r="AE90" s="96">
        <v>0.02</v>
      </c>
      <c r="AF90" s="91">
        <v>48</v>
      </c>
      <c r="AG90" s="91">
        <v>8</v>
      </c>
      <c r="AH90" s="92">
        <v>0.46</v>
      </c>
      <c r="AI90" s="92">
        <v>0.38</v>
      </c>
      <c r="AJ90" s="92">
        <v>0.15</v>
      </c>
      <c r="AK90" s="92">
        <v>0</v>
      </c>
      <c r="AL90" s="92">
        <v>0</v>
      </c>
      <c r="AM90" s="349">
        <v>50</v>
      </c>
      <c r="AN90" s="348" t="s">
        <v>910</v>
      </c>
      <c r="AO90" s="349">
        <v>11</v>
      </c>
      <c r="AP90" s="348" t="s">
        <v>910</v>
      </c>
      <c r="AQ90" s="371">
        <v>0.4</v>
      </c>
      <c r="AR90" s="371">
        <v>0.4</v>
      </c>
      <c r="AS90" s="371">
        <v>0.11</v>
      </c>
      <c r="AT90" s="371">
        <v>0.09</v>
      </c>
      <c r="AU90" s="371">
        <v>0</v>
      </c>
      <c r="AV90" s="469">
        <v>52</v>
      </c>
      <c r="AW90" s="471" t="s">
        <v>910</v>
      </c>
      <c r="AX90" s="469">
        <v>9</v>
      </c>
      <c r="AY90" s="471" t="s">
        <v>910</v>
      </c>
      <c r="AZ90" s="501">
        <v>0.33</v>
      </c>
      <c r="BA90" s="501">
        <v>0.44</v>
      </c>
      <c r="BB90" s="501">
        <v>0.17</v>
      </c>
      <c r="BC90" s="501">
        <v>0.06</v>
      </c>
      <c r="BD90" s="501">
        <v>0</v>
      </c>
      <c r="BE90" s="630">
        <v>50</v>
      </c>
      <c r="BF90" s="640" t="s">
        <v>910</v>
      </c>
      <c r="BG90" s="630">
        <v>11</v>
      </c>
      <c r="BH90" s="640" t="s">
        <v>910</v>
      </c>
      <c r="BI90" s="644">
        <v>0.44</v>
      </c>
      <c r="BJ90" s="644">
        <v>0.33</v>
      </c>
      <c r="BK90" s="644">
        <v>0.16</v>
      </c>
      <c r="BL90" s="644">
        <v>0.05</v>
      </c>
      <c r="BM90" s="644">
        <v>0.01</v>
      </c>
    </row>
    <row r="91" spans="1:65" ht="24.9" customHeight="1" x14ac:dyDescent="0.25">
      <c r="A91" s="188" t="s">
        <v>97</v>
      </c>
      <c r="B91" s="1" t="s">
        <v>222</v>
      </c>
      <c r="C91" s="2">
        <v>2</v>
      </c>
      <c r="D91" s="16">
        <v>56</v>
      </c>
      <c r="E91" s="16">
        <v>11</v>
      </c>
      <c r="F91" s="99">
        <v>0.28999999999999998</v>
      </c>
      <c r="G91" s="99">
        <v>0.28999999999999998</v>
      </c>
      <c r="H91" s="99">
        <v>0.43</v>
      </c>
      <c r="I91" s="99">
        <v>0</v>
      </c>
      <c r="J91" s="99">
        <v>0</v>
      </c>
      <c r="K91" s="16">
        <v>48</v>
      </c>
      <c r="L91" s="16">
        <v>6</v>
      </c>
      <c r="M91" s="92">
        <v>0.56000000000000005</v>
      </c>
      <c r="N91" s="92">
        <v>0.33</v>
      </c>
      <c r="O91" s="92">
        <v>0.11</v>
      </c>
      <c r="P91" s="92">
        <v>0</v>
      </c>
      <c r="Q91" s="92">
        <v>0</v>
      </c>
      <c r="R91" s="16">
        <v>49</v>
      </c>
      <c r="S91" s="16">
        <v>6</v>
      </c>
      <c r="T91" s="96">
        <v>0.17</v>
      </c>
      <c r="U91" s="96">
        <v>0.83</v>
      </c>
      <c r="V91" s="96">
        <v>0</v>
      </c>
      <c r="W91" s="96">
        <v>0</v>
      </c>
      <c r="X91" s="96">
        <v>0</v>
      </c>
      <c r="Y91" s="16">
        <v>50</v>
      </c>
      <c r="Z91" s="16">
        <v>8</v>
      </c>
      <c r="AA91" s="96">
        <v>0.33</v>
      </c>
      <c r="AB91" s="96">
        <v>0.56000000000000005</v>
      </c>
      <c r="AC91" s="96">
        <v>0.11</v>
      </c>
      <c r="AD91" s="96">
        <v>0</v>
      </c>
      <c r="AE91" s="96">
        <v>0</v>
      </c>
      <c r="AF91" s="91">
        <v>44</v>
      </c>
      <c r="AG91" s="91">
        <v>6</v>
      </c>
      <c r="AH91" s="92">
        <v>0.73</v>
      </c>
      <c r="AI91" s="92">
        <v>0.27</v>
      </c>
      <c r="AJ91" s="92">
        <v>0</v>
      </c>
      <c r="AK91" s="92">
        <v>0</v>
      </c>
      <c r="AL91" s="92">
        <v>0</v>
      </c>
      <c r="AM91" s="349">
        <v>48</v>
      </c>
      <c r="AN91" s="348" t="s">
        <v>910</v>
      </c>
      <c r="AO91" s="349">
        <v>11</v>
      </c>
      <c r="AP91" s="348" t="s">
        <v>910</v>
      </c>
      <c r="AQ91" s="371">
        <v>0.33</v>
      </c>
      <c r="AR91" s="371">
        <v>0.33</v>
      </c>
      <c r="AS91" s="371">
        <v>0.33</v>
      </c>
      <c r="AT91" s="371">
        <v>0</v>
      </c>
      <c r="AU91" s="371">
        <v>0</v>
      </c>
      <c r="AV91" s="469">
        <v>51</v>
      </c>
      <c r="AW91" s="471" t="s">
        <v>910</v>
      </c>
      <c r="AX91" s="469">
        <v>18</v>
      </c>
      <c r="AY91" s="471" t="s">
        <v>911</v>
      </c>
      <c r="AZ91" s="501">
        <v>0.33</v>
      </c>
      <c r="BA91" s="501">
        <v>0.33</v>
      </c>
      <c r="BB91" s="501">
        <v>0</v>
      </c>
      <c r="BC91" s="501">
        <v>0.33</v>
      </c>
      <c r="BD91" s="501">
        <v>0</v>
      </c>
      <c r="BE91" s="630">
        <v>55</v>
      </c>
      <c r="BF91" s="640" t="s">
        <v>910</v>
      </c>
      <c r="BG91" s="630">
        <v>7</v>
      </c>
      <c r="BH91" s="640" t="s">
        <v>912</v>
      </c>
      <c r="BI91" s="644">
        <v>0</v>
      </c>
      <c r="BJ91" s="644">
        <v>0.88</v>
      </c>
      <c r="BK91" s="644">
        <v>0</v>
      </c>
      <c r="BL91" s="644">
        <v>0.13</v>
      </c>
      <c r="BM91" s="644">
        <v>0</v>
      </c>
    </row>
    <row r="92" spans="1:65" ht="24.9" customHeight="1" x14ac:dyDescent="0.25">
      <c r="A92" s="188" t="s">
        <v>181</v>
      </c>
      <c r="B92" s="1" t="s">
        <v>222</v>
      </c>
      <c r="C92" s="2">
        <v>3</v>
      </c>
      <c r="D92" s="16">
        <v>58</v>
      </c>
      <c r="E92" s="16">
        <v>7</v>
      </c>
      <c r="F92" s="99">
        <v>0.03</v>
      </c>
      <c r="G92" s="99">
        <v>0.5</v>
      </c>
      <c r="H92" s="99">
        <v>0.37</v>
      </c>
      <c r="I92" s="99">
        <v>0.1</v>
      </c>
      <c r="J92" s="99">
        <v>0</v>
      </c>
      <c r="K92" s="16">
        <v>55</v>
      </c>
      <c r="L92" s="16">
        <v>10</v>
      </c>
      <c r="M92" s="92">
        <v>0.22</v>
      </c>
      <c r="N92" s="92">
        <v>0.34</v>
      </c>
      <c r="O92" s="92">
        <v>0.31</v>
      </c>
      <c r="P92" s="92">
        <v>0.13</v>
      </c>
      <c r="Q92" s="92">
        <v>0</v>
      </c>
      <c r="R92" s="16">
        <v>57</v>
      </c>
      <c r="S92" s="16">
        <v>8</v>
      </c>
      <c r="T92" s="96">
        <v>0.09</v>
      </c>
      <c r="U92" s="96">
        <v>0.47</v>
      </c>
      <c r="V92" s="96">
        <v>0.34</v>
      </c>
      <c r="W92" s="96">
        <v>0.06</v>
      </c>
      <c r="X92" s="96">
        <v>0.03</v>
      </c>
      <c r="Y92" s="16">
        <v>54</v>
      </c>
      <c r="Z92" s="16">
        <v>10</v>
      </c>
      <c r="AA92" s="96">
        <v>0.17</v>
      </c>
      <c r="AB92" s="96">
        <v>0.46</v>
      </c>
      <c r="AC92" s="96">
        <v>0.28999999999999998</v>
      </c>
      <c r="AD92" s="96">
        <v>0.08</v>
      </c>
      <c r="AE92" s="96">
        <v>0</v>
      </c>
      <c r="AF92" s="91">
        <v>52</v>
      </c>
      <c r="AG92" s="91">
        <v>10</v>
      </c>
      <c r="AH92" s="92">
        <v>0.37</v>
      </c>
      <c r="AI92" s="92">
        <v>0.38</v>
      </c>
      <c r="AJ92" s="92">
        <v>0.16</v>
      </c>
      <c r="AK92" s="92">
        <v>0.1</v>
      </c>
      <c r="AL92" s="92">
        <v>0</v>
      </c>
      <c r="AM92" s="349">
        <v>58</v>
      </c>
      <c r="AN92" s="348" t="s">
        <v>910</v>
      </c>
      <c r="AO92" s="349">
        <v>9</v>
      </c>
      <c r="AP92" s="348" t="s">
        <v>910</v>
      </c>
      <c r="AQ92" s="371">
        <v>0.11</v>
      </c>
      <c r="AR92" s="371">
        <v>0.33</v>
      </c>
      <c r="AS92" s="371">
        <v>0.4</v>
      </c>
      <c r="AT92" s="371">
        <v>0.15</v>
      </c>
      <c r="AU92" s="371">
        <v>0.01</v>
      </c>
      <c r="AV92" s="469">
        <v>57</v>
      </c>
      <c r="AW92" s="471" t="s">
        <v>910</v>
      </c>
      <c r="AX92" s="469">
        <v>10</v>
      </c>
      <c r="AY92" s="471" t="s">
        <v>910</v>
      </c>
      <c r="AZ92" s="501">
        <v>0.18</v>
      </c>
      <c r="BA92" s="501">
        <v>0.3</v>
      </c>
      <c r="BB92" s="501">
        <v>0.39</v>
      </c>
      <c r="BC92" s="501">
        <v>0.14000000000000001</v>
      </c>
      <c r="BD92" s="501">
        <v>0</v>
      </c>
      <c r="BE92" s="630">
        <v>58</v>
      </c>
      <c r="BF92" s="640" t="s">
        <v>910</v>
      </c>
      <c r="BG92" s="630">
        <v>9</v>
      </c>
      <c r="BH92" s="640" t="s">
        <v>910</v>
      </c>
      <c r="BI92" s="644">
        <v>0.1</v>
      </c>
      <c r="BJ92" s="644">
        <v>0.4</v>
      </c>
      <c r="BK92" s="644">
        <v>0.35</v>
      </c>
      <c r="BL92" s="644">
        <v>0.13</v>
      </c>
      <c r="BM92" s="644">
        <v>0.02</v>
      </c>
    </row>
    <row r="93" spans="1:65" ht="24.9" customHeight="1" x14ac:dyDescent="0.25">
      <c r="A93" s="188" t="s">
        <v>171</v>
      </c>
      <c r="B93" s="1" t="s">
        <v>222</v>
      </c>
      <c r="C93" s="2">
        <v>2</v>
      </c>
      <c r="D93" s="16">
        <v>62</v>
      </c>
      <c r="E93" s="16">
        <v>6</v>
      </c>
      <c r="F93" s="99">
        <v>0.02</v>
      </c>
      <c r="G93" s="99">
        <v>0.22</v>
      </c>
      <c r="H93" s="99">
        <v>0.51</v>
      </c>
      <c r="I93" s="99">
        <v>0.24</v>
      </c>
      <c r="J93" s="99">
        <v>0</v>
      </c>
      <c r="K93" s="16">
        <v>56</v>
      </c>
      <c r="L93" s="16">
        <v>7</v>
      </c>
      <c r="M93" s="92">
        <v>0.11</v>
      </c>
      <c r="N93" s="92">
        <v>0.44</v>
      </c>
      <c r="O93" s="92">
        <v>0.39</v>
      </c>
      <c r="P93" s="92">
        <v>0.06</v>
      </c>
      <c r="Q93" s="92">
        <v>0</v>
      </c>
      <c r="R93" s="16">
        <v>60</v>
      </c>
      <c r="S93" s="16">
        <v>7</v>
      </c>
      <c r="T93" s="96">
        <v>0.03</v>
      </c>
      <c r="U93" s="96">
        <v>0.39</v>
      </c>
      <c r="V93" s="96">
        <v>0.45</v>
      </c>
      <c r="W93" s="96">
        <v>0.12</v>
      </c>
      <c r="X93" s="96">
        <v>0</v>
      </c>
      <c r="Y93" s="16">
        <v>56</v>
      </c>
      <c r="Z93" s="16">
        <v>9</v>
      </c>
      <c r="AA93" s="96">
        <v>0.24</v>
      </c>
      <c r="AB93" s="96">
        <v>0.32</v>
      </c>
      <c r="AC93" s="96">
        <v>0.3</v>
      </c>
      <c r="AD93" s="96">
        <v>0.14000000000000001</v>
      </c>
      <c r="AE93" s="96">
        <v>0</v>
      </c>
      <c r="AF93" s="91">
        <v>54</v>
      </c>
      <c r="AG93" s="91">
        <v>10</v>
      </c>
      <c r="AH93" s="92">
        <v>0.28999999999999998</v>
      </c>
      <c r="AI93" s="92">
        <v>0.37</v>
      </c>
      <c r="AJ93" s="92">
        <v>0.17</v>
      </c>
      <c r="AK93" s="92">
        <v>0.17</v>
      </c>
      <c r="AL93" s="92">
        <v>0</v>
      </c>
      <c r="AM93" s="349">
        <v>58</v>
      </c>
      <c r="AN93" s="348" t="s">
        <v>910</v>
      </c>
      <c r="AO93" s="349">
        <v>11</v>
      </c>
      <c r="AP93" s="348" t="s">
        <v>910</v>
      </c>
      <c r="AQ93" s="371">
        <v>0.17</v>
      </c>
      <c r="AR93" s="371">
        <v>0.36</v>
      </c>
      <c r="AS93" s="371">
        <v>0.26</v>
      </c>
      <c r="AT93" s="371">
        <v>0.21</v>
      </c>
      <c r="AU93" s="371">
        <v>0</v>
      </c>
      <c r="AV93" s="469">
        <v>61</v>
      </c>
      <c r="AW93" s="471" t="s">
        <v>911</v>
      </c>
      <c r="AX93" s="469">
        <v>8</v>
      </c>
      <c r="AY93" s="471" t="s">
        <v>910</v>
      </c>
      <c r="AZ93" s="501">
        <v>0.03</v>
      </c>
      <c r="BA93" s="501">
        <v>0.27</v>
      </c>
      <c r="BB93" s="501">
        <v>0.46</v>
      </c>
      <c r="BC93" s="501">
        <v>0.22</v>
      </c>
      <c r="BD93" s="501">
        <v>0.03</v>
      </c>
      <c r="BE93" s="630">
        <v>58</v>
      </c>
      <c r="BF93" s="640" t="s">
        <v>910</v>
      </c>
      <c r="BG93" s="630">
        <v>12</v>
      </c>
      <c r="BH93" s="640" t="s">
        <v>910</v>
      </c>
      <c r="BI93" s="644">
        <v>0.26</v>
      </c>
      <c r="BJ93" s="644">
        <v>0.26</v>
      </c>
      <c r="BK93" s="644">
        <v>0.24</v>
      </c>
      <c r="BL93" s="644">
        <v>0.21</v>
      </c>
      <c r="BM93" s="644">
        <v>0.03</v>
      </c>
    </row>
    <row r="94" spans="1:65" ht="24.9" customHeight="1" x14ac:dyDescent="0.25">
      <c r="A94" s="188" t="s">
        <v>77</v>
      </c>
      <c r="B94" s="1" t="s">
        <v>222</v>
      </c>
      <c r="C94" s="2">
        <v>2</v>
      </c>
      <c r="D94" s="16">
        <v>52</v>
      </c>
      <c r="E94" s="16">
        <v>13</v>
      </c>
      <c r="F94" s="99">
        <v>0.53</v>
      </c>
      <c r="G94" s="99">
        <v>0.12</v>
      </c>
      <c r="H94" s="99">
        <v>0.24</v>
      </c>
      <c r="I94" s="99">
        <v>0.06</v>
      </c>
      <c r="J94" s="99">
        <v>0.06</v>
      </c>
      <c r="K94" s="16">
        <v>44</v>
      </c>
      <c r="L94" s="16">
        <v>9</v>
      </c>
      <c r="M94" s="92">
        <v>0.65</v>
      </c>
      <c r="N94" s="92">
        <v>0.28999999999999998</v>
      </c>
      <c r="O94" s="92">
        <v>0.06</v>
      </c>
      <c r="P94" s="92">
        <v>0</v>
      </c>
      <c r="Q94" s="92">
        <v>0</v>
      </c>
      <c r="R94" s="16">
        <v>49</v>
      </c>
      <c r="S94" s="16">
        <v>12</v>
      </c>
      <c r="T94" s="96">
        <v>0.4</v>
      </c>
      <c r="U94" s="96">
        <v>0.33</v>
      </c>
      <c r="V94" s="96">
        <v>0.13</v>
      </c>
      <c r="W94" s="96">
        <v>0.13</v>
      </c>
      <c r="X94" s="96">
        <v>0</v>
      </c>
      <c r="Y94" s="16">
        <v>48</v>
      </c>
      <c r="Z94" s="16">
        <v>11</v>
      </c>
      <c r="AA94" s="96">
        <v>0.36</v>
      </c>
      <c r="AB94" s="96">
        <v>0.55000000000000004</v>
      </c>
      <c r="AC94" s="96">
        <v>0.09</v>
      </c>
      <c r="AD94" s="96">
        <v>0</v>
      </c>
      <c r="AE94" s="96">
        <v>0</v>
      </c>
      <c r="AF94" s="91">
        <v>47</v>
      </c>
      <c r="AG94" s="91">
        <v>8</v>
      </c>
      <c r="AH94" s="92">
        <v>0.56999999999999995</v>
      </c>
      <c r="AI94" s="92">
        <v>0.28999999999999998</v>
      </c>
      <c r="AJ94" s="92">
        <v>0.14000000000000001</v>
      </c>
      <c r="AK94" s="92">
        <v>0</v>
      </c>
      <c r="AL94" s="92">
        <v>0</v>
      </c>
      <c r="AM94" s="349">
        <v>48</v>
      </c>
      <c r="AN94" s="348" t="s">
        <v>910</v>
      </c>
      <c r="AO94" s="349">
        <v>10</v>
      </c>
      <c r="AP94" s="348" t="s">
        <v>910</v>
      </c>
      <c r="AQ94" s="371">
        <v>0.28999999999999998</v>
      </c>
      <c r="AR94" s="371">
        <v>0.56999999999999995</v>
      </c>
      <c r="AS94" s="371">
        <v>0.14000000000000001</v>
      </c>
      <c r="AT94" s="371">
        <v>0</v>
      </c>
      <c r="AU94" s="371">
        <v>0</v>
      </c>
      <c r="AV94" s="469">
        <v>51</v>
      </c>
      <c r="AW94" s="471" t="s">
        <v>910</v>
      </c>
      <c r="AX94" s="469">
        <v>12</v>
      </c>
      <c r="AY94" s="471" t="s">
        <v>910</v>
      </c>
      <c r="AZ94" s="501">
        <v>0.4</v>
      </c>
      <c r="BA94" s="501">
        <v>0.3</v>
      </c>
      <c r="BB94" s="501">
        <v>0.2</v>
      </c>
      <c r="BC94" s="501">
        <v>0.1</v>
      </c>
      <c r="BD94" s="501">
        <v>0</v>
      </c>
      <c r="BE94" s="630">
        <v>54</v>
      </c>
      <c r="BF94" s="640" t="s">
        <v>910</v>
      </c>
      <c r="BG94" s="630">
        <v>9</v>
      </c>
      <c r="BH94" s="640" t="s">
        <v>910</v>
      </c>
      <c r="BI94" s="644">
        <v>0.33</v>
      </c>
      <c r="BJ94" s="644">
        <v>0.33</v>
      </c>
      <c r="BK94" s="644">
        <v>0.17</v>
      </c>
      <c r="BL94" s="644">
        <v>0.17</v>
      </c>
      <c r="BM94" s="644">
        <v>0</v>
      </c>
    </row>
    <row r="95" spans="1:65" ht="24.9" customHeight="1" x14ac:dyDescent="0.25">
      <c r="A95" s="188" t="s">
        <v>36</v>
      </c>
      <c r="B95" s="1" t="s">
        <v>220</v>
      </c>
      <c r="C95" s="2" t="s">
        <v>221</v>
      </c>
      <c r="D95" s="16">
        <v>48</v>
      </c>
      <c r="E95" s="16">
        <v>7</v>
      </c>
      <c r="F95" s="99">
        <v>0.51</v>
      </c>
      <c r="G95" s="99">
        <v>0.41</v>
      </c>
      <c r="H95" s="99">
        <v>7.0000000000000007E-2</v>
      </c>
      <c r="I95" s="99">
        <v>0</v>
      </c>
      <c r="J95" s="99">
        <v>0</v>
      </c>
      <c r="K95" s="16">
        <v>44</v>
      </c>
      <c r="L95" s="16">
        <v>7</v>
      </c>
      <c r="M95" s="92">
        <v>0.81</v>
      </c>
      <c r="N95" s="92">
        <v>0.17</v>
      </c>
      <c r="O95" s="92">
        <v>0.02</v>
      </c>
      <c r="P95" s="92">
        <v>0</v>
      </c>
      <c r="Q95" s="92">
        <v>0</v>
      </c>
      <c r="R95" s="16">
        <v>45</v>
      </c>
      <c r="S95" s="16">
        <v>12</v>
      </c>
      <c r="T95" s="96">
        <v>0.59</v>
      </c>
      <c r="U95" s="96">
        <v>0.28999999999999998</v>
      </c>
      <c r="V95" s="96">
        <v>0.12</v>
      </c>
      <c r="W95" s="96">
        <v>0</v>
      </c>
      <c r="X95" s="96">
        <v>0</v>
      </c>
      <c r="Y95" s="16">
        <v>45</v>
      </c>
      <c r="Z95" s="16">
        <v>10</v>
      </c>
      <c r="AA95" s="96">
        <v>0.55000000000000004</v>
      </c>
      <c r="AB95" s="96">
        <v>0.37</v>
      </c>
      <c r="AC95" s="96">
        <v>0.08</v>
      </c>
      <c r="AD95" s="96">
        <v>0</v>
      </c>
      <c r="AE95" s="96">
        <v>0</v>
      </c>
      <c r="AF95" s="91">
        <v>42</v>
      </c>
      <c r="AG95" s="91">
        <v>6</v>
      </c>
      <c r="AH95" s="92">
        <v>0.82</v>
      </c>
      <c r="AI95" s="92">
        <v>0.18</v>
      </c>
      <c r="AJ95" s="92">
        <v>0</v>
      </c>
      <c r="AK95" s="92">
        <v>0</v>
      </c>
      <c r="AL95" s="92">
        <v>0</v>
      </c>
      <c r="AM95" s="349">
        <v>44</v>
      </c>
      <c r="AN95" s="348" t="s">
        <v>912</v>
      </c>
      <c r="AO95" s="349">
        <v>9</v>
      </c>
      <c r="AP95" s="348" t="s">
        <v>910</v>
      </c>
      <c r="AQ95" s="371">
        <v>0.61</v>
      </c>
      <c r="AR95" s="371">
        <v>0.32</v>
      </c>
      <c r="AS95" s="371">
        <v>7.0000000000000007E-2</v>
      </c>
      <c r="AT95" s="371">
        <v>0</v>
      </c>
      <c r="AU95" s="371">
        <v>0</v>
      </c>
      <c r="AV95" s="469">
        <v>49</v>
      </c>
      <c r="AW95" s="471" t="s">
        <v>910</v>
      </c>
      <c r="AX95" s="469">
        <v>10</v>
      </c>
      <c r="AY95" s="471" t="s">
        <v>910</v>
      </c>
      <c r="AZ95" s="501">
        <v>0.45</v>
      </c>
      <c r="BA95" s="501">
        <v>0.38</v>
      </c>
      <c r="BB95" s="501">
        <v>0.13</v>
      </c>
      <c r="BC95" s="501">
        <v>0.03</v>
      </c>
      <c r="BD95" s="501">
        <v>0.03</v>
      </c>
      <c r="BE95" s="630">
        <v>47</v>
      </c>
      <c r="BF95" s="640" t="s">
        <v>910</v>
      </c>
      <c r="BG95" s="630">
        <v>8</v>
      </c>
      <c r="BH95" s="640" t="s">
        <v>910</v>
      </c>
      <c r="BI95" s="644">
        <v>0.52</v>
      </c>
      <c r="BJ95" s="644">
        <v>0.38</v>
      </c>
      <c r="BK95" s="644">
        <v>0.1</v>
      </c>
      <c r="BL95" s="644">
        <v>0</v>
      </c>
      <c r="BM95" s="644">
        <v>0</v>
      </c>
    </row>
    <row r="96" spans="1:65" ht="24.9" customHeight="1" x14ac:dyDescent="0.25">
      <c r="A96" s="188" t="s">
        <v>227</v>
      </c>
      <c r="B96" s="1" t="s">
        <v>222</v>
      </c>
      <c r="C96" s="2">
        <v>4</v>
      </c>
      <c r="D96" s="13" t="s">
        <v>226</v>
      </c>
      <c r="E96" s="13" t="s">
        <v>226</v>
      </c>
      <c r="F96" s="13"/>
      <c r="G96" s="13"/>
      <c r="H96" s="13"/>
      <c r="I96" s="13"/>
      <c r="J96" s="13"/>
      <c r="K96" s="16">
        <v>66</v>
      </c>
      <c r="L96" s="16">
        <v>0</v>
      </c>
      <c r="M96" s="92">
        <v>0</v>
      </c>
      <c r="N96" s="92">
        <v>0</v>
      </c>
      <c r="O96" s="92">
        <v>1</v>
      </c>
      <c r="P96" s="92">
        <v>0</v>
      </c>
      <c r="Q96" s="92">
        <v>0</v>
      </c>
      <c r="R96" s="13" t="s">
        <v>226</v>
      </c>
      <c r="S96" s="13" t="s">
        <v>226</v>
      </c>
      <c r="T96" s="2"/>
      <c r="U96" s="2"/>
      <c r="V96" s="2"/>
      <c r="W96" s="2"/>
      <c r="X96" s="2"/>
      <c r="Y96" s="13" t="s">
        <v>226</v>
      </c>
      <c r="Z96" s="13" t="s">
        <v>226</v>
      </c>
      <c r="AA96" s="2"/>
      <c r="AB96" s="2"/>
      <c r="AC96" s="2"/>
      <c r="AD96" s="2"/>
      <c r="AE96" s="2"/>
      <c r="AF96" s="91"/>
      <c r="AG96" s="91"/>
      <c r="AH96" s="92"/>
      <c r="AI96" s="92"/>
      <c r="AJ96" s="92"/>
      <c r="AK96" s="92"/>
      <c r="AL96" s="92"/>
    </row>
    <row r="97" spans="1:65" ht="24.9" customHeight="1" x14ac:dyDescent="0.25">
      <c r="A97" s="188" t="s">
        <v>92</v>
      </c>
      <c r="B97" s="1" t="s">
        <v>220</v>
      </c>
      <c r="C97" s="2">
        <v>1</v>
      </c>
      <c r="D97" s="16">
        <v>51</v>
      </c>
      <c r="E97" s="16">
        <v>9</v>
      </c>
      <c r="F97" s="99">
        <v>0.35</v>
      </c>
      <c r="G97" s="99">
        <v>0.43</v>
      </c>
      <c r="H97" s="99">
        <v>0.19</v>
      </c>
      <c r="I97" s="99">
        <v>0.02</v>
      </c>
      <c r="J97" s="99">
        <v>0</v>
      </c>
      <c r="K97" s="16">
        <v>49</v>
      </c>
      <c r="L97" s="16">
        <v>8</v>
      </c>
      <c r="M97" s="92">
        <v>0.45</v>
      </c>
      <c r="N97" s="92">
        <v>0.42</v>
      </c>
      <c r="O97" s="92">
        <v>0.13</v>
      </c>
      <c r="P97" s="92">
        <v>0.01</v>
      </c>
      <c r="Q97" s="92">
        <v>0</v>
      </c>
      <c r="R97" s="16">
        <v>49</v>
      </c>
      <c r="S97" s="16">
        <v>9</v>
      </c>
      <c r="T97" s="96">
        <v>0.39</v>
      </c>
      <c r="U97" s="96">
        <v>0.47</v>
      </c>
      <c r="V97" s="96">
        <v>0.12</v>
      </c>
      <c r="W97" s="96">
        <v>0.03</v>
      </c>
      <c r="X97" s="96">
        <v>0</v>
      </c>
      <c r="Y97" s="16">
        <v>49</v>
      </c>
      <c r="Z97" s="16">
        <v>9</v>
      </c>
      <c r="AA97" s="96">
        <v>0.4</v>
      </c>
      <c r="AB97" s="96">
        <v>0.46</v>
      </c>
      <c r="AC97" s="96">
        <v>0.11</v>
      </c>
      <c r="AD97" s="96">
        <v>0.03</v>
      </c>
      <c r="AE97" s="96">
        <v>0</v>
      </c>
      <c r="AF97" s="91">
        <v>48</v>
      </c>
      <c r="AG97" s="91">
        <v>9</v>
      </c>
      <c r="AH97" s="92">
        <v>0.53</v>
      </c>
      <c r="AI97" s="92">
        <v>0.35</v>
      </c>
      <c r="AJ97" s="92">
        <v>0.09</v>
      </c>
      <c r="AK97" s="92">
        <v>0.02</v>
      </c>
      <c r="AL97" s="92">
        <v>0.01</v>
      </c>
      <c r="AM97" s="349">
        <v>49</v>
      </c>
      <c r="AN97" s="348" t="s">
        <v>910</v>
      </c>
      <c r="AO97" s="349">
        <v>9</v>
      </c>
      <c r="AP97" s="348" t="s">
        <v>910</v>
      </c>
      <c r="AQ97" s="371">
        <v>0.41</v>
      </c>
      <c r="AR97" s="371">
        <v>0.44</v>
      </c>
      <c r="AS97" s="371">
        <v>0.11</v>
      </c>
      <c r="AT97" s="371">
        <v>0.04</v>
      </c>
      <c r="AU97" s="371">
        <v>0</v>
      </c>
      <c r="AV97" s="469">
        <v>48</v>
      </c>
      <c r="AW97" s="471" t="s">
        <v>910</v>
      </c>
      <c r="AX97" s="469">
        <v>10</v>
      </c>
      <c r="AY97" s="471" t="s">
        <v>910</v>
      </c>
      <c r="AZ97" s="501">
        <v>0.47</v>
      </c>
      <c r="BA97" s="501">
        <v>0.36</v>
      </c>
      <c r="BB97" s="501">
        <v>0.15</v>
      </c>
      <c r="BC97" s="501">
        <v>0.02</v>
      </c>
      <c r="BD97" s="501">
        <v>0.01</v>
      </c>
      <c r="BE97" s="630">
        <v>48</v>
      </c>
      <c r="BF97" s="640" t="s">
        <v>910</v>
      </c>
      <c r="BG97" s="630">
        <v>9</v>
      </c>
      <c r="BH97" s="640" t="s">
        <v>910</v>
      </c>
      <c r="BI97" s="644">
        <v>0.43</v>
      </c>
      <c r="BJ97" s="644">
        <v>0.42</v>
      </c>
      <c r="BK97" s="644">
        <v>0.14000000000000001</v>
      </c>
      <c r="BL97" s="644">
        <v>0.01</v>
      </c>
      <c r="BM97" s="644">
        <v>0</v>
      </c>
    </row>
    <row r="98" spans="1:65" ht="24.9" customHeight="1" x14ac:dyDescent="0.25">
      <c r="A98" s="188" t="s">
        <v>27</v>
      </c>
      <c r="B98" s="1" t="s">
        <v>220</v>
      </c>
      <c r="C98" s="2">
        <v>6</v>
      </c>
      <c r="D98" s="16">
        <v>54</v>
      </c>
      <c r="E98" s="16">
        <v>9</v>
      </c>
      <c r="F98" s="99">
        <v>0.3</v>
      </c>
      <c r="G98" s="99">
        <v>0.32</v>
      </c>
      <c r="H98" s="99">
        <v>0.3</v>
      </c>
      <c r="I98" s="99">
        <v>0.08</v>
      </c>
      <c r="J98" s="99">
        <v>0</v>
      </c>
      <c r="K98" s="16">
        <v>49</v>
      </c>
      <c r="L98" s="16">
        <v>11</v>
      </c>
      <c r="M98" s="92">
        <v>0.56000000000000005</v>
      </c>
      <c r="N98" s="92">
        <v>0.23</v>
      </c>
      <c r="O98" s="92">
        <v>0.11</v>
      </c>
      <c r="P98" s="92">
        <v>0.09</v>
      </c>
      <c r="Q98" s="92">
        <v>0.01</v>
      </c>
      <c r="R98" s="16">
        <v>51</v>
      </c>
      <c r="S98" s="16">
        <v>10</v>
      </c>
      <c r="T98" s="96">
        <v>0.38</v>
      </c>
      <c r="U98" s="96">
        <v>0.36</v>
      </c>
      <c r="V98" s="96">
        <v>0.19</v>
      </c>
      <c r="W98" s="96">
        <v>7.0000000000000007E-2</v>
      </c>
      <c r="X98" s="96">
        <v>0</v>
      </c>
      <c r="Y98" s="16">
        <v>52</v>
      </c>
      <c r="Z98" s="16">
        <v>11</v>
      </c>
      <c r="AA98" s="96">
        <v>0.34</v>
      </c>
      <c r="AB98" s="96">
        <v>0.35</v>
      </c>
      <c r="AC98" s="96">
        <v>0.23</v>
      </c>
      <c r="AD98" s="96">
        <v>0.09</v>
      </c>
      <c r="AE98" s="96">
        <v>0</v>
      </c>
      <c r="AF98" s="91">
        <v>47</v>
      </c>
      <c r="AG98" s="91">
        <v>10</v>
      </c>
      <c r="AH98" s="92">
        <v>0.56000000000000005</v>
      </c>
      <c r="AI98" s="92">
        <v>0.28000000000000003</v>
      </c>
      <c r="AJ98" s="92">
        <v>0.15</v>
      </c>
      <c r="AK98" s="92">
        <v>0.01</v>
      </c>
      <c r="AL98" s="92">
        <v>0</v>
      </c>
      <c r="AM98" s="349">
        <v>51</v>
      </c>
      <c r="AN98" s="348" t="s">
        <v>910</v>
      </c>
      <c r="AO98" s="349">
        <v>11</v>
      </c>
      <c r="AP98" s="348" t="s">
        <v>910</v>
      </c>
      <c r="AQ98" s="371">
        <v>0.44</v>
      </c>
      <c r="AR98" s="371">
        <v>0.31</v>
      </c>
      <c r="AS98" s="371">
        <v>0.14000000000000001</v>
      </c>
      <c r="AT98" s="371">
        <v>0.1</v>
      </c>
      <c r="AU98" s="371">
        <v>0.01</v>
      </c>
      <c r="AV98" s="469">
        <v>52</v>
      </c>
      <c r="AW98" s="471" t="s">
        <v>910</v>
      </c>
      <c r="AX98" s="469">
        <v>10</v>
      </c>
      <c r="AY98" s="471" t="s">
        <v>910</v>
      </c>
      <c r="AZ98" s="501">
        <v>0.31</v>
      </c>
      <c r="BA98" s="501">
        <v>0.45</v>
      </c>
      <c r="BB98" s="501">
        <v>0.17</v>
      </c>
      <c r="BC98" s="501">
        <v>7.0000000000000007E-2</v>
      </c>
      <c r="BD98" s="501">
        <v>0</v>
      </c>
      <c r="BE98" s="630">
        <v>50</v>
      </c>
      <c r="BF98" s="640" t="s">
        <v>910</v>
      </c>
      <c r="BG98" s="630">
        <v>10</v>
      </c>
      <c r="BH98" s="640" t="s">
        <v>910</v>
      </c>
      <c r="BI98" s="644">
        <v>0.48</v>
      </c>
      <c r="BJ98" s="644">
        <v>0.31</v>
      </c>
      <c r="BK98" s="644">
        <v>0.16</v>
      </c>
      <c r="BL98" s="644">
        <v>0.05</v>
      </c>
      <c r="BM98" s="644">
        <v>0</v>
      </c>
    </row>
    <row r="99" spans="1:65" s="53" customFormat="1" ht="24.9" customHeight="1" x14ac:dyDescent="0.25">
      <c r="A99" s="188" t="s">
        <v>147</v>
      </c>
      <c r="B99" s="1" t="s">
        <v>220</v>
      </c>
      <c r="C99" s="2">
        <v>5</v>
      </c>
      <c r="D99" s="16">
        <v>54</v>
      </c>
      <c r="E99" s="16">
        <v>10</v>
      </c>
      <c r="F99" s="99">
        <v>0.26</v>
      </c>
      <c r="G99" s="99">
        <v>0.44</v>
      </c>
      <c r="H99" s="99">
        <v>0.21</v>
      </c>
      <c r="I99" s="99">
        <v>0.09</v>
      </c>
      <c r="J99" s="99">
        <v>0</v>
      </c>
      <c r="K99" s="16">
        <v>50</v>
      </c>
      <c r="L99" s="16">
        <v>9</v>
      </c>
      <c r="M99" s="92">
        <v>0.39</v>
      </c>
      <c r="N99" s="92">
        <v>0.4</v>
      </c>
      <c r="O99" s="92">
        <v>0.16</v>
      </c>
      <c r="P99" s="92">
        <v>0.05</v>
      </c>
      <c r="Q99" s="92">
        <v>0</v>
      </c>
      <c r="R99" s="16">
        <v>50</v>
      </c>
      <c r="S99" s="16">
        <v>9</v>
      </c>
      <c r="T99" s="96">
        <v>0.39</v>
      </c>
      <c r="U99" s="96">
        <v>0.45</v>
      </c>
      <c r="V99" s="96">
        <v>0.13</v>
      </c>
      <c r="W99" s="96">
        <v>0.03</v>
      </c>
      <c r="X99" s="96">
        <v>0</v>
      </c>
      <c r="Y99" s="16">
        <v>50</v>
      </c>
      <c r="Z99" s="16">
        <v>10</v>
      </c>
      <c r="AA99" s="96">
        <v>0.42</v>
      </c>
      <c r="AB99" s="96">
        <v>0.4</v>
      </c>
      <c r="AC99" s="96">
        <v>0.16</v>
      </c>
      <c r="AD99" s="96">
        <v>0.03</v>
      </c>
      <c r="AE99" s="96">
        <v>0</v>
      </c>
      <c r="AF99" s="91">
        <v>46</v>
      </c>
      <c r="AG99" s="91">
        <v>7</v>
      </c>
      <c r="AH99" s="92">
        <v>0.55000000000000004</v>
      </c>
      <c r="AI99" s="92">
        <v>0.39</v>
      </c>
      <c r="AJ99" s="92">
        <v>0.06</v>
      </c>
      <c r="AK99" s="92">
        <v>0</v>
      </c>
      <c r="AL99" s="92">
        <v>0</v>
      </c>
      <c r="AM99" s="349">
        <v>50</v>
      </c>
      <c r="AN99" s="348" t="s">
        <v>910</v>
      </c>
      <c r="AO99" s="349">
        <v>10</v>
      </c>
      <c r="AP99" s="348" t="s">
        <v>910</v>
      </c>
      <c r="AQ99" s="371">
        <v>0.4</v>
      </c>
      <c r="AR99" s="371">
        <v>0.39</v>
      </c>
      <c r="AS99" s="371">
        <v>0.15</v>
      </c>
      <c r="AT99" s="371">
        <v>0.05</v>
      </c>
      <c r="AU99" s="371">
        <v>0</v>
      </c>
      <c r="AV99" s="469">
        <v>51</v>
      </c>
      <c r="AW99" s="471" t="s">
        <v>910</v>
      </c>
      <c r="AX99" s="469">
        <v>11</v>
      </c>
      <c r="AY99" s="471" t="s">
        <v>910</v>
      </c>
      <c r="AZ99" s="501">
        <v>0.39</v>
      </c>
      <c r="BA99" s="501">
        <v>0.31</v>
      </c>
      <c r="BB99" s="501">
        <v>0.23</v>
      </c>
      <c r="BC99" s="501">
        <v>7.0000000000000007E-2</v>
      </c>
      <c r="BD99" s="501">
        <v>0</v>
      </c>
      <c r="BE99" s="630">
        <v>53</v>
      </c>
      <c r="BF99" s="640" t="s">
        <v>910</v>
      </c>
      <c r="BG99" s="630">
        <v>10</v>
      </c>
      <c r="BH99" s="640" t="s">
        <v>910</v>
      </c>
      <c r="BI99" s="644">
        <v>0.31</v>
      </c>
      <c r="BJ99" s="644">
        <v>0.38</v>
      </c>
      <c r="BK99" s="644">
        <v>0.21</v>
      </c>
      <c r="BL99" s="644">
        <v>0.08</v>
      </c>
      <c r="BM99" s="644">
        <v>0.02</v>
      </c>
    </row>
    <row r="100" spans="1:65" ht="24.9" customHeight="1" x14ac:dyDescent="0.25">
      <c r="A100" s="188" t="s">
        <v>112</v>
      </c>
      <c r="B100" s="1" t="s">
        <v>220</v>
      </c>
      <c r="C100" s="2">
        <v>4</v>
      </c>
      <c r="D100" s="16">
        <v>46</v>
      </c>
      <c r="E100" s="16">
        <v>8</v>
      </c>
      <c r="F100" s="99">
        <v>0.6</v>
      </c>
      <c r="G100" s="99">
        <v>0.32</v>
      </c>
      <c r="H100" s="99">
        <v>0.08</v>
      </c>
      <c r="I100" s="99">
        <v>0</v>
      </c>
      <c r="J100" s="99">
        <v>0</v>
      </c>
      <c r="K100" s="16">
        <v>46</v>
      </c>
      <c r="L100" s="16">
        <v>9</v>
      </c>
      <c r="M100" s="92">
        <v>0.56999999999999995</v>
      </c>
      <c r="N100" s="92">
        <v>0.33</v>
      </c>
      <c r="O100" s="92">
        <v>0.08</v>
      </c>
      <c r="P100" s="92">
        <v>0</v>
      </c>
      <c r="Q100" s="92">
        <v>0.01</v>
      </c>
      <c r="R100" s="16">
        <v>47</v>
      </c>
      <c r="S100" s="16">
        <v>9</v>
      </c>
      <c r="T100" s="96">
        <v>0.56999999999999995</v>
      </c>
      <c r="U100" s="96">
        <v>0.34</v>
      </c>
      <c r="V100" s="96">
        <v>0.06</v>
      </c>
      <c r="W100" s="96">
        <v>0.03</v>
      </c>
      <c r="X100" s="96">
        <v>0</v>
      </c>
      <c r="Y100" s="16">
        <v>44</v>
      </c>
      <c r="Z100" s="16">
        <v>9</v>
      </c>
      <c r="AA100" s="96">
        <v>0.71</v>
      </c>
      <c r="AB100" s="96">
        <v>0.21</v>
      </c>
      <c r="AC100" s="96">
        <v>7.0000000000000007E-2</v>
      </c>
      <c r="AD100" s="96">
        <v>0.01</v>
      </c>
      <c r="AE100" s="96">
        <v>0</v>
      </c>
      <c r="AF100" s="91">
        <v>43</v>
      </c>
      <c r="AG100" s="91">
        <v>8</v>
      </c>
      <c r="AH100" s="92">
        <v>0.72</v>
      </c>
      <c r="AI100" s="92">
        <v>0.25</v>
      </c>
      <c r="AJ100" s="92">
        <v>0.03</v>
      </c>
      <c r="AK100" s="92">
        <v>0</v>
      </c>
      <c r="AL100" s="92">
        <v>0</v>
      </c>
      <c r="AM100" s="349">
        <v>47</v>
      </c>
      <c r="AN100" s="348" t="s">
        <v>910</v>
      </c>
      <c r="AO100" s="349">
        <v>8</v>
      </c>
      <c r="AP100" s="348" t="s">
        <v>910</v>
      </c>
      <c r="AQ100" s="371">
        <v>0.55000000000000004</v>
      </c>
      <c r="AR100" s="371">
        <v>0.36</v>
      </c>
      <c r="AS100" s="371">
        <v>7.0000000000000007E-2</v>
      </c>
      <c r="AT100" s="371">
        <v>0.02</v>
      </c>
      <c r="AU100" s="371">
        <v>0</v>
      </c>
      <c r="AV100" s="469">
        <v>46</v>
      </c>
      <c r="AW100" s="471" t="s">
        <v>910</v>
      </c>
      <c r="AX100" s="469">
        <v>9</v>
      </c>
      <c r="AY100" s="471" t="s">
        <v>910</v>
      </c>
      <c r="AZ100" s="501">
        <v>0.66</v>
      </c>
      <c r="BA100" s="501">
        <v>0.23</v>
      </c>
      <c r="BB100" s="501">
        <v>0.09</v>
      </c>
      <c r="BC100" s="501">
        <v>0.02</v>
      </c>
      <c r="BD100" s="501">
        <v>0</v>
      </c>
      <c r="BE100" s="630">
        <v>45</v>
      </c>
      <c r="BF100" s="640" t="s">
        <v>912</v>
      </c>
      <c r="BG100" s="630">
        <v>8</v>
      </c>
      <c r="BH100" s="640" t="s">
        <v>910</v>
      </c>
      <c r="BI100" s="644">
        <v>0.61</v>
      </c>
      <c r="BJ100" s="644">
        <v>0.33</v>
      </c>
      <c r="BK100" s="644">
        <v>0.04</v>
      </c>
      <c r="BL100" s="644">
        <v>0.01</v>
      </c>
      <c r="BM100" s="644">
        <v>0</v>
      </c>
    </row>
    <row r="101" spans="1:65" ht="24.9" customHeight="1" x14ac:dyDescent="0.25">
      <c r="A101" s="188" t="s">
        <v>48</v>
      </c>
      <c r="B101" s="1" t="s">
        <v>220</v>
      </c>
      <c r="C101" s="2">
        <v>4</v>
      </c>
      <c r="D101" s="16">
        <v>49</v>
      </c>
      <c r="E101" s="16">
        <v>7</v>
      </c>
      <c r="F101" s="99">
        <v>0.46</v>
      </c>
      <c r="G101" s="99">
        <v>0.42</v>
      </c>
      <c r="H101" s="99">
        <v>0.12</v>
      </c>
      <c r="I101" s="99">
        <v>0</v>
      </c>
      <c r="J101" s="99">
        <v>0</v>
      </c>
      <c r="K101" s="16">
        <v>47</v>
      </c>
      <c r="L101" s="16">
        <v>9</v>
      </c>
      <c r="M101" s="92">
        <v>0.59</v>
      </c>
      <c r="N101" s="92">
        <v>0.28000000000000003</v>
      </c>
      <c r="O101" s="92">
        <v>0.14000000000000001</v>
      </c>
      <c r="P101" s="92">
        <v>0</v>
      </c>
      <c r="Q101" s="92">
        <v>0</v>
      </c>
      <c r="R101" s="16">
        <v>51</v>
      </c>
      <c r="S101" s="16">
        <v>9</v>
      </c>
      <c r="T101" s="96">
        <v>0.31</v>
      </c>
      <c r="U101" s="96">
        <v>0.48</v>
      </c>
      <c r="V101" s="96">
        <v>0.17</v>
      </c>
      <c r="W101" s="96">
        <v>0.03</v>
      </c>
      <c r="X101" s="96">
        <v>0</v>
      </c>
      <c r="Y101" s="16">
        <v>49</v>
      </c>
      <c r="Z101" s="16">
        <v>9</v>
      </c>
      <c r="AA101" s="96">
        <v>0.45</v>
      </c>
      <c r="AB101" s="96">
        <v>0.39</v>
      </c>
      <c r="AC101" s="96">
        <v>0.13</v>
      </c>
      <c r="AD101" s="96">
        <v>0.03</v>
      </c>
      <c r="AE101" s="96">
        <v>0</v>
      </c>
      <c r="AF101" s="91">
        <v>42</v>
      </c>
      <c r="AG101" s="91">
        <v>7</v>
      </c>
      <c r="AH101" s="92">
        <v>0.79</v>
      </c>
      <c r="AI101" s="92">
        <v>0.18</v>
      </c>
      <c r="AJ101" s="92">
        <v>0.03</v>
      </c>
      <c r="AK101" s="92">
        <v>0</v>
      </c>
      <c r="AL101" s="92">
        <v>0</v>
      </c>
      <c r="AM101" s="349">
        <v>46</v>
      </c>
      <c r="AN101" s="348" t="s">
        <v>910</v>
      </c>
      <c r="AO101" s="349">
        <v>8</v>
      </c>
      <c r="AP101" s="348" t="s">
        <v>910</v>
      </c>
      <c r="AQ101" s="371">
        <v>0.56000000000000005</v>
      </c>
      <c r="AR101" s="371">
        <v>0.38</v>
      </c>
      <c r="AS101" s="371">
        <v>0.06</v>
      </c>
      <c r="AT101" s="371">
        <v>0</v>
      </c>
      <c r="AU101" s="371">
        <v>0</v>
      </c>
      <c r="AV101" s="469">
        <v>48</v>
      </c>
      <c r="AW101" s="471" t="s">
        <v>910</v>
      </c>
      <c r="AX101" s="469">
        <v>9</v>
      </c>
      <c r="AY101" s="471" t="s">
        <v>910</v>
      </c>
      <c r="AZ101" s="501">
        <v>0.45</v>
      </c>
      <c r="BA101" s="501">
        <v>0.39</v>
      </c>
      <c r="BB101" s="501">
        <v>0.12</v>
      </c>
      <c r="BC101" s="501">
        <v>0.03</v>
      </c>
      <c r="BD101" s="501">
        <v>0</v>
      </c>
      <c r="BE101" s="630">
        <v>46</v>
      </c>
      <c r="BF101" s="640" t="s">
        <v>910</v>
      </c>
      <c r="BG101" s="630">
        <v>9</v>
      </c>
      <c r="BH101" s="640" t="s">
        <v>910</v>
      </c>
      <c r="BI101" s="644">
        <v>0.5</v>
      </c>
      <c r="BJ101" s="644">
        <v>0.39</v>
      </c>
      <c r="BK101" s="644">
        <v>0.11</v>
      </c>
      <c r="BL101" s="644">
        <v>0</v>
      </c>
      <c r="BM101" s="644">
        <v>0</v>
      </c>
    </row>
    <row r="102" spans="1:65" s="219" customFormat="1" ht="24.9" customHeight="1" x14ac:dyDescent="0.25">
      <c r="A102" s="188" t="s">
        <v>926</v>
      </c>
      <c r="B102" s="1" t="s">
        <v>220</v>
      </c>
      <c r="C102" s="2">
        <v>3</v>
      </c>
      <c r="D102" s="16">
        <v>52</v>
      </c>
      <c r="E102" s="16">
        <v>9</v>
      </c>
      <c r="F102" s="99">
        <v>0.36</v>
      </c>
      <c r="G102" s="99">
        <v>0.35</v>
      </c>
      <c r="H102" s="99">
        <v>0.24</v>
      </c>
      <c r="I102" s="99">
        <v>0.04</v>
      </c>
      <c r="J102" s="99">
        <v>0.01</v>
      </c>
      <c r="K102" s="16">
        <v>52</v>
      </c>
      <c r="L102" s="16">
        <v>10</v>
      </c>
      <c r="M102" s="92">
        <v>0.27</v>
      </c>
      <c r="N102" s="92">
        <v>0.44</v>
      </c>
      <c r="O102" s="92">
        <v>0.23</v>
      </c>
      <c r="P102" s="92">
        <v>0.04</v>
      </c>
      <c r="Q102" s="92">
        <v>0.01</v>
      </c>
      <c r="R102" s="16">
        <v>53</v>
      </c>
      <c r="S102" s="16">
        <v>8</v>
      </c>
      <c r="T102" s="96">
        <v>0.2</v>
      </c>
      <c r="U102" s="96">
        <v>0.53</v>
      </c>
      <c r="V102" s="96">
        <v>0.24</v>
      </c>
      <c r="W102" s="96">
        <v>0.03</v>
      </c>
      <c r="X102" s="96">
        <v>0</v>
      </c>
      <c r="Y102" s="16">
        <v>51</v>
      </c>
      <c r="Z102" s="16">
        <v>10</v>
      </c>
      <c r="AA102" s="96">
        <v>0.38</v>
      </c>
      <c r="AB102" s="96">
        <v>0.37</v>
      </c>
      <c r="AC102" s="96">
        <v>0.2</v>
      </c>
      <c r="AD102" s="96">
        <v>0.04</v>
      </c>
      <c r="AE102" s="96">
        <v>0</v>
      </c>
      <c r="AF102" s="91">
        <v>48</v>
      </c>
      <c r="AG102" s="91">
        <v>10</v>
      </c>
      <c r="AH102" s="92">
        <v>0.52</v>
      </c>
      <c r="AI102" s="92">
        <v>0.33</v>
      </c>
      <c r="AJ102" s="92">
        <v>0.1</v>
      </c>
      <c r="AK102" s="92">
        <v>0.04</v>
      </c>
      <c r="AL102" s="92">
        <v>0</v>
      </c>
      <c r="AM102" s="349">
        <v>49</v>
      </c>
      <c r="AN102" s="348" t="s">
        <v>910</v>
      </c>
      <c r="AO102" s="349">
        <v>10</v>
      </c>
      <c r="AP102" s="348" t="s">
        <v>910</v>
      </c>
      <c r="AQ102" s="371">
        <v>0.44</v>
      </c>
      <c r="AR102" s="371">
        <v>0.36</v>
      </c>
      <c r="AS102" s="371">
        <v>0.16</v>
      </c>
      <c r="AT102" s="371">
        <v>0.04</v>
      </c>
      <c r="AU102" s="371">
        <v>0</v>
      </c>
      <c r="AV102" s="469">
        <v>54</v>
      </c>
      <c r="AW102" s="471" t="s">
        <v>910</v>
      </c>
      <c r="AX102" s="469">
        <v>11</v>
      </c>
      <c r="AY102" s="471" t="s">
        <v>910</v>
      </c>
      <c r="AZ102" s="501">
        <v>0.28999999999999998</v>
      </c>
      <c r="BA102" s="501">
        <v>0.37</v>
      </c>
      <c r="BB102" s="501">
        <v>0.24</v>
      </c>
      <c r="BC102" s="501">
        <v>0.09</v>
      </c>
      <c r="BD102" s="501">
        <v>0.01</v>
      </c>
      <c r="BE102" s="630">
        <v>54</v>
      </c>
      <c r="BF102" s="640" t="s">
        <v>910</v>
      </c>
      <c r="BG102" s="630">
        <v>11</v>
      </c>
      <c r="BH102" s="640" t="s">
        <v>910</v>
      </c>
      <c r="BI102" s="644">
        <v>0.31</v>
      </c>
      <c r="BJ102" s="644">
        <v>0.38</v>
      </c>
      <c r="BK102" s="644">
        <v>0.21</v>
      </c>
      <c r="BL102" s="644">
        <v>0.09</v>
      </c>
      <c r="BM102" s="644">
        <v>0.01</v>
      </c>
    </row>
    <row r="103" spans="1:65" ht="24.9" customHeight="1" x14ac:dyDescent="0.25">
      <c r="A103" s="188" t="s">
        <v>138</v>
      </c>
      <c r="B103" s="1" t="s">
        <v>220</v>
      </c>
      <c r="C103" s="2">
        <v>1</v>
      </c>
      <c r="D103" s="16">
        <v>53</v>
      </c>
      <c r="E103" s="16">
        <v>8</v>
      </c>
      <c r="F103" s="99">
        <v>0.3</v>
      </c>
      <c r="G103" s="99">
        <v>0.35</v>
      </c>
      <c r="H103" s="99">
        <v>0.31</v>
      </c>
      <c r="I103" s="99">
        <v>0.04</v>
      </c>
      <c r="J103" s="99">
        <v>0</v>
      </c>
      <c r="K103" s="37">
        <v>49</v>
      </c>
      <c r="L103" s="37">
        <v>8</v>
      </c>
      <c r="M103" s="92">
        <v>0.45</v>
      </c>
      <c r="N103" s="92">
        <v>0.39</v>
      </c>
      <c r="O103" s="92">
        <v>0.15</v>
      </c>
      <c r="P103" s="92">
        <v>0</v>
      </c>
      <c r="Q103" s="92">
        <v>0</v>
      </c>
      <c r="R103" s="37">
        <v>51</v>
      </c>
      <c r="S103" s="37">
        <v>9</v>
      </c>
      <c r="T103" s="96">
        <v>0.37</v>
      </c>
      <c r="U103" s="96">
        <v>0.38</v>
      </c>
      <c r="V103" s="96">
        <v>0.23</v>
      </c>
      <c r="W103" s="96">
        <v>0.03</v>
      </c>
      <c r="X103" s="96">
        <v>0</v>
      </c>
      <c r="Y103" s="16">
        <v>50</v>
      </c>
      <c r="Z103" s="16">
        <v>10</v>
      </c>
      <c r="AA103" s="96">
        <v>0.4</v>
      </c>
      <c r="AB103" s="96">
        <v>0.36</v>
      </c>
      <c r="AC103" s="96">
        <v>0.2</v>
      </c>
      <c r="AD103" s="96">
        <v>0.03</v>
      </c>
      <c r="AE103" s="96">
        <v>0.01</v>
      </c>
      <c r="AF103" s="91">
        <v>47</v>
      </c>
      <c r="AG103" s="91">
        <v>9</v>
      </c>
      <c r="AH103" s="92">
        <v>0.56999999999999995</v>
      </c>
      <c r="AI103" s="92">
        <v>0.31</v>
      </c>
      <c r="AJ103" s="92">
        <v>0.06</v>
      </c>
      <c r="AK103" s="92">
        <v>0.05</v>
      </c>
      <c r="AL103" s="92">
        <v>0</v>
      </c>
      <c r="AM103" s="349">
        <v>50</v>
      </c>
      <c r="AN103" s="348" t="s">
        <v>910</v>
      </c>
      <c r="AO103" s="349">
        <v>10</v>
      </c>
      <c r="AP103" s="348" t="s">
        <v>910</v>
      </c>
      <c r="AQ103" s="371">
        <v>0.41</v>
      </c>
      <c r="AR103" s="371">
        <v>0.36</v>
      </c>
      <c r="AS103" s="371">
        <v>0.17</v>
      </c>
      <c r="AT103" s="371">
        <v>0.06</v>
      </c>
      <c r="AU103" s="371">
        <v>0</v>
      </c>
      <c r="AV103" s="469">
        <v>48</v>
      </c>
      <c r="AW103" s="471" t="s">
        <v>910</v>
      </c>
      <c r="AX103" s="469">
        <v>10</v>
      </c>
      <c r="AY103" s="471" t="s">
        <v>910</v>
      </c>
      <c r="AZ103" s="501">
        <v>0.52</v>
      </c>
      <c r="BA103" s="501">
        <v>0.3</v>
      </c>
      <c r="BB103" s="501">
        <v>0.14000000000000001</v>
      </c>
      <c r="BC103" s="501">
        <v>0.05</v>
      </c>
      <c r="BD103" s="501">
        <v>0</v>
      </c>
      <c r="BE103" s="630">
        <v>50</v>
      </c>
      <c r="BF103" s="640" t="s">
        <v>910</v>
      </c>
      <c r="BG103" s="630">
        <v>11</v>
      </c>
      <c r="BH103" s="640" t="s">
        <v>910</v>
      </c>
      <c r="BI103" s="644">
        <v>0.41</v>
      </c>
      <c r="BJ103" s="644">
        <v>0.39</v>
      </c>
      <c r="BK103" s="644">
        <v>0.16</v>
      </c>
      <c r="BL103" s="644">
        <v>0.04</v>
      </c>
      <c r="BM103" s="644">
        <v>0.01</v>
      </c>
    </row>
    <row r="104" spans="1:65" ht="24.9" customHeight="1" x14ac:dyDescent="0.25">
      <c r="A104" s="189" t="s">
        <v>291</v>
      </c>
      <c r="B104" s="69" t="s">
        <v>220</v>
      </c>
      <c r="C104" s="71">
        <v>3</v>
      </c>
      <c r="D104" s="13">
        <v>52</v>
      </c>
      <c r="E104" s="13">
        <v>9</v>
      </c>
      <c r="F104" s="99">
        <v>0.32</v>
      </c>
      <c r="G104" s="99">
        <v>0.42</v>
      </c>
      <c r="H104" s="99">
        <v>0.19</v>
      </c>
      <c r="I104" s="99">
        <v>0.05</v>
      </c>
      <c r="J104" s="99">
        <v>0.01</v>
      </c>
      <c r="K104" s="13">
        <v>51</v>
      </c>
      <c r="L104" s="13">
        <v>9</v>
      </c>
      <c r="M104" s="92">
        <v>0.39</v>
      </c>
      <c r="N104" s="92">
        <v>0.4</v>
      </c>
      <c r="O104" s="92">
        <v>0.17</v>
      </c>
      <c r="P104" s="92">
        <v>0.04</v>
      </c>
      <c r="Q104" s="92">
        <v>0.01</v>
      </c>
      <c r="R104" s="13">
        <v>52</v>
      </c>
      <c r="S104" s="13">
        <v>10</v>
      </c>
      <c r="T104" s="96">
        <v>0.33</v>
      </c>
      <c r="U104" s="96">
        <v>0.38</v>
      </c>
      <c r="V104" s="96">
        <v>0.24</v>
      </c>
      <c r="W104" s="96">
        <v>0.05</v>
      </c>
      <c r="X104" s="96">
        <v>0</v>
      </c>
      <c r="Y104" s="13">
        <v>49</v>
      </c>
      <c r="Z104" s="13">
        <v>10</v>
      </c>
      <c r="AA104" s="96">
        <v>0.44</v>
      </c>
      <c r="AB104" s="96">
        <v>0.36</v>
      </c>
      <c r="AC104" s="96">
        <v>0.16</v>
      </c>
      <c r="AD104" s="96">
        <v>0.04</v>
      </c>
      <c r="AE104" s="96">
        <v>0</v>
      </c>
      <c r="AF104" s="91">
        <v>48</v>
      </c>
      <c r="AG104" s="91">
        <v>9</v>
      </c>
      <c r="AH104" s="92">
        <v>0.48</v>
      </c>
      <c r="AI104" s="92">
        <v>0.39</v>
      </c>
      <c r="AJ104" s="92">
        <v>0.09</v>
      </c>
      <c r="AK104" s="92">
        <v>0.03</v>
      </c>
      <c r="AL104" s="92">
        <v>0.01</v>
      </c>
      <c r="AM104" s="349">
        <v>51</v>
      </c>
      <c r="AN104" s="348" t="s">
        <v>910</v>
      </c>
      <c r="AO104" s="349">
        <v>10</v>
      </c>
      <c r="AP104" s="348" t="s">
        <v>910</v>
      </c>
      <c r="AQ104" s="371">
        <v>0.34</v>
      </c>
      <c r="AR104" s="371">
        <v>0.37</v>
      </c>
      <c r="AS104" s="371">
        <v>0.23</v>
      </c>
      <c r="AT104" s="371">
        <v>0.05</v>
      </c>
      <c r="AU104" s="371">
        <v>0</v>
      </c>
      <c r="AV104" s="469">
        <v>52</v>
      </c>
      <c r="AW104" s="471" t="s">
        <v>910</v>
      </c>
      <c r="AX104" s="469">
        <v>11</v>
      </c>
      <c r="AY104" s="471" t="s">
        <v>910</v>
      </c>
      <c r="AZ104" s="501">
        <v>0.33</v>
      </c>
      <c r="BA104" s="501">
        <v>0.37</v>
      </c>
      <c r="BB104" s="501">
        <v>0.22</v>
      </c>
      <c r="BC104" s="501">
        <v>0.08</v>
      </c>
      <c r="BD104" s="501">
        <v>0.01</v>
      </c>
      <c r="BE104" s="630">
        <v>52</v>
      </c>
      <c r="BF104" s="640" t="s">
        <v>910</v>
      </c>
      <c r="BG104" s="630">
        <v>10</v>
      </c>
      <c r="BH104" s="640" t="s">
        <v>910</v>
      </c>
      <c r="BI104" s="644">
        <v>0.33</v>
      </c>
      <c r="BJ104" s="644">
        <v>0.38</v>
      </c>
      <c r="BK104" s="644">
        <v>0.21</v>
      </c>
      <c r="BL104" s="644">
        <v>7.0000000000000007E-2</v>
      </c>
      <c r="BM104" s="644">
        <v>0</v>
      </c>
    </row>
    <row r="105" spans="1:65" ht="24.9" customHeight="1" x14ac:dyDescent="0.25">
      <c r="A105" s="188" t="s">
        <v>103</v>
      </c>
      <c r="B105" s="1" t="s">
        <v>220</v>
      </c>
      <c r="C105" s="2">
        <v>4</v>
      </c>
      <c r="D105" s="16">
        <v>49</v>
      </c>
      <c r="E105" s="16">
        <v>9</v>
      </c>
      <c r="F105" s="99">
        <v>0.45</v>
      </c>
      <c r="G105" s="99">
        <v>0.42</v>
      </c>
      <c r="H105" s="99">
        <v>0.1</v>
      </c>
      <c r="I105" s="99">
        <v>0.02</v>
      </c>
      <c r="J105" s="99">
        <v>0</v>
      </c>
      <c r="K105" s="16">
        <v>46</v>
      </c>
      <c r="L105" s="16">
        <v>7</v>
      </c>
      <c r="M105" s="92">
        <v>0.63</v>
      </c>
      <c r="N105" s="92">
        <v>0.3</v>
      </c>
      <c r="O105" s="92">
        <v>7.0000000000000007E-2</v>
      </c>
      <c r="P105" s="92">
        <v>0</v>
      </c>
      <c r="Q105" s="92">
        <v>0</v>
      </c>
      <c r="R105" s="16">
        <v>46</v>
      </c>
      <c r="S105" s="16">
        <v>8</v>
      </c>
      <c r="T105" s="96">
        <v>0.52</v>
      </c>
      <c r="U105" s="96">
        <v>0.41</v>
      </c>
      <c r="V105" s="96">
        <v>7.0000000000000007E-2</v>
      </c>
      <c r="W105" s="96">
        <v>0.01</v>
      </c>
      <c r="X105" s="96">
        <v>0</v>
      </c>
      <c r="Y105" s="16">
        <v>44</v>
      </c>
      <c r="Z105" s="16">
        <v>9</v>
      </c>
      <c r="AA105" s="96">
        <v>0.57999999999999996</v>
      </c>
      <c r="AB105" s="96">
        <v>0.36</v>
      </c>
      <c r="AC105" s="96">
        <v>0.06</v>
      </c>
      <c r="AD105" s="96">
        <v>0.01</v>
      </c>
      <c r="AE105" s="96">
        <v>0</v>
      </c>
      <c r="AF105" s="91">
        <v>44</v>
      </c>
      <c r="AG105" s="91">
        <v>8</v>
      </c>
      <c r="AH105" s="92">
        <v>0.73</v>
      </c>
      <c r="AI105" s="92">
        <v>0.21</v>
      </c>
      <c r="AJ105" s="92">
        <v>0.04</v>
      </c>
      <c r="AK105" s="92">
        <v>0.02</v>
      </c>
      <c r="AL105" s="92">
        <v>0</v>
      </c>
      <c r="AM105" s="349">
        <v>44</v>
      </c>
      <c r="AN105" s="348" t="s">
        <v>912</v>
      </c>
      <c r="AO105" s="349">
        <v>9</v>
      </c>
      <c r="AP105" s="348" t="s">
        <v>910</v>
      </c>
      <c r="AQ105" s="371">
        <v>0.64</v>
      </c>
      <c r="AR105" s="371">
        <v>0.3</v>
      </c>
      <c r="AS105" s="371">
        <v>0.05</v>
      </c>
      <c r="AT105" s="371">
        <v>0.02</v>
      </c>
      <c r="AU105" s="371">
        <v>0</v>
      </c>
      <c r="AV105" s="469">
        <v>46</v>
      </c>
      <c r="AW105" s="471" t="s">
        <v>910</v>
      </c>
      <c r="AX105" s="469">
        <v>9</v>
      </c>
      <c r="AY105" s="471" t="s">
        <v>910</v>
      </c>
      <c r="AZ105" s="501">
        <v>0.55000000000000004</v>
      </c>
      <c r="BA105" s="501">
        <v>0.34</v>
      </c>
      <c r="BB105" s="501">
        <v>0.1</v>
      </c>
      <c r="BC105" s="501">
        <v>0.01</v>
      </c>
      <c r="BD105" s="501">
        <v>0</v>
      </c>
      <c r="BE105" s="630">
        <v>46</v>
      </c>
      <c r="BF105" s="640" t="s">
        <v>910</v>
      </c>
      <c r="BG105" s="630">
        <v>10</v>
      </c>
      <c r="BH105" s="640" t="s">
        <v>910</v>
      </c>
      <c r="BI105" s="644">
        <v>0.64</v>
      </c>
      <c r="BJ105" s="644">
        <v>0.23</v>
      </c>
      <c r="BK105" s="644">
        <v>0.11</v>
      </c>
      <c r="BL105" s="644">
        <v>0.02</v>
      </c>
      <c r="BM105" s="644">
        <v>0</v>
      </c>
    </row>
    <row r="106" spans="1:65" ht="24.9" customHeight="1" x14ac:dyDescent="0.25">
      <c r="A106" s="188" t="s">
        <v>86</v>
      </c>
      <c r="B106" s="1" t="s">
        <v>220</v>
      </c>
      <c r="C106" s="2">
        <v>1</v>
      </c>
      <c r="D106" s="16">
        <v>51</v>
      </c>
      <c r="E106" s="16">
        <v>9</v>
      </c>
      <c r="F106" s="99">
        <v>0.39</v>
      </c>
      <c r="G106" s="99">
        <v>0.4</v>
      </c>
      <c r="H106" s="99">
        <v>0.17</v>
      </c>
      <c r="I106" s="99">
        <v>0.04</v>
      </c>
      <c r="J106" s="99">
        <v>0</v>
      </c>
      <c r="K106" s="16">
        <v>47</v>
      </c>
      <c r="L106" s="16">
        <v>8</v>
      </c>
      <c r="M106" s="92">
        <v>0.55000000000000004</v>
      </c>
      <c r="N106" s="92">
        <v>0.33</v>
      </c>
      <c r="O106" s="92">
        <v>0.1</v>
      </c>
      <c r="P106" s="92">
        <v>0.02</v>
      </c>
      <c r="Q106" s="92">
        <v>0</v>
      </c>
      <c r="R106" s="16">
        <v>50</v>
      </c>
      <c r="S106" s="16">
        <v>8</v>
      </c>
      <c r="T106" s="96">
        <v>0.39</v>
      </c>
      <c r="U106" s="96">
        <v>0.42</v>
      </c>
      <c r="V106" s="96">
        <v>0.15</v>
      </c>
      <c r="W106" s="96">
        <v>0.03</v>
      </c>
      <c r="X106" s="96">
        <v>0</v>
      </c>
      <c r="Y106" s="16">
        <v>49</v>
      </c>
      <c r="Z106" s="16">
        <v>10</v>
      </c>
      <c r="AA106" s="96">
        <v>0.47</v>
      </c>
      <c r="AB106" s="96">
        <v>0.37</v>
      </c>
      <c r="AC106" s="96">
        <v>0.11</v>
      </c>
      <c r="AD106" s="96">
        <v>0.04</v>
      </c>
      <c r="AE106" s="96">
        <v>0.01</v>
      </c>
      <c r="AF106" s="91">
        <v>44</v>
      </c>
      <c r="AG106" s="91">
        <v>8</v>
      </c>
      <c r="AH106" s="92">
        <v>0.68</v>
      </c>
      <c r="AI106" s="92">
        <v>0.28000000000000003</v>
      </c>
      <c r="AJ106" s="92">
        <v>0.04</v>
      </c>
      <c r="AK106" s="92">
        <v>0.01</v>
      </c>
      <c r="AL106" s="92">
        <v>0</v>
      </c>
      <c r="AM106" s="349">
        <v>48</v>
      </c>
      <c r="AN106" s="348" t="s">
        <v>910</v>
      </c>
      <c r="AO106" s="349">
        <v>10</v>
      </c>
      <c r="AP106" s="348" t="s">
        <v>910</v>
      </c>
      <c r="AQ106" s="371">
        <v>0.47</v>
      </c>
      <c r="AR106" s="371">
        <v>0.37</v>
      </c>
      <c r="AS106" s="371">
        <v>0.13</v>
      </c>
      <c r="AT106" s="371">
        <v>0.03</v>
      </c>
      <c r="AU106" s="371">
        <v>0</v>
      </c>
      <c r="AV106" s="469">
        <v>51</v>
      </c>
      <c r="AW106" s="471" t="s">
        <v>910</v>
      </c>
      <c r="AX106" s="469">
        <v>10</v>
      </c>
      <c r="AY106" s="471" t="s">
        <v>910</v>
      </c>
      <c r="AZ106" s="501">
        <v>0.39</v>
      </c>
      <c r="BA106" s="501">
        <v>0.37</v>
      </c>
      <c r="BB106" s="501">
        <v>0.21</v>
      </c>
      <c r="BC106" s="501">
        <v>0.03</v>
      </c>
      <c r="BD106" s="501">
        <v>0</v>
      </c>
      <c r="BE106" s="630">
        <v>50</v>
      </c>
      <c r="BF106" s="640" t="s">
        <v>910</v>
      </c>
      <c r="BG106" s="630">
        <v>10</v>
      </c>
      <c r="BH106" s="640" t="s">
        <v>910</v>
      </c>
      <c r="BI106" s="644">
        <v>0.41</v>
      </c>
      <c r="BJ106" s="644">
        <v>0.41</v>
      </c>
      <c r="BK106" s="644">
        <v>0.13</v>
      </c>
      <c r="BL106" s="644">
        <v>0.03</v>
      </c>
      <c r="BM106" s="644">
        <v>0.02</v>
      </c>
    </row>
    <row r="107" spans="1:65" ht="24.9" customHeight="1" x14ac:dyDescent="0.25">
      <c r="A107" s="188" t="s">
        <v>46</v>
      </c>
      <c r="B107" s="1" t="s">
        <v>222</v>
      </c>
      <c r="C107" s="2">
        <v>5</v>
      </c>
      <c r="D107" s="16">
        <v>58</v>
      </c>
      <c r="E107" s="16">
        <v>9</v>
      </c>
      <c r="F107" s="99">
        <v>0.11</v>
      </c>
      <c r="G107" s="99">
        <v>0.44</v>
      </c>
      <c r="H107" s="99">
        <v>0.28000000000000003</v>
      </c>
      <c r="I107" s="99">
        <v>0.17</v>
      </c>
      <c r="J107" s="99">
        <v>0</v>
      </c>
      <c r="K107" s="16">
        <v>51</v>
      </c>
      <c r="L107" s="16">
        <v>8</v>
      </c>
      <c r="M107" s="92">
        <v>0.32</v>
      </c>
      <c r="N107" s="92">
        <v>0.46</v>
      </c>
      <c r="O107" s="92">
        <v>0.17</v>
      </c>
      <c r="P107" s="92">
        <v>0.05</v>
      </c>
      <c r="Q107" s="92">
        <v>0</v>
      </c>
      <c r="R107" s="16">
        <v>54</v>
      </c>
      <c r="S107" s="16">
        <v>11</v>
      </c>
      <c r="T107" s="96">
        <v>0.24</v>
      </c>
      <c r="U107" s="96">
        <v>0.38</v>
      </c>
      <c r="V107" s="96">
        <v>0.24</v>
      </c>
      <c r="W107" s="96">
        <v>0.14000000000000001</v>
      </c>
      <c r="X107" s="96">
        <v>0</v>
      </c>
      <c r="Y107" s="16">
        <v>55</v>
      </c>
      <c r="Z107" s="16">
        <v>8</v>
      </c>
      <c r="AA107" s="96">
        <v>0.17</v>
      </c>
      <c r="AB107" s="96">
        <v>0.4</v>
      </c>
      <c r="AC107" s="96">
        <v>0.37</v>
      </c>
      <c r="AD107" s="96">
        <v>0.06</v>
      </c>
      <c r="AE107" s="96">
        <v>0</v>
      </c>
      <c r="AF107" s="91">
        <v>52</v>
      </c>
      <c r="AG107" s="91">
        <v>10</v>
      </c>
      <c r="AH107" s="92">
        <v>0.33</v>
      </c>
      <c r="AI107" s="92">
        <v>0.41</v>
      </c>
      <c r="AJ107" s="92">
        <v>0.22</v>
      </c>
      <c r="AK107" s="92">
        <v>0.04</v>
      </c>
      <c r="AL107" s="92">
        <v>0</v>
      </c>
      <c r="AM107" s="349">
        <v>58</v>
      </c>
      <c r="AN107" s="348" t="s">
        <v>910</v>
      </c>
      <c r="AO107" s="349">
        <v>9</v>
      </c>
      <c r="AP107" s="348" t="s">
        <v>910</v>
      </c>
      <c r="AQ107" s="371">
        <v>0.11</v>
      </c>
      <c r="AR107" s="371">
        <v>0.44</v>
      </c>
      <c r="AS107" s="371">
        <v>0.22</v>
      </c>
      <c r="AT107" s="371">
        <v>0.22</v>
      </c>
      <c r="AU107" s="371">
        <v>0</v>
      </c>
    </row>
    <row r="108" spans="1:65" ht="24.9" customHeight="1" x14ac:dyDescent="0.25">
      <c r="A108" s="188" t="s">
        <v>61</v>
      </c>
      <c r="B108" s="1" t="s">
        <v>220</v>
      </c>
      <c r="C108" s="2">
        <v>6</v>
      </c>
      <c r="D108" s="16">
        <v>53</v>
      </c>
      <c r="E108" s="16">
        <v>8</v>
      </c>
      <c r="F108" s="99">
        <v>0.22</v>
      </c>
      <c r="G108" s="99">
        <v>0.52</v>
      </c>
      <c r="H108" s="99">
        <v>0.22</v>
      </c>
      <c r="I108" s="99">
        <v>0.05</v>
      </c>
      <c r="J108" s="99">
        <v>0</v>
      </c>
      <c r="K108" s="16">
        <v>49</v>
      </c>
      <c r="L108" s="16">
        <v>9</v>
      </c>
      <c r="M108" s="92">
        <v>0.43</v>
      </c>
      <c r="N108" s="92">
        <v>0.39</v>
      </c>
      <c r="O108" s="92">
        <v>0.16</v>
      </c>
      <c r="P108" s="92">
        <v>0.01</v>
      </c>
      <c r="Q108" s="92">
        <v>0.01</v>
      </c>
      <c r="R108" s="16">
        <v>49</v>
      </c>
      <c r="S108" s="16">
        <v>7</v>
      </c>
      <c r="T108" s="96">
        <v>0.41</v>
      </c>
      <c r="U108" s="96">
        <v>0.47</v>
      </c>
      <c r="V108" s="96">
        <v>0.11</v>
      </c>
      <c r="W108" s="96">
        <v>0.01</v>
      </c>
      <c r="X108" s="96">
        <v>0</v>
      </c>
      <c r="Y108" s="16">
        <v>49</v>
      </c>
      <c r="Z108" s="16">
        <v>10</v>
      </c>
      <c r="AA108" s="96">
        <v>0.46</v>
      </c>
      <c r="AB108" s="96">
        <v>0.34</v>
      </c>
      <c r="AC108" s="96">
        <v>0.18</v>
      </c>
      <c r="AD108" s="96">
        <v>0.02</v>
      </c>
      <c r="AE108" s="96">
        <v>0</v>
      </c>
      <c r="AF108" s="91">
        <v>47</v>
      </c>
      <c r="AG108" s="91">
        <v>7</v>
      </c>
      <c r="AH108" s="92">
        <v>0.57999999999999996</v>
      </c>
      <c r="AI108" s="92">
        <v>0.36</v>
      </c>
      <c r="AJ108" s="92">
        <v>0.05</v>
      </c>
      <c r="AK108" s="92">
        <v>0.01</v>
      </c>
      <c r="AL108" s="92">
        <v>0</v>
      </c>
      <c r="AM108" s="349">
        <v>50</v>
      </c>
      <c r="AN108" s="348" t="s">
        <v>910</v>
      </c>
      <c r="AO108" s="349">
        <v>11</v>
      </c>
      <c r="AP108" s="348" t="s">
        <v>910</v>
      </c>
      <c r="AQ108" s="371">
        <v>0.38</v>
      </c>
      <c r="AR108" s="371">
        <v>0.44</v>
      </c>
      <c r="AS108" s="371">
        <v>0.11</v>
      </c>
      <c r="AT108" s="371">
        <v>7.0000000000000007E-2</v>
      </c>
      <c r="AU108" s="371">
        <v>0</v>
      </c>
      <c r="AV108" s="469">
        <v>52</v>
      </c>
      <c r="AW108" s="471" t="s">
        <v>910</v>
      </c>
      <c r="AX108" s="469">
        <v>10</v>
      </c>
      <c r="AY108" s="471" t="s">
        <v>910</v>
      </c>
      <c r="AZ108" s="501">
        <v>0.32</v>
      </c>
      <c r="BA108" s="501">
        <v>0.38</v>
      </c>
      <c r="BB108" s="501">
        <v>0.23</v>
      </c>
      <c r="BC108" s="501">
        <v>7.0000000000000007E-2</v>
      </c>
      <c r="BD108" s="501">
        <v>0</v>
      </c>
      <c r="BE108" s="630">
        <v>50</v>
      </c>
      <c r="BF108" s="640" t="s">
        <v>910</v>
      </c>
      <c r="BG108" s="630">
        <v>7</v>
      </c>
      <c r="BH108" s="640" t="s">
        <v>912</v>
      </c>
      <c r="BI108" s="644">
        <v>0.36</v>
      </c>
      <c r="BJ108" s="644">
        <v>0.5</v>
      </c>
      <c r="BK108" s="644">
        <v>0.1</v>
      </c>
      <c r="BL108" s="644">
        <v>0.03</v>
      </c>
      <c r="BM108" s="644">
        <v>0</v>
      </c>
    </row>
    <row r="109" spans="1:65" ht="24.9" customHeight="1" x14ac:dyDescent="0.25">
      <c r="A109" s="188" t="s">
        <v>21</v>
      </c>
      <c r="B109" s="1" t="s">
        <v>220</v>
      </c>
      <c r="C109" s="2">
        <v>5</v>
      </c>
      <c r="D109" s="16">
        <v>52</v>
      </c>
      <c r="E109" s="16">
        <v>8</v>
      </c>
      <c r="F109" s="99">
        <v>0.27</v>
      </c>
      <c r="G109" s="99">
        <v>0.52</v>
      </c>
      <c r="H109" s="99">
        <v>0.17</v>
      </c>
      <c r="I109" s="99">
        <v>0.03</v>
      </c>
      <c r="J109" s="99">
        <v>0.01</v>
      </c>
      <c r="K109" s="16">
        <v>50</v>
      </c>
      <c r="L109" s="16">
        <v>9</v>
      </c>
      <c r="M109" s="92">
        <v>0.38</v>
      </c>
      <c r="N109" s="92">
        <v>0.38</v>
      </c>
      <c r="O109" s="92">
        <v>0.22</v>
      </c>
      <c r="P109" s="92">
        <v>0.02</v>
      </c>
      <c r="Q109" s="92">
        <v>0</v>
      </c>
      <c r="R109" s="16">
        <v>50</v>
      </c>
      <c r="S109" s="16">
        <v>9</v>
      </c>
      <c r="T109" s="96">
        <v>0.39</v>
      </c>
      <c r="U109" s="96">
        <v>0.42</v>
      </c>
      <c r="V109" s="96">
        <v>0.16</v>
      </c>
      <c r="W109" s="96">
        <v>0.02</v>
      </c>
      <c r="X109" s="96">
        <v>0.01</v>
      </c>
      <c r="Y109" s="16">
        <v>50</v>
      </c>
      <c r="Z109" s="16">
        <v>10</v>
      </c>
      <c r="AA109" s="96">
        <v>0.42</v>
      </c>
      <c r="AB109" s="96">
        <v>0.37</v>
      </c>
      <c r="AC109" s="96">
        <v>0.17</v>
      </c>
      <c r="AD109" s="96">
        <v>0.04</v>
      </c>
      <c r="AE109" s="96">
        <v>0.01</v>
      </c>
      <c r="AF109" s="91">
        <v>47</v>
      </c>
      <c r="AG109" s="91">
        <v>9</v>
      </c>
      <c r="AH109" s="92">
        <v>0.55000000000000004</v>
      </c>
      <c r="AI109" s="92">
        <v>0.33</v>
      </c>
      <c r="AJ109" s="92">
        <v>0.09</v>
      </c>
      <c r="AK109" s="92">
        <v>0.03</v>
      </c>
      <c r="AL109" s="92">
        <v>0</v>
      </c>
      <c r="AM109" s="349">
        <v>49</v>
      </c>
      <c r="AN109" s="348" t="s">
        <v>910</v>
      </c>
      <c r="AO109" s="349">
        <v>10</v>
      </c>
      <c r="AP109" s="348" t="s">
        <v>910</v>
      </c>
      <c r="AQ109" s="371">
        <v>0.42</v>
      </c>
      <c r="AR109" s="371">
        <v>0.4</v>
      </c>
      <c r="AS109" s="371">
        <v>0.14000000000000001</v>
      </c>
      <c r="AT109" s="371">
        <v>0.04</v>
      </c>
      <c r="AU109" s="371">
        <v>0</v>
      </c>
      <c r="AV109" s="469">
        <v>53</v>
      </c>
      <c r="AW109" s="471" t="s">
        <v>910</v>
      </c>
      <c r="AX109" s="469">
        <v>11</v>
      </c>
      <c r="AY109" s="471" t="s">
        <v>910</v>
      </c>
      <c r="AZ109" s="501">
        <v>0.31</v>
      </c>
      <c r="BA109" s="501">
        <v>0.37</v>
      </c>
      <c r="BB109" s="501">
        <v>0.24</v>
      </c>
      <c r="BC109" s="501">
        <v>7.0000000000000007E-2</v>
      </c>
      <c r="BD109" s="501">
        <v>0.01</v>
      </c>
      <c r="BE109" s="630">
        <v>51</v>
      </c>
      <c r="BF109" s="640" t="s">
        <v>910</v>
      </c>
      <c r="BG109" s="630">
        <v>10</v>
      </c>
      <c r="BH109" s="640" t="s">
        <v>910</v>
      </c>
      <c r="BI109" s="644">
        <v>0.4</v>
      </c>
      <c r="BJ109" s="644">
        <v>0.43</v>
      </c>
      <c r="BK109" s="644">
        <v>0.1</v>
      </c>
      <c r="BL109" s="644">
        <v>0.05</v>
      </c>
      <c r="BM109" s="644">
        <v>0.01</v>
      </c>
    </row>
    <row r="110" spans="1:65" ht="24.9" customHeight="1" x14ac:dyDescent="0.25">
      <c r="A110" s="188" t="s">
        <v>124</v>
      </c>
      <c r="B110" s="1" t="s">
        <v>220</v>
      </c>
      <c r="C110" s="2">
        <v>4</v>
      </c>
      <c r="D110" s="16">
        <v>50</v>
      </c>
      <c r="E110" s="16">
        <v>9</v>
      </c>
      <c r="F110" s="99">
        <v>0.47</v>
      </c>
      <c r="G110" s="99">
        <v>0.43</v>
      </c>
      <c r="H110" s="99">
        <v>0.08</v>
      </c>
      <c r="I110" s="99">
        <v>0.02</v>
      </c>
      <c r="J110" s="99">
        <v>0</v>
      </c>
      <c r="K110" s="16">
        <v>48</v>
      </c>
      <c r="L110" s="16">
        <v>7</v>
      </c>
      <c r="M110" s="92">
        <v>0.46</v>
      </c>
      <c r="N110" s="92">
        <v>0.44</v>
      </c>
      <c r="O110" s="92">
        <v>0.08</v>
      </c>
      <c r="P110" s="92">
        <v>0.02</v>
      </c>
      <c r="Q110" s="92">
        <v>0</v>
      </c>
      <c r="R110" s="16">
        <v>49</v>
      </c>
      <c r="S110" s="16">
        <v>9</v>
      </c>
      <c r="T110" s="96">
        <v>0.43</v>
      </c>
      <c r="U110" s="96">
        <v>0.38</v>
      </c>
      <c r="V110" s="96">
        <v>0.17</v>
      </c>
      <c r="W110" s="96">
        <v>0.02</v>
      </c>
      <c r="X110" s="96">
        <v>0</v>
      </c>
      <c r="Y110" s="16">
        <v>47</v>
      </c>
      <c r="Z110" s="16">
        <v>9</v>
      </c>
      <c r="AA110" s="96">
        <v>0.51</v>
      </c>
      <c r="AB110" s="96">
        <v>0.41</v>
      </c>
      <c r="AC110" s="96">
        <v>0.08</v>
      </c>
      <c r="AD110" s="96">
        <v>0</v>
      </c>
      <c r="AE110" s="96">
        <v>0</v>
      </c>
      <c r="AF110" s="91">
        <v>44</v>
      </c>
      <c r="AG110" s="91">
        <v>6</v>
      </c>
      <c r="AH110" s="92">
        <v>0.7</v>
      </c>
      <c r="AI110" s="92">
        <v>0.3</v>
      </c>
      <c r="AJ110" s="92">
        <v>0</v>
      </c>
      <c r="AK110" s="92">
        <v>0</v>
      </c>
      <c r="AL110" s="92">
        <v>0</v>
      </c>
      <c r="AM110" s="349">
        <v>46</v>
      </c>
      <c r="AN110" s="348" t="s">
        <v>910</v>
      </c>
      <c r="AO110" s="349">
        <v>8</v>
      </c>
      <c r="AP110" s="348" t="s">
        <v>910</v>
      </c>
      <c r="AQ110" s="371">
        <v>0.42</v>
      </c>
      <c r="AR110" s="371">
        <v>0.53</v>
      </c>
      <c r="AS110" s="371">
        <v>0.04</v>
      </c>
      <c r="AT110" s="371">
        <v>0</v>
      </c>
      <c r="AU110" s="371">
        <v>0</v>
      </c>
      <c r="AV110" s="469">
        <v>49</v>
      </c>
      <c r="AW110" s="471" t="s">
        <v>910</v>
      </c>
      <c r="AX110" s="469">
        <v>8</v>
      </c>
      <c r="AY110" s="471" t="s">
        <v>910</v>
      </c>
      <c r="AZ110" s="501">
        <v>0.42</v>
      </c>
      <c r="BA110" s="501">
        <v>0.43</v>
      </c>
      <c r="BB110" s="501">
        <v>0.11</v>
      </c>
      <c r="BC110" s="501">
        <v>0.04</v>
      </c>
      <c r="BD110" s="501">
        <v>0</v>
      </c>
      <c r="BE110" s="630">
        <v>48</v>
      </c>
      <c r="BF110" s="640" t="s">
        <v>910</v>
      </c>
      <c r="BG110" s="630">
        <v>8</v>
      </c>
      <c r="BH110" s="640" t="s">
        <v>910</v>
      </c>
      <c r="BI110" s="644">
        <v>0.48</v>
      </c>
      <c r="BJ110" s="644">
        <v>0.44</v>
      </c>
      <c r="BK110" s="644">
        <v>0.06</v>
      </c>
      <c r="BL110" s="644">
        <v>0.02</v>
      </c>
      <c r="BM110" s="644">
        <v>0</v>
      </c>
    </row>
    <row r="111" spans="1:65" ht="24.9" customHeight="1" x14ac:dyDescent="0.25">
      <c r="A111" s="188" t="s">
        <v>23</v>
      </c>
      <c r="B111" s="1" t="s">
        <v>220</v>
      </c>
      <c r="C111" s="2">
        <v>2</v>
      </c>
      <c r="D111" s="16">
        <v>53</v>
      </c>
      <c r="E111" s="16">
        <v>9</v>
      </c>
      <c r="F111" s="99">
        <v>0.32</v>
      </c>
      <c r="G111" s="99">
        <v>0.39</v>
      </c>
      <c r="H111" s="99">
        <v>0.23</v>
      </c>
      <c r="I111" s="99">
        <v>0.06</v>
      </c>
      <c r="J111" s="99">
        <v>0</v>
      </c>
      <c r="K111" s="16">
        <v>52</v>
      </c>
      <c r="L111" s="16">
        <v>9</v>
      </c>
      <c r="M111" s="92">
        <v>0.31</v>
      </c>
      <c r="N111" s="92">
        <v>0.44</v>
      </c>
      <c r="O111" s="92">
        <v>0.21</v>
      </c>
      <c r="P111" s="92">
        <v>0.03</v>
      </c>
      <c r="Q111" s="92">
        <v>0</v>
      </c>
      <c r="R111" s="16">
        <v>52</v>
      </c>
      <c r="S111" s="16">
        <v>9</v>
      </c>
      <c r="T111" s="96">
        <v>0.34</v>
      </c>
      <c r="U111" s="96">
        <v>0.4</v>
      </c>
      <c r="V111" s="96">
        <v>0.2</v>
      </c>
      <c r="W111" s="96">
        <v>0.05</v>
      </c>
      <c r="X111" s="96">
        <v>0</v>
      </c>
      <c r="Y111" s="16">
        <v>51</v>
      </c>
      <c r="Z111" s="16">
        <v>9</v>
      </c>
      <c r="AA111" s="96">
        <v>0.36</v>
      </c>
      <c r="AB111" s="96">
        <v>0.43</v>
      </c>
      <c r="AC111" s="96">
        <v>0.16</v>
      </c>
      <c r="AD111" s="96">
        <v>0.05</v>
      </c>
      <c r="AE111" s="96">
        <v>0</v>
      </c>
      <c r="AF111" s="91">
        <v>47</v>
      </c>
      <c r="AG111" s="91">
        <v>8</v>
      </c>
      <c r="AH111" s="92">
        <v>0.56000000000000005</v>
      </c>
      <c r="AI111" s="92">
        <v>0.33</v>
      </c>
      <c r="AJ111" s="92">
        <v>0.09</v>
      </c>
      <c r="AK111" s="92">
        <v>0.02</v>
      </c>
      <c r="AL111" s="92">
        <v>0</v>
      </c>
      <c r="AM111" s="349">
        <v>50</v>
      </c>
      <c r="AN111" s="348" t="s">
        <v>910</v>
      </c>
      <c r="AO111" s="349">
        <v>10</v>
      </c>
      <c r="AP111" s="348" t="s">
        <v>910</v>
      </c>
      <c r="AQ111" s="371">
        <v>0.41</v>
      </c>
      <c r="AR111" s="371">
        <v>0.38</v>
      </c>
      <c r="AS111" s="371">
        <v>0.16</v>
      </c>
      <c r="AT111" s="371">
        <v>0.04</v>
      </c>
      <c r="AU111" s="371">
        <v>0</v>
      </c>
      <c r="AV111" s="469">
        <v>52</v>
      </c>
      <c r="AW111" s="471" t="s">
        <v>910</v>
      </c>
      <c r="AX111" s="469">
        <v>10</v>
      </c>
      <c r="AY111" s="471" t="s">
        <v>910</v>
      </c>
      <c r="AZ111" s="501">
        <v>0.33</v>
      </c>
      <c r="BA111" s="501">
        <v>0.36</v>
      </c>
      <c r="BB111" s="501">
        <v>0.25</v>
      </c>
      <c r="BC111" s="501">
        <v>0.06</v>
      </c>
      <c r="BD111" s="501">
        <v>0.01</v>
      </c>
      <c r="BE111" s="630">
        <v>53</v>
      </c>
      <c r="BF111" s="640" t="s">
        <v>910</v>
      </c>
      <c r="BG111" s="630">
        <v>9</v>
      </c>
      <c r="BH111" s="640" t="s">
        <v>910</v>
      </c>
      <c r="BI111" s="644">
        <v>0.28999999999999998</v>
      </c>
      <c r="BJ111" s="644">
        <v>0.4</v>
      </c>
      <c r="BK111" s="644">
        <v>0.22</v>
      </c>
      <c r="BL111" s="644">
        <v>0.09</v>
      </c>
      <c r="BM111" s="644">
        <v>0</v>
      </c>
    </row>
    <row r="112" spans="1:65" ht="24.9" customHeight="1" x14ac:dyDescent="0.25">
      <c r="A112" s="188" t="s">
        <v>224</v>
      </c>
      <c r="B112" s="1" t="s">
        <v>222</v>
      </c>
      <c r="C112" s="2">
        <v>1</v>
      </c>
      <c r="D112" s="16">
        <v>52</v>
      </c>
      <c r="E112" s="16">
        <v>8</v>
      </c>
      <c r="F112" s="99">
        <v>0.28000000000000003</v>
      </c>
      <c r="G112" s="99">
        <v>0.54</v>
      </c>
      <c r="H112" s="99">
        <v>0.11</v>
      </c>
      <c r="I112" s="99">
        <v>7.0000000000000007E-2</v>
      </c>
      <c r="J112" s="99">
        <v>0</v>
      </c>
      <c r="K112" s="16">
        <v>52</v>
      </c>
      <c r="L112" s="16">
        <v>8</v>
      </c>
      <c r="M112" s="92">
        <v>0.33</v>
      </c>
      <c r="N112" s="92">
        <v>0.36</v>
      </c>
      <c r="O112" s="92">
        <v>0.28000000000000003</v>
      </c>
      <c r="P112" s="92">
        <v>0.03</v>
      </c>
      <c r="Q112" s="92">
        <v>0</v>
      </c>
      <c r="R112" s="16">
        <v>55</v>
      </c>
      <c r="S112" s="16">
        <v>8</v>
      </c>
      <c r="T112" s="96">
        <v>0.16</v>
      </c>
      <c r="U112" s="96">
        <v>0.53</v>
      </c>
      <c r="V112" s="96">
        <v>0.26</v>
      </c>
      <c r="W112" s="96">
        <v>0.05</v>
      </c>
      <c r="X112" s="96">
        <v>0</v>
      </c>
      <c r="Y112" s="16">
        <v>55</v>
      </c>
      <c r="Z112" s="16">
        <v>9</v>
      </c>
      <c r="AA112" s="96">
        <v>0.16</v>
      </c>
      <c r="AB112" s="96">
        <v>0.56999999999999995</v>
      </c>
      <c r="AC112" s="96">
        <v>0.14000000000000001</v>
      </c>
      <c r="AD112" s="96">
        <v>0.14000000000000001</v>
      </c>
      <c r="AE112" s="96">
        <v>0</v>
      </c>
      <c r="AF112" s="91">
        <v>51</v>
      </c>
      <c r="AG112" s="91">
        <v>9</v>
      </c>
      <c r="AH112" s="92">
        <v>0.36</v>
      </c>
      <c r="AI112" s="92">
        <v>0.42</v>
      </c>
      <c r="AJ112" s="92">
        <v>0.18</v>
      </c>
      <c r="AK112" s="92">
        <v>0.04</v>
      </c>
      <c r="AL112" s="92">
        <v>0</v>
      </c>
      <c r="AM112" s="349">
        <v>57</v>
      </c>
      <c r="AN112" s="348" t="s">
        <v>910</v>
      </c>
      <c r="AO112" s="349">
        <v>10</v>
      </c>
      <c r="AP112" s="348" t="s">
        <v>910</v>
      </c>
      <c r="AQ112" s="371">
        <v>0.19</v>
      </c>
      <c r="AR112" s="371">
        <v>0.26</v>
      </c>
      <c r="AS112" s="371">
        <v>0.43</v>
      </c>
      <c r="AT112" s="371">
        <v>0.12</v>
      </c>
      <c r="AU112" s="371">
        <v>0</v>
      </c>
      <c r="AV112" s="469">
        <v>53</v>
      </c>
      <c r="AW112" s="471" t="s">
        <v>910</v>
      </c>
      <c r="AX112" s="469">
        <v>10</v>
      </c>
      <c r="AY112" s="471" t="s">
        <v>910</v>
      </c>
      <c r="AZ112" s="501">
        <v>0.28999999999999998</v>
      </c>
      <c r="BA112" s="501">
        <v>0.34</v>
      </c>
      <c r="BB112" s="501">
        <v>0.32</v>
      </c>
      <c r="BC112" s="501">
        <v>0.04</v>
      </c>
      <c r="BD112" s="501">
        <v>0</v>
      </c>
      <c r="BE112" s="630">
        <v>59</v>
      </c>
      <c r="BF112" s="640" t="s">
        <v>910</v>
      </c>
      <c r="BG112" s="630">
        <v>10</v>
      </c>
      <c r="BH112" s="640" t="s">
        <v>910</v>
      </c>
      <c r="BI112" s="644">
        <v>0.2</v>
      </c>
      <c r="BJ112" s="644">
        <v>0.2</v>
      </c>
      <c r="BK112" s="644">
        <v>0.35</v>
      </c>
      <c r="BL112" s="644">
        <v>0.24</v>
      </c>
      <c r="BM112" s="644">
        <v>0</v>
      </c>
    </row>
    <row r="113" spans="1:65" ht="24.9" customHeight="1" x14ac:dyDescent="0.25">
      <c r="A113" s="188" t="s">
        <v>88</v>
      </c>
      <c r="B113" s="1" t="s">
        <v>220</v>
      </c>
      <c r="C113" s="2">
        <v>2</v>
      </c>
      <c r="D113" s="16">
        <v>51</v>
      </c>
      <c r="E113" s="16">
        <v>8</v>
      </c>
      <c r="F113" s="99">
        <v>0.34</v>
      </c>
      <c r="G113" s="99">
        <v>0.43</v>
      </c>
      <c r="H113" s="99">
        <v>0.22</v>
      </c>
      <c r="I113" s="99">
        <v>0.02</v>
      </c>
      <c r="J113" s="99">
        <v>0</v>
      </c>
      <c r="K113" s="16">
        <v>49</v>
      </c>
      <c r="L113" s="16">
        <v>9</v>
      </c>
      <c r="M113" s="92">
        <v>0.48</v>
      </c>
      <c r="N113" s="92">
        <v>0.34</v>
      </c>
      <c r="O113" s="92">
        <v>0.15</v>
      </c>
      <c r="P113" s="92">
        <v>0.03</v>
      </c>
      <c r="Q113" s="92">
        <v>0</v>
      </c>
      <c r="R113" s="16">
        <v>51</v>
      </c>
      <c r="S113" s="16">
        <v>9</v>
      </c>
      <c r="T113" s="96">
        <v>0.35</v>
      </c>
      <c r="U113" s="96">
        <v>0.41</v>
      </c>
      <c r="V113" s="96">
        <v>0.2</v>
      </c>
      <c r="W113" s="96">
        <v>0.04</v>
      </c>
      <c r="X113" s="96">
        <v>0</v>
      </c>
      <c r="Y113" s="16">
        <v>51</v>
      </c>
      <c r="Z113" s="16">
        <v>10</v>
      </c>
      <c r="AA113" s="96">
        <v>0.39</v>
      </c>
      <c r="AB113" s="96">
        <v>0.35</v>
      </c>
      <c r="AC113" s="96">
        <v>0.22</v>
      </c>
      <c r="AD113" s="96">
        <v>0.04</v>
      </c>
      <c r="AE113" s="96">
        <v>0</v>
      </c>
      <c r="AF113" s="91">
        <v>47</v>
      </c>
      <c r="AG113" s="91">
        <v>9</v>
      </c>
      <c r="AH113" s="92">
        <v>0.59</v>
      </c>
      <c r="AI113" s="92">
        <v>0.31</v>
      </c>
      <c r="AJ113" s="92">
        <v>7.0000000000000007E-2</v>
      </c>
      <c r="AK113" s="92">
        <v>0.03</v>
      </c>
      <c r="AL113" s="92">
        <v>0</v>
      </c>
      <c r="AM113" s="349">
        <v>50</v>
      </c>
      <c r="AN113" s="348" t="s">
        <v>910</v>
      </c>
      <c r="AO113" s="349">
        <v>10</v>
      </c>
      <c r="AP113" s="348" t="s">
        <v>910</v>
      </c>
      <c r="AQ113" s="371">
        <v>0.4</v>
      </c>
      <c r="AR113" s="371">
        <v>0.38</v>
      </c>
      <c r="AS113" s="371">
        <v>0.17</v>
      </c>
      <c r="AT113" s="371">
        <v>0.05</v>
      </c>
      <c r="AU113" s="371">
        <v>0</v>
      </c>
      <c r="AV113" s="469">
        <v>49</v>
      </c>
      <c r="AW113" s="471" t="s">
        <v>910</v>
      </c>
      <c r="AX113" s="469">
        <v>10</v>
      </c>
      <c r="AY113" s="471" t="s">
        <v>910</v>
      </c>
      <c r="AZ113" s="501">
        <v>0.45</v>
      </c>
      <c r="BA113" s="501">
        <v>0.38</v>
      </c>
      <c r="BB113" s="501">
        <v>0.13</v>
      </c>
      <c r="BC113" s="501">
        <v>0.05</v>
      </c>
      <c r="BD113" s="501">
        <v>0</v>
      </c>
      <c r="BE113" s="630">
        <v>51</v>
      </c>
      <c r="BF113" s="640" t="s">
        <v>910</v>
      </c>
      <c r="BG113" s="630">
        <v>9</v>
      </c>
      <c r="BH113" s="640" t="s">
        <v>910</v>
      </c>
      <c r="BI113" s="644">
        <v>0.39</v>
      </c>
      <c r="BJ113" s="644">
        <v>0.41</v>
      </c>
      <c r="BK113" s="644">
        <v>0.15</v>
      </c>
      <c r="BL113" s="644">
        <v>0.05</v>
      </c>
      <c r="BM113" s="644">
        <v>0</v>
      </c>
    </row>
    <row r="114" spans="1:65" ht="24.9" customHeight="1" x14ac:dyDescent="0.25">
      <c r="A114" s="188" t="s">
        <v>281</v>
      </c>
      <c r="B114" s="1" t="s">
        <v>220</v>
      </c>
      <c r="C114" s="2">
        <v>4</v>
      </c>
      <c r="D114" s="16">
        <v>54</v>
      </c>
      <c r="E114" s="16">
        <v>10</v>
      </c>
      <c r="F114" s="99">
        <v>0.28999999999999998</v>
      </c>
      <c r="G114" s="99">
        <v>0.42</v>
      </c>
      <c r="H114" s="99">
        <v>0.21</v>
      </c>
      <c r="I114" s="99">
        <v>7.0000000000000007E-2</v>
      </c>
      <c r="J114" s="99">
        <v>0.01</v>
      </c>
      <c r="K114" s="16">
        <v>51</v>
      </c>
      <c r="L114" s="16">
        <v>10</v>
      </c>
      <c r="M114" s="92">
        <v>0.41</v>
      </c>
      <c r="N114" s="92">
        <v>0.34</v>
      </c>
      <c r="O114" s="92">
        <v>0.2</v>
      </c>
      <c r="P114" s="92">
        <v>0.05</v>
      </c>
      <c r="Q114" s="92">
        <v>0</v>
      </c>
      <c r="R114" s="16">
        <v>50</v>
      </c>
      <c r="S114" s="16">
        <v>8</v>
      </c>
      <c r="T114" s="96">
        <v>0.35</v>
      </c>
      <c r="U114" s="96">
        <v>0.51</v>
      </c>
      <c r="V114" s="96">
        <v>0.12</v>
      </c>
      <c r="W114" s="96">
        <v>0.02</v>
      </c>
      <c r="X114" s="96">
        <v>0</v>
      </c>
      <c r="Y114" s="16">
        <v>49</v>
      </c>
      <c r="Z114" s="16">
        <v>9</v>
      </c>
      <c r="AA114" s="96">
        <v>0.42</v>
      </c>
      <c r="AB114" s="96">
        <v>0.44</v>
      </c>
      <c r="AC114" s="96">
        <v>0.12</v>
      </c>
      <c r="AD114" s="96">
        <v>0.02</v>
      </c>
      <c r="AE114" s="96">
        <v>0</v>
      </c>
      <c r="AF114" s="91">
        <v>46</v>
      </c>
      <c r="AG114" s="91">
        <v>9</v>
      </c>
      <c r="AH114" s="92">
        <v>0.62</v>
      </c>
      <c r="AI114" s="92">
        <v>0.28999999999999998</v>
      </c>
      <c r="AJ114" s="92">
        <v>7.0000000000000007E-2</v>
      </c>
      <c r="AK114" s="92">
        <v>0.02</v>
      </c>
      <c r="AL114" s="92">
        <v>0</v>
      </c>
      <c r="AM114" s="349">
        <v>48</v>
      </c>
      <c r="AN114" s="348" t="s">
        <v>910</v>
      </c>
      <c r="AO114" s="349">
        <v>10</v>
      </c>
      <c r="AP114" s="348" t="s">
        <v>910</v>
      </c>
      <c r="AQ114" s="371">
        <v>0.52</v>
      </c>
      <c r="AR114" s="371">
        <v>0.33</v>
      </c>
      <c r="AS114" s="371">
        <v>0.1</v>
      </c>
      <c r="AT114" s="371">
        <v>0.04</v>
      </c>
      <c r="AU114" s="371">
        <v>0</v>
      </c>
      <c r="AV114" s="469">
        <v>52</v>
      </c>
      <c r="AW114" s="471" t="s">
        <v>910</v>
      </c>
      <c r="AX114" s="469">
        <v>10</v>
      </c>
      <c r="AY114" s="471" t="s">
        <v>910</v>
      </c>
      <c r="AZ114" s="501">
        <v>0.32</v>
      </c>
      <c r="BA114" s="501">
        <v>0.4</v>
      </c>
      <c r="BB114" s="501">
        <v>0.24</v>
      </c>
      <c r="BC114" s="501">
        <v>0.04</v>
      </c>
      <c r="BD114" s="501">
        <v>0</v>
      </c>
      <c r="BE114" s="630">
        <v>52</v>
      </c>
      <c r="BF114" s="640" t="s">
        <v>910</v>
      </c>
      <c r="BG114" s="630">
        <v>9</v>
      </c>
      <c r="BH114" s="640" t="s">
        <v>910</v>
      </c>
      <c r="BI114" s="644">
        <v>0.34</v>
      </c>
      <c r="BJ114" s="644">
        <v>0.4</v>
      </c>
      <c r="BK114" s="644">
        <v>0.22</v>
      </c>
      <c r="BL114" s="644">
        <v>0.05</v>
      </c>
      <c r="BM114" s="644">
        <v>0</v>
      </c>
    </row>
    <row r="115" spans="1:65" ht="24.9" customHeight="1" x14ac:dyDescent="0.25">
      <c r="A115" s="189" t="s">
        <v>292</v>
      </c>
      <c r="B115" s="1" t="s">
        <v>222</v>
      </c>
      <c r="C115" s="2">
        <v>1</v>
      </c>
      <c r="D115" s="16">
        <v>49</v>
      </c>
      <c r="E115" s="16">
        <v>8</v>
      </c>
      <c r="F115" s="99">
        <v>0.45</v>
      </c>
      <c r="G115" s="99">
        <v>0.43</v>
      </c>
      <c r="H115" s="99">
        <v>0.12</v>
      </c>
      <c r="I115" s="99">
        <v>0</v>
      </c>
      <c r="J115" s="99">
        <v>0</v>
      </c>
      <c r="K115" s="16">
        <v>46</v>
      </c>
      <c r="L115" s="16">
        <v>8</v>
      </c>
      <c r="M115" s="92">
        <v>0.59</v>
      </c>
      <c r="N115" s="92">
        <v>0.35</v>
      </c>
      <c r="O115" s="92">
        <v>0.06</v>
      </c>
      <c r="P115" s="92">
        <v>0</v>
      </c>
      <c r="Q115" s="92">
        <v>0</v>
      </c>
      <c r="R115" s="16">
        <v>46</v>
      </c>
      <c r="S115" s="16">
        <v>8</v>
      </c>
      <c r="T115" s="96">
        <v>0.64</v>
      </c>
      <c r="U115" s="96">
        <v>0.28999999999999998</v>
      </c>
      <c r="V115" s="96">
        <v>7.0000000000000007E-2</v>
      </c>
      <c r="W115" s="96">
        <v>0</v>
      </c>
      <c r="X115" s="96">
        <v>0</v>
      </c>
      <c r="Y115" s="16">
        <v>46</v>
      </c>
      <c r="Z115" s="16">
        <v>11</v>
      </c>
      <c r="AA115" s="96">
        <v>0.56999999999999995</v>
      </c>
      <c r="AB115" s="96">
        <v>0.26</v>
      </c>
      <c r="AC115" s="96">
        <v>0.17</v>
      </c>
      <c r="AD115" s="96">
        <v>0</v>
      </c>
      <c r="AE115" s="96">
        <v>0</v>
      </c>
      <c r="AF115" s="91">
        <v>45</v>
      </c>
      <c r="AG115" s="91">
        <v>11</v>
      </c>
      <c r="AH115" s="92">
        <v>0.69</v>
      </c>
      <c r="AI115" s="92">
        <v>0.23</v>
      </c>
      <c r="AJ115" s="92">
        <v>0.04</v>
      </c>
      <c r="AK115" s="92">
        <v>0</v>
      </c>
      <c r="AL115" s="92">
        <v>0.04</v>
      </c>
      <c r="AM115" s="349">
        <v>49</v>
      </c>
      <c r="AN115" s="348" t="s">
        <v>910</v>
      </c>
      <c r="AO115" s="349">
        <v>11</v>
      </c>
      <c r="AP115" s="348" t="s">
        <v>910</v>
      </c>
      <c r="AQ115" s="371">
        <v>0.38</v>
      </c>
      <c r="AR115" s="371">
        <v>0.28999999999999998</v>
      </c>
      <c r="AS115" s="371">
        <v>0.33</v>
      </c>
      <c r="AT115" s="371">
        <v>0</v>
      </c>
      <c r="AU115" s="371">
        <v>0</v>
      </c>
      <c r="AV115" s="469">
        <v>52</v>
      </c>
      <c r="AW115" s="471" t="s">
        <v>910</v>
      </c>
      <c r="AX115" s="469">
        <v>11</v>
      </c>
      <c r="AY115" s="471" t="s">
        <v>910</v>
      </c>
      <c r="AZ115" s="501">
        <v>0.33</v>
      </c>
      <c r="BA115" s="501">
        <v>0.24</v>
      </c>
      <c r="BB115" s="501">
        <v>0.38</v>
      </c>
      <c r="BC115" s="501">
        <v>0.05</v>
      </c>
      <c r="BD115" s="501">
        <v>0</v>
      </c>
      <c r="BE115" s="630">
        <v>51</v>
      </c>
      <c r="BF115" s="640" t="s">
        <v>910</v>
      </c>
      <c r="BG115" s="630">
        <v>8</v>
      </c>
      <c r="BH115" s="640" t="s">
        <v>910</v>
      </c>
      <c r="BI115" s="644">
        <v>0.32</v>
      </c>
      <c r="BJ115" s="644">
        <v>0.48</v>
      </c>
      <c r="BK115" s="644">
        <v>0.16</v>
      </c>
      <c r="BL115" s="644">
        <v>0.04</v>
      </c>
      <c r="BM115" s="644">
        <v>0</v>
      </c>
    </row>
    <row r="116" spans="1:65" ht="24.9" customHeight="1" x14ac:dyDescent="0.25">
      <c r="A116" s="188" t="s">
        <v>173</v>
      </c>
      <c r="B116" s="1" t="s">
        <v>220</v>
      </c>
      <c r="C116" s="2">
        <v>3</v>
      </c>
      <c r="D116" s="16">
        <v>51</v>
      </c>
      <c r="E116" s="16">
        <v>9</v>
      </c>
      <c r="F116" s="99">
        <v>0.41</v>
      </c>
      <c r="G116" s="99">
        <v>0.4</v>
      </c>
      <c r="H116" s="99">
        <v>0.15</v>
      </c>
      <c r="I116" s="99">
        <v>0.04</v>
      </c>
      <c r="J116" s="99">
        <v>0.01</v>
      </c>
      <c r="K116" s="16">
        <v>50</v>
      </c>
      <c r="L116" s="16">
        <v>9</v>
      </c>
      <c r="M116" s="92">
        <v>0.44</v>
      </c>
      <c r="N116" s="92">
        <v>0.36</v>
      </c>
      <c r="O116" s="92">
        <v>0.17</v>
      </c>
      <c r="P116" s="92">
        <v>0.03</v>
      </c>
      <c r="Q116" s="92">
        <v>0</v>
      </c>
      <c r="R116" s="16">
        <v>51</v>
      </c>
      <c r="S116" s="16">
        <v>10</v>
      </c>
      <c r="T116" s="96">
        <v>0.35</v>
      </c>
      <c r="U116" s="96">
        <v>0.42</v>
      </c>
      <c r="V116" s="96">
        <v>0.19</v>
      </c>
      <c r="W116" s="96">
        <v>0.04</v>
      </c>
      <c r="X116" s="96">
        <v>0</v>
      </c>
      <c r="Y116" s="16">
        <v>48</v>
      </c>
      <c r="Z116" s="16">
        <v>10</v>
      </c>
      <c r="AA116" s="96">
        <v>0.49</v>
      </c>
      <c r="AB116" s="96">
        <v>0.35</v>
      </c>
      <c r="AC116" s="96">
        <v>0.13</v>
      </c>
      <c r="AD116" s="96">
        <v>0.03</v>
      </c>
      <c r="AE116" s="96">
        <v>0</v>
      </c>
      <c r="AF116" s="91">
        <v>45</v>
      </c>
      <c r="AG116" s="91">
        <v>8</v>
      </c>
      <c r="AH116" s="92">
        <v>0.65</v>
      </c>
      <c r="AI116" s="92">
        <v>0.28999999999999998</v>
      </c>
      <c r="AJ116" s="92">
        <v>7.0000000000000007E-2</v>
      </c>
      <c r="AK116" s="92">
        <v>0</v>
      </c>
      <c r="AL116" s="92">
        <v>0</v>
      </c>
      <c r="AM116" s="349">
        <v>47</v>
      </c>
      <c r="AN116" s="348" t="s">
        <v>910</v>
      </c>
      <c r="AO116" s="349">
        <v>10</v>
      </c>
      <c r="AP116" s="348" t="s">
        <v>910</v>
      </c>
      <c r="AQ116" s="371">
        <v>0.53</v>
      </c>
      <c r="AR116" s="371">
        <v>0.3</v>
      </c>
      <c r="AS116" s="371">
        <v>0.13</v>
      </c>
      <c r="AT116" s="371">
        <v>0.03</v>
      </c>
      <c r="AU116" s="371">
        <v>0</v>
      </c>
      <c r="AV116" s="469">
        <v>50</v>
      </c>
      <c r="AW116" s="471" t="s">
        <v>910</v>
      </c>
      <c r="AX116" s="469">
        <v>12</v>
      </c>
      <c r="AY116" s="471" t="s">
        <v>910</v>
      </c>
      <c r="AZ116" s="501">
        <v>0.47</v>
      </c>
      <c r="BA116" s="501">
        <v>0.28000000000000003</v>
      </c>
      <c r="BB116" s="501">
        <v>0.2</v>
      </c>
      <c r="BC116" s="501">
        <v>0.05</v>
      </c>
      <c r="BD116" s="501">
        <v>0.01</v>
      </c>
      <c r="BE116" s="630">
        <v>48</v>
      </c>
      <c r="BF116" s="640" t="s">
        <v>910</v>
      </c>
      <c r="BG116" s="630">
        <v>9</v>
      </c>
      <c r="BH116" s="640" t="s">
        <v>910</v>
      </c>
      <c r="BI116" s="644">
        <v>0.45</v>
      </c>
      <c r="BJ116" s="644">
        <v>0.37</v>
      </c>
      <c r="BK116" s="644">
        <v>0.17</v>
      </c>
      <c r="BL116" s="644">
        <v>0.02</v>
      </c>
      <c r="BM116" s="644">
        <v>0</v>
      </c>
    </row>
    <row r="117" spans="1:65" ht="24.9" customHeight="1" x14ac:dyDescent="0.25">
      <c r="A117" s="188" t="s">
        <v>33</v>
      </c>
      <c r="B117" s="1" t="s">
        <v>220</v>
      </c>
      <c r="C117" s="2">
        <v>6</v>
      </c>
      <c r="D117" s="16">
        <v>50</v>
      </c>
      <c r="E117" s="16">
        <v>9</v>
      </c>
      <c r="F117" s="99">
        <v>0.47</v>
      </c>
      <c r="G117" s="99">
        <v>0.37</v>
      </c>
      <c r="H117" s="99">
        <v>0.13</v>
      </c>
      <c r="I117" s="99">
        <v>0.03</v>
      </c>
      <c r="J117" s="99">
        <v>0</v>
      </c>
      <c r="K117" s="16">
        <v>50</v>
      </c>
      <c r="L117" s="16">
        <v>10</v>
      </c>
      <c r="M117" s="92">
        <v>0.44</v>
      </c>
      <c r="N117" s="92">
        <v>0.32</v>
      </c>
      <c r="O117" s="92">
        <v>0.18</v>
      </c>
      <c r="P117" s="92">
        <v>0.06</v>
      </c>
      <c r="Q117" s="92">
        <v>0</v>
      </c>
      <c r="R117" s="16">
        <v>52</v>
      </c>
      <c r="S117" s="16">
        <v>8</v>
      </c>
      <c r="T117" s="96">
        <v>0.26</v>
      </c>
      <c r="U117" s="96">
        <v>0.51</v>
      </c>
      <c r="V117" s="96">
        <v>0.18</v>
      </c>
      <c r="W117" s="96">
        <v>0.05</v>
      </c>
      <c r="X117" s="96">
        <v>0</v>
      </c>
      <c r="Y117" s="16">
        <v>49</v>
      </c>
      <c r="Z117" s="16">
        <v>9</v>
      </c>
      <c r="AA117" s="96">
        <v>0.39</v>
      </c>
      <c r="AB117" s="96">
        <v>0.44</v>
      </c>
      <c r="AC117" s="96">
        <v>0.16</v>
      </c>
      <c r="AD117" s="96">
        <v>0.02</v>
      </c>
      <c r="AE117" s="96">
        <v>0</v>
      </c>
      <c r="AF117" s="91">
        <v>47</v>
      </c>
      <c r="AG117" s="91">
        <v>8</v>
      </c>
      <c r="AH117" s="92">
        <v>0.54</v>
      </c>
      <c r="AI117" s="92">
        <v>0.37</v>
      </c>
      <c r="AJ117" s="92">
        <v>7.0000000000000007E-2</v>
      </c>
      <c r="AK117" s="92">
        <v>0.02</v>
      </c>
      <c r="AL117" s="92">
        <v>0</v>
      </c>
      <c r="AM117" s="349">
        <v>50</v>
      </c>
      <c r="AN117" s="348" t="s">
        <v>910</v>
      </c>
      <c r="AO117" s="349">
        <v>10</v>
      </c>
      <c r="AP117" s="348" t="s">
        <v>910</v>
      </c>
      <c r="AQ117" s="371">
        <v>0.42</v>
      </c>
      <c r="AR117" s="371">
        <v>0.37</v>
      </c>
      <c r="AS117" s="371">
        <v>0.16</v>
      </c>
      <c r="AT117" s="371">
        <v>0.05</v>
      </c>
      <c r="AU117" s="371">
        <v>0</v>
      </c>
      <c r="AV117" s="469">
        <v>52</v>
      </c>
      <c r="AW117" s="471" t="s">
        <v>910</v>
      </c>
      <c r="AX117" s="469">
        <v>10</v>
      </c>
      <c r="AY117" s="471" t="s">
        <v>910</v>
      </c>
      <c r="AZ117" s="501">
        <v>0.31</v>
      </c>
      <c r="BA117" s="501">
        <v>0.38</v>
      </c>
      <c r="BB117" s="501">
        <v>0.24</v>
      </c>
      <c r="BC117" s="501">
        <v>0.06</v>
      </c>
      <c r="BD117" s="501">
        <v>0.01</v>
      </c>
      <c r="BE117" s="630">
        <v>52</v>
      </c>
      <c r="BF117" s="640" t="s">
        <v>910</v>
      </c>
      <c r="BG117" s="630">
        <v>10</v>
      </c>
      <c r="BH117" s="640" t="s">
        <v>910</v>
      </c>
      <c r="BI117" s="644">
        <v>0.35</v>
      </c>
      <c r="BJ117" s="644">
        <v>0.37</v>
      </c>
      <c r="BK117" s="644">
        <v>0.22</v>
      </c>
      <c r="BL117" s="644">
        <v>0.06</v>
      </c>
      <c r="BM117" s="644">
        <v>0.01</v>
      </c>
    </row>
    <row r="118" spans="1:65" ht="24.9" customHeight="1" x14ac:dyDescent="0.25">
      <c r="A118" s="188" t="s">
        <v>65</v>
      </c>
      <c r="B118" s="1" t="s">
        <v>220</v>
      </c>
      <c r="C118" s="2">
        <v>3</v>
      </c>
      <c r="D118" s="16">
        <v>52</v>
      </c>
      <c r="E118" s="16">
        <v>9</v>
      </c>
      <c r="F118" s="99">
        <v>0.36</v>
      </c>
      <c r="G118" s="99">
        <v>0.35</v>
      </c>
      <c r="H118" s="99">
        <v>0.24</v>
      </c>
      <c r="I118" s="99">
        <v>0.04</v>
      </c>
      <c r="J118" s="99">
        <v>0.01</v>
      </c>
      <c r="K118" s="16">
        <v>50</v>
      </c>
      <c r="L118" s="16">
        <v>9</v>
      </c>
      <c r="M118" s="92">
        <v>0.43</v>
      </c>
      <c r="N118" s="92">
        <v>0.37</v>
      </c>
      <c r="O118" s="92">
        <v>0.16</v>
      </c>
      <c r="P118" s="92">
        <v>0.03</v>
      </c>
      <c r="Q118" s="92">
        <v>0</v>
      </c>
      <c r="R118" s="16">
        <v>52</v>
      </c>
      <c r="S118" s="16">
        <v>8</v>
      </c>
      <c r="T118" s="96">
        <v>0.28999999999999998</v>
      </c>
      <c r="U118" s="96">
        <v>0.51</v>
      </c>
      <c r="V118" s="96">
        <v>0.18</v>
      </c>
      <c r="W118" s="96">
        <v>0.02</v>
      </c>
      <c r="X118" s="96">
        <v>0</v>
      </c>
      <c r="Y118" s="16">
        <v>50</v>
      </c>
      <c r="Z118" s="16">
        <v>9</v>
      </c>
      <c r="AA118" s="96">
        <v>0.4</v>
      </c>
      <c r="AB118" s="96">
        <v>0.41</v>
      </c>
      <c r="AC118" s="96">
        <v>0.15</v>
      </c>
      <c r="AD118" s="96">
        <v>0.04</v>
      </c>
      <c r="AE118" s="96">
        <v>0</v>
      </c>
      <c r="AF118" s="91">
        <v>47</v>
      </c>
      <c r="AG118" s="91">
        <v>9</v>
      </c>
      <c r="AH118" s="92">
        <v>0.56999999999999995</v>
      </c>
      <c r="AI118" s="92">
        <v>0.31</v>
      </c>
      <c r="AJ118" s="92">
        <v>0.08</v>
      </c>
      <c r="AK118" s="92">
        <v>0.03</v>
      </c>
      <c r="AL118" s="92">
        <v>0</v>
      </c>
      <c r="AM118" s="349">
        <v>49</v>
      </c>
      <c r="AN118" s="348" t="s">
        <v>910</v>
      </c>
      <c r="AO118" s="349">
        <v>10</v>
      </c>
      <c r="AP118" s="348" t="s">
        <v>910</v>
      </c>
      <c r="AQ118" s="371">
        <v>0.47</v>
      </c>
      <c r="AR118" s="371">
        <v>0.28999999999999998</v>
      </c>
      <c r="AS118" s="371">
        <v>0.21</v>
      </c>
      <c r="AT118" s="371">
        <v>0.03</v>
      </c>
      <c r="AU118" s="371">
        <v>0</v>
      </c>
      <c r="AV118" s="469">
        <v>49</v>
      </c>
      <c r="AW118" s="471" t="s">
        <v>910</v>
      </c>
      <c r="AX118" s="469">
        <v>10</v>
      </c>
      <c r="AY118" s="471" t="s">
        <v>910</v>
      </c>
      <c r="AZ118" s="501">
        <v>0.47</v>
      </c>
      <c r="BA118" s="501">
        <v>0.31</v>
      </c>
      <c r="BB118" s="501">
        <v>0.16</v>
      </c>
      <c r="BC118" s="501">
        <v>0.05</v>
      </c>
      <c r="BD118" s="501">
        <v>0</v>
      </c>
      <c r="BE118" s="630">
        <v>50</v>
      </c>
      <c r="BF118" s="640" t="s">
        <v>910</v>
      </c>
      <c r="BG118" s="630">
        <v>9</v>
      </c>
      <c r="BH118" s="640" t="s">
        <v>910</v>
      </c>
      <c r="BI118" s="644">
        <v>0.41</v>
      </c>
      <c r="BJ118" s="644">
        <v>0.38</v>
      </c>
      <c r="BK118" s="644">
        <v>0.17</v>
      </c>
      <c r="BL118" s="644">
        <v>0.04</v>
      </c>
      <c r="BM118" s="644">
        <v>0</v>
      </c>
    </row>
    <row r="119" spans="1:65" ht="24.9" customHeight="1" x14ac:dyDescent="0.25">
      <c r="A119" s="188" t="s">
        <v>106</v>
      </c>
      <c r="B119" s="1" t="s">
        <v>222</v>
      </c>
      <c r="C119" s="2">
        <v>1</v>
      </c>
      <c r="D119" s="16">
        <v>55</v>
      </c>
      <c r="E119" s="16">
        <v>9</v>
      </c>
      <c r="F119" s="99">
        <v>0.13</v>
      </c>
      <c r="G119" s="99">
        <v>0.55000000000000004</v>
      </c>
      <c r="H119" s="99">
        <v>0.23</v>
      </c>
      <c r="I119" s="99">
        <v>0.1</v>
      </c>
      <c r="J119" s="99">
        <v>0</v>
      </c>
      <c r="K119" s="16">
        <v>52</v>
      </c>
      <c r="L119" s="16">
        <v>10</v>
      </c>
      <c r="M119" s="92">
        <v>0.32</v>
      </c>
      <c r="N119" s="92">
        <v>0.47</v>
      </c>
      <c r="O119" s="92">
        <v>0.11</v>
      </c>
      <c r="P119" s="92">
        <v>0.11</v>
      </c>
      <c r="Q119" s="92">
        <v>0</v>
      </c>
      <c r="R119" s="16">
        <v>52</v>
      </c>
      <c r="S119" s="16">
        <v>9</v>
      </c>
      <c r="T119" s="96">
        <v>0.41</v>
      </c>
      <c r="U119" s="96">
        <v>0.26</v>
      </c>
      <c r="V119" s="96">
        <v>0.28000000000000003</v>
      </c>
      <c r="W119" s="96">
        <v>0.04</v>
      </c>
      <c r="X119" s="96">
        <v>0</v>
      </c>
      <c r="Y119" s="16">
        <v>47</v>
      </c>
      <c r="Z119" s="16">
        <v>8</v>
      </c>
      <c r="AA119" s="96">
        <v>0.49</v>
      </c>
      <c r="AB119" s="96">
        <v>0.43</v>
      </c>
      <c r="AC119" s="96">
        <v>0.08</v>
      </c>
      <c r="AD119" s="96">
        <v>0</v>
      </c>
      <c r="AE119" s="96">
        <v>0</v>
      </c>
      <c r="AF119" s="91">
        <v>48</v>
      </c>
      <c r="AG119" s="91">
        <v>6</v>
      </c>
      <c r="AH119" s="92">
        <v>0.45</v>
      </c>
      <c r="AI119" s="92">
        <v>0.5</v>
      </c>
      <c r="AJ119" s="92">
        <v>0.05</v>
      </c>
      <c r="AK119" s="92">
        <v>0</v>
      </c>
      <c r="AL119" s="92">
        <v>0</v>
      </c>
      <c r="AM119" s="349">
        <v>50</v>
      </c>
      <c r="AN119" s="348" t="s">
        <v>910</v>
      </c>
      <c r="AO119" s="349">
        <v>10</v>
      </c>
      <c r="AP119" s="348" t="s">
        <v>910</v>
      </c>
      <c r="AQ119" s="371">
        <v>0.41</v>
      </c>
      <c r="AR119" s="371">
        <v>0.38</v>
      </c>
      <c r="AS119" s="371">
        <v>0.16</v>
      </c>
      <c r="AT119" s="371">
        <v>0.05</v>
      </c>
      <c r="AU119" s="371">
        <v>0</v>
      </c>
      <c r="AV119" s="469">
        <v>56</v>
      </c>
      <c r="AW119" s="471" t="s">
        <v>910</v>
      </c>
      <c r="AX119" s="469">
        <v>9</v>
      </c>
      <c r="AY119" s="471" t="s">
        <v>910</v>
      </c>
      <c r="AZ119" s="501">
        <v>0.15</v>
      </c>
      <c r="BA119" s="501">
        <v>0.44</v>
      </c>
      <c r="BB119" s="501">
        <v>0.32</v>
      </c>
      <c r="BC119" s="501">
        <v>0.09</v>
      </c>
      <c r="BD119" s="501">
        <v>0</v>
      </c>
      <c r="BE119" s="630">
        <v>55</v>
      </c>
      <c r="BF119" s="640" t="s">
        <v>910</v>
      </c>
      <c r="BG119" s="630">
        <v>12</v>
      </c>
      <c r="BH119" s="640" t="s">
        <v>910</v>
      </c>
      <c r="BI119" s="644">
        <v>0.22</v>
      </c>
      <c r="BJ119" s="644">
        <v>0.38</v>
      </c>
      <c r="BK119" s="644">
        <v>0.24</v>
      </c>
      <c r="BL119" s="644">
        <v>0.16</v>
      </c>
      <c r="BM119" s="644">
        <v>0</v>
      </c>
    </row>
    <row r="120" spans="1:65" ht="24.9" customHeight="1" x14ac:dyDescent="0.25">
      <c r="A120" s="188" t="s">
        <v>188</v>
      </c>
      <c r="B120" s="1" t="s">
        <v>220</v>
      </c>
      <c r="C120" s="2">
        <v>4</v>
      </c>
      <c r="D120" s="16">
        <v>48</v>
      </c>
      <c r="E120" s="16">
        <v>8</v>
      </c>
      <c r="F120" s="99">
        <v>0.49</v>
      </c>
      <c r="G120" s="99">
        <v>0.34</v>
      </c>
      <c r="H120" s="99">
        <v>0.17</v>
      </c>
      <c r="I120" s="99">
        <v>0</v>
      </c>
      <c r="J120" s="99">
        <v>0</v>
      </c>
      <c r="K120" s="16">
        <v>46</v>
      </c>
      <c r="L120" s="16">
        <v>11</v>
      </c>
      <c r="M120" s="92">
        <v>0.54</v>
      </c>
      <c r="N120" s="92">
        <v>0.33</v>
      </c>
      <c r="O120" s="92">
        <v>0.13</v>
      </c>
      <c r="P120" s="92">
        <v>0</v>
      </c>
      <c r="Q120" s="92">
        <v>0</v>
      </c>
      <c r="R120" s="16">
        <v>48</v>
      </c>
      <c r="S120" s="16">
        <v>7</v>
      </c>
      <c r="T120" s="96">
        <v>0.52</v>
      </c>
      <c r="U120" s="96">
        <v>0.39</v>
      </c>
      <c r="V120" s="96">
        <v>0.06</v>
      </c>
      <c r="W120" s="96">
        <v>0.03</v>
      </c>
      <c r="X120" s="96">
        <v>0</v>
      </c>
      <c r="Y120" s="16">
        <v>48</v>
      </c>
      <c r="Z120" s="16">
        <v>10</v>
      </c>
      <c r="AA120" s="96">
        <v>0.54</v>
      </c>
      <c r="AB120" s="96">
        <v>0.28999999999999998</v>
      </c>
      <c r="AC120" s="96">
        <v>0.15</v>
      </c>
      <c r="AD120" s="96">
        <v>0.02</v>
      </c>
      <c r="AE120" s="96">
        <v>0</v>
      </c>
      <c r="AF120" s="91">
        <v>45</v>
      </c>
      <c r="AG120" s="91">
        <v>7</v>
      </c>
      <c r="AH120" s="92">
        <v>0.66</v>
      </c>
      <c r="AI120" s="92">
        <v>0.31</v>
      </c>
      <c r="AJ120" s="92">
        <v>0.03</v>
      </c>
      <c r="AK120" s="92">
        <v>0</v>
      </c>
      <c r="AL120" s="92">
        <v>0</v>
      </c>
      <c r="AM120" s="349">
        <v>45</v>
      </c>
      <c r="AN120" s="348" t="s">
        <v>910</v>
      </c>
      <c r="AO120" s="349">
        <v>10</v>
      </c>
      <c r="AP120" s="348" t="s">
        <v>910</v>
      </c>
      <c r="AQ120" s="371">
        <v>0.63</v>
      </c>
      <c r="AR120" s="371">
        <v>0.2</v>
      </c>
      <c r="AS120" s="371">
        <v>0.13</v>
      </c>
      <c r="AT120" s="371">
        <v>0.03</v>
      </c>
      <c r="AU120" s="371">
        <v>0</v>
      </c>
      <c r="AV120" s="469">
        <v>49</v>
      </c>
      <c r="AW120" s="471" t="s">
        <v>910</v>
      </c>
      <c r="AX120" s="469">
        <v>11</v>
      </c>
      <c r="AY120" s="471" t="s">
        <v>910</v>
      </c>
      <c r="AZ120" s="501">
        <v>0.42</v>
      </c>
      <c r="BA120" s="501">
        <v>0.42</v>
      </c>
      <c r="BB120" s="501">
        <v>0.11</v>
      </c>
      <c r="BC120" s="501">
        <v>0.06</v>
      </c>
      <c r="BD120" s="501">
        <v>0</v>
      </c>
      <c r="BE120" s="630">
        <v>49</v>
      </c>
      <c r="BF120" s="640" t="s">
        <v>910</v>
      </c>
      <c r="BG120" s="630">
        <v>9</v>
      </c>
      <c r="BH120" s="640" t="s">
        <v>910</v>
      </c>
      <c r="BI120" s="644">
        <v>0.47</v>
      </c>
      <c r="BJ120" s="644">
        <v>0.41</v>
      </c>
      <c r="BK120" s="644">
        <v>0.06</v>
      </c>
      <c r="BL120" s="644">
        <v>0.06</v>
      </c>
      <c r="BM120" s="644">
        <v>0</v>
      </c>
    </row>
    <row r="121" spans="1:65" s="461" customFormat="1" ht="24.9" customHeight="1" x14ac:dyDescent="0.25">
      <c r="A121" s="470" t="s">
        <v>964</v>
      </c>
      <c r="B121" s="1" t="s">
        <v>220</v>
      </c>
      <c r="C121" s="471">
        <v>2</v>
      </c>
      <c r="D121" s="502"/>
      <c r="E121" s="502"/>
      <c r="F121" s="508"/>
      <c r="G121" s="508"/>
      <c r="H121" s="508"/>
      <c r="I121" s="508"/>
      <c r="J121" s="508"/>
      <c r="K121" s="502"/>
      <c r="L121" s="502"/>
      <c r="M121" s="504"/>
      <c r="N121" s="504"/>
      <c r="O121" s="504"/>
      <c r="P121" s="504"/>
      <c r="Q121" s="504"/>
      <c r="R121" s="502"/>
      <c r="S121" s="502"/>
      <c r="T121" s="501"/>
      <c r="U121" s="501"/>
      <c r="V121" s="501"/>
      <c r="W121" s="501"/>
      <c r="X121" s="501"/>
      <c r="Y121" s="502"/>
      <c r="Z121" s="502"/>
      <c r="AA121" s="501"/>
      <c r="AB121" s="501"/>
      <c r="AC121" s="501"/>
      <c r="AD121" s="501"/>
      <c r="AE121" s="501"/>
      <c r="AF121" s="514"/>
      <c r="AG121" s="514"/>
      <c r="AH121" s="504"/>
      <c r="AI121" s="504"/>
      <c r="AJ121" s="504"/>
      <c r="AK121" s="504"/>
      <c r="AL121" s="504"/>
      <c r="AM121" s="475"/>
      <c r="AN121" s="493"/>
      <c r="AO121" s="475"/>
      <c r="AP121" s="493"/>
      <c r="AQ121" s="507"/>
      <c r="AR121" s="507"/>
      <c r="AS121" s="507"/>
      <c r="AT121" s="507"/>
      <c r="AU121" s="507"/>
      <c r="AV121" s="469">
        <v>52</v>
      </c>
      <c r="AW121" s="471" t="s">
        <v>910</v>
      </c>
      <c r="AX121" s="469">
        <v>9</v>
      </c>
      <c r="AY121" s="471" t="s">
        <v>910</v>
      </c>
      <c r="AZ121" s="501">
        <v>0.28999999999999998</v>
      </c>
      <c r="BA121" s="501">
        <v>0.34</v>
      </c>
      <c r="BB121" s="501">
        <v>0.32</v>
      </c>
      <c r="BC121" s="501">
        <v>0.05</v>
      </c>
      <c r="BD121" s="501">
        <v>0</v>
      </c>
      <c r="BE121" s="630">
        <v>51</v>
      </c>
      <c r="BF121" s="640" t="s">
        <v>910</v>
      </c>
      <c r="BG121" s="630">
        <v>10</v>
      </c>
      <c r="BH121" s="640" t="s">
        <v>910</v>
      </c>
      <c r="BI121" s="644">
        <v>0.39</v>
      </c>
      <c r="BJ121" s="644">
        <v>0.39</v>
      </c>
      <c r="BK121" s="644">
        <v>0.16</v>
      </c>
      <c r="BL121" s="644">
        <v>0.05</v>
      </c>
      <c r="BM121" s="644">
        <v>0</v>
      </c>
    </row>
    <row r="122" spans="1:65" ht="24.9" customHeight="1" x14ac:dyDescent="0.25">
      <c r="A122" s="188" t="s">
        <v>130</v>
      </c>
      <c r="B122" s="1" t="s">
        <v>220</v>
      </c>
      <c r="C122" s="2">
        <v>3</v>
      </c>
      <c r="D122" s="16">
        <v>52</v>
      </c>
      <c r="E122" s="16">
        <v>9</v>
      </c>
      <c r="F122" s="99">
        <v>0.35</v>
      </c>
      <c r="G122" s="99">
        <v>0.39</v>
      </c>
      <c r="H122" s="99">
        <v>0.22</v>
      </c>
      <c r="I122" s="99">
        <v>0.05</v>
      </c>
      <c r="J122" s="99">
        <v>0</v>
      </c>
      <c r="K122" s="16">
        <v>49</v>
      </c>
      <c r="L122" s="16">
        <v>10</v>
      </c>
      <c r="M122" s="92">
        <v>0.44</v>
      </c>
      <c r="N122" s="92">
        <v>0.37</v>
      </c>
      <c r="O122" s="92">
        <v>0.16</v>
      </c>
      <c r="P122" s="92">
        <v>0.02</v>
      </c>
      <c r="Q122" s="92">
        <v>0.01</v>
      </c>
      <c r="R122" s="16">
        <v>50</v>
      </c>
      <c r="S122" s="16">
        <v>10</v>
      </c>
      <c r="T122" s="96">
        <v>0.43</v>
      </c>
      <c r="U122" s="96">
        <v>0.38</v>
      </c>
      <c r="V122" s="96">
        <v>0.11</v>
      </c>
      <c r="W122" s="96">
        <v>0.06</v>
      </c>
      <c r="X122" s="96">
        <v>0.01</v>
      </c>
      <c r="Y122" s="16">
        <v>49</v>
      </c>
      <c r="Z122" s="16">
        <v>9</v>
      </c>
      <c r="AA122" s="96">
        <v>0.47</v>
      </c>
      <c r="AB122" s="96">
        <v>0.39</v>
      </c>
      <c r="AC122" s="96">
        <v>0.11</v>
      </c>
      <c r="AD122" s="96">
        <v>0.03</v>
      </c>
      <c r="AE122" s="96">
        <v>0</v>
      </c>
      <c r="AF122" s="91">
        <v>47</v>
      </c>
      <c r="AG122" s="91">
        <v>8</v>
      </c>
      <c r="AH122" s="92">
        <v>0.55000000000000004</v>
      </c>
      <c r="AI122" s="92">
        <v>0.38</v>
      </c>
      <c r="AJ122" s="92">
        <v>0.05</v>
      </c>
      <c r="AK122" s="92">
        <v>0.01</v>
      </c>
      <c r="AL122" s="92">
        <v>0</v>
      </c>
      <c r="AM122" s="349">
        <v>49</v>
      </c>
      <c r="AN122" s="348" t="s">
        <v>910</v>
      </c>
      <c r="AO122" s="349">
        <v>10</v>
      </c>
      <c r="AP122" s="348" t="s">
        <v>910</v>
      </c>
      <c r="AQ122" s="371">
        <v>0.44</v>
      </c>
      <c r="AR122" s="371">
        <v>0.38</v>
      </c>
      <c r="AS122" s="371">
        <v>0.14000000000000001</v>
      </c>
      <c r="AT122" s="371">
        <v>0.04</v>
      </c>
      <c r="AU122" s="371">
        <v>0.01</v>
      </c>
      <c r="AV122" s="469">
        <v>53</v>
      </c>
      <c r="AW122" s="471" t="s">
        <v>910</v>
      </c>
      <c r="AX122" s="469">
        <v>11</v>
      </c>
      <c r="AY122" s="471" t="s">
        <v>910</v>
      </c>
      <c r="AZ122" s="501">
        <v>0.31</v>
      </c>
      <c r="BA122" s="501">
        <v>0.35</v>
      </c>
      <c r="BB122" s="501">
        <v>0.24</v>
      </c>
      <c r="BC122" s="501">
        <v>0.09</v>
      </c>
      <c r="BD122" s="501">
        <v>0.01</v>
      </c>
      <c r="BE122" s="630">
        <v>50</v>
      </c>
      <c r="BF122" s="640" t="s">
        <v>910</v>
      </c>
      <c r="BG122" s="630">
        <v>9</v>
      </c>
      <c r="BH122" s="640" t="s">
        <v>910</v>
      </c>
      <c r="BI122" s="644">
        <v>0.42</v>
      </c>
      <c r="BJ122" s="644">
        <v>0.37</v>
      </c>
      <c r="BK122" s="644">
        <v>0.16</v>
      </c>
      <c r="BL122" s="644">
        <v>0.04</v>
      </c>
      <c r="BM122" s="644">
        <v>0</v>
      </c>
    </row>
    <row r="123" spans="1:65" s="461" customFormat="1" ht="24.9" customHeight="1" x14ac:dyDescent="0.25">
      <c r="A123" s="470" t="s">
        <v>966</v>
      </c>
      <c r="B123" s="1" t="s">
        <v>220</v>
      </c>
      <c r="C123" s="471">
        <v>1</v>
      </c>
      <c r="D123" s="502"/>
      <c r="E123" s="502"/>
      <c r="F123" s="508"/>
      <c r="G123" s="508"/>
      <c r="H123" s="508"/>
      <c r="I123" s="508"/>
      <c r="J123" s="508"/>
      <c r="K123" s="502"/>
      <c r="L123" s="502"/>
      <c r="M123" s="504"/>
      <c r="N123" s="504"/>
      <c r="O123" s="504"/>
      <c r="P123" s="504"/>
      <c r="Q123" s="504"/>
      <c r="R123" s="502"/>
      <c r="S123" s="502"/>
      <c r="T123" s="501"/>
      <c r="U123" s="501"/>
      <c r="V123" s="501"/>
      <c r="W123" s="501"/>
      <c r="X123" s="501"/>
      <c r="Y123" s="502"/>
      <c r="Z123" s="502"/>
      <c r="AA123" s="501"/>
      <c r="AB123" s="501"/>
      <c r="AC123" s="501"/>
      <c r="AD123" s="501"/>
      <c r="AE123" s="501"/>
      <c r="AF123" s="514"/>
      <c r="AG123" s="514"/>
      <c r="AH123" s="504"/>
      <c r="AI123" s="504"/>
      <c r="AJ123" s="504"/>
      <c r="AK123" s="504"/>
      <c r="AL123" s="504"/>
      <c r="AM123" s="475"/>
      <c r="AN123" s="493"/>
      <c r="AO123" s="475"/>
      <c r="AP123" s="493"/>
      <c r="AQ123" s="507"/>
      <c r="AR123" s="507"/>
      <c r="AS123" s="507"/>
      <c r="AT123" s="507"/>
      <c r="AU123" s="507"/>
      <c r="AV123" s="469">
        <v>49</v>
      </c>
      <c r="AW123" s="471" t="s">
        <v>910</v>
      </c>
      <c r="AX123" s="469">
        <v>9</v>
      </c>
      <c r="AY123" s="471" t="s">
        <v>910</v>
      </c>
      <c r="AZ123" s="501">
        <v>0.38</v>
      </c>
      <c r="BA123" s="501">
        <v>0.54</v>
      </c>
      <c r="BB123" s="501">
        <v>0.05</v>
      </c>
      <c r="BC123" s="501">
        <v>0.03</v>
      </c>
      <c r="BD123" s="501">
        <v>0</v>
      </c>
      <c r="BE123" s="630">
        <v>50</v>
      </c>
      <c r="BF123" s="640" t="s">
        <v>910</v>
      </c>
      <c r="BG123" s="630">
        <v>9</v>
      </c>
      <c r="BH123" s="640" t="s">
        <v>910</v>
      </c>
      <c r="BI123" s="644">
        <v>0.39</v>
      </c>
      <c r="BJ123" s="644">
        <v>0.43</v>
      </c>
      <c r="BK123" s="644">
        <v>0.15</v>
      </c>
      <c r="BL123" s="644">
        <v>0.03</v>
      </c>
      <c r="BM123" s="644">
        <v>0</v>
      </c>
    </row>
    <row r="124" spans="1:65" ht="24.9" customHeight="1" x14ac:dyDescent="0.25">
      <c r="A124" s="188" t="s">
        <v>90</v>
      </c>
      <c r="B124" s="1" t="s">
        <v>220</v>
      </c>
      <c r="C124" s="2">
        <v>1</v>
      </c>
      <c r="D124" s="16">
        <v>54</v>
      </c>
      <c r="E124" s="16">
        <v>8</v>
      </c>
      <c r="F124" s="99">
        <v>0.2</v>
      </c>
      <c r="G124" s="99">
        <v>0.47</v>
      </c>
      <c r="H124" s="99">
        <v>0.28000000000000003</v>
      </c>
      <c r="I124" s="99">
        <v>0.05</v>
      </c>
      <c r="J124" s="99">
        <v>0</v>
      </c>
      <c r="K124" s="16">
        <v>53</v>
      </c>
      <c r="L124" s="16">
        <v>9</v>
      </c>
      <c r="M124" s="92">
        <v>0.3</v>
      </c>
      <c r="N124" s="92">
        <v>0.38</v>
      </c>
      <c r="O124" s="92">
        <v>0.25</v>
      </c>
      <c r="P124" s="92">
        <v>7.0000000000000007E-2</v>
      </c>
      <c r="Q124" s="92">
        <v>0.01</v>
      </c>
      <c r="R124" s="16">
        <v>56</v>
      </c>
      <c r="S124" s="16">
        <v>10</v>
      </c>
      <c r="T124" s="96">
        <v>0.19</v>
      </c>
      <c r="U124" s="96">
        <v>0.38</v>
      </c>
      <c r="V124" s="96">
        <v>0.3</v>
      </c>
      <c r="W124" s="96">
        <v>0.11</v>
      </c>
      <c r="X124" s="96">
        <v>0.02</v>
      </c>
      <c r="Y124" s="16">
        <v>53</v>
      </c>
      <c r="Z124" s="16">
        <v>10</v>
      </c>
      <c r="AA124" s="96">
        <v>0.25</v>
      </c>
      <c r="AB124" s="96">
        <v>0.45</v>
      </c>
      <c r="AC124" s="96">
        <v>0.24</v>
      </c>
      <c r="AD124" s="96">
        <v>0.06</v>
      </c>
      <c r="AE124" s="96">
        <v>0.01</v>
      </c>
      <c r="AF124" s="91">
        <v>47</v>
      </c>
      <c r="AG124" s="91">
        <v>9</v>
      </c>
      <c r="AH124" s="92">
        <v>0.63</v>
      </c>
      <c r="AI124" s="92">
        <v>0.25</v>
      </c>
      <c r="AJ124" s="92">
        <v>0.08</v>
      </c>
      <c r="AK124" s="92">
        <v>0.04</v>
      </c>
      <c r="AL124" s="92">
        <v>0</v>
      </c>
      <c r="AM124" s="349">
        <v>51</v>
      </c>
      <c r="AN124" s="348" t="s">
        <v>910</v>
      </c>
      <c r="AO124" s="349">
        <v>10</v>
      </c>
      <c r="AP124" s="348" t="s">
        <v>910</v>
      </c>
      <c r="AQ124" s="371">
        <v>0.33</v>
      </c>
      <c r="AR124" s="371">
        <v>0.42</v>
      </c>
      <c r="AS124" s="371">
        <v>0.22</v>
      </c>
      <c r="AT124" s="371">
        <v>0.04</v>
      </c>
      <c r="AU124" s="371">
        <v>0</v>
      </c>
      <c r="AV124" s="469">
        <v>52</v>
      </c>
      <c r="AW124" s="471" t="s">
        <v>910</v>
      </c>
      <c r="AX124" s="469">
        <v>9</v>
      </c>
      <c r="AY124" s="471" t="s">
        <v>910</v>
      </c>
      <c r="AZ124" s="501">
        <v>0.35</v>
      </c>
      <c r="BA124" s="501">
        <v>0.38</v>
      </c>
      <c r="BB124" s="501">
        <v>0.21</v>
      </c>
      <c r="BC124" s="501">
        <v>0.05</v>
      </c>
      <c r="BD124" s="501">
        <v>0</v>
      </c>
      <c r="BE124" s="630">
        <v>51</v>
      </c>
      <c r="BF124" s="640" t="s">
        <v>910</v>
      </c>
      <c r="BG124" s="630">
        <v>8</v>
      </c>
      <c r="BH124" s="640" t="s">
        <v>910</v>
      </c>
      <c r="BI124" s="644">
        <v>0.35</v>
      </c>
      <c r="BJ124" s="644">
        <v>0.42</v>
      </c>
      <c r="BK124" s="644">
        <v>0.2</v>
      </c>
      <c r="BL124" s="644">
        <v>0.03</v>
      </c>
      <c r="BM124" s="644">
        <v>0</v>
      </c>
    </row>
    <row r="125" spans="1:65" ht="24.9" customHeight="1" x14ac:dyDescent="0.25">
      <c r="A125" s="188" t="s">
        <v>50</v>
      </c>
      <c r="B125" s="1" t="s">
        <v>222</v>
      </c>
      <c r="C125" s="2">
        <v>1</v>
      </c>
      <c r="D125" s="16">
        <v>54</v>
      </c>
      <c r="E125" s="16">
        <v>9</v>
      </c>
      <c r="F125" s="99">
        <v>0.27</v>
      </c>
      <c r="G125" s="99">
        <v>0.45</v>
      </c>
      <c r="H125" s="99">
        <v>0.18</v>
      </c>
      <c r="I125" s="99">
        <v>0.1</v>
      </c>
      <c r="J125" s="99">
        <v>0</v>
      </c>
      <c r="K125" s="16">
        <v>50</v>
      </c>
      <c r="L125" s="16">
        <v>9</v>
      </c>
      <c r="M125" s="92">
        <v>0.41</v>
      </c>
      <c r="N125" s="92">
        <v>0.41</v>
      </c>
      <c r="O125" s="92">
        <v>0.16</v>
      </c>
      <c r="P125" s="92">
        <v>0.03</v>
      </c>
      <c r="Q125" s="92">
        <v>0</v>
      </c>
      <c r="R125" s="16">
        <v>53</v>
      </c>
      <c r="S125" s="16">
        <v>9</v>
      </c>
      <c r="T125" s="96">
        <v>0.33</v>
      </c>
      <c r="U125" s="96">
        <v>0.32</v>
      </c>
      <c r="V125" s="96">
        <v>0.3</v>
      </c>
      <c r="W125" s="96">
        <v>0.05</v>
      </c>
      <c r="X125" s="96">
        <v>0</v>
      </c>
      <c r="Y125" s="16">
        <v>51</v>
      </c>
      <c r="Z125" s="16">
        <v>8</v>
      </c>
      <c r="AA125" s="96">
        <v>0.3</v>
      </c>
      <c r="AB125" s="96">
        <v>0.47</v>
      </c>
      <c r="AC125" s="96">
        <v>0.23</v>
      </c>
      <c r="AD125" s="96">
        <v>0</v>
      </c>
      <c r="AE125" s="96">
        <v>0</v>
      </c>
      <c r="AF125" s="91">
        <v>48</v>
      </c>
      <c r="AG125" s="91">
        <v>9</v>
      </c>
      <c r="AH125" s="92">
        <v>0.5</v>
      </c>
      <c r="AI125" s="92">
        <v>0.35</v>
      </c>
      <c r="AJ125" s="92">
        <v>0.1</v>
      </c>
      <c r="AK125" s="92">
        <v>0.05</v>
      </c>
      <c r="AL125" s="92">
        <v>0</v>
      </c>
      <c r="AM125" s="349">
        <v>53</v>
      </c>
      <c r="AN125" s="348" t="s">
        <v>910</v>
      </c>
      <c r="AO125" s="349">
        <v>10</v>
      </c>
      <c r="AP125" s="348" t="s">
        <v>910</v>
      </c>
      <c r="AQ125" s="371">
        <v>0.33</v>
      </c>
      <c r="AR125" s="371">
        <v>0.31</v>
      </c>
      <c r="AS125" s="371">
        <v>0.3</v>
      </c>
      <c r="AT125" s="371">
        <v>0.05</v>
      </c>
      <c r="AU125" s="371">
        <v>0.02</v>
      </c>
      <c r="AV125" s="469">
        <v>54</v>
      </c>
      <c r="AW125" s="471" t="s">
        <v>910</v>
      </c>
      <c r="AX125" s="469">
        <v>9</v>
      </c>
      <c r="AY125" s="471" t="s">
        <v>910</v>
      </c>
      <c r="AZ125" s="501">
        <v>0.17</v>
      </c>
      <c r="BA125" s="501">
        <v>0.47</v>
      </c>
      <c r="BB125" s="501">
        <v>0.28000000000000003</v>
      </c>
      <c r="BC125" s="501">
        <v>0.09</v>
      </c>
      <c r="BD125" s="501">
        <v>0</v>
      </c>
    </row>
    <row r="126" spans="1:65" s="461" customFormat="1" ht="24.9" customHeight="1" x14ac:dyDescent="0.25">
      <c r="A126" s="470" t="s">
        <v>968</v>
      </c>
      <c r="B126" s="1" t="s">
        <v>220</v>
      </c>
      <c r="C126" s="471">
        <v>3</v>
      </c>
      <c r="D126" s="502"/>
      <c r="E126" s="502"/>
      <c r="F126" s="508"/>
      <c r="G126" s="508"/>
      <c r="H126" s="508"/>
      <c r="I126" s="508"/>
      <c r="J126" s="508"/>
      <c r="K126" s="502"/>
      <c r="L126" s="502"/>
      <c r="M126" s="504"/>
      <c r="N126" s="504"/>
      <c r="O126" s="504"/>
      <c r="P126" s="504"/>
      <c r="Q126" s="504"/>
      <c r="R126" s="502"/>
      <c r="S126" s="502"/>
      <c r="T126" s="501"/>
      <c r="U126" s="501"/>
      <c r="V126" s="501"/>
      <c r="W126" s="501"/>
      <c r="X126" s="501"/>
      <c r="Y126" s="502"/>
      <c r="Z126" s="502"/>
      <c r="AA126" s="501"/>
      <c r="AB126" s="501"/>
      <c r="AC126" s="501"/>
      <c r="AD126" s="501"/>
      <c r="AE126" s="501"/>
      <c r="AF126" s="514"/>
      <c r="AG126" s="514"/>
      <c r="AH126" s="504"/>
      <c r="AI126" s="504"/>
      <c r="AJ126" s="504"/>
      <c r="AK126" s="504"/>
      <c r="AL126" s="504"/>
      <c r="AM126" s="475"/>
      <c r="AN126" s="493"/>
      <c r="AO126" s="475"/>
      <c r="AP126" s="493"/>
      <c r="AQ126" s="507"/>
      <c r="AR126" s="507"/>
      <c r="AS126" s="507"/>
      <c r="AT126" s="507"/>
      <c r="AU126" s="507"/>
      <c r="AV126" s="469">
        <v>52</v>
      </c>
      <c r="AW126" s="471" t="s">
        <v>910</v>
      </c>
      <c r="AX126" s="469">
        <v>10</v>
      </c>
      <c r="AY126" s="471" t="s">
        <v>910</v>
      </c>
      <c r="AZ126" s="501">
        <v>0.32</v>
      </c>
      <c r="BA126" s="501">
        <v>0.42</v>
      </c>
      <c r="BB126" s="501">
        <v>0.24</v>
      </c>
      <c r="BC126" s="501">
        <v>0.01</v>
      </c>
      <c r="BD126" s="501">
        <v>0.01</v>
      </c>
      <c r="BE126" s="630">
        <v>54</v>
      </c>
      <c r="BF126" s="640" t="s">
        <v>910</v>
      </c>
      <c r="BG126" s="630">
        <v>10</v>
      </c>
      <c r="BH126" s="640" t="s">
        <v>910</v>
      </c>
      <c r="BI126" s="644">
        <v>0.31</v>
      </c>
      <c r="BJ126" s="644">
        <v>0.36</v>
      </c>
      <c r="BK126" s="644">
        <v>0.23</v>
      </c>
      <c r="BL126" s="644">
        <v>0.11</v>
      </c>
      <c r="BM126" s="644">
        <v>0</v>
      </c>
    </row>
    <row r="127" spans="1:65" ht="24.9" customHeight="1" x14ac:dyDescent="0.25">
      <c r="A127" s="188" t="s">
        <v>290</v>
      </c>
      <c r="B127" s="1" t="s">
        <v>222</v>
      </c>
      <c r="C127" s="2">
        <v>6</v>
      </c>
      <c r="D127" s="16">
        <v>53</v>
      </c>
      <c r="E127" s="16">
        <v>9</v>
      </c>
      <c r="F127" s="99">
        <v>0.28999999999999998</v>
      </c>
      <c r="G127" s="99">
        <v>0.38</v>
      </c>
      <c r="H127" s="99">
        <v>0.27</v>
      </c>
      <c r="I127" s="99">
        <v>0.06</v>
      </c>
      <c r="J127" s="99">
        <v>0</v>
      </c>
      <c r="K127" s="16">
        <v>52</v>
      </c>
      <c r="L127" s="16">
        <v>8</v>
      </c>
      <c r="M127" s="92">
        <v>0.36</v>
      </c>
      <c r="N127" s="92">
        <v>0.41</v>
      </c>
      <c r="O127" s="92">
        <v>0.21</v>
      </c>
      <c r="P127" s="92">
        <v>0.02</v>
      </c>
      <c r="Q127" s="92">
        <v>0</v>
      </c>
      <c r="R127" s="16">
        <v>52</v>
      </c>
      <c r="S127" s="16">
        <v>8</v>
      </c>
      <c r="T127" s="96">
        <v>0.28000000000000003</v>
      </c>
      <c r="U127" s="96">
        <v>0.5</v>
      </c>
      <c r="V127" s="96">
        <v>0.17</v>
      </c>
      <c r="W127" s="96">
        <v>0.05</v>
      </c>
      <c r="X127" s="96">
        <v>0</v>
      </c>
      <c r="Y127" s="16">
        <v>49</v>
      </c>
      <c r="Z127" s="16">
        <v>9</v>
      </c>
      <c r="AA127" s="96">
        <v>0.4</v>
      </c>
      <c r="AB127" s="96">
        <v>0.47</v>
      </c>
      <c r="AC127" s="96">
        <v>0.11</v>
      </c>
      <c r="AD127" s="96">
        <v>0.03</v>
      </c>
      <c r="AE127" s="96">
        <v>0</v>
      </c>
      <c r="AF127" s="91">
        <v>48</v>
      </c>
      <c r="AG127" s="91">
        <v>9</v>
      </c>
      <c r="AH127" s="92">
        <v>0.54</v>
      </c>
      <c r="AI127" s="92">
        <v>0.35</v>
      </c>
      <c r="AJ127" s="92">
        <v>0.08</v>
      </c>
      <c r="AK127" s="92">
        <v>0.02</v>
      </c>
      <c r="AL127" s="92">
        <v>0.01</v>
      </c>
      <c r="AM127" s="349">
        <v>50</v>
      </c>
      <c r="AN127" s="348" t="s">
        <v>910</v>
      </c>
      <c r="AO127" s="349">
        <v>10</v>
      </c>
      <c r="AP127" s="348" t="s">
        <v>910</v>
      </c>
      <c r="AQ127" s="371">
        <v>0.37</v>
      </c>
      <c r="AR127" s="371">
        <v>0.43</v>
      </c>
      <c r="AS127" s="371">
        <v>0.17</v>
      </c>
      <c r="AT127" s="371">
        <v>0.04</v>
      </c>
      <c r="AU127" s="371">
        <v>0</v>
      </c>
      <c r="AV127" s="469">
        <v>50</v>
      </c>
      <c r="AW127" s="471" t="s">
        <v>910</v>
      </c>
      <c r="AX127" s="469">
        <v>10</v>
      </c>
      <c r="AY127" s="471" t="s">
        <v>910</v>
      </c>
      <c r="AZ127" s="501">
        <v>0.34</v>
      </c>
      <c r="BA127" s="501">
        <v>0.47</v>
      </c>
      <c r="BB127" s="501">
        <v>0.14000000000000001</v>
      </c>
      <c r="BC127" s="501">
        <v>0.04</v>
      </c>
      <c r="BD127" s="501">
        <v>0.01</v>
      </c>
      <c r="BE127" s="630">
        <v>51</v>
      </c>
      <c r="BF127" s="640" t="s">
        <v>910</v>
      </c>
      <c r="BG127" s="630">
        <v>10</v>
      </c>
      <c r="BH127" s="640" t="s">
        <v>910</v>
      </c>
      <c r="BI127" s="644">
        <v>0.31</v>
      </c>
      <c r="BJ127" s="644">
        <v>0.49</v>
      </c>
      <c r="BK127" s="644">
        <v>0.14000000000000001</v>
      </c>
      <c r="BL127" s="644">
        <v>0.06</v>
      </c>
      <c r="BM127" s="644">
        <v>0</v>
      </c>
    </row>
    <row r="128" spans="1:65" s="461" customFormat="1" ht="24.9" customHeight="1" x14ac:dyDescent="0.25">
      <c r="A128" s="470" t="s">
        <v>970</v>
      </c>
      <c r="B128" s="1" t="s">
        <v>220</v>
      </c>
      <c r="C128" s="471">
        <v>2</v>
      </c>
      <c r="D128" s="502"/>
      <c r="E128" s="502"/>
      <c r="F128" s="508"/>
      <c r="G128" s="508"/>
      <c r="H128" s="508"/>
      <c r="I128" s="508"/>
      <c r="J128" s="508"/>
      <c r="K128" s="502"/>
      <c r="L128" s="502"/>
      <c r="M128" s="504"/>
      <c r="N128" s="504"/>
      <c r="O128" s="504"/>
      <c r="P128" s="504"/>
      <c r="Q128" s="504"/>
      <c r="R128" s="502"/>
      <c r="S128" s="502"/>
      <c r="T128" s="501"/>
      <c r="U128" s="501"/>
      <c r="V128" s="501"/>
      <c r="W128" s="501"/>
      <c r="X128" s="501"/>
      <c r="Y128" s="502"/>
      <c r="Z128" s="502"/>
      <c r="AA128" s="501"/>
      <c r="AB128" s="501"/>
      <c r="AC128" s="501"/>
      <c r="AD128" s="501"/>
      <c r="AE128" s="501"/>
      <c r="AF128" s="514"/>
      <c r="AG128" s="514"/>
      <c r="AH128" s="504"/>
      <c r="AI128" s="504"/>
      <c r="AJ128" s="504"/>
      <c r="AK128" s="504"/>
      <c r="AL128" s="504"/>
      <c r="AM128" s="475"/>
      <c r="AN128" s="493"/>
      <c r="AO128" s="475"/>
      <c r="AP128" s="493"/>
      <c r="AQ128" s="507"/>
      <c r="AR128" s="507"/>
      <c r="AS128" s="507"/>
      <c r="AT128" s="507"/>
      <c r="AU128" s="507"/>
      <c r="AV128" s="469">
        <v>49</v>
      </c>
      <c r="AW128" s="471" t="s">
        <v>910</v>
      </c>
      <c r="AX128" s="469">
        <v>9</v>
      </c>
      <c r="AY128" s="471" t="s">
        <v>910</v>
      </c>
      <c r="AZ128" s="501">
        <v>0.51</v>
      </c>
      <c r="BA128" s="501">
        <v>0.32</v>
      </c>
      <c r="BB128" s="501">
        <v>0.12</v>
      </c>
      <c r="BC128" s="501">
        <v>0.05</v>
      </c>
      <c r="BD128" s="501">
        <v>0</v>
      </c>
      <c r="BE128" s="630">
        <v>49</v>
      </c>
      <c r="BF128" s="640" t="s">
        <v>910</v>
      </c>
      <c r="BG128" s="630">
        <v>10</v>
      </c>
      <c r="BH128" s="640" t="s">
        <v>910</v>
      </c>
      <c r="BI128" s="644">
        <v>0.48</v>
      </c>
      <c r="BJ128" s="644">
        <v>0.33</v>
      </c>
      <c r="BK128" s="644">
        <v>0.17</v>
      </c>
      <c r="BL128" s="644">
        <v>0.03</v>
      </c>
      <c r="BM128" s="644">
        <v>0</v>
      </c>
    </row>
    <row r="129" spans="1:65" ht="24.9" customHeight="1" x14ac:dyDescent="0.25">
      <c r="A129" s="188" t="s">
        <v>193</v>
      </c>
      <c r="B129" s="1" t="s">
        <v>222</v>
      </c>
      <c r="C129" s="2">
        <v>2</v>
      </c>
      <c r="D129" s="16">
        <v>49</v>
      </c>
      <c r="E129" s="16">
        <v>16</v>
      </c>
      <c r="F129" s="99">
        <v>0.5</v>
      </c>
      <c r="G129" s="99">
        <v>0</v>
      </c>
      <c r="H129" s="99">
        <v>0.5</v>
      </c>
      <c r="I129" s="99">
        <v>0</v>
      </c>
      <c r="J129" s="99">
        <v>0</v>
      </c>
      <c r="K129" s="13" t="s">
        <v>226</v>
      </c>
      <c r="L129" s="13" t="s">
        <v>226</v>
      </c>
      <c r="M129" s="92"/>
      <c r="N129" s="92"/>
      <c r="O129" s="92"/>
      <c r="P129" s="92"/>
      <c r="Q129" s="92"/>
      <c r="R129" s="13" t="s">
        <v>226</v>
      </c>
      <c r="S129" s="13" t="s">
        <v>226</v>
      </c>
      <c r="T129" s="2"/>
      <c r="U129" s="2"/>
      <c r="V129" s="2"/>
      <c r="W129" s="2"/>
      <c r="X129" s="2"/>
      <c r="Y129" s="13" t="s">
        <v>226</v>
      </c>
      <c r="Z129" s="13" t="s">
        <v>226</v>
      </c>
      <c r="AA129" s="2"/>
      <c r="AB129" s="2"/>
      <c r="AC129" s="2"/>
      <c r="AD129" s="2"/>
      <c r="AE129" s="2"/>
      <c r="AF129" s="91">
        <v>44</v>
      </c>
      <c r="AG129" s="91">
        <v>8</v>
      </c>
      <c r="AH129" s="92">
        <v>0.68</v>
      </c>
      <c r="AI129" s="92">
        <v>0.27</v>
      </c>
      <c r="AJ129" s="92">
        <v>0.03</v>
      </c>
      <c r="AK129" s="92">
        <v>0.02</v>
      </c>
      <c r="AL129" s="92">
        <v>0</v>
      </c>
      <c r="AM129" s="349">
        <v>40</v>
      </c>
      <c r="AN129" s="348" t="s">
        <v>912</v>
      </c>
      <c r="AO129" s="349">
        <v>6</v>
      </c>
      <c r="AP129" s="348" t="s">
        <v>912</v>
      </c>
      <c r="AQ129" s="371">
        <v>0.89</v>
      </c>
      <c r="AR129" s="371">
        <v>0.11</v>
      </c>
      <c r="AS129" s="371">
        <v>0</v>
      </c>
      <c r="AT129" s="371">
        <v>0</v>
      </c>
      <c r="AU129" s="371">
        <v>0</v>
      </c>
    </row>
    <row r="130" spans="1:65" ht="24.9" customHeight="1" x14ac:dyDescent="0.25">
      <c r="A130" s="188" t="s">
        <v>233</v>
      </c>
      <c r="B130" s="1" t="s">
        <v>222</v>
      </c>
      <c r="C130" s="2">
        <v>4</v>
      </c>
      <c r="D130" s="13" t="s">
        <v>226</v>
      </c>
      <c r="E130" s="13" t="s">
        <v>226</v>
      </c>
      <c r="F130" s="13"/>
      <c r="G130" s="13"/>
      <c r="H130" s="13"/>
      <c r="I130" s="13"/>
      <c r="J130" s="13"/>
      <c r="K130" s="13" t="s">
        <v>226</v>
      </c>
      <c r="L130" s="13" t="s">
        <v>226</v>
      </c>
      <c r="M130" s="92"/>
      <c r="N130" s="92"/>
      <c r="O130" s="92"/>
      <c r="P130" s="92"/>
      <c r="Q130" s="92"/>
      <c r="R130" s="16">
        <v>66</v>
      </c>
      <c r="S130" s="16">
        <v>12</v>
      </c>
      <c r="T130" s="96">
        <v>0</v>
      </c>
      <c r="U130" s="96">
        <v>0.5</v>
      </c>
      <c r="V130" s="96">
        <v>0</v>
      </c>
      <c r="W130" s="96">
        <v>0.5</v>
      </c>
      <c r="X130" s="96">
        <v>0</v>
      </c>
      <c r="Y130" s="13" t="s">
        <v>226</v>
      </c>
      <c r="Z130" s="13" t="s">
        <v>226</v>
      </c>
      <c r="AA130" s="2"/>
      <c r="AB130" s="2"/>
      <c r="AC130" s="2"/>
      <c r="AD130" s="2"/>
      <c r="AE130" s="2"/>
      <c r="AF130" s="91"/>
      <c r="AG130" s="91"/>
      <c r="AH130" s="92"/>
      <c r="AI130" s="92"/>
      <c r="AJ130" s="92"/>
      <c r="AK130" s="92"/>
      <c r="AL130" s="92"/>
    </row>
    <row r="131" spans="1:65" ht="24.9" customHeight="1" x14ac:dyDescent="0.25">
      <c r="A131" s="188" t="s">
        <v>158</v>
      </c>
      <c r="B131" s="1" t="s">
        <v>222</v>
      </c>
      <c r="C131" s="2">
        <v>5</v>
      </c>
      <c r="D131" s="16">
        <v>56</v>
      </c>
      <c r="E131" s="16">
        <v>11</v>
      </c>
      <c r="F131" s="99">
        <v>0.28000000000000003</v>
      </c>
      <c r="G131" s="99">
        <v>0.35</v>
      </c>
      <c r="H131" s="99">
        <v>0.21</v>
      </c>
      <c r="I131" s="99">
        <v>0.14000000000000001</v>
      </c>
      <c r="J131" s="99">
        <v>0.02</v>
      </c>
      <c r="K131" s="13">
        <v>56</v>
      </c>
      <c r="L131" s="13">
        <v>9</v>
      </c>
      <c r="M131" s="92">
        <v>0.16</v>
      </c>
      <c r="N131" s="92">
        <v>0.37</v>
      </c>
      <c r="O131" s="92">
        <v>0.4</v>
      </c>
      <c r="P131" s="92">
        <v>7.0000000000000007E-2</v>
      </c>
      <c r="Q131" s="92">
        <v>0</v>
      </c>
      <c r="R131" s="16">
        <v>54</v>
      </c>
      <c r="S131" s="16">
        <v>8</v>
      </c>
      <c r="T131" s="96">
        <v>0.17</v>
      </c>
      <c r="U131" s="96">
        <v>0.43</v>
      </c>
      <c r="V131" s="96">
        <v>0.4</v>
      </c>
      <c r="W131" s="96">
        <v>0</v>
      </c>
      <c r="X131" s="96">
        <v>0</v>
      </c>
      <c r="Y131" s="13">
        <v>53</v>
      </c>
      <c r="Z131" s="13">
        <v>8</v>
      </c>
      <c r="AA131" s="96">
        <v>0.22</v>
      </c>
      <c r="AB131" s="96">
        <v>0.48</v>
      </c>
      <c r="AC131" s="96">
        <v>0.28000000000000003</v>
      </c>
      <c r="AD131" s="96">
        <v>0.02</v>
      </c>
      <c r="AE131" s="96">
        <v>0</v>
      </c>
      <c r="AF131" s="91">
        <v>52</v>
      </c>
      <c r="AG131" s="91">
        <v>11</v>
      </c>
      <c r="AH131" s="92">
        <v>0.4</v>
      </c>
      <c r="AI131" s="92">
        <v>0.25</v>
      </c>
      <c r="AJ131" s="92">
        <v>0.24</v>
      </c>
      <c r="AK131" s="92">
        <v>0.11</v>
      </c>
      <c r="AL131" s="92">
        <v>0</v>
      </c>
      <c r="AM131" s="349">
        <v>53</v>
      </c>
      <c r="AN131" s="348" t="s">
        <v>910</v>
      </c>
      <c r="AO131" s="349">
        <v>9</v>
      </c>
      <c r="AP131" s="348" t="s">
        <v>910</v>
      </c>
      <c r="AQ131" s="371">
        <v>0.28000000000000003</v>
      </c>
      <c r="AR131" s="371">
        <v>0.46</v>
      </c>
      <c r="AS131" s="371">
        <v>0.22</v>
      </c>
      <c r="AT131" s="371">
        <v>0.04</v>
      </c>
      <c r="AU131" s="371">
        <v>0</v>
      </c>
      <c r="AV131" s="469">
        <v>54</v>
      </c>
      <c r="AW131" s="471" t="s">
        <v>910</v>
      </c>
      <c r="AX131" s="469">
        <v>8</v>
      </c>
      <c r="AY131" s="471" t="s">
        <v>910</v>
      </c>
      <c r="AZ131" s="501">
        <v>0.2</v>
      </c>
      <c r="BA131" s="501">
        <v>0.5</v>
      </c>
      <c r="BB131" s="501">
        <v>0.27</v>
      </c>
      <c r="BC131" s="501">
        <v>0.02</v>
      </c>
      <c r="BD131" s="501">
        <v>0.01</v>
      </c>
      <c r="BE131" s="630">
        <v>54</v>
      </c>
      <c r="BF131" s="640" t="s">
        <v>910</v>
      </c>
      <c r="BG131" s="630">
        <v>10</v>
      </c>
      <c r="BH131" s="640" t="s">
        <v>910</v>
      </c>
      <c r="BI131" s="644">
        <v>0.3</v>
      </c>
      <c r="BJ131" s="644">
        <v>0.24</v>
      </c>
      <c r="BK131" s="644">
        <v>0.41</v>
      </c>
      <c r="BL131" s="644">
        <v>0.02</v>
      </c>
      <c r="BM131" s="644">
        <v>0.04</v>
      </c>
    </row>
    <row r="132" spans="1:65" ht="24.9" customHeight="1" x14ac:dyDescent="0.25">
      <c r="A132" s="188" t="s">
        <v>216</v>
      </c>
      <c r="B132" s="1" t="s">
        <v>222</v>
      </c>
      <c r="C132" s="2">
        <v>6</v>
      </c>
      <c r="D132" s="16">
        <v>44</v>
      </c>
      <c r="E132" s="16">
        <v>0</v>
      </c>
      <c r="F132" s="99">
        <v>1</v>
      </c>
      <c r="G132" s="99">
        <v>0</v>
      </c>
      <c r="H132" s="99">
        <v>0</v>
      </c>
      <c r="I132" s="99">
        <v>0</v>
      </c>
      <c r="J132" s="99">
        <v>0</v>
      </c>
      <c r="K132" s="13" t="s">
        <v>228</v>
      </c>
      <c r="L132" s="13" t="s">
        <v>228</v>
      </c>
      <c r="M132" s="92"/>
      <c r="N132" s="92"/>
      <c r="O132" s="92"/>
      <c r="P132" s="92"/>
      <c r="Q132" s="92"/>
      <c r="R132" s="13" t="s">
        <v>226</v>
      </c>
      <c r="S132" s="13" t="s">
        <v>226</v>
      </c>
      <c r="T132" s="2"/>
      <c r="U132" s="2"/>
      <c r="V132" s="2"/>
      <c r="W132" s="2"/>
      <c r="X132" s="2"/>
      <c r="Y132" s="13" t="s">
        <v>226</v>
      </c>
      <c r="Z132" s="13" t="s">
        <v>226</v>
      </c>
      <c r="AA132" s="2"/>
      <c r="AB132" s="2"/>
      <c r="AC132" s="2"/>
      <c r="AD132" s="2"/>
      <c r="AE132" s="2"/>
      <c r="AF132" s="91"/>
      <c r="AG132" s="91"/>
      <c r="AH132" s="92"/>
      <c r="AI132" s="92"/>
      <c r="AJ132" s="92"/>
      <c r="AK132" s="92"/>
      <c r="AL132" s="92"/>
      <c r="AM132" s="349">
        <v>51</v>
      </c>
      <c r="AN132" s="348" t="s">
        <v>910</v>
      </c>
      <c r="AO132" s="349">
        <v>0</v>
      </c>
      <c r="AP132" s="348" t="s">
        <v>912</v>
      </c>
      <c r="AQ132" s="371">
        <v>0</v>
      </c>
      <c r="AR132" s="371">
        <v>1</v>
      </c>
      <c r="AS132" s="371">
        <v>0</v>
      </c>
      <c r="AT132" s="371">
        <v>0</v>
      </c>
      <c r="AU132" s="371">
        <v>0</v>
      </c>
    </row>
    <row r="133" spans="1:65" ht="24.9" customHeight="1" x14ac:dyDescent="0.25">
      <c r="A133" s="188" t="s">
        <v>120</v>
      </c>
      <c r="B133" s="1" t="s">
        <v>222</v>
      </c>
      <c r="C133" s="2">
        <v>4</v>
      </c>
      <c r="D133" s="16">
        <v>59</v>
      </c>
      <c r="E133" s="16">
        <v>10</v>
      </c>
      <c r="F133" s="99">
        <v>0.19</v>
      </c>
      <c r="G133" s="99">
        <v>0.19</v>
      </c>
      <c r="H133" s="99">
        <v>0.38</v>
      </c>
      <c r="I133" s="99">
        <v>0.25</v>
      </c>
      <c r="J133" s="99">
        <v>0</v>
      </c>
      <c r="K133" s="16">
        <v>57</v>
      </c>
      <c r="L133" s="16">
        <v>9</v>
      </c>
      <c r="M133" s="92">
        <v>0.2</v>
      </c>
      <c r="N133" s="92">
        <v>0.25</v>
      </c>
      <c r="O133" s="92">
        <v>0.5</v>
      </c>
      <c r="P133" s="92">
        <v>0.05</v>
      </c>
      <c r="Q133" s="92">
        <v>0</v>
      </c>
      <c r="R133" s="16">
        <v>63</v>
      </c>
      <c r="S133" s="16">
        <v>7</v>
      </c>
      <c r="T133" s="96">
        <v>0</v>
      </c>
      <c r="U133" s="96">
        <v>0.09</v>
      </c>
      <c r="V133" s="96">
        <v>0.73</v>
      </c>
      <c r="W133" s="96">
        <v>0.18</v>
      </c>
      <c r="X133" s="96">
        <v>0</v>
      </c>
      <c r="Y133" s="16">
        <v>54</v>
      </c>
      <c r="Z133" s="16">
        <v>8</v>
      </c>
      <c r="AA133" s="96">
        <v>0.23</v>
      </c>
      <c r="AB133" s="96">
        <v>0.38</v>
      </c>
      <c r="AC133" s="96">
        <v>0.31</v>
      </c>
      <c r="AD133" s="96">
        <v>0.08</v>
      </c>
      <c r="AE133" s="96">
        <v>0</v>
      </c>
      <c r="AF133" s="91">
        <v>51</v>
      </c>
      <c r="AG133" s="91">
        <v>10</v>
      </c>
      <c r="AH133" s="92">
        <v>0.5</v>
      </c>
      <c r="AI133" s="92">
        <v>0.25</v>
      </c>
      <c r="AJ133" s="92">
        <v>0.17</v>
      </c>
      <c r="AK133" s="92">
        <v>0.08</v>
      </c>
      <c r="AL133" s="92">
        <v>0</v>
      </c>
      <c r="AM133" s="349">
        <v>51</v>
      </c>
      <c r="AN133" s="348" t="s">
        <v>910</v>
      </c>
      <c r="AO133" s="349">
        <v>9</v>
      </c>
      <c r="AP133" s="348" t="s">
        <v>910</v>
      </c>
      <c r="AQ133" s="371">
        <v>0.32</v>
      </c>
      <c r="AR133" s="371">
        <v>0.41</v>
      </c>
      <c r="AS133" s="371">
        <v>0.23</v>
      </c>
      <c r="AT133" s="371">
        <v>0.05</v>
      </c>
      <c r="AU133" s="371">
        <v>0</v>
      </c>
      <c r="AV133" s="469">
        <v>60</v>
      </c>
      <c r="AW133" s="471" t="s">
        <v>910</v>
      </c>
      <c r="AX133" s="469">
        <v>8</v>
      </c>
      <c r="AY133" s="471" t="s">
        <v>910</v>
      </c>
      <c r="AZ133" s="501">
        <v>0.06</v>
      </c>
      <c r="BA133" s="501">
        <v>0.35</v>
      </c>
      <c r="BB133" s="501">
        <v>0.41</v>
      </c>
      <c r="BC133" s="501">
        <v>0.18</v>
      </c>
      <c r="BD133" s="501">
        <v>0</v>
      </c>
      <c r="BE133" s="630">
        <v>55</v>
      </c>
      <c r="BF133" s="640" t="s">
        <v>910</v>
      </c>
      <c r="BG133" s="630">
        <v>8</v>
      </c>
      <c r="BH133" s="640" t="s">
        <v>910</v>
      </c>
      <c r="BI133" s="644">
        <v>0.18</v>
      </c>
      <c r="BJ133" s="644">
        <v>0.36</v>
      </c>
      <c r="BK133" s="644">
        <v>0.36</v>
      </c>
      <c r="BL133" s="644">
        <v>0.09</v>
      </c>
      <c r="BM133" s="644">
        <v>0</v>
      </c>
    </row>
    <row r="134" spans="1:65" ht="24.9" customHeight="1" x14ac:dyDescent="0.25">
      <c r="A134" s="188" t="s">
        <v>52</v>
      </c>
      <c r="B134" s="1" t="s">
        <v>222</v>
      </c>
      <c r="C134" s="2">
        <v>6</v>
      </c>
      <c r="D134" s="16">
        <v>57</v>
      </c>
      <c r="E134" s="16">
        <v>10</v>
      </c>
      <c r="F134" s="99">
        <v>0.19</v>
      </c>
      <c r="G134" s="99">
        <v>0.32</v>
      </c>
      <c r="H134" s="99">
        <v>0.35</v>
      </c>
      <c r="I134" s="99">
        <v>0.14000000000000001</v>
      </c>
      <c r="J134" s="99">
        <v>0</v>
      </c>
      <c r="K134" s="16">
        <v>53</v>
      </c>
      <c r="L134" s="16">
        <v>9</v>
      </c>
      <c r="M134" s="92">
        <v>0.3</v>
      </c>
      <c r="N134" s="92">
        <v>0.38</v>
      </c>
      <c r="O134" s="92">
        <v>0.28000000000000003</v>
      </c>
      <c r="P134" s="92">
        <v>0.04</v>
      </c>
      <c r="Q134" s="92">
        <v>0</v>
      </c>
      <c r="R134" s="16">
        <v>54</v>
      </c>
      <c r="S134" s="16">
        <v>10</v>
      </c>
      <c r="T134" s="96">
        <v>0.28999999999999998</v>
      </c>
      <c r="U134" s="96">
        <v>0.31</v>
      </c>
      <c r="V134" s="96">
        <v>0.27</v>
      </c>
      <c r="W134" s="96">
        <v>0.1</v>
      </c>
      <c r="X134" s="96">
        <v>0.02</v>
      </c>
      <c r="Y134" s="16">
        <v>56</v>
      </c>
      <c r="Z134" s="16">
        <v>10</v>
      </c>
      <c r="AA134" s="96">
        <v>0.17</v>
      </c>
      <c r="AB134" s="96">
        <v>0.41</v>
      </c>
      <c r="AC134" s="96">
        <v>0.27</v>
      </c>
      <c r="AD134" s="96">
        <v>0.15</v>
      </c>
      <c r="AE134" s="96">
        <v>0</v>
      </c>
      <c r="AF134" s="91">
        <v>50</v>
      </c>
      <c r="AG134" s="91">
        <v>10</v>
      </c>
      <c r="AH134" s="92">
        <v>0.38</v>
      </c>
      <c r="AI134" s="92">
        <v>0.45</v>
      </c>
      <c r="AJ134" s="92">
        <v>0.14000000000000001</v>
      </c>
      <c r="AK134" s="92">
        <v>0.03</v>
      </c>
      <c r="AL134" s="92">
        <v>0</v>
      </c>
      <c r="AM134" s="349">
        <v>52</v>
      </c>
      <c r="AN134" s="348" t="s">
        <v>910</v>
      </c>
      <c r="AO134" s="349">
        <v>11</v>
      </c>
      <c r="AP134" s="348" t="s">
        <v>910</v>
      </c>
      <c r="AQ134" s="371">
        <v>0.38</v>
      </c>
      <c r="AR134" s="371">
        <v>0.31</v>
      </c>
      <c r="AS134" s="371">
        <v>0.23</v>
      </c>
      <c r="AT134" s="371">
        <v>0.08</v>
      </c>
      <c r="AU134" s="371">
        <v>0</v>
      </c>
      <c r="AV134" s="469">
        <v>57</v>
      </c>
      <c r="AW134" s="471" t="s">
        <v>910</v>
      </c>
      <c r="AX134" s="469">
        <v>10</v>
      </c>
      <c r="AY134" s="471" t="s">
        <v>910</v>
      </c>
      <c r="AZ134" s="501">
        <v>0.17</v>
      </c>
      <c r="BA134" s="501">
        <v>0.41</v>
      </c>
      <c r="BB134" s="501">
        <v>0.23</v>
      </c>
      <c r="BC134" s="501">
        <v>0.18</v>
      </c>
      <c r="BD134" s="501">
        <v>0.02</v>
      </c>
      <c r="BE134" s="630">
        <v>55</v>
      </c>
      <c r="BF134" s="640" t="s">
        <v>910</v>
      </c>
      <c r="BG134" s="630">
        <v>9</v>
      </c>
      <c r="BH134" s="640" t="s">
        <v>910</v>
      </c>
      <c r="BI134" s="644">
        <v>0.17</v>
      </c>
      <c r="BJ134" s="644">
        <v>0.51</v>
      </c>
      <c r="BK134" s="644">
        <v>0.24</v>
      </c>
      <c r="BL134" s="644">
        <v>7.0000000000000007E-2</v>
      </c>
      <c r="BM134" s="644">
        <v>0</v>
      </c>
    </row>
    <row r="135" spans="1:65" ht="24.9" customHeight="1" x14ac:dyDescent="0.25">
      <c r="A135" s="188" t="s">
        <v>40</v>
      </c>
      <c r="B135" s="1" t="s">
        <v>222</v>
      </c>
      <c r="C135" s="2">
        <v>2</v>
      </c>
      <c r="D135" s="16">
        <v>51</v>
      </c>
      <c r="E135" s="16">
        <v>8</v>
      </c>
      <c r="F135" s="99">
        <v>0.4</v>
      </c>
      <c r="G135" s="99">
        <v>0.4</v>
      </c>
      <c r="H135" s="99">
        <v>0.16</v>
      </c>
      <c r="I135" s="99">
        <v>0.04</v>
      </c>
      <c r="J135" s="99">
        <v>0</v>
      </c>
      <c r="K135" s="16">
        <v>48</v>
      </c>
      <c r="L135" s="16">
        <v>8</v>
      </c>
      <c r="M135" s="92">
        <v>0.5</v>
      </c>
      <c r="N135" s="92">
        <v>0.38</v>
      </c>
      <c r="O135" s="92">
        <v>0.11</v>
      </c>
      <c r="P135" s="92">
        <v>0.02</v>
      </c>
      <c r="Q135" s="92">
        <v>0</v>
      </c>
      <c r="R135" s="16">
        <v>49</v>
      </c>
      <c r="S135" s="16">
        <v>8</v>
      </c>
      <c r="T135" s="96">
        <v>0.41</v>
      </c>
      <c r="U135" s="96">
        <v>0.44</v>
      </c>
      <c r="V135" s="96">
        <v>0.1</v>
      </c>
      <c r="W135" s="96">
        <v>0.05</v>
      </c>
      <c r="X135" s="96">
        <v>0</v>
      </c>
      <c r="Y135" s="16">
        <v>47</v>
      </c>
      <c r="Z135" s="16">
        <v>10</v>
      </c>
      <c r="AA135" s="96">
        <v>0.51</v>
      </c>
      <c r="AB135" s="96">
        <v>0.36</v>
      </c>
      <c r="AC135" s="96">
        <v>0.12</v>
      </c>
      <c r="AD135" s="96">
        <v>0.01</v>
      </c>
      <c r="AE135" s="96">
        <v>0</v>
      </c>
      <c r="AF135" s="91">
        <v>47</v>
      </c>
      <c r="AG135" s="91">
        <v>10</v>
      </c>
      <c r="AH135" s="92">
        <v>0.56999999999999995</v>
      </c>
      <c r="AI135" s="92">
        <v>0.28999999999999998</v>
      </c>
      <c r="AJ135" s="92">
        <v>0.1</v>
      </c>
      <c r="AK135" s="92">
        <v>0.02</v>
      </c>
      <c r="AL135" s="92">
        <v>0.02</v>
      </c>
      <c r="AM135" s="349">
        <v>52</v>
      </c>
      <c r="AN135" s="348" t="s">
        <v>910</v>
      </c>
      <c r="AO135" s="349">
        <v>9</v>
      </c>
      <c r="AP135" s="348" t="s">
        <v>910</v>
      </c>
      <c r="AQ135" s="371">
        <v>0.28999999999999998</v>
      </c>
      <c r="AR135" s="371">
        <v>0.47</v>
      </c>
      <c r="AS135" s="371">
        <v>0.2</v>
      </c>
      <c r="AT135" s="371">
        <v>0.04</v>
      </c>
      <c r="AU135" s="371">
        <v>0</v>
      </c>
      <c r="AV135" s="469">
        <v>50</v>
      </c>
      <c r="AW135" s="471" t="s">
        <v>910</v>
      </c>
      <c r="AX135" s="469">
        <v>10</v>
      </c>
      <c r="AY135" s="471" t="s">
        <v>910</v>
      </c>
      <c r="AZ135" s="501">
        <v>0.35</v>
      </c>
      <c r="BA135" s="501">
        <v>0.46</v>
      </c>
      <c r="BB135" s="501">
        <v>0.14000000000000001</v>
      </c>
      <c r="BC135" s="501">
        <v>0.06</v>
      </c>
      <c r="BD135" s="501">
        <v>0</v>
      </c>
      <c r="BE135" s="630">
        <v>52</v>
      </c>
      <c r="BF135" s="640" t="s">
        <v>910</v>
      </c>
      <c r="BG135" s="630">
        <v>10</v>
      </c>
      <c r="BH135" s="640" t="s">
        <v>910</v>
      </c>
      <c r="BI135" s="644">
        <v>0.34</v>
      </c>
      <c r="BJ135" s="644">
        <v>0.38</v>
      </c>
      <c r="BK135" s="644">
        <v>0.18</v>
      </c>
      <c r="BL135" s="644">
        <v>0.08</v>
      </c>
      <c r="BM135" s="644">
        <v>0.02</v>
      </c>
    </row>
    <row r="136" spans="1:65" ht="24.9" customHeight="1" x14ac:dyDescent="0.25">
      <c r="A136" s="188" t="s">
        <v>229</v>
      </c>
      <c r="B136" s="1" t="s">
        <v>222</v>
      </c>
      <c r="C136" s="2">
        <v>2</v>
      </c>
      <c r="D136" s="13" t="s">
        <v>226</v>
      </c>
      <c r="E136" s="13" t="s">
        <v>226</v>
      </c>
      <c r="F136" s="13"/>
      <c r="G136" s="13"/>
      <c r="H136" s="13"/>
      <c r="I136" s="13"/>
      <c r="J136" s="13"/>
      <c r="K136" s="16">
        <v>43</v>
      </c>
      <c r="L136" s="16">
        <v>9</v>
      </c>
      <c r="M136" s="92">
        <v>0.72</v>
      </c>
      <c r="N136" s="92">
        <v>0.22</v>
      </c>
      <c r="O136" s="92">
        <v>0.06</v>
      </c>
      <c r="P136" s="92">
        <v>0</v>
      </c>
      <c r="Q136" s="92">
        <v>0</v>
      </c>
      <c r="R136" s="13" t="s">
        <v>226</v>
      </c>
      <c r="S136" s="13" t="s">
        <v>226</v>
      </c>
      <c r="T136" s="2"/>
      <c r="U136" s="2"/>
      <c r="V136" s="2"/>
      <c r="W136" s="2"/>
      <c r="X136" s="2"/>
      <c r="Y136" s="13" t="s">
        <v>226</v>
      </c>
      <c r="Z136" s="13" t="s">
        <v>226</v>
      </c>
      <c r="AA136" s="2"/>
      <c r="AB136" s="2"/>
      <c r="AC136" s="2"/>
      <c r="AD136" s="2"/>
      <c r="AE136" s="2"/>
      <c r="AF136" s="91"/>
      <c r="AG136" s="91"/>
      <c r="AH136" s="92"/>
      <c r="AI136" s="92"/>
      <c r="AJ136" s="92"/>
      <c r="AK136" s="92"/>
      <c r="AL136" s="92"/>
      <c r="AV136" s="469">
        <v>59</v>
      </c>
      <c r="AW136" s="471" t="s">
        <v>910</v>
      </c>
      <c r="AX136" s="469">
        <v>0</v>
      </c>
      <c r="AY136" s="471" t="s">
        <v>912</v>
      </c>
      <c r="AZ136" s="501">
        <v>0</v>
      </c>
      <c r="BA136" s="501">
        <v>0</v>
      </c>
      <c r="BB136" s="501">
        <v>1</v>
      </c>
      <c r="BC136" s="501">
        <v>0</v>
      </c>
      <c r="BD136" s="501">
        <v>0</v>
      </c>
      <c r="BE136" s="630">
        <v>45</v>
      </c>
      <c r="BF136" s="640" t="s">
        <v>912</v>
      </c>
      <c r="BG136" s="630">
        <v>8</v>
      </c>
      <c r="BH136" s="640" t="s">
        <v>910</v>
      </c>
      <c r="BI136" s="644">
        <v>0.69</v>
      </c>
      <c r="BJ136" s="644">
        <v>0.23</v>
      </c>
      <c r="BK136" s="644">
        <v>0.08</v>
      </c>
      <c r="BL136" s="644">
        <v>0</v>
      </c>
      <c r="BM136" s="644">
        <v>0</v>
      </c>
    </row>
    <row r="137" spans="1:65" s="461" customFormat="1" ht="24.9" customHeight="1" x14ac:dyDescent="0.25">
      <c r="A137" s="470" t="s">
        <v>972</v>
      </c>
      <c r="B137" s="1" t="s">
        <v>222</v>
      </c>
      <c r="C137" s="471">
        <v>4</v>
      </c>
      <c r="D137" s="505"/>
      <c r="E137" s="505"/>
      <c r="F137" s="505"/>
      <c r="G137" s="505"/>
      <c r="H137" s="505"/>
      <c r="I137" s="505"/>
      <c r="J137" s="505"/>
      <c r="K137" s="502"/>
      <c r="L137" s="502"/>
      <c r="M137" s="504"/>
      <c r="N137" s="504"/>
      <c r="O137" s="504"/>
      <c r="P137" s="504"/>
      <c r="Q137" s="504"/>
      <c r="R137" s="505"/>
      <c r="S137" s="505"/>
      <c r="T137" s="471"/>
      <c r="U137" s="471"/>
      <c r="V137" s="471"/>
      <c r="W137" s="471"/>
      <c r="X137" s="471"/>
      <c r="Y137" s="505"/>
      <c r="Z137" s="505"/>
      <c r="AA137" s="471"/>
      <c r="AB137" s="471"/>
      <c r="AC137" s="471"/>
      <c r="AD137" s="471"/>
      <c r="AE137" s="471"/>
      <c r="AF137" s="514"/>
      <c r="AG137" s="514"/>
      <c r="AH137" s="504"/>
      <c r="AI137" s="504"/>
      <c r="AJ137" s="504"/>
      <c r="AK137" s="504"/>
      <c r="AL137" s="504"/>
      <c r="AV137" s="469">
        <v>41</v>
      </c>
      <c r="AW137" s="471" t="s">
        <v>912</v>
      </c>
      <c r="AX137" s="469">
        <v>9</v>
      </c>
      <c r="AY137" s="471" t="s">
        <v>910</v>
      </c>
      <c r="AZ137" s="501">
        <v>0.73</v>
      </c>
      <c r="BA137" s="501">
        <v>0.2</v>
      </c>
      <c r="BB137" s="501">
        <v>7.0000000000000007E-2</v>
      </c>
      <c r="BC137" s="501">
        <v>0</v>
      </c>
      <c r="BD137" s="501">
        <v>0</v>
      </c>
      <c r="BE137" s="630">
        <v>38</v>
      </c>
      <c r="BF137" s="640" t="s">
        <v>912</v>
      </c>
      <c r="BG137" s="630">
        <v>6</v>
      </c>
      <c r="BH137" s="640" t="s">
        <v>912</v>
      </c>
      <c r="BI137" s="644">
        <v>1</v>
      </c>
      <c r="BJ137" s="644">
        <v>0</v>
      </c>
      <c r="BK137" s="644">
        <v>0</v>
      </c>
      <c r="BL137" s="644">
        <v>0</v>
      </c>
      <c r="BM137" s="644">
        <v>0</v>
      </c>
    </row>
    <row r="138" spans="1:65" ht="24.9" customHeight="1" x14ac:dyDescent="0.25">
      <c r="A138" s="188" t="s">
        <v>155</v>
      </c>
      <c r="B138" s="1" t="s">
        <v>222</v>
      </c>
      <c r="C138" s="2">
        <v>5</v>
      </c>
      <c r="D138" s="16">
        <v>42</v>
      </c>
      <c r="E138" s="16">
        <v>8</v>
      </c>
      <c r="F138" s="99">
        <v>0.67</v>
      </c>
      <c r="G138" s="99">
        <v>0.33</v>
      </c>
      <c r="H138" s="99">
        <v>0</v>
      </c>
      <c r="I138" s="99">
        <v>0</v>
      </c>
      <c r="J138" s="99">
        <v>0</v>
      </c>
      <c r="K138" s="16">
        <v>51</v>
      </c>
      <c r="L138" s="16">
        <v>10</v>
      </c>
      <c r="M138" s="92">
        <v>0.5</v>
      </c>
      <c r="N138" s="92">
        <v>0.25</v>
      </c>
      <c r="O138" s="92">
        <v>0.08</v>
      </c>
      <c r="P138" s="92">
        <v>0.17</v>
      </c>
      <c r="Q138" s="92">
        <v>0</v>
      </c>
      <c r="R138" s="13">
        <v>40</v>
      </c>
      <c r="S138" s="13">
        <v>11</v>
      </c>
      <c r="T138" s="96">
        <v>0.5</v>
      </c>
      <c r="U138" s="96">
        <v>0.5</v>
      </c>
      <c r="V138" s="96">
        <v>0</v>
      </c>
      <c r="W138" s="96">
        <v>0</v>
      </c>
      <c r="X138" s="96">
        <v>0</v>
      </c>
      <c r="Y138" s="16">
        <v>49</v>
      </c>
      <c r="Z138" s="16">
        <v>11</v>
      </c>
      <c r="AA138" s="96">
        <v>0.6</v>
      </c>
      <c r="AB138" s="96">
        <v>0.2</v>
      </c>
      <c r="AC138" s="96">
        <v>0.2</v>
      </c>
      <c r="AD138" s="96">
        <v>0</v>
      </c>
      <c r="AE138" s="96">
        <v>0</v>
      </c>
      <c r="AF138" s="91">
        <v>42</v>
      </c>
      <c r="AG138" s="91">
        <v>13</v>
      </c>
      <c r="AH138" s="92">
        <v>0.67</v>
      </c>
      <c r="AI138" s="92">
        <v>0.33</v>
      </c>
      <c r="AJ138" s="92">
        <v>0</v>
      </c>
      <c r="AK138" s="92">
        <v>0</v>
      </c>
      <c r="AL138" s="92">
        <v>0</v>
      </c>
      <c r="AM138" s="349">
        <v>55</v>
      </c>
      <c r="AN138" s="348" t="s">
        <v>910</v>
      </c>
      <c r="AO138" s="349">
        <v>11</v>
      </c>
      <c r="AP138" s="348" t="s">
        <v>910</v>
      </c>
      <c r="AQ138" s="371">
        <v>0.17</v>
      </c>
      <c r="AR138" s="371">
        <v>0.67</v>
      </c>
      <c r="AS138" s="371">
        <v>0</v>
      </c>
      <c r="AT138" s="371">
        <v>0.17</v>
      </c>
      <c r="AU138" s="371">
        <v>0</v>
      </c>
      <c r="AV138" s="469">
        <v>47</v>
      </c>
      <c r="AW138" s="471" t="s">
        <v>910</v>
      </c>
      <c r="AX138" s="469">
        <v>10</v>
      </c>
      <c r="AY138" s="471" t="s">
        <v>910</v>
      </c>
      <c r="AZ138" s="501">
        <v>0.25</v>
      </c>
      <c r="BA138" s="501">
        <v>0.75</v>
      </c>
      <c r="BB138" s="501">
        <v>0</v>
      </c>
      <c r="BC138" s="501">
        <v>0</v>
      </c>
      <c r="BD138" s="501">
        <v>0</v>
      </c>
      <c r="BE138" s="630">
        <v>57</v>
      </c>
      <c r="BF138" s="640" t="s">
        <v>910</v>
      </c>
      <c r="BG138" s="630">
        <v>8</v>
      </c>
      <c r="BH138" s="640" t="s">
        <v>910</v>
      </c>
      <c r="BI138" s="644">
        <v>0.25</v>
      </c>
      <c r="BJ138" s="644">
        <v>0</v>
      </c>
      <c r="BK138" s="644">
        <v>0.75</v>
      </c>
      <c r="BL138" s="644">
        <v>0</v>
      </c>
      <c r="BM138" s="644">
        <v>0</v>
      </c>
    </row>
    <row r="139" spans="1:65" ht="24.9" customHeight="1" x14ac:dyDescent="0.25">
      <c r="A139" s="188" t="s">
        <v>235</v>
      </c>
      <c r="B139" s="1" t="s">
        <v>222</v>
      </c>
      <c r="C139" s="2">
        <v>2</v>
      </c>
      <c r="D139" s="13" t="s">
        <v>226</v>
      </c>
      <c r="E139" s="13" t="s">
        <v>226</v>
      </c>
      <c r="F139" s="13"/>
      <c r="G139" s="13"/>
      <c r="H139" s="13"/>
      <c r="I139" s="13"/>
      <c r="J139" s="13"/>
      <c r="K139" s="13" t="s">
        <v>226</v>
      </c>
      <c r="L139" s="13" t="s">
        <v>226</v>
      </c>
      <c r="M139" s="92"/>
      <c r="N139" s="92"/>
      <c r="O139" s="92"/>
      <c r="P139" s="92"/>
      <c r="Q139" s="92"/>
      <c r="R139" s="13" t="s">
        <v>226</v>
      </c>
      <c r="S139" s="13" t="s">
        <v>226</v>
      </c>
      <c r="T139" s="2"/>
      <c r="U139" s="2"/>
      <c r="V139" s="2"/>
      <c r="W139" s="2"/>
      <c r="X139" s="2"/>
      <c r="Y139" s="16">
        <v>52</v>
      </c>
      <c r="Z139" s="16">
        <v>12</v>
      </c>
      <c r="AA139" s="96">
        <v>0.33</v>
      </c>
      <c r="AB139" s="96">
        <v>0.33</v>
      </c>
      <c r="AC139" s="96">
        <v>0.33</v>
      </c>
      <c r="AD139" s="96">
        <v>0</v>
      </c>
      <c r="AE139" s="96">
        <v>0</v>
      </c>
      <c r="AF139" s="91">
        <v>48</v>
      </c>
      <c r="AG139" s="91">
        <v>7</v>
      </c>
      <c r="AH139" s="92">
        <v>0.67</v>
      </c>
      <c r="AI139" s="92">
        <v>0.33</v>
      </c>
      <c r="AJ139" s="92">
        <v>0</v>
      </c>
      <c r="AK139" s="92">
        <v>0</v>
      </c>
      <c r="AL139" s="92">
        <v>0</v>
      </c>
      <c r="AM139" s="349">
        <v>46</v>
      </c>
      <c r="AN139" s="348" t="s">
        <v>910</v>
      </c>
      <c r="AO139" s="349">
        <v>12</v>
      </c>
      <c r="AP139" s="348" t="s">
        <v>910</v>
      </c>
      <c r="AQ139" s="371">
        <v>0.64</v>
      </c>
      <c r="AR139" s="371">
        <v>0.14000000000000001</v>
      </c>
      <c r="AS139" s="371">
        <v>0.14000000000000001</v>
      </c>
      <c r="AT139" s="371">
        <v>7.0000000000000007E-2</v>
      </c>
      <c r="AU139" s="371">
        <v>0</v>
      </c>
      <c r="AV139" s="469">
        <v>50</v>
      </c>
      <c r="AW139" s="471" t="s">
        <v>910</v>
      </c>
      <c r="AX139" s="469">
        <v>9</v>
      </c>
      <c r="AY139" s="471" t="s">
        <v>910</v>
      </c>
      <c r="AZ139" s="501">
        <v>0.38</v>
      </c>
      <c r="BA139" s="501">
        <v>0.43</v>
      </c>
      <c r="BB139" s="501">
        <v>0.19</v>
      </c>
      <c r="BC139" s="501">
        <v>0</v>
      </c>
      <c r="BD139" s="501">
        <v>0</v>
      </c>
      <c r="BE139" s="630">
        <v>45</v>
      </c>
      <c r="BF139" s="640" t="s">
        <v>912</v>
      </c>
      <c r="BG139" s="630">
        <v>12</v>
      </c>
      <c r="BH139" s="640" t="s">
        <v>910</v>
      </c>
      <c r="BI139" s="644">
        <v>0.68</v>
      </c>
      <c r="BJ139" s="644">
        <v>0.26</v>
      </c>
      <c r="BK139" s="644">
        <v>0</v>
      </c>
      <c r="BL139" s="644">
        <v>0.05</v>
      </c>
      <c r="BM139" s="644">
        <v>0</v>
      </c>
    </row>
    <row r="140" spans="1:65" ht="24.9" customHeight="1" x14ac:dyDescent="0.25">
      <c r="A140" s="188" t="s">
        <v>144</v>
      </c>
      <c r="B140" s="1" t="s">
        <v>222</v>
      </c>
      <c r="C140" s="2">
        <v>2</v>
      </c>
      <c r="D140" s="16">
        <v>51</v>
      </c>
      <c r="E140" s="16">
        <v>9</v>
      </c>
      <c r="F140" s="99">
        <v>0.28999999999999998</v>
      </c>
      <c r="G140" s="99">
        <v>0.56999999999999995</v>
      </c>
      <c r="H140" s="99">
        <v>0.12</v>
      </c>
      <c r="I140" s="99">
        <v>0.02</v>
      </c>
      <c r="J140" s="99">
        <v>0</v>
      </c>
      <c r="K140" s="16">
        <v>55</v>
      </c>
      <c r="L140" s="16">
        <v>10</v>
      </c>
      <c r="M140" s="92">
        <v>0.26</v>
      </c>
      <c r="N140" s="92">
        <v>0.31</v>
      </c>
      <c r="O140" s="92">
        <v>0.31</v>
      </c>
      <c r="P140" s="92">
        <v>0.1</v>
      </c>
      <c r="Q140" s="92">
        <v>0.03</v>
      </c>
      <c r="R140" s="16">
        <v>52</v>
      </c>
      <c r="S140" s="16">
        <v>9</v>
      </c>
      <c r="T140" s="96">
        <v>0.35</v>
      </c>
      <c r="U140" s="96">
        <v>0.35</v>
      </c>
      <c r="V140" s="96">
        <v>0.25</v>
      </c>
      <c r="W140" s="96">
        <v>0.04</v>
      </c>
      <c r="X140" s="96">
        <v>0</v>
      </c>
      <c r="Y140" s="16">
        <v>53</v>
      </c>
      <c r="Z140" s="16">
        <v>7</v>
      </c>
      <c r="AA140" s="96">
        <v>0.25</v>
      </c>
      <c r="AB140" s="96">
        <v>0.48</v>
      </c>
      <c r="AC140" s="96">
        <v>0.27</v>
      </c>
      <c r="AD140" s="96">
        <v>0</v>
      </c>
      <c r="AE140" s="96">
        <v>0</v>
      </c>
      <c r="AF140" s="91">
        <v>51</v>
      </c>
      <c r="AG140" s="91">
        <v>11</v>
      </c>
      <c r="AH140" s="92">
        <v>0.39</v>
      </c>
      <c r="AI140" s="92">
        <v>0.41</v>
      </c>
      <c r="AJ140" s="92">
        <v>0.13</v>
      </c>
      <c r="AK140" s="92">
        <v>0.05</v>
      </c>
      <c r="AL140" s="92">
        <v>0.02</v>
      </c>
      <c r="AM140" s="349">
        <v>56</v>
      </c>
      <c r="AN140" s="348" t="s">
        <v>910</v>
      </c>
      <c r="AO140" s="349">
        <v>9</v>
      </c>
      <c r="AP140" s="348" t="s">
        <v>910</v>
      </c>
      <c r="AQ140" s="371">
        <v>0.15</v>
      </c>
      <c r="AR140" s="371">
        <v>0.41</v>
      </c>
      <c r="AS140" s="371">
        <v>0.37</v>
      </c>
      <c r="AT140" s="371">
        <v>7.0000000000000007E-2</v>
      </c>
      <c r="AU140" s="371">
        <v>0</v>
      </c>
      <c r="AV140" s="469">
        <v>53</v>
      </c>
      <c r="AW140" s="471" t="s">
        <v>910</v>
      </c>
      <c r="AX140" s="469">
        <v>11</v>
      </c>
      <c r="AY140" s="471" t="s">
        <v>910</v>
      </c>
      <c r="AZ140" s="501">
        <v>0.28000000000000003</v>
      </c>
      <c r="BA140" s="501">
        <v>0.35</v>
      </c>
      <c r="BB140" s="501">
        <v>0.32</v>
      </c>
      <c r="BC140" s="501">
        <v>0.04</v>
      </c>
      <c r="BD140" s="501">
        <v>0.01</v>
      </c>
      <c r="BE140" s="630">
        <v>54</v>
      </c>
      <c r="BF140" s="640" t="s">
        <v>910</v>
      </c>
      <c r="BG140" s="630">
        <v>10</v>
      </c>
      <c r="BH140" s="640" t="s">
        <v>910</v>
      </c>
      <c r="BI140" s="644">
        <v>0.25</v>
      </c>
      <c r="BJ140" s="644">
        <v>0.41</v>
      </c>
      <c r="BK140" s="644">
        <v>0.25</v>
      </c>
      <c r="BL140" s="644">
        <v>0.09</v>
      </c>
      <c r="BM140" s="644">
        <v>0.01</v>
      </c>
    </row>
    <row r="141" spans="1:65" ht="24.9" customHeight="1" x14ac:dyDescent="0.25">
      <c r="A141" s="188" t="s">
        <v>210</v>
      </c>
      <c r="B141" s="1" t="s">
        <v>222</v>
      </c>
      <c r="C141" s="2">
        <v>1</v>
      </c>
      <c r="D141" s="16">
        <v>52</v>
      </c>
      <c r="E141" s="16">
        <v>6</v>
      </c>
      <c r="F141" s="99">
        <v>0.14000000000000001</v>
      </c>
      <c r="G141" s="99">
        <v>0.71</v>
      </c>
      <c r="H141" s="99">
        <v>0.14000000000000001</v>
      </c>
      <c r="I141" s="99">
        <v>0</v>
      </c>
      <c r="J141" s="99">
        <v>0</v>
      </c>
      <c r="K141" s="16">
        <v>54</v>
      </c>
      <c r="L141" s="16">
        <v>9</v>
      </c>
      <c r="M141" s="92">
        <v>0.28999999999999998</v>
      </c>
      <c r="N141" s="92">
        <v>0.43</v>
      </c>
      <c r="O141" s="92">
        <v>0.19</v>
      </c>
      <c r="P141" s="92">
        <v>0.1</v>
      </c>
      <c r="Q141" s="92">
        <v>0</v>
      </c>
      <c r="R141" s="16">
        <v>55</v>
      </c>
      <c r="S141" s="16">
        <v>8</v>
      </c>
      <c r="T141" s="96">
        <v>0.25</v>
      </c>
      <c r="U141" s="96">
        <v>0.38</v>
      </c>
      <c r="V141" s="96">
        <v>0.38</v>
      </c>
      <c r="W141" s="96">
        <v>0</v>
      </c>
      <c r="X141" s="96">
        <v>0</v>
      </c>
      <c r="Y141" s="16">
        <v>55</v>
      </c>
      <c r="Z141" s="16">
        <v>7</v>
      </c>
      <c r="AA141" s="96">
        <v>0.17</v>
      </c>
      <c r="AB141" s="96">
        <v>0.5</v>
      </c>
      <c r="AC141" s="96">
        <v>0.28000000000000003</v>
      </c>
      <c r="AD141" s="96">
        <v>0.06</v>
      </c>
      <c r="AE141" s="96">
        <v>0</v>
      </c>
      <c r="AF141" s="91">
        <v>53</v>
      </c>
      <c r="AG141" s="91">
        <v>10</v>
      </c>
      <c r="AH141" s="92">
        <v>0.28000000000000003</v>
      </c>
      <c r="AI141" s="92">
        <v>0.36</v>
      </c>
      <c r="AJ141" s="92">
        <v>0.28000000000000003</v>
      </c>
      <c r="AK141" s="92">
        <v>0.08</v>
      </c>
      <c r="AL141" s="92">
        <v>0</v>
      </c>
      <c r="AM141" s="349">
        <v>53</v>
      </c>
      <c r="AN141" s="348" t="s">
        <v>910</v>
      </c>
      <c r="AO141" s="349">
        <v>10</v>
      </c>
      <c r="AP141" s="348" t="s">
        <v>910</v>
      </c>
      <c r="AQ141" s="371">
        <v>0.28999999999999998</v>
      </c>
      <c r="AR141" s="371">
        <v>0.46</v>
      </c>
      <c r="AS141" s="371">
        <v>0.13</v>
      </c>
      <c r="AT141" s="371">
        <v>0.08</v>
      </c>
      <c r="AU141" s="371">
        <v>0.04</v>
      </c>
      <c r="AV141" s="469">
        <v>58</v>
      </c>
      <c r="AW141" s="471" t="s">
        <v>910</v>
      </c>
      <c r="AX141" s="469">
        <v>9</v>
      </c>
      <c r="AY141" s="471" t="s">
        <v>910</v>
      </c>
      <c r="AZ141" s="501">
        <v>0.14000000000000001</v>
      </c>
      <c r="BA141" s="501">
        <v>0.31</v>
      </c>
      <c r="BB141" s="501">
        <v>0.45</v>
      </c>
      <c r="BC141" s="501">
        <v>7.0000000000000007E-2</v>
      </c>
      <c r="BD141" s="501">
        <v>0.03</v>
      </c>
      <c r="BE141" s="630">
        <v>57</v>
      </c>
      <c r="BF141" s="640" t="s">
        <v>910</v>
      </c>
      <c r="BG141" s="630">
        <v>10</v>
      </c>
      <c r="BH141" s="640" t="s">
        <v>910</v>
      </c>
      <c r="BI141" s="644">
        <v>0.17</v>
      </c>
      <c r="BJ141" s="644">
        <v>0.34</v>
      </c>
      <c r="BK141" s="644">
        <v>0.36</v>
      </c>
      <c r="BL141" s="644">
        <v>0.11</v>
      </c>
      <c r="BM141" s="644">
        <v>0.02</v>
      </c>
    </row>
    <row r="142" spans="1:65" ht="24.9" customHeight="1" x14ac:dyDescent="0.25">
      <c r="A142" s="188" t="s">
        <v>67</v>
      </c>
      <c r="B142" s="1" t="s">
        <v>222</v>
      </c>
      <c r="C142" s="2">
        <v>1</v>
      </c>
      <c r="D142" s="16">
        <v>55</v>
      </c>
      <c r="E142" s="16">
        <v>8</v>
      </c>
      <c r="F142" s="99">
        <v>0.2</v>
      </c>
      <c r="G142" s="99">
        <v>0.45</v>
      </c>
      <c r="H142" s="99">
        <v>0.3</v>
      </c>
      <c r="I142" s="99">
        <v>0.05</v>
      </c>
      <c r="J142" s="99">
        <v>0</v>
      </c>
      <c r="K142" s="16">
        <v>55</v>
      </c>
      <c r="L142" s="16">
        <v>10</v>
      </c>
      <c r="M142" s="92">
        <v>0.25</v>
      </c>
      <c r="N142" s="92">
        <v>0.38</v>
      </c>
      <c r="O142" s="92">
        <v>0.28000000000000003</v>
      </c>
      <c r="P142" s="92">
        <v>0.09</v>
      </c>
      <c r="Q142" s="92">
        <v>0</v>
      </c>
      <c r="R142" s="16">
        <v>53</v>
      </c>
      <c r="S142" s="16">
        <v>9</v>
      </c>
      <c r="T142" s="96">
        <v>0.27</v>
      </c>
      <c r="U142" s="96">
        <v>0.37</v>
      </c>
      <c r="V142" s="96">
        <v>0.3</v>
      </c>
      <c r="W142" s="96">
        <v>7.0000000000000007E-2</v>
      </c>
      <c r="X142" s="96">
        <v>0</v>
      </c>
      <c r="Y142" s="16">
        <v>53</v>
      </c>
      <c r="Z142" s="16">
        <v>9</v>
      </c>
      <c r="AA142" s="96">
        <v>0.23</v>
      </c>
      <c r="AB142" s="96">
        <v>0.5</v>
      </c>
      <c r="AC142" s="96">
        <v>0.2</v>
      </c>
      <c r="AD142" s="96">
        <v>7.0000000000000007E-2</v>
      </c>
      <c r="AE142" s="96">
        <v>0</v>
      </c>
      <c r="AF142" s="91">
        <v>50</v>
      </c>
      <c r="AG142" s="91">
        <v>9</v>
      </c>
      <c r="AH142" s="92">
        <v>0.44</v>
      </c>
      <c r="AI142" s="92">
        <v>0.37</v>
      </c>
      <c r="AJ142" s="92">
        <v>0.15</v>
      </c>
      <c r="AK142" s="92">
        <v>0.04</v>
      </c>
      <c r="AL142" s="92">
        <v>0</v>
      </c>
      <c r="AM142" s="349">
        <v>56</v>
      </c>
      <c r="AN142" s="348" t="s">
        <v>910</v>
      </c>
      <c r="AO142" s="349">
        <v>10</v>
      </c>
      <c r="AP142" s="348" t="s">
        <v>910</v>
      </c>
      <c r="AQ142" s="371">
        <v>0.18</v>
      </c>
      <c r="AR142" s="371">
        <v>0.42</v>
      </c>
      <c r="AS142" s="371">
        <v>0.27</v>
      </c>
      <c r="AT142" s="371">
        <v>0.12</v>
      </c>
      <c r="AU142" s="371">
        <v>0.02</v>
      </c>
      <c r="AV142" s="469">
        <v>58</v>
      </c>
      <c r="AW142" s="471" t="s">
        <v>910</v>
      </c>
      <c r="AX142" s="469">
        <v>10</v>
      </c>
      <c r="AY142" s="471" t="s">
        <v>910</v>
      </c>
      <c r="AZ142" s="501">
        <v>0.15</v>
      </c>
      <c r="BA142" s="501">
        <v>0.34</v>
      </c>
      <c r="BB142" s="501">
        <v>0.31</v>
      </c>
      <c r="BC142" s="501">
        <v>0.19</v>
      </c>
      <c r="BD142" s="501">
        <v>0.01</v>
      </c>
      <c r="BE142" s="630">
        <v>59</v>
      </c>
      <c r="BF142" s="640" t="s">
        <v>910</v>
      </c>
      <c r="BG142" s="630">
        <v>12</v>
      </c>
      <c r="BH142" s="640" t="s">
        <v>910</v>
      </c>
      <c r="BI142" s="644">
        <v>0.19</v>
      </c>
      <c r="BJ142" s="644">
        <v>0.32</v>
      </c>
      <c r="BK142" s="644">
        <v>0.24</v>
      </c>
      <c r="BL142" s="644">
        <v>0.22</v>
      </c>
      <c r="BM142" s="644">
        <v>0.03</v>
      </c>
    </row>
    <row r="143" spans="1:65" s="461" customFormat="1" ht="24.9" customHeight="1" x14ac:dyDescent="0.25">
      <c r="A143" s="470" t="s">
        <v>928</v>
      </c>
      <c r="B143" s="1" t="s">
        <v>222</v>
      </c>
      <c r="C143" s="471">
        <v>6</v>
      </c>
      <c r="D143" s="502"/>
      <c r="E143" s="502"/>
      <c r="F143" s="508"/>
      <c r="G143" s="508"/>
      <c r="H143" s="508"/>
      <c r="I143" s="508"/>
      <c r="J143" s="508"/>
      <c r="K143" s="502"/>
      <c r="L143" s="502"/>
      <c r="M143" s="504"/>
      <c r="N143" s="504"/>
      <c r="O143" s="504"/>
      <c r="P143" s="504"/>
      <c r="Q143" s="504"/>
      <c r="R143" s="502"/>
      <c r="S143" s="502"/>
      <c r="T143" s="501"/>
      <c r="U143" s="501"/>
      <c r="V143" s="501"/>
      <c r="W143" s="501"/>
      <c r="X143" s="501"/>
      <c r="Y143" s="502"/>
      <c r="Z143" s="502"/>
      <c r="AA143" s="501"/>
      <c r="AB143" s="501"/>
      <c r="AC143" s="501"/>
      <c r="AD143" s="501"/>
      <c r="AE143" s="501"/>
      <c r="AF143" s="514"/>
      <c r="AG143" s="514"/>
      <c r="AH143" s="504"/>
      <c r="AI143" s="504"/>
      <c r="AJ143" s="504"/>
      <c r="AK143" s="504"/>
      <c r="AL143" s="504"/>
      <c r="AM143" s="475"/>
      <c r="AN143" s="493"/>
      <c r="AO143" s="475"/>
      <c r="AP143" s="493"/>
      <c r="AQ143" s="507"/>
      <c r="AR143" s="507"/>
      <c r="AS143" s="507"/>
      <c r="AT143" s="507"/>
      <c r="AU143" s="507"/>
      <c r="AV143" s="469">
        <v>46</v>
      </c>
      <c r="AW143" s="471" t="s">
        <v>910</v>
      </c>
      <c r="AX143" s="469">
        <v>9</v>
      </c>
      <c r="AY143" s="471" t="s">
        <v>910</v>
      </c>
      <c r="AZ143" s="501">
        <v>0.43</v>
      </c>
      <c r="BA143" s="501">
        <v>0.56999999999999995</v>
      </c>
      <c r="BB143" s="501">
        <v>0</v>
      </c>
      <c r="BC143" s="501">
        <v>0</v>
      </c>
      <c r="BD143" s="501">
        <v>0</v>
      </c>
      <c r="BE143" s="630">
        <v>42</v>
      </c>
      <c r="BF143" s="640" t="s">
        <v>912</v>
      </c>
      <c r="BG143" s="630">
        <v>9</v>
      </c>
      <c r="BH143" s="640" t="s">
        <v>910</v>
      </c>
      <c r="BI143" s="644">
        <v>0.67</v>
      </c>
      <c r="BJ143" s="644">
        <v>0.33</v>
      </c>
      <c r="BK143" s="644">
        <v>0</v>
      </c>
      <c r="BL143" s="644">
        <v>0</v>
      </c>
      <c r="BM143" s="644">
        <v>0</v>
      </c>
    </row>
    <row r="144" spans="1:65" ht="24.9" customHeight="1" x14ac:dyDescent="0.25">
      <c r="A144" s="188" t="s">
        <v>31</v>
      </c>
      <c r="B144" s="1" t="s">
        <v>222</v>
      </c>
      <c r="C144" s="2">
        <v>6</v>
      </c>
      <c r="D144" s="16">
        <v>55</v>
      </c>
      <c r="E144" s="16">
        <v>11</v>
      </c>
      <c r="F144" s="99">
        <v>0.27</v>
      </c>
      <c r="G144" s="99">
        <v>0.27</v>
      </c>
      <c r="H144" s="99">
        <v>0.36</v>
      </c>
      <c r="I144" s="99">
        <v>0.09</v>
      </c>
      <c r="J144" s="99">
        <v>0</v>
      </c>
      <c r="K144" s="16">
        <v>43</v>
      </c>
      <c r="L144" s="16">
        <v>8</v>
      </c>
      <c r="M144" s="92">
        <v>0.83</v>
      </c>
      <c r="N144" s="92">
        <v>0.08</v>
      </c>
      <c r="O144" s="92">
        <v>0.08</v>
      </c>
      <c r="P144" s="92">
        <v>0</v>
      </c>
      <c r="Q144" s="92">
        <v>0</v>
      </c>
      <c r="R144" s="16">
        <v>50</v>
      </c>
      <c r="S144" s="16">
        <v>13</v>
      </c>
      <c r="T144" s="96">
        <v>0.38</v>
      </c>
      <c r="U144" s="96">
        <v>0.5</v>
      </c>
      <c r="V144" s="96">
        <v>0</v>
      </c>
      <c r="W144" s="96">
        <v>0.13</v>
      </c>
      <c r="X144" s="96">
        <v>0</v>
      </c>
      <c r="Y144" s="16">
        <v>45</v>
      </c>
      <c r="Z144" s="16">
        <v>10</v>
      </c>
      <c r="AA144" s="96">
        <v>0.75</v>
      </c>
      <c r="AB144" s="96">
        <v>0.25</v>
      </c>
      <c r="AC144" s="96">
        <v>0</v>
      </c>
      <c r="AD144" s="96">
        <v>0</v>
      </c>
      <c r="AE144" s="96">
        <v>0</v>
      </c>
      <c r="AF144" s="91">
        <v>43</v>
      </c>
      <c r="AG144" s="91">
        <v>5</v>
      </c>
      <c r="AH144" s="92">
        <v>0.75</v>
      </c>
      <c r="AI144" s="92">
        <v>0.25</v>
      </c>
      <c r="AJ144" s="92">
        <v>0</v>
      </c>
      <c r="AK144" s="92">
        <v>0</v>
      </c>
      <c r="AL144" s="92">
        <v>0</v>
      </c>
      <c r="AM144" s="349">
        <v>59</v>
      </c>
      <c r="AN144" s="348" t="s">
        <v>910</v>
      </c>
      <c r="AO144" s="349">
        <v>17</v>
      </c>
      <c r="AP144" s="348" t="s">
        <v>911</v>
      </c>
      <c r="AQ144" s="371">
        <v>0.2</v>
      </c>
      <c r="AR144" s="371">
        <v>0.2</v>
      </c>
      <c r="AS144" s="371">
        <v>0.2</v>
      </c>
      <c r="AT144" s="371">
        <v>0.2</v>
      </c>
      <c r="AU144" s="371">
        <v>0.2</v>
      </c>
      <c r="AV144" s="469">
        <v>51</v>
      </c>
      <c r="AW144" s="471" t="s">
        <v>910</v>
      </c>
      <c r="AX144" s="469">
        <v>10</v>
      </c>
      <c r="AY144" s="471" t="s">
        <v>910</v>
      </c>
      <c r="AZ144" s="501">
        <v>0.4</v>
      </c>
      <c r="BA144" s="501">
        <v>0.5</v>
      </c>
      <c r="BB144" s="501">
        <v>0</v>
      </c>
      <c r="BC144" s="501">
        <v>0.1</v>
      </c>
      <c r="BD144" s="501">
        <v>0</v>
      </c>
      <c r="BE144" s="630">
        <v>57</v>
      </c>
      <c r="BF144" s="640" t="s">
        <v>910</v>
      </c>
      <c r="BG144" s="630">
        <v>9</v>
      </c>
      <c r="BH144" s="640" t="s">
        <v>910</v>
      </c>
      <c r="BI144" s="644">
        <v>0.28999999999999998</v>
      </c>
      <c r="BJ144" s="644">
        <v>0.28999999999999998</v>
      </c>
      <c r="BK144" s="644">
        <v>0.28999999999999998</v>
      </c>
      <c r="BL144" s="644">
        <v>0.14000000000000001</v>
      </c>
      <c r="BM144" s="644">
        <v>0</v>
      </c>
    </row>
    <row r="145" spans="1:65" ht="24.9" customHeight="1" x14ac:dyDescent="0.25">
      <c r="A145" s="188" t="s">
        <v>54</v>
      </c>
      <c r="B145" s="1" t="s">
        <v>222</v>
      </c>
      <c r="C145" s="2">
        <v>6</v>
      </c>
      <c r="D145" s="16">
        <v>58</v>
      </c>
      <c r="E145" s="16">
        <v>9</v>
      </c>
      <c r="F145" s="99">
        <v>0.14000000000000001</v>
      </c>
      <c r="G145" s="99">
        <v>0.36</v>
      </c>
      <c r="H145" s="99">
        <v>0.33</v>
      </c>
      <c r="I145" s="99">
        <v>0.17</v>
      </c>
      <c r="J145" s="99">
        <v>0</v>
      </c>
      <c r="K145" s="16">
        <v>56</v>
      </c>
      <c r="L145" s="16">
        <v>12</v>
      </c>
      <c r="M145" s="92">
        <v>0.26</v>
      </c>
      <c r="N145" s="92">
        <v>0.28999999999999998</v>
      </c>
      <c r="O145" s="92">
        <v>0.28999999999999998</v>
      </c>
      <c r="P145" s="92">
        <v>0.14000000000000001</v>
      </c>
      <c r="Q145" s="92">
        <v>0.03</v>
      </c>
      <c r="R145" s="16">
        <v>55</v>
      </c>
      <c r="S145" s="16">
        <v>10</v>
      </c>
      <c r="T145" s="96">
        <v>0.24</v>
      </c>
      <c r="U145" s="96">
        <v>0.28000000000000003</v>
      </c>
      <c r="V145" s="96">
        <v>0.36</v>
      </c>
      <c r="W145" s="96">
        <v>0.12</v>
      </c>
      <c r="X145" s="96">
        <v>0</v>
      </c>
      <c r="Y145" s="16">
        <v>59</v>
      </c>
      <c r="Z145" s="16">
        <v>10</v>
      </c>
      <c r="AA145" s="96">
        <v>0.17</v>
      </c>
      <c r="AB145" s="96">
        <v>0.27</v>
      </c>
      <c r="AC145" s="96">
        <v>0.33</v>
      </c>
      <c r="AD145" s="96">
        <v>0.23</v>
      </c>
      <c r="AE145" s="96">
        <v>0</v>
      </c>
      <c r="AF145" s="91">
        <v>52</v>
      </c>
      <c r="AG145" s="91">
        <v>12</v>
      </c>
      <c r="AH145" s="92">
        <v>0.28000000000000003</v>
      </c>
      <c r="AI145" s="92">
        <v>0.52</v>
      </c>
      <c r="AJ145" s="92">
        <v>0.16</v>
      </c>
      <c r="AK145" s="92">
        <v>0</v>
      </c>
      <c r="AL145" s="92">
        <v>0.04</v>
      </c>
      <c r="AM145" s="349">
        <v>61</v>
      </c>
      <c r="AN145" s="348" t="s">
        <v>911</v>
      </c>
      <c r="AO145" s="349">
        <v>8</v>
      </c>
      <c r="AP145" s="348" t="s">
        <v>910</v>
      </c>
      <c r="AQ145" s="371">
        <v>0.06</v>
      </c>
      <c r="AR145" s="371">
        <v>0.28999999999999998</v>
      </c>
      <c r="AS145" s="371">
        <v>0.48</v>
      </c>
      <c r="AT145" s="371">
        <v>0.16</v>
      </c>
      <c r="AU145" s="371">
        <v>0</v>
      </c>
      <c r="AV145" s="469">
        <v>62</v>
      </c>
      <c r="AW145" s="471" t="s">
        <v>911</v>
      </c>
      <c r="AX145" s="469">
        <v>8</v>
      </c>
      <c r="AY145" s="471" t="s">
        <v>910</v>
      </c>
      <c r="AZ145" s="501">
        <v>0</v>
      </c>
      <c r="BA145" s="501">
        <v>0.38</v>
      </c>
      <c r="BB145" s="501">
        <v>0.38</v>
      </c>
      <c r="BC145" s="501">
        <v>0.19</v>
      </c>
      <c r="BD145" s="501">
        <v>0.04</v>
      </c>
      <c r="BE145" s="630">
        <v>65</v>
      </c>
      <c r="BF145" s="640" t="s">
        <v>911</v>
      </c>
      <c r="BG145" s="630">
        <v>8</v>
      </c>
      <c r="BH145" s="640" t="s">
        <v>910</v>
      </c>
      <c r="BI145" s="644">
        <v>0.04</v>
      </c>
      <c r="BJ145" s="644">
        <v>0.17</v>
      </c>
      <c r="BK145" s="644">
        <v>0.35</v>
      </c>
      <c r="BL145" s="644">
        <v>0.39</v>
      </c>
      <c r="BM145" s="644">
        <v>0.04</v>
      </c>
    </row>
    <row r="146" spans="1:65" s="219" customFormat="1" ht="24.9" customHeight="1" x14ac:dyDescent="0.25">
      <c r="A146" s="188" t="s">
        <v>878</v>
      </c>
      <c r="B146" s="1" t="s">
        <v>222</v>
      </c>
      <c r="C146" s="2">
        <v>4</v>
      </c>
      <c r="D146" s="16"/>
      <c r="E146" s="16"/>
      <c r="F146" s="99"/>
      <c r="G146" s="99"/>
      <c r="H146" s="99"/>
      <c r="I146" s="99"/>
      <c r="J146" s="99"/>
      <c r="K146" s="16"/>
      <c r="L146" s="16"/>
      <c r="M146" s="92"/>
      <c r="N146" s="92"/>
      <c r="O146" s="92"/>
      <c r="P146" s="92"/>
      <c r="Q146" s="92"/>
      <c r="R146" s="16"/>
      <c r="S146" s="16"/>
      <c r="T146" s="96"/>
      <c r="U146" s="96"/>
      <c r="V146" s="96"/>
      <c r="W146" s="96"/>
      <c r="X146" s="96"/>
      <c r="Y146" s="16"/>
      <c r="Z146" s="16"/>
      <c r="AA146" s="96"/>
      <c r="AB146" s="96"/>
      <c r="AC146" s="96"/>
      <c r="AD146" s="96"/>
      <c r="AE146" s="96"/>
      <c r="AF146" s="91"/>
      <c r="AG146" s="91"/>
      <c r="AH146" s="92"/>
      <c r="AI146" s="92"/>
      <c r="AJ146" s="92"/>
      <c r="AK146" s="92"/>
      <c r="AL146" s="92"/>
      <c r="AN146" s="336"/>
      <c r="AP146" s="336"/>
      <c r="BE146" s="630">
        <v>55</v>
      </c>
      <c r="BF146" s="640" t="s">
        <v>910</v>
      </c>
      <c r="BG146" s="630">
        <v>8</v>
      </c>
      <c r="BH146" s="640" t="s">
        <v>910</v>
      </c>
      <c r="BI146" s="644">
        <v>0.13</v>
      </c>
      <c r="BJ146" s="644">
        <v>0.5</v>
      </c>
      <c r="BK146" s="644">
        <v>0.38</v>
      </c>
      <c r="BL146" s="644">
        <v>0</v>
      </c>
      <c r="BM146" s="644">
        <v>0</v>
      </c>
    </row>
    <row r="147" spans="1:65" ht="24.9" customHeight="1" x14ac:dyDescent="0.25">
      <c r="A147" s="188" t="s">
        <v>142</v>
      </c>
      <c r="B147" s="1" t="s">
        <v>222</v>
      </c>
      <c r="C147" s="2">
        <v>2</v>
      </c>
      <c r="D147" s="16">
        <v>50</v>
      </c>
      <c r="E147" s="16">
        <v>11</v>
      </c>
      <c r="F147" s="99">
        <v>0.56000000000000005</v>
      </c>
      <c r="G147" s="99">
        <v>0.31</v>
      </c>
      <c r="H147" s="99">
        <v>0</v>
      </c>
      <c r="I147" s="99">
        <v>0.13</v>
      </c>
      <c r="J147" s="99">
        <v>0</v>
      </c>
      <c r="K147" s="16">
        <v>51</v>
      </c>
      <c r="L147" s="16">
        <v>10</v>
      </c>
      <c r="M147" s="92">
        <v>0.44</v>
      </c>
      <c r="N147" s="92">
        <v>0.33</v>
      </c>
      <c r="O147" s="92">
        <v>0.11</v>
      </c>
      <c r="P147" s="92">
        <v>0.11</v>
      </c>
      <c r="Q147" s="92">
        <v>0</v>
      </c>
      <c r="R147" s="16">
        <v>51</v>
      </c>
      <c r="S147" s="16">
        <v>9</v>
      </c>
      <c r="T147" s="96">
        <v>0.27</v>
      </c>
      <c r="U147" s="96">
        <v>0.53</v>
      </c>
      <c r="V147" s="96">
        <v>0.2</v>
      </c>
      <c r="W147" s="96">
        <v>0</v>
      </c>
      <c r="X147" s="96">
        <v>0</v>
      </c>
      <c r="Y147" s="16">
        <v>44</v>
      </c>
      <c r="Z147" s="16">
        <v>11</v>
      </c>
      <c r="AA147" s="96">
        <v>0.64</v>
      </c>
      <c r="AB147" s="96">
        <v>0.27</v>
      </c>
      <c r="AC147" s="96">
        <v>0.09</v>
      </c>
      <c r="AD147" s="96">
        <v>0</v>
      </c>
      <c r="AE147" s="96">
        <v>0</v>
      </c>
      <c r="AF147" s="91">
        <v>47</v>
      </c>
      <c r="AG147" s="91">
        <v>11</v>
      </c>
      <c r="AH147" s="92">
        <v>0.56999999999999995</v>
      </c>
      <c r="AI147" s="92">
        <v>0.28999999999999998</v>
      </c>
      <c r="AJ147" s="92">
        <v>0</v>
      </c>
      <c r="AK147" s="92">
        <v>0.14000000000000001</v>
      </c>
      <c r="AL147" s="92">
        <v>0</v>
      </c>
      <c r="AM147" s="349">
        <v>51</v>
      </c>
      <c r="AN147" s="348" t="s">
        <v>910</v>
      </c>
      <c r="AO147" s="349">
        <v>9</v>
      </c>
      <c r="AP147" s="348" t="s">
        <v>910</v>
      </c>
      <c r="AQ147" s="371">
        <v>0.31</v>
      </c>
      <c r="AR147" s="371">
        <v>0.38</v>
      </c>
      <c r="AS147" s="371">
        <v>0.31</v>
      </c>
      <c r="AT147" s="371">
        <v>0</v>
      </c>
      <c r="AU147" s="371">
        <v>0</v>
      </c>
      <c r="AV147" s="469">
        <v>55</v>
      </c>
      <c r="AW147" s="471" t="s">
        <v>910</v>
      </c>
      <c r="AX147" s="469">
        <v>7</v>
      </c>
      <c r="AY147" s="471" t="s">
        <v>912</v>
      </c>
      <c r="AZ147" s="501">
        <v>0.21</v>
      </c>
      <c r="BA147" s="501">
        <v>0.5</v>
      </c>
      <c r="BB147" s="501">
        <v>0.21</v>
      </c>
      <c r="BC147" s="501">
        <v>7.0000000000000007E-2</v>
      </c>
      <c r="BD147" s="501">
        <v>0</v>
      </c>
      <c r="BE147" s="630">
        <v>53</v>
      </c>
      <c r="BF147" s="640" t="s">
        <v>910</v>
      </c>
      <c r="BG147" s="630">
        <v>10</v>
      </c>
      <c r="BH147" s="640" t="s">
        <v>910</v>
      </c>
      <c r="BI147" s="644">
        <v>0.26</v>
      </c>
      <c r="BJ147" s="644">
        <v>0.42</v>
      </c>
      <c r="BK147" s="644">
        <v>0.21</v>
      </c>
      <c r="BL147" s="644">
        <v>0.11</v>
      </c>
      <c r="BM147" s="644">
        <v>0</v>
      </c>
    </row>
    <row r="148" spans="1:65" ht="24.9" customHeight="1" x14ac:dyDescent="0.25">
      <c r="A148" s="188" t="s">
        <v>149</v>
      </c>
      <c r="B148" s="1" t="s">
        <v>222</v>
      </c>
      <c r="C148" s="2">
        <v>5</v>
      </c>
      <c r="D148" s="16">
        <v>53</v>
      </c>
      <c r="E148" s="16">
        <v>10</v>
      </c>
      <c r="F148" s="99">
        <v>0.36</v>
      </c>
      <c r="G148" s="99">
        <v>0.33</v>
      </c>
      <c r="H148" s="99">
        <v>0.19</v>
      </c>
      <c r="I148" s="99">
        <v>0.12</v>
      </c>
      <c r="J148" s="99">
        <v>0</v>
      </c>
      <c r="K148" s="16">
        <v>48</v>
      </c>
      <c r="L148" s="16">
        <v>9</v>
      </c>
      <c r="M148" s="92">
        <v>0.49</v>
      </c>
      <c r="N148" s="92">
        <v>0.32</v>
      </c>
      <c r="O148" s="92">
        <v>0.17</v>
      </c>
      <c r="P148" s="92">
        <v>0.02</v>
      </c>
      <c r="Q148" s="92">
        <v>0</v>
      </c>
      <c r="R148" s="16">
        <v>50</v>
      </c>
      <c r="S148" s="16">
        <v>10</v>
      </c>
      <c r="T148" s="96">
        <v>0.38</v>
      </c>
      <c r="U148" s="96">
        <v>0.5</v>
      </c>
      <c r="V148" s="96">
        <v>0.06</v>
      </c>
      <c r="W148" s="96">
        <v>0.06</v>
      </c>
      <c r="X148" s="96">
        <v>0</v>
      </c>
      <c r="Y148" s="16">
        <v>50</v>
      </c>
      <c r="Z148" s="16">
        <v>7</v>
      </c>
      <c r="AA148" s="96">
        <v>0.38</v>
      </c>
      <c r="AB148" s="96">
        <v>0.54</v>
      </c>
      <c r="AC148" s="96">
        <v>0.08</v>
      </c>
      <c r="AD148" s="96">
        <v>0</v>
      </c>
      <c r="AE148" s="96">
        <v>0</v>
      </c>
      <c r="AF148" s="91">
        <v>45</v>
      </c>
      <c r="AG148" s="91">
        <v>9</v>
      </c>
      <c r="AH148" s="92">
        <v>0.74</v>
      </c>
      <c r="AI148" s="92">
        <v>0.04</v>
      </c>
      <c r="AJ148" s="92">
        <v>0.22</v>
      </c>
      <c r="AK148" s="92">
        <v>0</v>
      </c>
      <c r="AL148" s="92">
        <v>0</v>
      </c>
      <c r="AM148" s="349">
        <v>47</v>
      </c>
      <c r="AN148" s="348" t="s">
        <v>910</v>
      </c>
      <c r="AO148" s="349">
        <v>11</v>
      </c>
      <c r="AP148" s="348" t="s">
        <v>910</v>
      </c>
      <c r="AQ148" s="371">
        <v>0.59</v>
      </c>
      <c r="AR148" s="371">
        <v>0.21</v>
      </c>
      <c r="AS148" s="371">
        <v>0.17</v>
      </c>
      <c r="AT148" s="371">
        <v>0.03</v>
      </c>
      <c r="AU148" s="371">
        <v>0</v>
      </c>
      <c r="AV148" s="469">
        <v>49</v>
      </c>
      <c r="AW148" s="471" t="s">
        <v>910</v>
      </c>
      <c r="AX148" s="469">
        <v>9</v>
      </c>
      <c r="AY148" s="471" t="s">
        <v>910</v>
      </c>
      <c r="AZ148" s="501">
        <v>0.42</v>
      </c>
      <c r="BA148" s="501">
        <v>0.42</v>
      </c>
      <c r="BB148" s="501">
        <v>0.15</v>
      </c>
      <c r="BC148" s="501">
        <v>0</v>
      </c>
      <c r="BD148" s="501">
        <v>0</v>
      </c>
      <c r="BE148" s="630">
        <v>52</v>
      </c>
      <c r="BF148" s="640" t="s">
        <v>910</v>
      </c>
      <c r="BG148" s="630">
        <v>9</v>
      </c>
      <c r="BH148" s="640" t="s">
        <v>910</v>
      </c>
      <c r="BI148" s="644">
        <v>0.37</v>
      </c>
      <c r="BJ148" s="644">
        <v>0.43</v>
      </c>
      <c r="BK148" s="644">
        <v>0.11</v>
      </c>
      <c r="BL148" s="644">
        <v>0.09</v>
      </c>
      <c r="BM148" s="644">
        <v>0</v>
      </c>
    </row>
    <row r="149" spans="1:65" ht="24.9" customHeight="1" x14ac:dyDescent="0.25">
      <c r="A149" s="188" t="s">
        <v>140</v>
      </c>
      <c r="B149" s="1" t="s">
        <v>222</v>
      </c>
      <c r="C149" s="2">
        <v>2</v>
      </c>
      <c r="D149" s="16">
        <v>56</v>
      </c>
      <c r="E149" s="16">
        <v>14</v>
      </c>
      <c r="F149" s="99">
        <v>0.25</v>
      </c>
      <c r="G149" s="99">
        <v>0.25</v>
      </c>
      <c r="H149" s="99">
        <v>0.38</v>
      </c>
      <c r="I149" s="99">
        <v>0.13</v>
      </c>
      <c r="J149" s="99">
        <v>0</v>
      </c>
      <c r="K149" s="16">
        <v>54</v>
      </c>
      <c r="L149" s="16">
        <v>8</v>
      </c>
      <c r="M149" s="92">
        <v>0.2</v>
      </c>
      <c r="N149" s="92">
        <v>0.55000000000000004</v>
      </c>
      <c r="O149" s="92">
        <v>0.2</v>
      </c>
      <c r="P149" s="92">
        <v>0.05</v>
      </c>
      <c r="Q149" s="92">
        <v>0</v>
      </c>
      <c r="R149" s="16">
        <v>56</v>
      </c>
      <c r="S149" s="16">
        <v>9</v>
      </c>
      <c r="T149" s="96">
        <v>0.13</v>
      </c>
      <c r="U149" s="96">
        <v>0.52</v>
      </c>
      <c r="V149" s="96">
        <v>0.26</v>
      </c>
      <c r="W149" s="96">
        <v>0.09</v>
      </c>
      <c r="X149" s="96">
        <v>0</v>
      </c>
      <c r="Y149" s="16">
        <v>53</v>
      </c>
      <c r="Z149" s="16">
        <v>11</v>
      </c>
      <c r="AA149" s="96">
        <v>0.27</v>
      </c>
      <c r="AB149" s="96">
        <v>0.42</v>
      </c>
      <c r="AC149" s="96">
        <v>0.24</v>
      </c>
      <c r="AD149" s="96">
        <v>0.06</v>
      </c>
      <c r="AE149" s="96">
        <v>0</v>
      </c>
      <c r="AF149" s="91">
        <v>47</v>
      </c>
      <c r="AG149" s="91">
        <v>6</v>
      </c>
      <c r="AH149" s="92">
        <v>0.55000000000000004</v>
      </c>
      <c r="AI149" s="92">
        <v>0.39</v>
      </c>
      <c r="AJ149" s="92">
        <v>0.06</v>
      </c>
      <c r="AK149" s="92">
        <v>0</v>
      </c>
      <c r="AL149" s="92">
        <v>0</v>
      </c>
      <c r="AM149" s="349">
        <v>52</v>
      </c>
      <c r="AN149" s="348" t="s">
        <v>910</v>
      </c>
      <c r="AO149" s="349">
        <v>8</v>
      </c>
      <c r="AP149" s="348" t="s">
        <v>910</v>
      </c>
      <c r="AQ149" s="371">
        <v>0.35</v>
      </c>
      <c r="AR149" s="371">
        <v>0.38</v>
      </c>
      <c r="AS149" s="371">
        <v>0.26</v>
      </c>
      <c r="AT149" s="371">
        <v>0</v>
      </c>
      <c r="AU149" s="371">
        <v>0</v>
      </c>
      <c r="AV149" s="469">
        <v>54</v>
      </c>
      <c r="AW149" s="471" t="s">
        <v>910</v>
      </c>
      <c r="AX149" s="469">
        <v>9</v>
      </c>
      <c r="AY149" s="471" t="s">
        <v>910</v>
      </c>
      <c r="AZ149" s="501">
        <v>0.15</v>
      </c>
      <c r="BA149" s="501">
        <v>0.48</v>
      </c>
      <c r="BB149" s="501">
        <v>0.3</v>
      </c>
      <c r="BC149" s="501">
        <v>0.08</v>
      </c>
      <c r="BD149" s="501">
        <v>0</v>
      </c>
      <c r="BE149" s="630">
        <v>53</v>
      </c>
      <c r="BF149" s="640" t="s">
        <v>910</v>
      </c>
      <c r="BG149" s="630">
        <v>10</v>
      </c>
      <c r="BH149" s="640" t="s">
        <v>910</v>
      </c>
      <c r="BI149" s="644">
        <v>0.27</v>
      </c>
      <c r="BJ149" s="644">
        <v>0.44</v>
      </c>
      <c r="BK149" s="644">
        <v>0.22</v>
      </c>
      <c r="BL149" s="644">
        <v>7.0000000000000007E-2</v>
      </c>
      <c r="BM149" s="644">
        <v>0</v>
      </c>
    </row>
    <row r="150" spans="1:65" ht="24.9" customHeight="1" x14ac:dyDescent="0.25">
      <c r="A150" s="188" t="s">
        <v>122</v>
      </c>
      <c r="B150" s="1" t="s">
        <v>222</v>
      </c>
      <c r="C150" s="2">
        <v>6</v>
      </c>
      <c r="D150" s="16">
        <v>57</v>
      </c>
      <c r="E150" s="16">
        <v>8</v>
      </c>
      <c r="F150" s="99">
        <v>0.16</v>
      </c>
      <c r="G150" s="99">
        <v>0.39</v>
      </c>
      <c r="H150" s="99">
        <v>0.36</v>
      </c>
      <c r="I150" s="99">
        <v>0.08</v>
      </c>
      <c r="J150" s="99">
        <v>0</v>
      </c>
      <c r="K150" s="16">
        <v>53</v>
      </c>
      <c r="L150" s="16">
        <v>8</v>
      </c>
      <c r="M150" s="92">
        <v>0.27</v>
      </c>
      <c r="N150" s="92">
        <v>0.48</v>
      </c>
      <c r="O150" s="92">
        <v>0.2</v>
      </c>
      <c r="P150" s="92">
        <v>0.02</v>
      </c>
      <c r="Q150" s="92">
        <v>0.02</v>
      </c>
      <c r="R150" s="16">
        <v>56</v>
      </c>
      <c r="S150" s="16">
        <v>9</v>
      </c>
      <c r="T150" s="96">
        <v>0.16</v>
      </c>
      <c r="U150" s="96">
        <v>0.43</v>
      </c>
      <c r="V150" s="96">
        <v>0.28999999999999998</v>
      </c>
      <c r="W150" s="96">
        <v>0.1</v>
      </c>
      <c r="X150" s="96">
        <v>0.02</v>
      </c>
      <c r="Y150" s="16">
        <v>56</v>
      </c>
      <c r="Z150" s="16">
        <v>11</v>
      </c>
      <c r="AA150" s="96">
        <v>0.25</v>
      </c>
      <c r="AB150" s="96">
        <v>0.31</v>
      </c>
      <c r="AC150" s="96">
        <v>0.32</v>
      </c>
      <c r="AD150" s="96">
        <v>0.1</v>
      </c>
      <c r="AE150" s="96">
        <v>0.03</v>
      </c>
      <c r="AF150" s="91">
        <v>49</v>
      </c>
      <c r="AG150" s="91">
        <v>10</v>
      </c>
      <c r="AH150" s="92">
        <v>0.5</v>
      </c>
      <c r="AI150" s="92">
        <v>0.31</v>
      </c>
      <c r="AJ150" s="92">
        <v>0.13</v>
      </c>
      <c r="AK150" s="92">
        <v>0.06</v>
      </c>
      <c r="AL150" s="92">
        <v>0</v>
      </c>
      <c r="AM150" s="349">
        <v>53</v>
      </c>
      <c r="AN150" s="348" t="s">
        <v>910</v>
      </c>
      <c r="AO150" s="349">
        <v>11</v>
      </c>
      <c r="AP150" s="348" t="s">
        <v>910</v>
      </c>
      <c r="AQ150" s="371">
        <v>0.28999999999999998</v>
      </c>
      <c r="AR150" s="371">
        <v>0.36</v>
      </c>
      <c r="AS150" s="371">
        <v>0.25</v>
      </c>
      <c r="AT150" s="371">
        <v>0.1</v>
      </c>
      <c r="AU150" s="371">
        <v>0.01</v>
      </c>
      <c r="AV150" s="469">
        <v>56</v>
      </c>
      <c r="AW150" s="471" t="s">
        <v>910</v>
      </c>
      <c r="AX150" s="469">
        <v>12</v>
      </c>
      <c r="AY150" s="471" t="s">
        <v>910</v>
      </c>
      <c r="AZ150" s="501">
        <v>0.23</v>
      </c>
      <c r="BA150" s="501">
        <v>0.36</v>
      </c>
      <c r="BB150" s="501">
        <v>0.24</v>
      </c>
      <c r="BC150" s="501">
        <v>0.15</v>
      </c>
      <c r="BD150" s="501">
        <v>0.02</v>
      </c>
      <c r="BE150" s="630">
        <v>56</v>
      </c>
      <c r="BF150" s="640" t="s">
        <v>910</v>
      </c>
      <c r="BG150" s="630">
        <v>12</v>
      </c>
      <c r="BH150" s="640" t="s">
        <v>910</v>
      </c>
      <c r="BI150" s="644">
        <v>0.23</v>
      </c>
      <c r="BJ150" s="644">
        <v>0.35</v>
      </c>
      <c r="BK150" s="644">
        <v>0.23</v>
      </c>
      <c r="BL150" s="644">
        <v>0.16</v>
      </c>
      <c r="BM150" s="644">
        <v>0.03</v>
      </c>
    </row>
    <row r="151" spans="1:65" ht="24.9" customHeight="1" x14ac:dyDescent="0.25">
      <c r="A151" s="188" t="s">
        <v>198</v>
      </c>
      <c r="B151" s="1" t="s">
        <v>222</v>
      </c>
      <c r="C151" s="2">
        <v>5</v>
      </c>
      <c r="D151" s="16">
        <v>63</v>
      </c>
      <c r="E151" s="16">
        <v>9</v>
      </c>
      <c r="F151" s="99">
        <v>7.0000000000000007E-2</v>
      </c>
      <c r="G151" s="99">
        <v>0.23</v>
      </c>
      <c r="H151" s="99">
        <v>0.4</v>
      </c>
      <c r="I151" s="99">
        <v>0.27</v>
      </c>
      <c r="J151" s="99">
        <v>0.03</v>
      </c>
      <c r="K151" s="16">
        <v>60</v>
      </c>
      <c r="L151" s="16">
        <v>9</v>
      </c>
      <c r="M151" s="92">
        <v>0.04</v>
      </c>
      <c r="N151" s="92">
        <v>0.35</v>
      </c>
      <c r="O151" s="92">
        <v>0.48</v>
      </c>
      <c r="P151" s="92">
        <v>0.09</v>
      </c>
      <c r="Q151" s="92">
        <v>0.04</v>
      </c>
      <c r="R151" s="16">
        <v>63</v>
      </c>
      <c r="S151" s="16">
        <v>9</v>
      </c>
      <c r="T151" s="96">
        <v>0</v>
      </c>
      <c r="U151" s="96">
        <v>0.33</v>
      </c>
      <c r="V151" s="96">
        <v>0.35</v>
      </c>
      <c r="W151" s="96">
        <v>0.28000000000000003</v>
      </c>
      <c r="X151" s="96">
        <v>0.04</v>
      </c>
      <c r="Y151" s="16">
        <v>58</v>
      </c>
      <c r="Z151" s="16">
        <v>11</v>
      </c>
      <c r="AA151" s="96">
        <v>0.17</v>
      </c>
      <c r="AB151" s="96">
        <v>0.3</v>
      </c>
      <c r="AC151" s="96">
        <v>0.3</v>
      </c>
      <c r="AD151" s="96">
        <v>0.22</v>
      </c>
      <c r="AE151" s="96">
        <v>0</v>
      </c>
      <c r="AF151" s="91">
        <v>51</v>
      </c>
      <c r="AG151" s="91">
        <v>9</v>
      </c>
      <c r="AH151" s="92">
        <v>0.38</v>
      </c>
      <c r="AI151" s="92">
        <v>0.31</v>
      </c>
      <c r="AJ151" s="92">
        <v>0.28999999999999998</v>
      </c>
      <c r="AK151" s="92">
        <v>0.02</v>
      </c>
      <c r="AL151" s="92">
        <v>0</v>
      </c>
      <c r="AM151" s="349">
        <v>59</v>
      </c>
      <c r="AN151" s="348" t="s">
        <v>910</v>
      </c>
      <c r="AO151" s="349">
        <v>10</v>
      </c>
      <c r="AP151" s="348" t="s">
        <v>910</v>
      </c>
      <c r="AQ151" s="371">
        <v>0.15</v>
      </c>
      <c r="AR151" s="371">
        <v>0.33</v>
      </c>
      <c r="AS151" s="371">
        <v>0.27</v>
      </c>
      <c r="AT151" s="371">
        <v>0.25</v>
      </c>
      <c r="AU151" s="371">
        <v>0</v>
      </c>
      <c r="AV151" s="469">
        <v>63</v>
      </c>
      <c r="AW151" s="471" t="s">
        <v>911</v>
      </c>
      <c r="AX151" s="469">
        <v>8</v>
      </c>
      <c r="AY151" s="471" t="s">
        <v>910</v>
      </c>
      <c r="AZ151" s="501">
        <v>0.02</v>
      </c>
      <c r="BA151" s="501">
        <v>0.19</v>
      </c>
      <c r="BB151" s="501">
        <v>0.45</v>
      </c>
      <c r="BC151" s="501">
        <v>0.3</v>
      </c>
      <c r="BD151" s="501">
        <v>0.04</v>
      </c>
      <c r="BE151" s="630">
        <v>64</v>
      </c>
      <c r="BF151" s="640" t="s">
        <v>911</v>
      </c>
      <c r="BG151" s="630">
        <v>10</v>
      </c>
      <c r="BH151" s="640" t="s">
        <v>910</v>
      </c>
      <c r="BI151" s="644">
        <v>0.09</v>
      </c>
      <c r="BJ151" s="644">
        <v>0.13</v>
      </c>
      <c r="BK151" s="644">
        <v>0.38</v>
      </c>
      <c r="BL151" s="644">
        <v>0.38</v>
      </c>
      <c r="BM151" s="644">
        <v>0.03</v>
      </c>
    </row>
    <row r="152" spans="1:65" ht="24.9" customHeight="1" x14ac:dyDescent="0.25">
      <c r="A152" s="188" t="s">
        <v>165</v>
      </c>
      <c r="B152" s="1" t="s">
        <v>222</v>
      </c>
      <c r="C152" s="2">
        <v>1</v>
      </c>
      <c r="D152" s="16">
        <v>52</v>
      </c>
      <c r="E152" s="16">
        <v>9</v>
      </c>
      <c r="F152" s="99">
        <v>0.39</v>
      </c>
      <c r="G152" s="99">
        <v>0.37</v>
      </c>
      <c r="H152" s="99">
        <v>0.16</v>
      </c>
      <c r="I152" s="99">
        <v>0.08</v>
      </c>
      <c r="J152" s="99">
        <v>0</v>
      </c>
      <c r="K152" s="16">
        <v>49</v>
      </c>
      <c r="L152" s="16">
        <v>10</v>
      </c>
      <c r="M152" s="92">
        <v>0.48</v>
      </c>
      <c r="N152" s="92">
        <v>0.35</v>
      </c>
      <c r="O152" s="92">
        <v>0.1</v>
      </c>
      <c r="P152" s="92">
        <v>0.06</v>
      </c>
      <c r="Q152" s="92">
        <v>0</v>
      </c>
      <c r="R152" s="16">
        <v>52</v>
      </c>
      <c r="S152" s="16">
        <v>5</v>
      </c>
      <c r="T152" s="96">
        <v>0.1</v>
      </c>
      <c r="U152" s="96">
        <v>0.7</v>
      </c>
      <c r="V152" s="96">
        <v>0.2</v>
      </c>
      <c r="W152" s="96">
        <v>0</v>
      </c>
      <c r="X152" s="96">
        <v>0</v>
      </c>
      <c r="Y152" s="16">
        <v>51</v>
      </c>
      <c r="Z152" s="16">
        <v>9</v>
      </c>
      <c r="AA152" s="96">
        <v>0.24</v>
      </c>
      <c r="AB152" s="96">
        <v>0.52</v>
      </c>
      <c r="AC152" s="96">
        <v>0.24</v>
      </c>
      <c r="AD152" s="96">
        <v>0</v>
      </c>
      <c r="AE152" s="96">
        <v>0</v>
      </c>
      <c r="AF152" s="91">
        <v>49</v>
      </c>
      <c r="AG152" s="91">
        <v>8</v>
      </c>
      <c r="AH152" s="92">
        <v>0.45</v>
      </c>
      <c r="AI152" s="92">
        <v>0.39</v>
      </c>
      <c r="AJ152" s="92">
        <v>0.16</v>
      </c>
      <c r="AK152" s="92">
        <v>0</v>
      </c>
      <c r="AL152" s="92">
        <v>0</v>
      </c>
      <c r="AM152" s="349">
        <v>49</v>
      </c>
      <c r="AN152" s="348" t="s">
        <v>910</v>
      </c>
      <c r="AO152" s="349">
        <v>10</v>
      </c>
      <c r="AP152" s="348" t="s">
        <v>910</v>
      </c>
      <c r="AQ152" s="371">
        <v>0.39</v>
      </c>
      <c r="AR152" s="371">
        <v>0.39</v>
      </c>
      <c r="AS152" s="371">
        <v>0.18</v>
      </c>
      <c r="AT152" s="371">
        <v>0.04</v>
      </c>
      <c r="AU152" s="371">
        <v>0</v>
      </c>
      <c r="AV152" s="469">
        <v>51</v>
      </c>
      <c r="AW152" s="471" t="s">
        <v>910</v>
      </c>
      <c r="AX152" s="469">
        <v>10</v>
      </c>
      <c r="AY152" s="471" t="s">
        <v>910</v>
      </c>
      <c r="AZ152" s="501">
        <v>0.33</v>
      </c>
      <c r="BA152" s="501">
        <v>0.38</v>
      </c>
      <c r="BB152" s="501">
        <v>0.25</v>
      </c>
      <c r="BC152" s="501">
        <v>0.04</v>
      </c>
      <c r="BD152" s="501">
        <v>0</v>
      </c>
      <c r="BE152" s="630">
        <v>51</v>
      </c>
      <c r="BF152" s="640" t="s">
        <v>910</v>
      </c>
      <c r="BG152" s="630">
        <v>10</v>
      </c>
      <c r="BH152" s="640" t="s">
        <v>910</v>
      </c>
      <c r="BI152" s="644">
        <v>0.35</v>
      </c>
      <c r="BJ152" s="644">
        <v>0.4</v>
      </c>
      <c r="BK152" s="644">
        <v>0.19</v>
      </c>
      <c r="BL152" s="644">
        <v>0.06</v>
      </c>
      <c r="BM152" s="644">
        <v>0</v>
      </c>
    </row>
    <row r="153" spans="1:65" ht="24.9" customHeight="1" x14ac:dyDescent="0.25">
      <c r="A153" s="188" t="s">
        <v>230</v>
      </c>
      <c r="B153" s="1" t="s">
        <v>222</v>
      </c>
      <c r="C153" s="2">
        <v>6</v>
      </c>
      <c r="D153" s="13" t="s">
        <v>226</v>
      </c>
      <c r="E153" s="13" t="s">
        <v>226</v>
      </c>
      <c r="F153" s="13"/>
      <c r="G153" s="13"/>
      <c r="H153" s="13"/>
      <c r="I153" s="13"/>
      <c r="J153" s="13"/>
      <c r="K153" s="16">
        <v>49</v>
      </c>
      <c r="L153" s="16">
        <v>11</v>
      </c>
      <c r="M153" s="92">
        <v>0.67</v>
      </c>
      <c r="N153" s="92">
        <v>0.17</v>
      </c>
      <c r="O153" s="92">
        <v>0</v>
      </c>
      <c r="P153" s="92">
        <v>0.17</v>
      </c>
      <c r="Q153" s="92">
        <v>0</v>
      </c>
      <c r="R153" s="16">
        <v>50</v>
      </c>
      <c r="S153" s="16">
        <v>4</v>
      </c>
      <c r="T153" s="96">
        <v>0.25</v>
      </c>
      <c r="U153" s="96">
        <v>0.75</v>
      </c>
      <c r="V153" s="96">
        <v>0</v>
      </c>
      <c r="W153" s="96">
        <v>0</v>
      </c>
      <c r="X153" s="96">
        <v>0</v>
      </c>
      <c r="Y153" s="16">
        <v>47</v>
      </c>
      <c r="Z153" s="16">
        <v>2</v>
      </c>
      <c r="AA153" s="96">
        <v>0.5</v>
      </c>
      <c r="AB153" s="96">
        <v>0.5</v>
      </c>
      <c r="AC153" s="96">
        <v>0</v>
      </c>
      <c r="AD153" s="96">
        <v>0</v>
      </c>
      <c r="AE153" s="96">
        <v>0</v>
      </c>
      <c r="AF153" s="91">
        <v>38</v>
      </c>
      <c r="AG153" s="91">
        <v>1</v>
      </c>
      <c r="AH153" s="92">
        <v>1</v>
      </c>
      <c r="AI153" s="92">
        <v>0</v>
      </c>
      <c r="AJ153" s="92">
        <v>0</v>
      </c>
      <c r="AK153" s="92">
        <v>0</v>
      </c>
      <c r="AL153" s="92">
        <v>0</v>
      </c>
    </row>
    <row r="154" spans="1:65" ht="24.9" customHeight="1" x14ac:dyDescent="0.25">
      <c r="A154" s="188" t="s">
        <v>212</v>
      </c>
      <c r="B154" s="1" t="s">
        <v>222</v>
      </c>
      <c r="C154" s="2">
        <v>3</v>
      </c>
      <c r="D154" s="16">
        <v>56</v>
      </c>
      <c r="E154" s="16">
        <v>11</v>
      </c>
      <c r="F154" s="99">
        <v>0.25</v>
      </c>
      <c r="G154" s="99">
        <v>0.38</v>
      </c>
      <c r="H154" s="99">
        <v>0.19</v>
      </c>
      <c r="I154" s="99">
        <v>0.19</v>
      </c>
      <c r="J154" s="99">
        <v>0</v>
      </c>
      <c r="K154" s="16">
        <v>51</v>
      </c>
      <c r="L154" s="16">
        <v>6</v>
      </c>
      <c r="M154" s="92">
        <v>0.27</v>
      </c>
      <c r="N154" s="92">
        <v>0.6</v>
      </c>
      <c r="O154" s="92">
        <v>0.13</v>
      </c>
      <c r="P154" s="92">
        <v>0</v>
      </c>
      <c r="Q154" s="92">
        <v>0</v>
      </c>
      <c r="R154" s="16">
        <v>48</v>
      </c>
      <c r="S154" s="16">
        <v>8</v>
      </c>
      <c r="T154" s="96">
        <v>0.56000000000000005</v>
      </c>
      <c r="U154" s="96">
        <v>0.31</v>
      </c>
      <c r="V154" s="96">
        <v>0.13</v>
      </c>
      <c r="W154" s="96">
        <v>0</v>
      </c>
      <c r="X154" s="96">
        <v>0</v>
      </c>
      <c r="Y154" s="16">
        <v>51</v>
      </c>
      <c r="Z154" s="16">
        <v>9</v>
      </c>
      <c r="AA154" s="96">
        <v>0.35</v>
      </c>
      <c r="AB154" s="96">
        <v>0.45</v>
      </c>
      <c r="AC154" s="96">
        <v>0.2</v>
      </c>
      <c r="AD154" s="96">
        <v>0</v>
      </c>
      <c r="AE154" s="96">
        <v>0</v>
      </c>
      <c r="AF154" s="91">
        <v>47</v>
      </c>
      <c r="AG154" s="91">
        <v>7</v>
      </c>
      <c r="AH154" s="92">
        <v>0.5</v>
      </c>
      <c r="AI154" s="92">
        <v>0.42</v>
      </c>
      <c r="AJ154" s="92">
        <v>0.08</v>
      </c>
      <c r="AK154" s="92">
        <v>0</v>
      </c>
      <c r="AL154" s="92">
        <v>0</v>
      </c>
      <c r="AM154" s="349">
        <v>49</v>
      </c>
      <c r="AN154" s="348" t="s">
        <v>910</v>
      </c>
      <c r="AO154" s="349">
        <v>11</v>
      </c>
      <c r="AP154" s="348" t="s">
        <v>910</v>
      </c>
      <c r="AQ154" s="371">
        <v>0.52</v>
      </c>
      <c r="AR154" s="371">
        <v>0.28000000000000003</v>
      </c>
      <c r="AS154" s="371">
        <v>0.12</v>
      </c>
      <c r="AT154" s="371">
        <v>0.08</v>
      </c>
      <c r="AU154" s="371">
        <v>0</v>
      </c>
      <c r="AV154" s="469">
        <v>48</v>
      </c>
      <c r="AW154" s="471" t="s">
        <v>910</v>
      </c>
      <c r="AX154" s="469">
        <v>11</v>
      </c>
      <c r="AY154" s="471" t="s">
        <v>910</v>
      </c>
      <c r="AZ154" s="501">
        <v>0.54</v>
      </c>
      <c r="BA154" s="501">
        <v>0.25</v>
      </c>
      <c r="BB154" s="501">
        <v>0.14000000000000001</v>
      </c>
      <c r="BC154" s="501">
        <v>7.0000000000000007E-2</v>
      </c>
      <c r="BD154" s="501">
        <v>0</v>
      </c>
      <c r="BE154" s="630">
        <v>50</v>
      </c>
      <c r="BF154" s="640" t="s">
        <v>910</v>
      </c>
      <c r="BG154" s="630">
        <v>9</v>
      </c>
      <c r="BH154" s="640" t="s">
        <v>910</v>
      </c>
      <c r="BI154" s="644">
        <v>0.31</v>
      </c>
      <c r="BJ154" s="644">
        <v>0.42</v>
      </c>
      <c r="BK154" s="644">
        <v>0.27</v>
      </c>
      <c r="BL154" s="644">
        <v>0</v>
      </c>
      <c r="BM154" s="644">
        <v>0</v>
      </c>
    </row>
    <row r="155" spans="1:65" ht="24.9" customHeight="1" x14ac:dyDescent="0.25">
      <c r="A155" s="188" t="s">
        <v>57</v>
      </c>
      <c r="B155" s="1" t="s">
        <v>222</v>
      </c>
      <c r="C155" s="2">
        <v>3</v>
      </c>
      <c r="D155" s="16">
        <v>50</v>
      </c>
      <c r="E155" s="16">
        <v>9</v>
      </c>
      <c r="F155" s="99">
        <v>0.38</v>
      </c>
      <c r="G155" s="99">
        <v>0.43</v>
      </c>
      <c r="H155" s="99">
        <v>0.18</v>
      </c>
      <c r="I155" s="99">
        <v>0.02</v>
      </c>
      <c r="J155" s="99">
        <v>0</v>
      </c>
      <c r="K155" s="16">
        <v>48</v>
      </c>
      <c r="L155" s="16">
        <v>10</v>
      </c>
      <c r="M155" s="92">
        <v>0.5</v>
      </c>
      <c r="N155" s="92">
        <v>0.33</v>
      </c>
      <c r="O155" s="92">
        <v>0.13</v>
      </c>
      <c r="P155" s="92">
        <v>0.04</v>
      </c>
      <c r="Q155" s="92">
        <v>0</v>
      </c>
      <c r="R155" s="16">
        <v>48</v>
      </c>
      <c r="S155" s="16">
        <v>7</v>
      </c>
      <c r="T155" s="96">
        <v>0.5</v>
      </c>
      <c r="U155" s="96">
        <v>0.41</v>
      </c>
      <c r="V155" s="96">
        <v>0.09</v>
      </c>
      <c r="W155" s="96">
        <v>0</v>
      </c>
      <c r="X155" s="96">
        <v>0</v>
      </c>
      <c r="Y155" s="16">
        <v>50</v>
      </c>
      <c r="Z155" s="16">
        <v>9</v>
      </c>
      <c r="AA155" s="96">
        <v>0.44</v>
      </c>
      <c r="AB155" s="96">
        <v>0.33</v>
      </c>
      <c r="AC155" s="96">
        <v>0.19</v>
      </c>
      <c r="AD155" s="96">
        <v>0.03</v>
      </c>
      <c r="AE155" s="96">
        <v>0</v>
      </c>
      <c r="AF155" s="91">
        <v>44</v>
      </c>
      <c r="AG155" s="91">
        <v>7</v>
      </c>
      <c r="AH155" s="92">
        <v>0.75</v>
      </c>
      <c r="AI155" s="92">
        <v>0.25</v>
      </c>
      <c r="AJ155" s="92">
        <v>0</v>
      </c>
      <c r="AK155" s="92">
        <v>0</v>
      </c>
      <c r="AL155" s="92">
        <v>0</v>
      </c>
      <c r="AM155" s="349">
        <v>43</v>
      </c>
      <c r="AN155" s="348" t="s">
        <v>912</v>
      </c>
      <c r="AO155" s="349">
        <v>9</v>
      </c>
      <c r="AP155" s="348" t="s">
        <v>910</v>
      </c>
      <c r="AQ155" s="371">
        <v>0.71</v>
      </c>
      <c r="AR155" s="371">
        <v>0.25</v>
      </c>
      <c r="AS155" s="371">
        <v>0.04</v>
      </c>
      <c r="AT155" s="371">
        <v>0</v>
      </c>
      <c r="AU155" s="371">
        <v>0</v>
      </c>
      <c r="AV155" s="469">
        <v>52</v>
      </c>
      <c r="AW155" s="471" t="s">
        <v>910</v>
      </c>
      <c r="AX155" s="469">
        <v>9</v>
      </c>
      <c r="AY155" s="471" t="s">
        <v>910</v>
      </c>
      <c r="AZ155" s="501">
        <v>0.32</v>
      </c>
      <c r="BA155" s="501">
        <v>0.32</v>
      </c>
      <c r="BB155" s="501">
        <v>0.32</v>
      </c>
      <c r="BC155" s="501">
        <v>0.04</v>
      </c>
      <c r="BD155" s="501">
        <v>0</v>
      </c>
      <c r="BE155" s="630">
        <v>51</v>
      </c>
      <c r="BF155" s="640" t="s">
        <v>910</v>
      </c>
      <c r="BG155" s="630">
        <v>9</v>
      </c>
      <c r="BH155" s="640" t="s">
        <v>910</v>
      </c>
      <c r="BI155" s="644">
        <v>0.32</v>
      </c>
      <c r="BJ155" s="644">
        <v>0.41</v>
      </c>
      <c r="BK155" s="644">
        <v>0.24</v>
      </c>
      <c r="BL155" s="644">
        <v>0.03</v>
      </c>
      <c r="BM155" s="644">
        <v>0</v>
      </c>
    </row>
    <row r="156" spans="1:65" ht="24.9" customHeight="1" x14ac:dyDescent="0.25">
      <c r="A156" s="188" t="s">
        <v>196</v>
      </c>
      <c r="B156" s="1" t="s">
        <v>222</v>
      </c>
      <c r="C156" s="2">
        <v>5</v>
      </c>
      <c r="D156" s="16">
        <v>62</v>
      </c>
      <c r="E156" s="16">
        <v>9</v>
      </c>
      <c r="F156" s="99">
        <v>7.0000000000000007E-2</v>
      </c>
      <c r="G156" s="99">
        <v>0.33</v>
      </c>
      <c r="H156" s="99">
        <v>0.33</v>
      </c>
      <c r="I156" s="99">
        <v>0.2</v>
      </c>
      <c r="J156" s="99">
        <v>7.0000000000000007E-2</v>
      </c>
      <c r="K156" s="16">
        <v>61</v>
      </c>
      <c r="L156" s="16">
        <v>8</v>
      </c>
      <c r="M156" s="92">
        <v>0.12</v>
      </c>
      <c r="N156" s="92">
        <v>0.18</v>
      </c>
      <c r="O156" s="92">
        <v>0.53</v>
      </c>
      <c r="P156" s="92">
        <v>0.18</v>
      </c>
      <c r="Q156" s="92">
        <v>0</v>
      </c>
      <c r="R156" s="16">
        <v>65</v>
      </c>
      <c r="S156" s="16">
        <v>8</v>
      </c>
      <c r="T156" s="96">
        <v>0</v>
      </c>
      <c r="U156" s="96">
        <v>0.21</v>
      </c>
      <c r="V156" s="96">
        <v>0.37</v>
      </c>
      <c r="W156" s="96">
        <v>0.37</v>
      </c>
      <c r="X156" s="96">
        <v>0.05</v>
      </c>
      <c r="Y156" s="16">
        <v>61</v>
      </c>
      <c r="Z156" s="16">
        <v>8</v>
      </c>
      <c r="AA156" s="96">
        <v>0.08</v>
      </c>
      <c r="AB156" s="96">
        <v>0.25</v>
      </c>
      <c r="AC156" s="96">
        <v>0.5</v>
      </c>
      <c r="AD156" s="96">
        <v>0.17</v>
      </c>
      <c r="AE156" s="96">
        <v>0</v>
      </c>
      <c r="AF156" s="91">
        <v>55</v>
      </c>
      <c r="AG156" s="91">
        <v>8</v>
      </c>
      <c r="AH156" s="92">
        <v>0.13</v>
      </c>
      <c r="AI156" s="92">
        <v>0.56000000000000005</v>
      </c>
      <c r="AJ156" s="92">
        <v>0.22</v>
      </c>
      <c r="AK156" s="92">
        <v>0.09</v>
      </c>
      <c r="AL156" s="92">
        <v>0</v>
      </c>
      <c r="AM156" s="349">
        <v>61</v>
      </c>
      <c r="AN156" s="348" t="s">
        <v>911</v>
      </c>
      <c r="AO156" s="349">
        <v>11</v>
      </c>
      <c r="AP156" s="348" t="s">
        <v>910</v>
      </c>
      <c r="AQ156" s="371">
        <v>0.03</v>
      </c>
      <c r="AR156" s="371">
        <v>0.38</v>
      </c>
      <c r="AS156" s="371">
        <v>0.35</v>
      </c>
      <c r="AT156" s="371">
        <v>0.22</v>
      </c>
      <c r="AU156" s="371">
        <v>0.03</v>
      </c>
      <c r="AV156" s="469">
        <v>57</v>
      </c>
      <c r="AW156" s="471" t="s">
        <v>910</v>
      </c>
      <c r="AX156" s="469">
        <v>11</v>
      </c>
      <c r="AY156" s="471" t="s">
        <v>910</v>
      </c>
      <c r="AZ156" s="501">
        <v>0.23</v>
      </c>
      <c r="BA156" s="501">
        <v>0.27</v>
      </c>
      <c r="BB156" s="501">
        <v>0.27</v>
      </c>
      <c r="BC156" s="501">
        <v>0.23</v>
      </c>
      <c r="BD156" s="501">
        <v>0</v>
      </c>
      <c r="BE156" s="630">
        <v>64</v>
      </c>
      <c r="BF156" s="640" t="s">
        <v>911</v>
      </c>
      <c r="BG156" s="630">
        <v>7</v>
      </c>
      <c r="BH156" s="640" t="s">
        <v>912</v>
      </c>
      <c r="BI156" s="644">
        <v>0</v>
      </c>
      <c r="BJ156" s="644">
        <v>0.18</v>
      </c>
      <c r="BK156" s="644">
        <v>0.47</v>
      </c>
      <c r="BL156" s="644">
        <v>0.28999999999999998</v>
      </c>
      <c r="BM156" s="644">
        <v>0.06</v>
      </c>
    </row>
    <row r="157" spans="1:65" ht="24.9" customHeight="1" x14ac:dyDescent="0.25">
      <c r="A157" s="188" t="s">
        <v>19</v>
      </c>
      <c r="B157" s="1" t="s">
        <v>222</v>
      </c>
      <c r="C157" s="2">
        <v>5</v>
      </c>
      <c r="D157" s="16">
        <v>58</v>
      </c>
      <c r="E157" s="16">
        <v>8</v>
      </c>
      <c r="F157" s="99">
        <v>0.14000000000000001</v>
      </c>
      <c r="G157" s="99">
        <v>0.23</v>
      </c>
      <c r="H157" s="99">
        <v>0.56000000000000005</v>
      </c>
      <c r="I157" s="99">
        <v>0.08</v>
      </c>
      <c r="J157" s="99">
        <v>0</v>
      </c>
      <c r="K157" s="16">
        <v>59</v>
      </c>
      <c r="L157" s="16">
        <v>10</v>
      </c>
      <c r="M157" s="92">
        <v>0.14000000000000001</v>
      </c>
      <c r="N157" s="92">
        <v>0.32</v>
      </c>
      <c r="O157" s="92">
        <v>0.31</v>
      </c>
      <c r="P157" s="92">
        <v>0.22</v>
      </c>
      <c r="Q157" s="92">
        <v>0.02</v>
      </c>
      <c r="R157" s="16">
        <v>61</v>
      </c>
      <c r="S157" s="16">
        <v>9</v>
      </c>
      <c r="T157" s="96">
        <v>0.06</v>
      </c>
      <c r="U157" s="96">
        <v>0.33</v>
      </c>
      <c r="V157" s="96">
        <v>0.39</v>
      </c>
      <c r="W157" s="96">
        <v>0.18</v>
      </c>
      <c r="X157" s="96">
        <v>0.03</v>
      </c>
      <c r="Y157" s="16">
        <v>58</v>
      </c>
      <c r="Z157" s="16">
        <v>9</v>
      </c>
      <c r="AA157" s="96">
        <v>0.13</v>
      </c>
      <c r="AB157" s="96">
        <v>0.38</v>
      </c>
      <c r="AC157" s="96">
        <v>0.28999999999999998</v>
      </c>
      <c r="AD157" s="96">
        <v>0.21</v>
      </c>
      <c r="AE157" s="96">
        <v>0</v>
      </c>
      <c r="AF157" s="91">
        <v>52</v>
      </c>
      <c r="AG157" s="91">
        <v>8</v>
      </c>
      <c r="AH157" s="92">
        <v>0.28000000000000003</v>
      </c>
      <c r="AI157" s="92">
        <v>0.48</v>
      </c>
      <c r="AJ157" s="92">
        <v>0.2</v>
      </c>
      <c r="AK157" s="92">
        <v>0.03</v>
      </c>
      <c r="AL157" s="92">
        <v>0</v>
      </c>
      <c r="AM157" s="349">
        <v>59</v>
      </c>
      <c r="AN157" s="348" t="s">
        <v>910</v>
      </c>
      <c r="AO157" s="349">
        <v>10</v>
      </c>
      <c r="AP157" s="348" t="s">
        <v>910</v>
      </c>
      <c r="AQ157" s="371">
        <v>0.15</v>
      </c>
      <c r="AR157" s="371">
        <v>0.33</v>
      </c>
      <c r="AS157" s="371">
        <v>0.3</v>
      </c>
      <c r="AT157" s="371">
        <v>0.2</v>
      </c>
      <c r="AU157" s="371">
        <v>0.02</v>
      </c>
      <c r="AV157" s="469">
        <v>58</v>
      </c>
      <c r="AW157" s="471" t="s">
        <v>910</v>
      </c>
      <c r="AX157" s="469">
        <v>11</v>
      </c>
      <c r="AY157" s="471" t="s">
        <v>910</v>
      </c>
      <c r="AZ157" s="501">
        <v>0.15</v>
      </c>
      <c r="BA157" s="501">
        <v>0.32</v>
      </c>
      <c r="BB157" s="501">
        <v>0.32</v>
      </c>
      <c r="BC157" s="501">
        <v>0.21</v>
      </c>
      <c r="BD157" s="501">
        <v>0.01</v>
      </c>
      <c r="BE157" s="630">
        <v>59</v>
      </c>
      <c r="BF157" s="640" t="s">
        <v>910</v>
      </c>
      <c r="BG157" s="630">
        <v>11</v>
      </c>
      <c r="BH157" s="640" t="s">
        <v>910</v>
      </c>
      <c r="BI157" s="644">
        <v>0.1</v>
      </c>
      <c r="BJ157" s="644">
        <v>0.34</v>
      </c>
      <c r="BK157" s="644">
        <v>0.33</v>
      </c>
      <c r="BL157" s="644">
        <v>0.16</v>
      </c>
      <c r="BM157" s="644">
        <v>7.0000000000000007E-2</v>
      </c>
    </row>
    <row r="158" spans="1:65" ht="24.9" customHeight="1" x14ac:dyDescent="0.25">
      <c r="A158" s="188" t="s">
        <v>118</v>
      </c>
      <c r="B158" s="1" t="s">
        <v>222</v>
      </c>
      <c r="C158" s="2">
        <v>3</v>
      </c>
      <c r="D158" s="16">
        <v>57</v>
      </c>
      <c r="E158" s="16">
        <v>11</v>
      </c>
      <c r="F158" s="99">
        <v>0.23</v>
      </c>
      <c r="G158" s="99">
        <v>0.27</v>
      </c>
      <c r="H158" s="99">
        <v>0.37</v>
      </c>
      <c r="I158" s="99">
        <v>0.13</v>
      </c>
      <c r="J158" s="99">
        <v>0</v>
      </c>
      <c r="K158" s="16">
        <v>52</v>
      </c>
      <c r="L158" s="16">
        <v>9</v>
      </c>
      <c r="M158" s="92">
        <v>0.28999999999999998</v>
      </c>
      <c r="N158" s="92">
        <v>0.43</v>
      </c>
      <c r="O158" s="92">
        <v>0.25</v>
      </c>
      <c r="P158" s="92">
        <v>0.04</v>
      </c>
      <c r="Q158" s="92">
        <v>0</v>
      </c>
      <c r="R158" s="16">
        <v>52</v>
      </c>
      <c r="S158" s="16">
        <v>8</v>
      </c>
      <c r="T158" s="96">
        <v>0.28999999999999998</v>
      </c>
      <c r="U158" s="96">
        <v>0.46</v>
      </c>
      <c r="V158" s="96">
        <v>0.21</v>
      </c>
      <c r="W158" s="96">
        <v>0.04</v>
      </c>
      <c r="X158" s="96">
        <v>0</v>
      </c>
      <c r="Y158" s="16">
        <v>52</v>
      </c>
      <c r="Z158" s="16">
        <v>10</v>
      </c>
      <c r="AA158" s="96">
        <v>0.41</v>
      </c>
      <c r="AB158" s="96">
        <v>0.28000000000000003</v>
      </c>
      <c r="AC158" s="96">
        <v>0.24</v>
      </c>
      <c r="AD158" s="96">
        <v>7.0000000000000007E-2</v>
      </c>
      <c r="AE158" s="96">
        <v>0</v>
      </c>
      <c r="AF158" s="91">
        <v>45</v>
      </c>
      <c r="AG158" s="91">
        <v>7</v>
      </c>
      <c r="AH158" s="92">
        <v>0.76</v>
      </c>
      <c r="AI158" s="92">
        <v>0.17</v>
      </c>
      <c r="AJ158" s="92">
        <v>7.0000000000000007E-2</v>
      </c>
      <c r="AK158" s="92">
        <v>0</v>
      </c>
      <c r="AL158" s="92">
        <v>0</v>
      </c>
      <c r="AM158" s="349">
        <v>53</v>
      </c>
      <c r="AN158" s="348" t="s">
        <v>910</v>
      </c>
      <c r="AO158" s="349">
        <v>9</v>
      </c>
      <c r="AP158" s="348" t="s">
        <v>910</v>
      </c>
      <c r="AQ158" s="371">
        <v>0.3</v>
      </c>
      <c r="AR158" s="371">
        <v>0.49</v>
      </c>
      <c r="AS158" s="371">
        <v>0.14000000000000001</v>
      </c>
      <c r="AT158" s="371">
        <v>0.08</v>
      </c>
      <c r="AU158" s="371">
        <v>0</v>
      </c>
      <c r="AV158" s="469">
        <v>56</v>
      </c>
      <c r="AW158" s="471" t="s">
        <v>910</v>
      </c>
      <c r="AX158" s="469">
        <v>12</v>
      </c>
      <c r="AY158" s="471" t="s">
        <v>910</v>
      </c>
      <c r="AZ158" s="501">
        <v>0.28000000000000003</v>
      </c>
      <c r="BA158" s="501">
        <v>0.45</v>
      </c>
      <c r="BB158" s="501">
        <v>0.1</v>
      </c>
      <c r="BC158" s="501">
        <v>0.15</v>
      </c>
      <c r="BD158" s="501">
        <v>0.03</v>
      </c>
      <c r="BE158" s="630">
        <v>55</v>
      </c>
      <c r="BF158" s="640" t="s">
        <v>910</v>
      </c>
      <c r="BG158" s="630">
        <v>11</v>
      </c>
      <c r="BH158" s="640" t="s">
        <v>910</v>
      </c>
      <c r="BI158" s="644">
        <v>0.27</v>
      </c>
      <c r="BJ158" s="644">
        <v>0.37</v>
      </c>
      <c r="BK158" s="644">
        <v>0.2</v>
      </c>
      <c r="BL158" s="644">
        <v>0.13</v>
      </c>
      <c r="BM158" s="644">
        <v>0.03</v>
      </c>
    </row>
    <row r="159" spans="1:65" ht="24.9" customHeight="1" x14ac:dyDescent="0.25">
      <c r="A159" s="188" t="s">
        <v>206</v>
      </c>
      <c r="B159" s="1" t="s">
        <v>222</v>
      </c>
      <c r="C159" s="2">
        <v>5</v>
      </c>
      <c r="D159" s="16">
        <v>55</v>
      </c>
      <c r="E159" s="16">
        <v>9</v>
      </c>
      <c r="F159" s="99">
        <v>0.19</v>
      </c>
      <c r="G159" s="99">
        <v>0.5</v>
      </c>
      <c r="H159" s="99">
        <v>0.19</v>
      </c>
      <c r="I159" s="99">
        <v>0.13</v>
      </c>
      <c r="J159" s="99">
        <v>0</v>
      </c>
      <c r="K159" s="16">
        <v>54</v>
      </c>
      <c r="L159" s="16">
        <v>10</v>
      </c>
      <c r="M159" s="92">
        <v>0.3</v>
      </c>
      <c r="N159" s="92">
        <v>0.38</v>
      </c>
      <c r="O159" s="92">
        <v>0.23</v>
      </c>
      <c r="P159" s="92">
        <v>0.1</v>
      </c>
      <c r="Q159" s="92">
        <v>0</v>
      </c>
      <c r="R159" s="16">
        <v>57</v>
      </c>
      <c r="S159" s="16">
        <v>8</v>
      </c>
      <c r="T159" s="96">
        <v>0.12</v>
      </c>
      <c r="U159" s="96">
        <v>0.41</v>
      </c>
      <c r="V159" s="96">
        <v>0.37</v>
      </c>
      <c r="W159" s="96">
        <v>0.1</v>
      </c>
      <c r="X159" s="96">
        <v>0</v>
      </c>
      <c r="Y159" s="16">
        <v>57</v>
      </c>
      <c r="Z159" s="16">
        <v>8</v>
      </c>
      <c r="AA159" s="96">
        <v>0.15</v>
      </c>
      <c r="AB159" s="96">
        <v>0.4</v>
      </c>
      <c r="AC159" s="96">
        <v>0.4</v>
      </c>
      <c r="AD159" s="96">
        <v>0.05</v>
      </c>
      <c r="AE159" s="96">
        <v>0</v>
      </c>
      <c r="AF159" s="91">
        <v>54</v>
      </c>
      <c r="AG159" s="91">
        <v>7</v>
      </c>
      <c r="AH159" s="92">
        <v>0.11</v>
      </c>
      <c r="AI159" s="92">
        <v>0.62</v>
      </c>
      <c r="AJ159" s="92">
        <v>0.24</v>
      </c>
      <c r="AK159" s="92">
        <v>0.03</v>
      </c>
      <c r="AL159" s="92">
        <v>0</v>
      </c>
      <c r="AM159" s="349">
        <v>55</v>
      </c>
      <c r="AN159" s="348" t="s">
        <v>910</v>
      </c>
      <c r="AO159" s="349">
        <v>9</v>
      </c>
      <c r="AP159" s="348" t="s">
        <v>910</v>
      </c>
      <c r="AQ159" s="371">
        <v>0.17</v>
      </c>
      <c r="AR159" s="371">
        <v>0.43</v>
      </c>
      <c r="AS159" s="371">
        <v>0.34</v>
      </c>
      <c r="AT159" s="371">
        <v>0.05</v>
      </c>
      <c r="AU159" s="371">
        <v>0</v>
      </c>
      <c r="AV159" s="469">
        <v>58</v>
      </c>
      <c r="AW159" s="471" t="s">
        <v>910</v>
      </c>
      <c r="AX159" s="469">
        <v>9</v>
      </c>
      <c r="AY159" s="471" t="s">
        <v>910</v>
      </c>
      <c r="AZ159" s="501">
        <v>0.09</v>
      </c>
      <c r="BA159" s="501">
        <v>0.4</v>
      </c>
      <c r="BB159" s="501">
        <v>0.4</v>
      </c>
      <c r="BC159" s="501">
        <v>0.06</v>
      </c>
      <c r="BD159" s="501">
        <v>0.04</v>
      </c>
      <c r="BE159" s="630">
        <v>57</v>
      </c>
      <c r="BF159" s="640" t="s">
        <v>910</v>
      </c>
      <c r="BG159" s="630">
        <v>9</v>
      </c>
      <c r="BH159" s="640" t="s">
        <v>910</v>
      </c>
      <c r="BI159" s="644">
        <v>0.16</v>
      </c>
      <c r="BJ159" s="644">
        <v>0.36</v>
      </c>
      <c r="BK159" s="644">
        <v>0.36</v>
      </c>
      <c r="BL159" s="644">
        <v>0.13</v>
      </c>
      <c r="BM159" s="644">
        <v>0</v>
      </c>
    </row>
    <row r="160" spans="1:65" ht="24.9" customHeight="1" x14ac:dyDescent="0.25">
      <c r="A160" s="188" t="s">
        <v>202</v>
      </c>
      <c r="B160" s="1" t="s">
        <v>222</v>
      </c>
      <c r="C160" s="2">
        <v>5</v>
      </c>
      <c r="D160" s="16">
        <v>54</v>
      </c>
      <c r="E160" s="16">
        <v>9</v>
      </c>
      <c r="F160" s="99">
        <v>0.25</v>
      </c>
      <c r="G160" s="99">
        <v>0.43</v>
      </c>
      <c r="H160" s="99">
        <v>0.24</v>
      </c>
      <c r="I160" s="99">
        <v>0.08</v>
      </c>
      <c r="J160" s="99">
        <v>0</v>
      </c>
      <c r="K160" s="16">
        <v>54</v>
      </c>
      <c r="L160" s="16">
        <v>9</v>
      </c>
      <c r="M160" s="92">
        <v>0.24</v>
      </c>
      <c r="N160" s="92">
        <v>0.4</v>
      </c>
      <c r="O160" s="92">
        <v>0.28999999999999998</v>
      </c>
      <c r="P160" s="92">
        <v>0.06</v>
      </c>
      <c r="Q160" s="92">
        <v>0</v>
      </c>
      <c r="R160" s="16">
        <v>54</v>
      </c>
      <c r="S160" s="16">
        <v>9</v>
      </c>
      <c r="T160" s="96">
        <v>0.18</v>
      </c>
      <c r="U160" s="96">
        <v>0.47</v>
      </c>
      <c r="V160" s="96">
        <v>0.28999999999999998</v>
      </c>
      <c r="W160" s="96">
        <v>0.05</v>
      </c>
      <c r="X160" s="96">
        <v>0.01</v>
      </c>
      <c r="Y160" s="16">
        <v>56</v>
      </c>
      <c r="Z160" s="16">
        <v>8</v>
      </c>
      <c r="AA160" s="96">
        <v>0.14000000000000001</v>
      </c>
      <c r="AB160" s="96">
        <v>0.45</v>
      </c>
      <c r="AC160" s="96">
        <v>0.33</v>
      </c>
      <c r="AD160" s="96">
        <v>0.08</v>
      </c>
      <c r="AE160" s="96">
        <v>0</v>
      </c>
      <c r="AF160" s="91">
        <v>53</v>
      </c>
      <c r="AG160" s="91">
        <v>9</v>
      </c>
      <c r="AH160" s="92">
        <v>0.19</v>
      </c>
      <c r="AI160" s="92">
        <v>0.57999999999999996</v>
      </c>
      <c r="AJ160" s="92">
        <v>0.17</v>
      </c>
      <c r="AK160" s="92">
        <v>0.05</v>
      </c>
      <c r="AL160" s="92">
        <v>0.01</v>
      </c>
      <c r="AM160" s="349">
        <v>57</v>
      </c>
      <c r="AN160" s="348" t="s">
        <v>910</v>
      </c>
      <c r="AO160" s="349">
        <v>8</v>
      </c>
      <c r="AP160" s="348" t="s">
        <v>910</v>
      </c>
      <c r="AQ160" s="371">
        <v>0.11</v>
      </c>
      <c r="AR160" s="371">
        <v>0.41</v>
      </c>
      <c r="AS160" s="371">
        <v>0.35</v>
      </c>
      <c r="AT160" s="371">
        <v>0.12</v>
      </c>
      <c r="AU160" s="371">
        <v>0.01</v>
      </c>
      <c r="AV160" s="469">
        <v>59</v>
      </c>
      <c r="AW160" s="471" t="s">
        <v>910</v>
      </c>
      <c r="AX160" s="469">
        <v>9</v>
      </c>
      <c r="AY160" s="471" t="s">
        <v>910</v>
      </c>
      <c r="AZ160" s="501">
        <v>0.06</v>
      </c>
      <c r="BA160" s="501">
        <v>0.41</v>
      </c>
      <c r="BB160" s="501">
        <v>0.34</v>
      </c>
      <c r="BC160" s="501">
        <v>0.18</v>
      </c>
      <c r="BD160" s="501">
        <v>0.01</v>
      </c>
      <c r="BE160" s="630">
        <v>58</v>
      </c>
      <c r="BF160" s="640" t="s">
        <v>910</v>
      </c>
      <c r="BG160" s="630">
        <v>10</v>
      </c>
      <c r="BH160" s="640" t="s">
        <v>910</v>
      </c>
      <c r="BI160" s="644">
        <v>0.16</v>
      </c>
      <c r="BJ160" s="644">
        <v>0.36</v>
      </c>
      <c r="BK160" s="644">
        <v>0.28000000000000003</v>
      </c>
      <c r="BL160" s="644">
        <v>0.19</v>
      </c>
      <c r="BM160" s="644">
        <v>0.01</v>
      </c>
    </row>
    <row r="161" spans="1:65" ht="24.9" customHeight="1" x14ac:dyDescent="0.25">
      <c r="A161" s="188" t="s">
        <v>880</v>
      </c>
      <c r="B161" s="1" t="s">
        <v>222</v>
      </c>
      <c r="C161" s="2">
        <v>5</v>
      </c>
      <c r="D161" s="16">
        <v>67</v>
      </c>
      <c r="E161" s="16">
        <v>6</v>
      </c>
      <c r="F161" s="99">
        <v>0</v>
      </c>
      <c r="G161" s="99">
        <v>0.11</v>
      </c>
      <c r="H161" s="99">
        <v>0.42</v>
      </c>
      <c r="I161" s="99">
        <v>0.47</v>
      </c>
      <c r="J161" s="99">
        <v>0</v>
      </c>
      <c r="K161" s="16">
        <v>67</v>
      </c>
      <c r="L161" s="16">
        <v>7</v>
      </c>
      <c r="M161" s="92">
        <v>0</v>
      </c>
      <c r="N161" s="92">
        <v>7.0000000000000007E-2</v>
      </c>
      <c r="O161" s="92">
        <v>0.64</v>
      </c>
      <c r="P161" s="92">
        <v>0.14000000000000001</v>
      </c>
      <c r="Q161" s="92">
        <v>0.14000000000000001</v>
      </c>
      <c r="R161" s="16">
        <v>65</v>
      </c>
      <c r="S161" s="16">
        <v>8</v>
      </c>
      <c r="T161" s="96">
        <v>0.03</v>
      </c>
      <c r="U161" s="96">
        <v>0.17</v>
      </c>
      <c r="V161" s="96">
        <v>0.46</v>
      </c>
      <c r="W161" s="96">
        <v>0.28999999999999998</v>
      </c>
      <c r="X161" s="96">
        <v>0.06</v>
      </c>
      <c r="Y161" s="16">
        <v>62</v>
      </c>
      <c r="Z161" s="16">
        <v>7</v>
      </c>
      <c r="AA161" s="96">
        <v>0</v>
      </c>
      <c r="AB161" s="96">
        <v>0.35</v>
      </c>
      <c r="AC161" s="96">
        <v>0.5</v>
      </c>
      <c r="AD161" s="96">
        <v>0.15</v>
      </c>
      <c r="AE161" s="96">
        <v>0</v>
      </c>
      <c r="AF161" s="91">
        <v>54</v>
      </c>
      <c r="AG161" s="91">
        <v>9</v>
      </c>
      <c r="AH161" s="92">
        <v>0.26</v>
      </c>
      <c r="AI161" s="92">
        <v>0.44</v>
      </c>
      <c r="AJ161" s="92">
        <v>0.16</v>
      </c>
      <c r="AK161" s="92">
        <v>0.14000000000000001</v>
      </c>
      <c r="AL161" s="92">
        <v>0</v>
      </c>
      <c r="AM161" s="349">
        <v>64</v>
      </c>
      <c r="AN161" s="348" t="s">
        <v>911</v>
      </c>
      <c r="AO161" s="349">
        <v>9</v>
      </c>
      <c r="AP161" s="348" t="s">
        <v>910</v>
      </c>
      <c r="AQ161" s="371">
        <v>0.02</v>
      </c>
      <c r="AR161" s="371">
        <v>0.21</v>
      </c>
      <c r="AS161" s="371">
        <v>0.4</v>
      </c>
      <c r="AT161" s="371">
        <v>0.35</v>
      </c>
      <c r="AU161" s="371">
        <v>0.02</v>
      </c>
      <c r="AV161" s="469">
        <v>64</v>
      </c>
      <c r="AW161" s="471" t="s">
        <v>911</v>
      </c>
      <c r="AX161" s="469">
        <v>11</v>
      </c>
      <c r="AY161" s="471" t="s">
        <v>910</v>
      </c>
      <c r="AZ161" s="501">
        <v>0.05</v>
      </c>
      <c r="BA161" s="501">
        <v>0.16</v>
      </c>
      <c r="BB161" s="501">
        <v>0.47</v>
      </c>
      <c r="BC161" s="501">
        <v>0.21</v>
      </c>
      <c r="BD161" s="501">
        <v>0.11</v>
      </c>
      <c r="BE161" s="630">
        <v>64</v>
      </c>
      <c r="BF161" s="640" t="s">
        <v>911</v>
      </c>
      <c r="BG161" s="630">
        <v>11</v>
      </c>
      <c r="BH161" s="640" t="s">
        <v>910</v>
      </c>
      <c r="BI161" s="644">
        <v>0.04</v>
      </c>
      <c r="BJ161" s="644">
        <v>0.19</v>
      </c>
      <c r="BK161" s="644">
        <v>0.35</v>
      </c>
      <c r="BL161" s="644">
        <v>0.36</v>
      </c>
      <c r="BM161" s="644">
        <v>0.05</v>
      </c>
    </row>
    <row r="162" spans="1:65" ht="24.9" customHeight="1" x14ac:dyDescent="0.25">
      <c r="A162" s="188" t="s">
        <v>177</v>
      </c>
      <c r="B162" s="1" t="s">
        <v>222</v>
      </c>
      <c r="C162" s="2">
        <v>5</v>
      </c>
      <c r="D162" s="16">
        <v>59</v>
      </c>
      <c r="E162" s="16">
        <v>10</v>
      </c>
      <c r="F162" s="99">
        <v>0.1</v>
      </c>
      <c r="G162" s="99">
        <v>0.37</v>
      </c>
      <c r="H162" s="99">
        <v>0.33</v>
      </c>
      <c r="I162" s="99">
        <v>0.2</v>
      </c>
      <c r="J162" s="99">
        <v>0</v>
      </c>
      <c r="K162" s="16">
        <v>58</v>
      </c>
      <c r="L162" s="16">
        <v>8</v>
      </c>
      <c r="M162" s="92">
        <v>0.03</v>
      </c>
      <c r="N162" s="92">
        <v>0.48</v>
      </c>
      <c r="O162" s="92">
        <v>0.31</v>
      </c>
      <c r="P162" s="92">
        <v>0.17</v>
      </c>
      <c r="Q162" s="92">
        <v>0</v>
      </c>
      <c r="R162" s="16">
        <v>64</v>
      </c>
      <c r="S162" s="16">
        <v>8</v>
      </c>
      <c r="T162" s="96">
        <v>0</v>
      </c>
      <c r="U162" s="96">
        <v>0.28000000000000003</v>
      </c>
      <c r="V162" s="96">
        <v>0.28000000000000003</v>
      </c>
      <c r="W162" s="96">
        <v>0.39</v>
      </c>
      <c r="X162" s="96">
        <v>0.06</v>
      </c>
      <c r="Y162" s="16">
        <v>65</v>
      </c>
      <c r="Z162" s="16">
        <v>6</v>
      </c>
      <c r="AA162" s="96">
        <v>0</v>
      </c>
      <c r="AB162" s="96">
        <v>0.15</v>
      </c>
      <c r="AC162" s="96">
        <v>0.45</v>
      </c>
      <c r="AD162" s="96">
        <v>0.4</v>
      </c>
      <c r="AE162" s="96">
        <v>0</v>
      </c>
      <c r="AF162" s="91">
        <v>61</v>
      </c>
      <c r="AG162" s="91">
        <v>8</v>
      </c>
      <c r="AH162" s="92">
        <v>0.05</v>
      </c>
      <c r="AI162" s="92">
        <v>0.28999999999999998</v>
      </c>
      <c r="AJ162" s="92">
        <v>0.48</v>
      </c>
      <c r="AK162" s="92">
        <v>0.19</v>
      </c>
      <c r="AL162" s="92">
        <v>0</v>
      </c>
      <c r="AM162" s="349">
        <v>62</v>
      </c>
      <c r="AN162" s="348" t="s">
        <v>911</v>
      </c>
      <c r="AO162" s="349">
        <v>8</v>
      </c>
      <c r="AP162" s="348" t="s">
        <v>910</v>
      </c>
      <c r="AQ162" s="371">
        <v>0</v>
      </c>
      <c r="AR162" s="371">
        <v>0.36</v>
      </c>
      <c r="AS162" s="371">
        <v>0.43</v>
      </c>
      <c r="AT162" s="371">
        <v>0.21</v>
      </c>
      <c r="AU162" s="371">
        <v>0</v>
      </c>
      <c r="AV162" s="469">
        <v>63</v>
      </c>
      <c r="AW162" s="471" t="s">
        <v>911</v>
      </c>
      <c r="AX162" s="469">
        <v>7</v>
      </c>
      <c r="AY162" s="471" t="s">
        <v>912</v>
      </c>
      <c r="AZ162" s="501">
        <v>0.03</v>
      </c>
      <c r="BA162" s="501">
        <v>0.26</v>
      </c>
      <c r="BB162" s="501">
        <v>0.45</v>
      </c>
      <c r="BC162" s="501">
        <v>0.26</v>
      </c>
      <c r="BD162" s="501">
        <v>0</v>
      </c>
      <c r="BE162" s="630">
        <v>61</v>
      </c>
      <c r="BF162" s="640" t="s">
        <v>911</v>
      </c>
      <c r="BG162" s="630">
        <v>10</v>
      </c>
      <c r="BH162" s="640" t="s">
        <v>910</v>
      </c>
      <c r="BI162" s="644">
        <v>0.1</v>
      </c>
      <c r="BJ162" s="644">
        <v>0.21</v>
      </c>
      <c r="BK162" s="644">
        <v>0.45</v>
      </c>
      <c r="BL162" s="644">
        <v>0.21</v>
      </c>
      <c r="BM162" s="644">
        <v>0.02</v>
      </c>
    </row>
    <row r="163" spans="1:65" ht="24.9" customHeight="1" x14ac:dyDescent="0.25">
      <c r="A163" s="188" t="s">
        <v>289</v>
      </c>
      <c r="B163" s="1" t="s">
        <v>222</v>
      </c>
      <c r="C163" s="2">
        <v>4</v>
      </c>
      <c r="D163" s="16">
        <v>43</v>
      </c>
      <c r="E163" s="16">
        <v>2</v>
      </c>
      <c r="F163" s="99">
        <v>1</v>
      </c>
      <c r="G163" s="99">
        <v>0</v>
      </c>
      <c r="H163" s="99">
        <v>0</v>
      </c>
      <c r="I163" s="99">
        <v>0</v>
      </c>
      <c r="J163" s="99">
        <v>0</v>
      </c>
      <c r="K163" s="16">
        <v>41</v>
      </c>
      <c r="L163" s="16">
        <v>7</v>
      </c>
      <c r="M163" s="92">
        <v>0.7</v>
      </c>
      <c r="N163" s="92">
        <v>0.3</v>
      </c>
      <c r="O163" s="92">
        <v>0</v>
      </c>
      <c r="P163" s="92">
        <v>0</v>
      </c>
      <c r="Q163" s="92">
        <v>0</v>
      </c>
      <c r="R163" s="16">
        <v>45</v>
      </c>
      <c r="S163" s="16">
        <v>6</v>
      </c>
      <c r="T163" s="96">
        <v>0.63</v>
      </c>
      <c r="U163" s="96">
        <v>0.38</v>
      </c>
      <c r="V163" s="96">
        <v>0</v>
      </c>
      <c r="W163" s="96">
        <v>0</v>
      </c>
      <c r="X163" s="96">
        <v>0</v>
      </c>
      <c r="Y163" s="16">
        <v>46</v>
      </c>
      <c r="Z163" s="16">
        <v>9</v>
      </c>
      <c r="AA163" s="96">
        <v>0.5</v>
      </c>
      <c r="AB163" s="96">
        <v>0.5</v>
      </c>
      <c r="AC163" s="96">
        <v>0</v>
      </c>
      <c r="AD163" s="96">
        <v>0</v>
      </c>
      <c r="AE163" s="96">
        <v>0</v>
      </c>
      <c r="AF163" s="91">
        <v>43</v>
      </c>
      <c r="AG163" s="91">
        <v>10</v>
      </c>
      <c r="AH163" s="92">
        <v>0.33</v>
      </c>
      <c r="AI163" s="92">
        <v>0.67</v>
      </c>
      <c r="AJ163" s="92">
        <v>0</v>
      </c>
      <c r="AK163" s="92">
        <v>0</v>
      </c>
      <c r="AL163" s="92">
        <v>0</v>
      </c>
      <c r="AM163" s="349">
        <v>49</v>
      </c>
      <c r="AN163" s="348" t="s">
        <v>910</v>
      </c>
      <c r="AO163" s="349">
        <v>9</v>
      </c>
      <c r="AP163" s="348" t="s">
        <v>910</v>
      </c>
      <c r="AQ163" s="371">
        <v>0.55000000000000004</v>
      </c>
      <c r="AR163" s="371">
        <v>0.27</v>
      </c>
      <c r="AS163" s="371">
        <v>0.18</v>
      </c>
      <c r="AT163" s="371">
        <v>0</v>
      </c>
      <c r="AU163" s="371">
        <v>0</v>
      </c>
      <c r="AV163" s="469">
        <v>49</v>
      </c>
      <c r="AW163" s="471" t="s">
        <v>910</v>
      </c>
      <c r="AX163" s="469">
        <v>10</v>
      </c>
      <c r="AY163" s="471" t="s">
        <v>910</v>
      </c>
      <c r="AZ163" s="501">
        <v>0.36</v>
      </c>
      <c r="BA163" s="501">
        <v>0.55000000000000004</v>
      </c>
      <c r="BB163" s="501">
        <v>0.09</v>
      </c>
      <c r="BC163" s="501">
        <v>0</v>
      </c>
      <c r="BD163" s="501">
        <v>0</v>
      </c>
      <c r="BE163" s="630">
        <v>46</v>
      </c>
      <c r="BF163" s="640" t="s">
        <v>910</v>
      </c>
      <c r="BG163" s="630">
        <v>8</v>
      </c>
      <c r="BH163" s="640" t="s">
        <v>910</v>
      </c>
      <c r="BI163" s="644">
        <v>0.6</v>
      </c>
      <c r="BJ163" s="644">
        <v>0.3</v>
      </c>
      <c r="BK163" s="644">
        <v>0.1</v>
      </c>
      <c r="BL163" s="644">
        <v>0</v>
      </c>
      <c r="BM163" s="644">
        <v>0</v>
      </c>
    </row>
    <row r="164" spans="1:65" ht="24.9" customHeight="1" x14ac:dyDescent="0.25">
      <c r="A164" s="188" t="s">
        <v>71</v>
      </c>
      <c r="B164" s="1" t="s">
        <v>222</v>
      </c>
      <c r="C164" s="2">
        <v>6</v>
      </c>
      <c r="D164" s="16">
        <v>56</v>
      </c>
      <c r="E164" s="16">
        <v>8</v>
      </c>
      <c r="F164" s="99">
        <v>0.14000000000000001</v>
      </c>
      <c r="G164" s="99">
        <v>0.47</v>
      </c>
      <c r="H164" s="99">
        <v>0.33</v>
      </c>
      <c r="I164" s="99">
        <v>0.06</v>
      </c>
      <c r="J164" s="99">
        <v>0</v>
      </c>
      <c r="K164" s="16">
        <v>54</v>
      </c>
      <c r="L164" s="16">
        <v>9</v>
      </c>
      <c r="M164" s="92">
        <v>0.26</v>
      </c>
      <c r="N164" s="92">
        <v>0.4</v>
      </c>
      <c r="O164" s="92">
        <v>0.22</v>
      </c>
      <c r="P164" s="92">
        <v>0.12</v>
      </c>
      <c r="Q164" s="92">
        <v>0</v>
      </c>
      <c r="R164" s="16">
        <v>56</v>
      </c>
      <c r="S164" s="16">
        <v>8</v>
      </c>
      <c r="T164" s="96">
        <v>0.13</v>
      </c>
      <c r="U164" s="96">
        <v>0.4</v>
      </c>
      <c r="V164" s="96">
        <v>0.39</v>
      </c>
      <c r="W164" s="96">
        <v>7.0000000000000007E-2</v>
      </c>
      <c r="X164" s="96">
        <v>0</v>
      </c>
      <c r="Y164" s="16">
        <v>56</v>
      </c>
      <c r="Z164" s="16">
        <v>7</v>
      </c>
      <c r="AA164" s="96">
        <v>0.11</v>
      </c>
      <c r="AB164" s="96">
        <v>0.53</v>
      </c>
      <c r="AC164" s="96">
        <v>0.27</v>
      </c>
      <c r="AD164" s="96">
        <v>0.08</v>
      </c>
      <c r="AE164" s="96">
        <v>0.01</v>
      </c>
      <c r="AF164" s="91">
        <v>53</v>
      </c>
      <c r="AG164" s="91">
        <v>9</v>
      </c>
      <c r="AH164" s="92">
        <v>0.28000000000000003</v>
      </c>
      <c r="AI164" s="92">
        <v>0.48</v>
      </c>
      <c r="AJ164" s="92">
        <v>0.15</v>
      </c>
      <c r="AK164" s="92">
        <v>0.09</v>
      </c>
      <c r="AL164" s="92">
        <v>0</v>
      </c>
      <c r="AM164" s="349">
        <v>55</v>
      </c>
      <c r="AN164" s="348" t="s">
        <v>910</v>
      </c>
      <c r="AO164" s="349">
        <v>9</v>
      </c>
      <c r="AP164" s="348" t="s">
        <v>910</v>
      </c>
      <c r="AQ164" s="371">
        <v>0.18</v>
      </c>
      <c r="AR164" s="371">
        <v>0.42</v>
      </c>
      <c r="AS164" s="371">
        <v>0.32</v>
      </c>
      <c r="AT164" s="371">
        <v>0.09</v>
      </c>
      <c r="AU164" s="371">
        <v>0</v>
      </c>
      <c r="AV164" s="469">
        <v>58</v>
      </c>
      <c r="AW164" s="471" t="s">
        <v>910</v>
      </c>
      <c r="AX164" s="469">
        <v>9</v>
      </c>
      <c r="AY164" s="471" t="s">
        <v>910</v>
      </c>
      <c r="AZ164" s="501">
        <v>0.12</v>
      </c>
      <c r="BA164" s="501">
        <v>0.35</v>
      </c>
      <c r="BB164" s="501">
        <v>0.39</v>
      </c>
      <c r="BC164" s="501">
        <v>0.14000000000000001</v>
      </c>
      <c r="BD164" s="501">
        <v>0</v>
      </c>
      <c r="BE164" s="630">
        <v>58</v>
      </c>
      <c r="BF164" s="640" t="s">
        <v>910</v>
      </c>
      <c r="BG164" s="630">
        <v>10</v>
      </c>
      <c r="BH164" s="640" t="s">
        <v>910</v>
      </c>
      <c r="BI164" s="644">
        <v>0.14000000000000001</v>
      </c>
      <c r="BJ164" s="644">
        <v>0.38</v>
      </c>
      <c r="BK164" s="644">
        <v>0.3</v>
      </c>
      <c r="BL164" s="644">
        <v>0.17</v>
      </c>
      <c r="BM164" s="644">
        <v>0.01</v>
      </c>
    </row>
    <row r="165" spans="1:65" ht="24.9" customHeight="1" x14ac:dyDescent="0.25">
      <c r="A165" s="188" t="s">
        <v>208</v>
      </c>
      <c r="B165" s="1" t="s">
        <v>222</v>
      </c>
      <c r="C165" s="2">
        <v>4</v>
      </c>
      <c r="D165" s="16">
        <v>58</v>
      </c>
      <c r="E165" s="16">
        <v>11</v>
      </c>
      <c r="F165" s="99">
        <v>0.08</v>
      </c>
      <c r="G165" s="99">
        <v>0.5</v>
      </c>
      <c r="H165" s="99">
        <v>0.17</v>
      </c>
      <c r="I165" s="99">
        <v>0.25</v>
      </c>
      <c r="J165" s="99">
        <v>0</v>
      </c>
      <c r="K165" s="16">
        <v>58</v>
      </c>
      <c r="L165" s="16">
        <v>7</v>
      </c>
      <c r="M165" s="92">
        <v>0</v>
      </c>
      <c r="N165" s="92">
        <v>0.56000000000000005</v>
      </c>
      <c r="O165" s="92">
        <v>0.38</v>
      </c>
      <c r="P165" s="92">
        <v>0.06</v>
      </c>
      <c r="Q165" s="92">
        <v>0</v>
      </c>
      <c r="R165" s="16">
        <v>60</v>
      </c>
      <c r="S165" s="16">
        <v>8</v>
      </c>
      <c r="T165" s="96">
        <v>0</v>
      </c>
      <c r="U165" s="96">
        <v>0.33</v>
      </c>
      <c r="V165" s="96">
        <v>0.53</v>
      </c>
      <c r="W165" s="96">
        <v>7.0000000000000007E-2</v>
      </c>
      <c r="X165" s="96">
        <v>7.0000000000000007E-2</v>
      </c>
      <c r="Y165" s="16">
        <v>58</v>
      </c>
      <c r="Z165" s="16">
        <v>8</v>
      </c>
      <c r="AA165" s="96">
        <v>0.11</v>
      </c>
      <c r="AB165" s="96">
        <v>0.39</v>
      </c>
      <c r="AC165" s="96">
        <v>0.5</v>
      </c>
      <c r="AD165" s="96">
        <v>0</v>
      </c>
      <c r="AE165" s="96">
        <v>0</v>
      </c>
      <c r="AF165" s="91">
        <v>49</v>
      </c>
      <c r="AG165" s="91">
        <v>7</v>
      </c>
      <c r="AH165" s="92">
        <v>0.44</v>
      </c>
      <c r="AI165" s="92">
        <v>0.44</v>
      </c>
      <c r="AJ165" s="92">
        <v>0.13</v>
      </c>
      <c r="AK165" s="92">
        <v>0</v>
      </c>
      <c r="AL165" s="92">
        <v>0</v>
      </c>
      <c r="AM165" s="349">
        <v>59</v>
      </c>
      <c r="AN165" s="348" t="s">
        <v>910</v>
      </c>
      <c r="AO165" s="349">
        <v>11</v>
      </c>
      <c r="AP165" s="348" t="s">
        <v>910</v>
      </c>
      <c r="AQ165" s="371">
        <v>0.13</v>
      </c>
      <c r="AR165" s="371">
        <v>0.31</v>
      </c>
      <c r="AS165" s="371">
        <v>0.44</v>
      </c>
      <c r="AT165" s="371">
        <v>0.06</v>
      </c>
      <c r="AU165" s="371">
        <v>0.06</v>
      </c>
      <c r="AV165" s="469">
        <v>58</v>
      </c>
      <c r="AW165" s="471" t="s">
        <v>910</v>
      </c>
      <c r="AX165" s="469">
        <v>10</v>
      </c>
      <c r="AY165" s="471" t="s">
        <v>910</v>
      </c>
      <c r="AZ165" s="501">
        <v>0.16</v>
      </c>
      <c r="BA165" s="501">
        <v>0.26</v>
      </c>
      <c r="BB165" s="501">
        <v>0.42</v>
      </c>
      <c r="BC165" s="501">
        <v>0.16</v>
      </c>
      <c r="BD165" s="501">
        <v>0</v>
      </c>
      <c r="BE165" s="630">
        <v>57</v>
      </c>
      <c r="BF165" s="640" t="s">
        <v>910</v>
      </c>
      <c r="BG165" s="630">
        <v>11</v>
      </c>
      <c r="BH165" s="640" t="s">
        <v>910</v>
      </c>
      <c r="BI165" s="644">
        <v>0.17</v>
      </c>
      <c r="BJ165" s="644">
        <v>0.35</v>
      </c>
      <c r="BK165" s="644">
        <v>0.3</v>
      </c>
      <c r="BL165" s="644">
        <v>0.17</v>
      </c>
      <c r="BM165" s="644">
        <v>0</v>
      </c>
    </row>
    <row r="166" spans="1:65" ht="24.9" customHeight="1" x14ac:dyDescent="0.25">
      <c r="A166" s="188" t="s">
        <v>99</v>
      </c>
      <c r="B166" s="1" t="s">
        <v>222</v>
      </c>
      <c r="C166" s="2">
        <v>5</v>
      </c>
      <c r="D166" s="16">
        <v>60</v>
      </c>
      <c r="E166" s="16">
        <v>14</v>
      </c>
      <c r="F166" s="99">
        <v>0.16</v>
      </c>
      <c r="G166" s="99">
        <v>0.37</v>
      </c>
      <c r="H166" s="99">
        <v>0.16</v>
      </c>
      <c r="I166" s="99">
        <v>0.26</v>
      </c>
      <c r="J166" s="99">
        <v>0.05</v>
      </c>
      <c r="K166" s="16">
        <v>53</v>
      </c>
      <c r="L166" s="16">
        <v>8</v>
      </c>
      <c r="M166" s="92">
        <v>0.25</v>
      </c>
      <c r="N166" s="92">
        <v>0.46</v>
      </c>
      <c r="O166" s="92">
        <v>0.28999999999999998</v>
      </c>
      <c r="P166" s="92">
        <v>0</v>
      </c>
      <c r="Q166" s="92">
        <v>0</v>
      </c>
      <c r="R166" s="16">
        <v>54</v>
      </c>
      <c r="S166" s="16">
        <v>8</v>
      </c>
      <c r="T166" s="96">
        <v>0.28999999999999998</v>
      </c>
      <c r="U166" s="96">
        <v>0.35</v>
      </c>
      <c r="V166" s="96">
        <v>0.28999999999999998</v>
      </c>
      <c r="W166" s="96">
        <v>0.06</v>
      </c>
      <c r="X166" s="96">
        <v>0</v>
      </c>
      <c r="Y166" s="16">
        <v>55</v>
      </c>
      <c r="Z166" s="16">
        <v>11</v>
      </c>
      <c r="AA166" s="96">
        <v>0.24</v>
      </c>
      <c r="AB166" s="96">
        <v>0.33</v>
      </c>
      <c r="AC166" s="96">
        <v>0.33</v>
      </c>
      <c r="AD166" s="96">
        <v>0.1</v>
      </c>
      <c r="AE166" s="96">
        <v>0</v>
      </c>
      <c r="AF166" s="91">
        <v>52</v>
      </c>
      <c r="AG166" s="91">
        <v>10</v>
      </c>
      <c r="AH166" s="92">
        <v>0.26</v>
      </c>
      <c r="AI166" s="92">
        <v>0.53</v>
      </c>
      <c r="AJ166" s="92">
        <v>0.11</v>
      </c>
      <c r="AK166" s="92">
        <v>0.11</v>
      </c>
      <c r="AL166" s="92">
        <v>0</v>
      </c>
      <c r="AM166" s="349">
        <v>54</v>
      </c>
      <c r="AN166" s="348" t="s">
        <v>910</v>
      </c>
      <c r="AO166" s="349">
        <v>9</v>
      </c>
      <c r="AP166" s="348" t="s">
        <v>910</v>
      </c>
      <c r="AQ166" s="371">
        <v>0.27</v>
      </c>
      <c r="AR166" s="371">
        <v>0.38</v>
      </c>
      <c r="AS166" s="371">
        <v>0.27</v>
      </c>
      <c r="AT166" s="371">
        <v>0.08</v>
      </c>
      <c r="AU166" s="371">
        <v>0</v>
      </c>
      <c r="AV166" s="469">
        <v>61</v>
      </c>
      <c r="AW166" s="471" t="s">
        <v>911</v>
      </c>
      <c r="AX166" s="469">
        <v>8</v>
      </c>
      <c r="AY166" s="471" t="s">
        <v>910</v>
      </c>
      <c r="AZ166" s="501">
        <v>0</v>
      </c>
      <c r="BA166" s="501">
        <v>0.39</v>
      </c>
      <c r="BB166" s="501">
        <v>0.43</v>
      </c>
      <c r="BC166" s="501">
        <v>0.13</v>
      </c>
      <c r="BD166" s="501">
        <v>0.04</v>
      </c>
      <c r="BE166" s="630">
        <v>57</v>
      </c>
      <c r="BF166" s="640" t="s">
        <v>910</v>
      </c>
      <c r="BG166" s="630">
        <v>9</v>
      </c>
      <c r="BH166" s="640" t="s">
        <v>910</v>
      </c>
      <c r="BI166" s="644">
        <v>0.14000000000000001</v>
      </c>
      <c r="BJ166" s="644">
        <v>0.38</v>
      </c>
      <c r="BK166" s="644">
        <v>0.38</v>
      </c>
      <c r="BL166" s="644">
        <v>0.1</v>
      </c>
      <c r="BM166" s="644">
        <v>0</v>
      </c>
    </row>
    <row r="167" spans="1:65" ht="24.9" customHeight="1" x14ac:dyDescent="0.25">
      <c r="A167" s="188" t="s">
        <v>73</v>
      </c>
      <c r="B167" s="70" t="s">
        <v>222</v>
      </c>
      <c r="C167" s="72">
        <v>2</v>
      </c>
      <c r="D167" s="16">
        <v>53</v>
      </c>
      <c r="E167" s="16">
        <v>10</v>
      </c>
      <c r="F167" s="99">
        <v>0.36</v>
      </c>
      <c r="G167" s="99">
        <v>0.27</v>
      </c>
      <c r="H167" s="99">
        <v>0.27</v>
      </c>
      <c r="I167" s="99">
        <v>0.09</v>
      </c>
      <c r="J167" s="99">
        <v>0</v>
      </c>
      <c r="K167" s="16">
        <v>48</v>
      </c>
      <c r="L167" s="16">
        <v>9</v>
      </c>
      <c r="M167" s="92">
        <v>0.56000000000000005</v>
      </c>
      <c r="N167" s="92">
        <v>0.28000000000000003</v>
      </c>
      <c r="O167" s="92">
        <v>0.16</v>
      </c>
      <c r="P167" s="92">
        <v>0</v>
      </c>
      <c r="Q167" s="92">
        <v>0</v>
      </c>
      <c r="R167" s="16">
        <v>51</v>
      </c>
      <c r="S167" s="16">
        <v>10</v>
      </c>
      <c r="T167" s="96">
        <v>0.36</v>
      </c>
      <c r="U167" s="96">
        <v>0.39</v>
      </c>
      <c r="V167" s="96">
        <v>0.19</v>
      </c>
      <c r="W167" s="96">
        <v>0.06</v>
      </c>
      <c r="X167" s="96">
        <v>0</v>
      </c>
      <c r="Y167" s="16">
        <v>47</v>
      </c>
      <c r="Z167" s="16">
        <v>10</v>
      </c>
      <c r="AA167" s="96">
        <v>0.44</v>
      </c>
      <c r="AB167" s="96">
        <v>0.39</v>
      </c>
      <c r="AC167" s="96">
        <v>0.17</v>
      </c>
      <c r="AD167" s="96">
        <v>0</v>
      </c>
      <c r="AE167" s="96">
        <v>0</v>
      </c>
      <c r="AF167" s="91">
        <v>44</v>
      </c>
      <c r="AG167" s="91">
        <v>4</v>
      </c>
      <c r="AH167" s="92">
        <v>0.76</v>
      </c>
      <c r="AI167" s="92">
        <v>0.24</v>
      </c>
      <c r="AJ167" s="92">
        <v>0</v>
      </c>
      <c r="AK167" s="92">
        <v>0</v>
      </c>
      <c r="AL167" s="92">
        <v>0</v>
      </c>
      <c r="AM167" s="349">
        <v>49</v>
      </c>
      <c r="AN167" s="348" t="s">
        <v>910</v>
      </c>
      <c r="AO167" s="349">
        <v>10</v>
      </c>
      <c r="AP167" s="348" t="s">
        <v>910</v>
      </c>
      <c r="AQ167" s="371">
        <v>0.46</v>
      </c>
      <c r="AR167" s="371">
        <v>0.37</v>
      </c>
      <c r="AS167" s="371">
        <v>0.14000000000000001</v>
      </c>
      <c r="AT167" s="371">
        <v>0.03</v>
      </c>
      <c r="AU167" s="371">
        <v>0</v>
      </c>
      <c r="AV167" s="469">
        <v>52</v>
      </c>
      <c r="AW167" s="471" t="s">
        <v>910</v>
      </c>
      <c r="AX167" s="469">
        <v>10</v>
      </c>
      <c r="AY167" s="471" t="s">
        <v>910</v>
      </c>
      <c r="AZ167" s="501">
        <v>0.38</v>
      </c>
      <c r="BA167" s="501">
        <v>0.27</v>
      </c>
      <c r="BB167" s="501">
        <v>0.3</v>
      </c>
      <c r="BC167" s="501">
        <v>0.05</v>
      </c>
      <c r="BD167" s="501">
        <v>0</v>
      </c>
      <c r="BE167" s="630">
        <v>55</v>
      </c>
      <c r="BF167" s="640" t="s">
        <v>910</v>
      </c>
      <c r="BG167" s="630">
        <v>10</v>
      </c>
      <c r="BH167" s="640" t="s">
        <v>910</v>
      </c>
      <c r="BI167" s="644">
        <v>0.23</v>
      </c>
      <c r="BJ167" s="644">
        <v>0.41</v>
      </c>
      <c r="BK167" s="644">
        <v>0.27</v>
      </c>
      <c r="BL167" s="644">
        <v>7.0000000000000007E-2</v>
      </c>
      <c r="BM167" s="644">
        <v>0.02</v>
      </c>
    </row>
    <row r="169" spans="1:65" x14ac:dyDescent="0.25">
      <c r="D169" s="21">
        <f>AVERAGE(D36:D167)</f>
        <v>53.980392156862742</v>
      </c>
      <c r="E169" s="21">
        <f t="shared" ref="E169:Z169" si="144">AVERAGE(E36:E167)</f>
        <v>8.7450980392156854</v>
      </c>
      <c r="F169" s="21"/>
      <c r="G169" s="21"/>
      <c r="H169" s="21"/>
      <c r="I169" s="21"/>
      <c r="J169" s="21"/>
      <c r="K169" s="21">
        <f>AVERAGE(K36:K167)</f>
        <v>51.617647058823529</v>
      </c>
      <c r="L169" s="21">
        <f t="shared" si="144"/>
        <v>8.6666666666666661</v>
      </c>
      <c r="M169" s="21"/>
      <c r="N169" s="21"/>
      <c r="O169" s="21"/>
      <c r="P169" s="21"/>
      <c r="Q169" s="21"/>
      <c r="R169" s="21">
        <f t="shared" si="144"/>
        <v>53.213592233009706</v>
      </c>
      <c r="S169" s="21">
        <f t="shared" si="144"/>
        <v>8.5631067961165055</v>
      </c>
      <c r="T169" s="21"/>
      <c r="U169" s="21"/>
      <c r="V169" s="21"/>
      <c r="W169" s="21"/>
      <c r="X169" s="21"/>
      <c r="Y169" s="21">
        <f t="shared" si="144"/>
        <v>51.914285714285711</v>
      </c>
      <c r="Z169" s="21">
        <f t="shared" si="144"/>
        <v>9.2285714285714278</v>
      </c>
      <c r="AA169" s="21"/>
      <c r="AB169" s="21"/>
      <c r="AC169" s="21"/>
      <c r="AD169" s="21"/>
      <c r="AE169" s="21"/>
    </row>
    <row r="172" spans="1:65" ht="12.75" customHeight="1" x14ac:dyDescent="0.25">
      <c r="E172" s="733" t="s">
        <v>260</v>
      </c>
      <c r="F172" s="735"/>
      <c r="G172" s="735"/>
      <c r="H172" s="735"/>
      <c r="I172" s="735"/>
      <c r="J172" s="735"/>
      <c r="K172" s="735"/>
      <c r="L172" s="735"/>
      <c r="M172" s="735"/>
      <c r="N172" s="735"/>
      <c r="O172" s="735"/>
      <c r="P172" s="113"/>
      <c r="Q172" s="44"/>
      <c r="T172" s="44"/>
      <c r="U172" s="44"/>
      <c r="V172" s="44"/>
      <c r="W172" s="113"/>
      <c r="X172" s="113"/>
      <c r="Y172" s="736" t="s">
        <v>260</v>
      </c>
      <c r="Z172" s="737"/>
      <c r="AA172" s="737"/>
      <c r="AB172" s="737"/>
      <c r="AC172" s="737"/>
      <c r="AD172" s="737"/>
      <c r="AE172" s="113"/>
      <c r="AF172" s="113"/>
      <c r="AG172" s="113"/>
    </row>
    <row r="173" spans="1:65" x14ac:dyDescent="0.25">
      <c r="E173" s="876"/>
      <c r="F173" s="736">
        <v>2016</v>
      </c>
      <c r="G173" s="737"/>
      <c r="H173" s="736">
        <v>2017</v>
      </c>
      <c r="I173" s="737"/>
      <c r="J173" s="736">
        <v>2018</v>
      </c>
      <c r="K173" s="737"/>
      <c r="L173" s="733">
        <v>2019</v>
      </c>
      <c r="M173" s="735"/>
      <c r="N173" s="736">
        <v>2020</v>
      </c>
      <c r="O173" s="737"/>
      <c r="P173" s="736">
        <v>2021</v>
      </c>
      <c r="Q173" s="737"/>
      <c r="R173" s="736">
        <v>2022</v>
      </c>
      <c r="S173" s="737"/>
      <c r="T173" s="736">
        <v>2023</v>
      </c>
      <c r="U173" s="737"/>
      <c r="V173" s="44"/>
      <c r="W173" s="113"/>
      <c r="X173" s="113"/>
      <c r="Y173" s="45"/>
      <c r="Z173" s="45">
        <v>2016</v>
      </c>
      <c r="AA173" s="46">
        <v>2017</v>
      </c>
      <c r="AB173" s="45">
        <v>2018</v>
      </c>
      <c r="AC173" s="45">
        <v>2019</v>
      </c>
      <c r="AD173" s="59">
        <v>2020</v>
      </c>
      <c r="AE173" s="436">
        <v>2021</v>
      </c>
      <c r="AF173" s="675">
        <v>2022</v>
      </c>
      <c r="AG173" s="675">
        <v>2023</v>
      </c>
    </row>
    <row r="174" spans="1:65" x14ac:dyDescent="0.25">
      <c r="E174" s="872"/>
      <c r="F174" s="43" t="s">
        <v>219</v>
      </c>
      <c r="G174" s="43" t="s">
        <v>253</v>
      </c>
      <c r="H174" s="43" t="s">
        <v>219</v>
      </c>
      <c r="I174" s="43" t="s">
        <v>253</v>
      </c>
      <c r="J174" s="43" t="s">
        <v>219</v>
      </c>
      <c r="K174" s="43" t="s">
        <v>253</v>
      </c>
      <c r="L174" s="43" t="s">
        <v>219</v>
      </c>
      <c r="M174" s="43" t="s">
        <v>253</v>
      </c>
      <c r="N174" s="678" t="s">
        <v>219</v>
      </c>
      <c r="O174" s="678" t="s">
        <v>253</v>
      </c>
      <c r="P174" s="678" t="s">
        <v>219</v>
      </c>
      <c r="Q174" s="678" t="s">
        <v>253</v>
      </c>
      <c r="R174" s="678" t="s">
        <v>219</v>
      </c>
      <c r="S174" s="678" t="s">
        <v>253</v>
      </c>
      <c r="T174" s="678" t="s">
        <v>219</v>
      </c>
      <c r="U174" s="678" t="s">
        <v>253</v>
      </c>
      <c r="V174" s="44"/>
      <c r="W174" s="113"/>
      <c r="X174" s="113"/>
      <c r="Y174" s="39" t="s">
        <v>246</v>
      </c>
      <c r="Z174" s="39">
        <v>52.647058823529413</v>
      </c>
      <c r="AA174" s="39">
        <v>50.4375</v>
      </c>
      <c r="AB174" s="39">
        <v>52.117647058823529</v>
      </c>
      <c r="AC174" s="39">
        <v>50.058823529411768</v>
      </c>
      <c r="AD174" s="39">
        <v>48.058823529411768</v>
      </c>
      <c r="AE174" s="39">
        <v>52</v>
      </c>
      <c r="AF174" s="39">
        <v>52</v>
      </c>
      <c r="AG174" s="39">
        <v>53.058823529411768</v>
      </c>
    </row>
    <row r="175" spans="1:65" x14ac:dyDescent="0.25">
      <c r="E175" s="5" t="s">
        <v>0</v>
      </c>
      <c r="F175" s="32">
        <v>54</v>
      </c>
      <c r="G175" s="32">
        <v>8</v>
      </c>
      <c r="H175" s="32">
        <v>53</v>
      </c>
      <c r="I175" s="32">
        <v>8</v>
      </c>
      <c r="J175" s="32">
        <v>51</v>
      </c>
      <c r="K175" s="32">
        <v>9</v>
      </c>
      <c r="L175" s="32">
        <v>50</v>
      </c>
      <c r="M175" s="32">
        <v>9</v>
      </c>
      <c r="N175" s="32">
        <v>48</v>
      </c>
      <c r="O175" s="107">
        <v>9</v>
      </c>
      <c r="P175" s="32">
        <v>52</v>
      </c>
      <c r="Q175" s="107">
        <v>9</v>
      </c>
      <c r="R175" s="32">
        <v>52</v>
      </c>
      <c r="S175" s="107">
        <v>9</v>
      </c>
      <c r="T175" s="32">
        <v>52</v>
      </c>
      <c r="U175" s="107">
        <v>9</v>
      </c>
      <c r="V175" s="44"/>
      <c r="W175" s="113"/>
      <c r="X175" s="113"/>
      <c r="Y175" s="39" t="s">
        <v>247</v>
      </c>
      <c r="Z175" s="39">
        <v>54.7</v>
      </c>
      <c r="AA175" s="39">
        <v>52.315789473684212</v>
      </c>
      <c r="AB175" s="39">
        <v>54</v>
      </c>
      <c r="AC175" s="39">
        <v>53.45</v>
      </c>
      <c r="AD175" s="39">
        <v>48.583333333333336</v>
      </c>
      <c r="AE175" s="39">
        <v>53.227272727272727</v>
      </c>
      <c r="AF175" s="39">
        <v>54.96</v>
      </c>
      <c r="AG175" s="39">
        <v>54.42307692307692</v>
      </c>
    </row>
    <row r="176" spans="1:65" x14ac:dyDescent="0.25">
      <c r="E176" s="39" t="s">
        <v>246</v>
      </c>
      <c r="F176" s="39">
        <f>AVERAGEIF($C$36:$C$167,"=1",D36:D167)</f>
        <v>52.647058823529413</v>
      </c>
      <c r="G176" s="39">
        <f>AVERAGEIF($C$36:$C$167,"=1",E36:E167)</f>
        <v>8.235294117647058</v>
      </c>
      <c r="H176" s="39">
        <f>AVERAGEIF($C$36:$C$167,"=1",K36:K167)</f>
        <v>50.4375</v>
      </c>
      <c r="I176" s="39">
        <f>AVERAGEIF($C$36:$C$167,"=1",L36:L167)</f>
        <v>8.6875</v>
      </c>
      <c r="J176" s="39">
        <f>AVERAGEIF($C$36:$C$167,"=1",R36:R167)</f>
        <v>52.117647058823529</v>
      </c>
      <c r="K176" s="39">
        <f>AVERAGEIF($C$36:$C$167,"=1",S36:S167)</f>
        <v>8.1764705882352935</v>
      </c>
      <c r="L176" s="39">
        <f>AVERAGEIF($C$36:$C$167,"=1",Y36:Y167)</f>
        <v>50.058823529411768</v>
      </c>
      <c r="M176" s="39">
        <f>AVERAGEIF($C$36:$C$167,"=1",Z36:Z167)</f>
        <v>8.9411764705882355</v>
      </c>
      <c r="N176" s="39">
        <f>AVERAGEIF($C$36:$C$167,"=1",$AF$36:$AF$167)</f>
        <v>48.058823529411768</v>
      </c>
      <c r="O176" s="39">
        <f>AVERAGEIF($C$36:$C$167,"=1",$AG$36:$AG$167)</f>
        <v>8.882352941176471</v>
      </c>
      <c r="P176" s="39">
        <f>AVERAGEIF($C$36:$C$167,"=1",$AM$36:$AM$167)</f>
        <v>52</v>
      </c>
      <c r="Q176" s="39">
        <f>AVERAGEIF($C$36:$C$167,"=1",$AO$36:$AO$167)</f>
        <v>9.4705882352941178</v>
      </c>
      <c r="R176" s="39">
        <f>AVERAGEIF($C$36:$C$167,"=1",$AV$36:$AV$167)</f>
        <v>52</v>
      </c>
      <c r="S176" s="39">
        <f>AVERAGEIF($C$36:$C$167,"=1",$AX$36:$AX$167)</f>
        <v>10.055555555555555</v>
      </c>
      <c r="T176" s="39">
        <f>AVERAGEIF($C$36:$C$167,"=1",$BE$36:$BE$167)</f>
        <v>53.058823529411768</v>
      </c>
      <c r="U176" s="39">
        <f>AVERAGEIF($C$36:$C$167,"=1",$BG$36:$BG$167)</f>
        <v>9.4705882352941178</v>
      </c>
      <c r="V176" s="44"/>
      <c r="W176" s="113"/>
      <c r="X176" s="113"/>
      <c r="Y176" s="39" t="s">
        <v>248</v>
      </c>
      <c r="Z176" s="39">
        <v>54.5</v>
      </c>
      <c r="AA176" s="39">
        <v>51.117647058823529</v>
      </c>
      <c r="AB176" s="39">
        <v>52.882352941176471</v>
      </c>
      <c r="AC176" s="39">
        <v>51.764705882352942</v>
      </c>
      <c r="AD176" s="39">
        <v>49.10526315789474</v>
      </c>
      <c r="AE176" s="39">
        <v>52.25</v>
      </c>
      <c r="AF176" s="39">
        <v>54.363636363636367</v>
      </c>
      <c r="AG176" s="39">
        <v>54.409090909090907</v>
      </c>
    </row>
    <row r="177" spans="5:51" x14ac:dyDescent="0.25">
      <c r="E177" s="39" t="s">
        <v>247</v>
      </c>
      <c r="F177" s="39">
        <f>AVERAGEIF($C$36:$C$167,"=2",D36:D167)</f>
        <v>54.7</v>
      </c>
      <c r="G177" s="39">
        <f>AVERAGEIF($C$36:$C$167,"=2",E36:E167)</f>
        <v>9.25</v>
      </c>
      <c r="H177" s="39">
        <f>AVERAGEIF($C$36:$C$167,"=2",K36:K167)</f>
        <v>52.315789473684212</v>
      </c>
      <c r="I177" s="39">
        <f>AVERAGEIF($C$36:$C$167,"=2",L36:L167)</f>
        <v>8.6842105263157894</v>
      </c>
      <c r="J177" s="39">
        <f>AVERAGEIF($C$36:$C$167,"=2",R36:R167)</f>
        <v>54</v>
      </c>
      <c r="K177" s="39">
        <f>AVERAGEIF($C$36:$C$167,"=2",S36:S167)</f>
        <v>8.6315789473684212</v>
      </c>
      <c r="L177" s="39">
        <f>AVERAGEIF($C$36:$C$167,"=2",Y36:Y167)</f>
        <v>53.45</v>
      </c>
      <c r="M177" s="39">
        <f>AVERAGEIF($C$36:$C$167,"=2",Z36:Z167)</f>
        <v>9.6999999999999993</v>
      </c>
      <c r="N177" s="39">
        <f>AVERAGEIF($C$36:$C$167,"=2",$AF$36:$AF$167)</f>
        <v>48.583333333333336</v>
      </c>
      <c r="O177" s="39">
        <f>AVERAGEIF($C$36:$C$167,"=2",$AG$36:$AG$167)</f>
        <v>7.916666666666667</v>
      </c>
      <c r="P177" s="39">
        <f>AVERAGEIF($C$36:$C$167,"=2",$AM$36:$AM$167)</f>
        <v>53.227272727272727</v>
      </c>
      <c r="Q177" s="39">
        <f>AVERAGEIF($C$36:$C$167,"=2",$AO$36:$AO$167)</f>
        <v>9.0909090909090917</v>
      </c>
      <c r="R177" s="39">
        <f>AVERAGEIF($C$36:$C$167,"=2",$AV$36:$AV$167)</f>
        <v>54.96</v>
      </c>
      <c r="S177" s="39">
        <f>AVERAGEIF($C$36:$C$167,"=2",$AX$36:$AX$167)</f>
        <v>9.52</v>
      </c>
      <c r="T177" s="39">
        <f>AVERAGEIF($C$36:$C$167,"=2",$BE$36:$BE$167)</f>
        <v>54.42307692307692</v>
      </c>
      <c r="U177" s="39">
        <f>AVERAGEIF($C$36:$C$167,"=2",$BG$36:$BG$167)</f>
        <v>9.2692307692307701</v>
      </c>
      <c r="V177" s="44"/>
      <c r="W177" s="113"/>
      <c r="X177" s="113"/>
      <c r="Y177" s="39" t="s">
        <v>249</v>
      </c>
      <c r="Z177" s="39">
        <v>50.785714285714285</v>
      </c>
      <c r="AA177" s="39">
        <v>49.466666666666669</v>
      </c>
      <c r="AB177" s="39">
        <v>52.133333333333333</v>
      </c>
      <c r="AC177" s="39">
        <v>48.785714285714285</v>
      </c>
      <c r="AD177" s="39">
        <v>45.846153846153847</v>
      </c>
      <c r="AE177" s="39">
        <v>48.857142857142854</v>
      </c>
      <c r="AF177" s="39">
        <v>49.785714285714285</v>
      </c>
      <c r="AG177" s="39">
        <v>49.266666666666666</v>
      </c>
    </row>
    <row r="178" spans="5:51" x14ac:dyDescent="0.25">
      <c r="E178" s="39" t="s">
        <v>248</v>
      </c>
      <c r="F178" s="39">
        <f>AVERAGEIF($C$36:$C$167,"=3",D36:D167)</f>
        <v>54.222222222222221</v>
      </c>
      <c r="G178" s="39">
        <f>AVERAGEIF($C$36:$C$167,"=3",E36:E167)</f>
        <v>8.9444444444444446</v>
      </c>
      <c r="H178" s="39">
        <f>AVERAGEIF($C$36:$C$167,"=3",K36:K167)</f>
        <v>51.157894736842103</v>
      </c>
      <c r="I178" s="39">
        <f>AVERAGEIF($C$36:$C$167,"=3",L36:L167)</f>
        <v>9.0526315789473681</v>
      </c>
      <c r="J178" s="39">
        <f>AVERAGEIF($C$36:$C$167,"=3",R36:R167)</f>
        <v>52.842105263157897</v>
      </c>
      <c r="K178" s="39">
        <f>AVERAGEIF($C$36:$C$167,"=3",S36:S167)</f>
        <v>8.7368421052631575</v>
      </c>
      <c r="L178" s="39">
        <f>AVERAGEIF($C$36:$C$167,"=3",Y36:Y167)</f>
        <v>51.578947368421055</v>
      </c>
      <c r="M178" s="39">
        <f>AVERAGEIF($C$36:$C$167,"=3",Z36:Z167)</f>
        <v>9.473684210526315</v>
      </c>
      <c r="N178" s="39">
        <f>AVERAGEIF($C$36:$C$167,"=3",$AF$36:$AF$167)</f>
        <v>49.05</v>
      </c>
      <c r="O178" s="39">
        <f>AVERAGEIF($C$36:$C$167,"=3",$AG$36:$AG$167)</f>
        <v>8.5</v>
      </c>
      <c r="P178" s="39">
        <f>AVERAGEIF($C$36:$C$167,"=3",$AM$36:$AM$167)</f>
        <v>52.25</v>
      </c>
      <c r="Q178" s="39">
        <f>AVERAGEIF($C$36:$C$167,"=3",$AO$36:$AO$167)</f>
        <v>10.1</v>
      </c>
      <c r="R178" s="39">
        <f>AVERAGEIF($C$36:$C$167,"=3",$AV$36:$AV$167)</f>
        <v>54.363636363636367</v>
      </c>
      <c r="S178" s="39">
        <f>AVERAGEIF($C$36:$C$167,"=3",$AX$36:$AX$167)</f>
        <v>10.090909090909092</v>
      </c>
      <c r="T178" s="39">
        <f>AVERAGEIF($C$36:$C$167,"=3",$BE$36:$BE$167)</f>
        <v>54.409090909090907</v>
      </c>
      <c r="U178" s="39">
        <f>AVERAGEIF($C$36:$C$167,"=3",$BG$36:$BG$167)</f>
        <v>9.8636363636363633</v>
      </c>
      <c r="V178" s="44"/>
      <c r="W178" s="113"/>
      <c r="X178" s="113"/>
      <c r="Y178" s="39" t="s">
        <v>250</v>
      </c>
      <c r="Z178" s="39">
        <v>57</v>
      </c>
      <c r="AA178" s="39">
        <v>55.411764705882355</v>
      </c>
      <c r="AB178" s="39">
        <v>55.833333333333336</v>
      </c>
      <c r="AC178" s="39">
        <v>55.10526315789474</v>
      </c>
      <c r="AD178" s="39">
        <v>51.166666666666664</v>
      </c>
      <c r="AE178" s="39">
        <v>56.111111111111114</v>
      </c>
      <c r="AF178" s="39">
        <v>57.117647058823529</v>
      </c>
      <c r="AG178" s="39">
        <v>57.470588235294116</v>
      </c>
    </row>
    <row r="179" spans="5:51" x14ac:dyDescent="0.25">
      <c r="E179" s="39" t="s">
        <v>249</v>
      </c>
      <c r="F179" s="39">
        <f>AVERAGEIF($C$36:$C$167,"=4",D36:D167)</f>
        <v>50.785714285714285</v>
      </c>
      <c r="G179" s="39">
        <f>AVERAGEIF($C$36:$C$167,"=4",E36:E167)</f>
        <v>8.4285714285714288</v>
      </c>
      <c r="H179" s="39">
        <f>AVERAGEIF($C$36:$C$167,"=4",K36:K167)</f>
        <v>49.466666666666669</v>
      </c>
      <c r="I179" s="39">
        <f>AVERAGEIF($C$36:$C$167,"=4",L36:L167)</f>
        <v>7.4666666666666668</v>
      </c>
      <c r="J179" s="39">
        <f>AVERAGEIF($C$36:$C$167,"=4",R36:R167)</f>
        <v>52.133333333333333</v>
      </c>
      <c r="K179" s="39">
        <f>AVERAGEIF($C$36:$C$167,"=4",S36:S167)</f>
        <v>8.2666666666666675</v>
      </c>
      <c r="L179" s="39">
        <f>AVERAGEIF($C$36:$C$167,"=4",Y36:Y167)</f>
        <v>48.785714285714285</v>
      </c>
      <c r="M179" s="39">
        <f>AVERAGEIF($C$36:$C$167,"=4",Z36:Z167)</f>
        <v>8.7142857142857135</v>
      </c>
      <c r="N179" s="39">
        <f>AVERAGEIF($C$36:$C$167,"=4",$AF$36:$AF$167)</f>
        <v>45.846153846153847</v>
      </c>
      <c r="O179" s="39">
        <f>AVERAGEIF($C$36:$C$167,"=4",$AG$36:$AG$167)</f>
        <v>8.0769230769230766</v>
      </c>
      <c r="P179" s="39">
        <f>AVERAGEIF($C$36:$C$167,"=4",$AM$36:$AM$167)</f>
        <v>48.857142857142854</v>
      </c>
      <c r="Q179" s="39">
        <f>AVERAGEIF($C$36:$C$167,"=4",$AO$36:$AO$167)</f>
        <v>8.7142857142857135</v>
      </c>
      <c r="R179" s="39">
        <f>AVERAGEIF($C$36:$C$167,"=4",$AV$36:$AV$167)</f>
        <v>49.785714285714285</v>
      </c>
      <c r="S179" s="39">
        <f>AVERAGEIF($C$36:$C$167,"=4",$AX$36:$AX$167)</f>
        <v>9.3571428571428577</v>
      </c>
      <c r="T179" s="39">
        <f>AVERAGEIF($C$36:$C$167,"=4",$BE$36:$BE$167)</f>
        <v>49.266666666666666</v>
      </c>
      <c r="U179" s="39">
        <f>AVERAGEIF($C$36:$C$167,"=4",$BG$36:$BG$167)</f>
        <v>8.9333333333333336</v>
      </c>
      <c r="V179" s="44"/>
      <c r="W179" s="113"/>
      <c r="X179" s="113"/>
      <c r="Y179" s="39" t="s">
        <v>251</v>
      </c>
      <c r="Z179" s="39">
        <v>54.2</v>
      </c>
      <c r="AA179" s="39">
        <v>50.93333333333333</v>
      </c>
      <c r="AB179" s="39">
        <v>52.357142857142854</v>
      </c>
      <c r="AC179" s="39">
        <v>51.733333333333334</v>
      </c>
      <c r="AD179" s="39">
        <v>47.588235294117645</v>
      </c>
      <c r="AE179" s="39">
        <v>53.117647058823529</v>
      </c>
      <c r="AF179" s="39">
        <v>53.842105263157897</v>
      </c>
      <c r="AG179" s="39">
        <v>53.8</v>
      </c>
    </row>
    <row r="180" spans="5:51" x14ac:dyDescent="0.25">
      <c r="E180" s="39" t="s">
        <v>250</v>
      </c>
      <c r="F180" s="39">
        <f>AVERAGEIF($C$36:$C$167,"=5",D36:D167)</f>
        <v>57</v>
      </c>
      <c r="G180" s="39">
        <f>AVERAGEIF($C$36:$C$167,"=5",E36:E167)</f>
        <v>9.1764705882352935</v>
      </c>
      <c r="H180" s="39">
        <f>AVERAGEIF($C$36:$C$167,"=5",K36:K167)</f>
        <v>55.411764705882355</v>
      </c>
      <c r="I180" s="39">
        <f>AVERAGEIF($C$36:$C$167,"=5",L36:L167)</f>
        <v>8.764705882352942</v>
      </c>
      <c r="J180" s="39">
        <f>AVERAGEIF($C$36:$C$167,"=5",R36:R167)</f>
        <v>55.833333333333336</v>
      </c>
      <c r="K180" s="39">
        <f>AVERAGEIF($C$36:$C$167,"=5",S36:S167)</f>
        <v>8.7222222222222214</v>
      </c>
      <c r="L180" s="39">
        <f>AVERAGEIF($C$36:$C$167,"=5",Y36:Y167)</f>
        <v>55.10526315789474</v>
      </c>
      <c r="M180" s="39">
        <f>AVERAGEIF($C$36:$C$167,"=5",Z36:Z167)</f>
        <v>9.1052631578947363</v>
      </c>
      <c r="N180" s="39">
        <f>AVERAGEIF($C$36:$C$167,"=5",$AF$36:$AF$167)</f>
        <v>51.166666666666664</v>
      </c>
      <c r="O180" s="39">
        <f>AVERAGEIF($C$36:$C$167,"=5",$AG$36:$AG$167)</f>
        <v>9.0555555555555554</v>
      </c>
      <c r="P180" s="39">
        <f>AVERAGEIF($C$36:$C$167,"=5",$AM$36:$AM$167)</f>
        <v>56.111111111111114</v>
      </c>
      <c r="Q180" s="39">
        <f>AVERAGEIF($C$36:$C$167,"=5",$AO$36:$AO$167)</f>
        <v>9.6111111111111107</v>
      </c>
      <c r="R180" s="39">
        <f>AVERAGEIF($C$36:$C$167,"=5",$AV$36:$AV$167)</f>
        <v>57.117647058823529</v>
      </c>
      <c r="S180" s="39">
        <f>AVERAGEIF($C$36:$C$167,"=5",$AX$36:$AX$167)</f>
        <v>9.4117647058823533</v>
      </c>
      <c r="T180" s="39">
        <f>AVERAGEIF($C$36:$C$167,"=5",$BE$36:$BE$167)</f>
        <v>57.470588235294116</v>
      </c>
      <c r="U180" s="39">
        <f>AVERAGEIF($C$36:$C$167,"=5",$BG$36:$BG$167)</f>
        <v>9.7058823529411757</v>
      </c>
      <c r="V180" s="113"/>
      <c r="W180" s="113"/>
      <c r="X180" s="113"/>
      <c r="Y180" s="113"/>
      <c r="Z180" s="113"/>
      <c r="AA180" s="113"/>
      <c r="AB180" s="113"/>
      <c r="AC180" s="113"/>
      <c r="AD180" s="113"/>
      <c r="AE180" s="113"/>
      <c r="AF180" s="113"/>
      <c r="AG180" s="113"/>
    </row>
    <row r="181" spans="5:51" x14ac:dyDescent="0.25">
      <c r="E181" s="39" t="s">
        <v>251</v>
      </c>
      <c r="F181" s="39">
        <f>AVERAGEIF($C$36:$C$167,"=6",D36:D167)</f>
        <v>54.2</v>
      </c>
      <c r="G181" s="39">
        <f>AVERAGEIF($C$36:$C$167,"=6",E36:E167)</f>
        <v>8.3333333333333339</v>
      </c>
      <c r="H181" s="39">
        <f>AVERAGEIF($C$36:$C$167,"=6",K36:K167)</f>
        <v>50.93333333333333</v>
      </c>
      <c r="I181" s="39">
        <f>AVERAGEIF($C$36:$C$167,"=6",L36:L167)</f>
        <v>9.3333333333333339</v>
      </c>
      <c r="J181" s="39">
        <f>AVERAGEIF($C$36:$C$167,"=6",R36:R167)</f>
        <v>52.357142857142854</v>
      </c>
      <c r="K181" s="39">
        <f>AVERAGEIF($C$36:$C$167,"=6",S36:S167)</f>
        <v>8.5714285714285712</v>
      </c>
      <c r="L181" s="39">
        <f>AVERAGEIF($C$36:$C$167,"=6",Y36:Y167)</f>
        <v>51.733333333333334</v>
      </c>
      <c r="M181" s="39">
        <f>AVERAGEIF($C$36:$C$167,"=6",Z36:Z167)</f>
        <v>9.1999999999999993</v>
      </c>
      <c r="N181" s="39">
        <f>AVERAGEIF($C$36:$C$167,"=6",$AF$36:$AF$167)</f>
        <v>47.588235294117645</v>
      </c>
      <c r="O181" s="39">
        <f>AVERAGEIF($C$36:$C$167,"=6",$AG$36:$AG$167)</f>
        <v>9.0588235294117645</v>
      </c>
      <c r="P181" s="39">
        <f>AVERAGEIF($C$36:$C$167,"=6",$AM$36:$AM$167)</f>
        <v>53.117647058823529</v>
      </c>
      <c r="Q181" s="39">
        <f>AVERAGEIF($C$36:$C$167,"=6",$AO$36:$AO$167)</f>
        <v>9.4117647058823533</v>
      </c>
      <c r="R181" s="39">
        <f>AVERAGEIF($C$36:$C$167,"=6",$AV$36:$AV$167)</f>
        <v>53.842105263157897</v>
      </c>
      <c r="S181" s="39">
        <f>AVERAGEIF($C$36:$C$167,"=6",$AX$36:$AX$167)</f>
        <v>9.8947368421052637</v>
      </c>
      <c r="T181" s="39">
        <f>AVERAGEIF($C$36:$C$167,"=6",$BE$36:$BE$167)</f>
        <v>53.8</v>
      </c>
      <c r="U181" s="39">
        <f>AVERAGEIF($C$36:$C$167,"=6",$BG$36:$BG$167)</f>
        <v>9.25</v>
      </c>
      <c r="V181" s="113"/>
      <c r="W181" s="113"/>
      <c r="X181" s="113"/>
      <c r="Y181" s="113"/>
      <c r="Z181" s="113"/>
      <c r="AA181" s="113"/>
      <c r="AB181" s="113"/>
      <c r="AC181" s="113"/>
      <c r="AD181" s="113"/>
      <c r="AE181" s="113"/>
      <c r="AF181" s="113"/>
      <c r="AG181" s="113"/>
    </row>
    <row r="182" spans="5:51" x14ac:dyDescent="0.25">
      <c r="L182" s="44" t="s">
        <v>258</v>
      </c>
    </row>
    <row r="184" spans="5:51" x14ac:dyDescent="0.25">
      <c r="E184" s="45"/>
      <c r="F184" s="744">
        <v>2016</v>
      </c>
      <c r="G184" s="745"/>
      <c r="H184" s="745"/>
      <c r="I184" s="863"/>
      <c r="J184" s="744">
        <v>2017</v>
      </c>
      <c r="K184" s="745"/>
      <c r="L184" s="745"/>
      <c r="M184" s="745"/>
      <c r="N184" s="735">
        <v>2018</v>
      </c>
      <c r="O184" s="735"/>
      <c r="P184" s="735"/>
      <c r="Q184" s="735"/>
      <c r="R184" s="735">
        <v>2019</v>
      </c>
      <c r="S184" s="735"/>
      <c r="T184" s="735"/>
      <c r="U184" s="735"/>
      <c r="V184" s="735">
        <v>2020</v>
      </c>
      <c r="W184" s="735"/>
      <c r="X184" s="735"/>
      <c r="Y184" s="735"/>
      <c r="Z184" s="735">
        <v>2021</v>
      </c>
      <c r="AA184" s="735"/>
      <c r="AB184" s="735"/>
      <c r="AC184" s="735"/>
      <c r="AD184" s="735">
        <v>2022</v>
      </c>
      <c r="AE184" s="735"/>
      <c r="AF184" s="735"/>
      <c r="AG184" s="735"/>
      <c r="AH184" s="735">
        <v>2023</v>
      </c>
      <c r="AI184" s="735"/>
      <c r="AJ184" s="735"/>
      <c r="AK184" s="735"/>
      <c r="AL184" s="738"/>
      <c r="AM184" s="738"/>
      <c r="AN184" s="738"/>
      <c r="AO184" s="738"/>
      <c r="AP184" s="738"/>
      <c r="AQ184" s="738"/>
      <c r="AR184" s="110"/>
      <c r="AS184" s="110"/>
      <c r="AT184" s="110"/>
      <c r="AU184" s="110"/>
      <c r="AV184" s="110"/>
      <c r="AW184" s="110"/>
      <c r="AX184" s="110"/>
      <c r="AY184" s="110"/>
    </row>
    <row r="185" spans="5:51" x14ac:dyDescent="0.25">
      <c r="E185" s="45"/>
      <c r="F185" s="733" t="s">
        <v>254</v>
      </c>
      <c r="G185" s="734"/>
      <c r="H185" s="733" t="s">
        <v>255</v>
      </c>
      <c r="I185" s="734"/>
      <c r="J185" s="733" t="s">
        <v>254</v>
      </c>
      <c r="K185" s="734"/>
      <c r="L185" s="733" t="s">
        <v>255</v>
      </c>
      <c r="M185" s="734"/>
      <c r="N185" s="733" t="s">
        <v>254</v>
      </c>
      <c r="O185" s="734"/>
      <c r="P185" s="733" t="s">
        <v>255</v>
      </c>
      <c r="Q185" s="734"/>
      <c r="R185" s="733" t="s">
        <v>254</v>
      </c>
      <c r="S185" s="734"/>
      <c r="T185" s="733" t="s">
        <v>255</v>
      </c>
      <c r="U185" s="734"/>
      <c r="V185" s="733" t="s">
        <v>254</v>
      </c>
      <c r="W185" s="734"/>
      <c r="X185" s="733" t="s">
        <v>255</v>
      </c>
      <c r="Y185" s="735"/>
      <c r="Z185" s="733" t="s">
        <v>254</v>
      </c>
      <c r="AA185" s="734"/>
      <c r="AB185" s="733" t="s">
        <v>255</v>
      </c>
      <c r="AC185" s="735"/>
      <c r="AD185" s="733" t="s">
        <v>254</v>
      </c>
      <c r="AE185" s="734"/>
      <c r="AF185" s="733" t="s">
        <v>255</v>
      </c>
      <c r="AG185" s="735"/>
      <c r="AH185" s="733" t="s">
        <v>254</v>
      </c>
      <c r="AI185" s="734"/>
      <c r="AJ185" s="733" t="s">
        <v>255</v>
      </c>
      <c r="AK185" s="735"/>
      <c r="AL185" s="110"/>
      <c r="AM185" s="110"/>
      <c r="AN185" s="110"/>
      <c r="AO185" s="110"/>
      <c r="AP185" s="110"/>
      <c r="AQ185" s="110"/>
      <c r="AR185" s="110"/>
      <c r="AS185" s="110"/>
      <c r="AT185" s="110"/>
      <c r="AU185" s="110"/>
      <c r="AV185" s="110"/>
      <c r="AW185" s="110"/>
      <c r="AX185" s="110"/>
      <c r="AY185" s="110"/>
    </row>
    <row r="186" spans="5:51" x14ac:dyDescent="0.25">
      <c r="E186" s="45"/>
      <c r="F186" s="43" t="s">
        <v>219</v>
      </c>
      <c r="G186" s="43" t="s">
        <v>253</v>
      </c>
      <c r="H186" s="43" t="s">
        <v>219</v>
      </c>
      <c r="I186" s="43" t="s">
        <v>253</v>
      </c>
      <c r="J186" s="43" t="s">
        <v>219</v>
      </c>
      <c r="K186" s="43" t="s">
        <v>253</v>
      </c>
      <c r="L186" s="43" t="s">
        <v>219</v>
      </c>
      <c r="M186" s="43" t="s">
        <v>253</v>
      </c>
      <c r="N186" s="43" t="s">
        <v>219</v>
      </c>
      <c r="O186" s="43" t="s">
        <v>253</v>
      </c>
      <c r="P186" s="43" t="s">
        <v>219</v>
      </c>
      <c r="Q186" s="43" t="s">
        <v>253</v>
      </c>
      <c r="R186" s="43" t="s">
        <v>219</v>
      </c>
      <c r="S186" s="43" t="s">
        <v>253</v>
      </c>
      <c r="T186" s="43" t="s">
        <v>219</v>
      </c>
      <c r="U186" s="43" t="s">
        <v>253</v>
      </c>
      <c r="V186" s="56" t="s">
        <v>219</v>
      </c>
      <c r="W186" s="56" t="s">
        <v>253</v>
      </c>
      <c r="X186" s="56" t="s">
        <v>219</v>
      </c>
      <c r="Y186" s="58" t="s">
        <v>253</v>
      </c>
      <c r="Z186" s="438" t="s">
        <v>219</v>
      </c>
      <c r="AA186" s="438" t="s">
        <v>253</v>
      </c>
      <c r="AB186" s="438" t="s">
        <v>219</v>
      </c>
      <c r="AC186" s="435" t="s">
        <v>253</v>
      </c>
      <c r="AD186" s="678" t="s">
        <v>219</v>
      </c>
      <c r="AE186" s="678" t="s">
        <v>253</v>
      </c>
      <c r="AF186" s="678" t="s">
        <v>219</v>
      </c>
      <c r="AG186" s="674" t="s">
        <v>253</v>
      </c>
      <c r="AH186" s="678" t="s">
        <v>219</v>
      </c>
      <c r="AI186" s="678" t="s">
        <v>253</v>
      </c>
      <c r="AJ186" s="678" t="s">
        <v>219</v>
      </c>
      <c r="AK186" s="674" t="s">
        <v>253</v>
      </c>
      <c r="AL186" s="110"/>
      <c r="AM186" s="110"/>
      <c r="AN186" s="110"/>
      <c r="AO186" s="110"/>
      <c r="AP186" s="110"/>
      <c r="AQ186" s="110"/>
      <c r="AR186" s="110"/>
      <c r="AS186" s="110"/>
      <c r="AT186" s="110"/>
      <c r="AU186" s="110"/>
      <c r="AV186" s="110"/>
      <c r="AW186" s="110"/>
      <c r="AX186" s="110"/>
      <c r="AY186" s="110"/>
    </row>
    <row r="187" spans="5:51" x14ac:dyDescent="0.25">
      <c r="E187" s="5" t="s">
        <v>0</v>
      </c>
      <c r="F187" s="19">
        <v>53</v>
      </c>
      <c r="G187" s="19">
        <v>7</v>
      </c>
      <c r="H187" s="19">
        <v>55</v>
      </c>
      <c r="I187" s="19">
        <v>8</v>
      </c>
      <c r="J187" s="10">
        <v>51</v>
      </c>
      <c r="K187" s="19">
        <v>7</v>
      </c>
      <c r="L187" s="19">
        <v>54</v>
      </c>
      <c r="M187" s="19">
        <v>8</v>
      </c>
      <c r="N187" s="42">
        <v>50</v>
      </c>
      <c r="O187" s="42">
        <v>8</v>
      </c>
      <c r="P187" s="42">
        <v>53</v>
      </c>
      <c r="Q187" s="42">
        <v>9</v>
      </c>
      <c r="R187" s="42">
        <v>49</v>
      </c>
      <c r="S187" s="42">
        <v>9</v>
      </c>
      <c r="T187" s="42">
        <v>52</v>
      </c>
      <c r="U187" s="42">
        <v>9</v>
      </c>
      <c r="V187" s="19">
        <v>46</v>
      </c>
      <c r="W187" s="19">
        <v>9</v>
      </c>
      <c r="X187" s="19">
        <v>50</v>
      </c>
      <c r="Y187" s="19">
        <v>10</v>
      </c>
      <c r="Z187" s="19">
        <v>49</v>
      </c>
      <c r="AA187" s="19">
        <v>10</v>
      </c>
      <c r="AB187" s="19">
        <v>55</v>
      </c>
      <c r="AC187" s="19">
        <v>11</v>
      </c>
      <c r="AD187" s="19">
        <v>49</v>
      </c>
      <c r="AE187" s="19">
        <v>10</v>
      </c>
      <c r="AF187" s="19">
        <v>55</v>
      </c>
      <c r="AG187" s="19">
        <v>11</v>
      </c>
      <c r="AH187" s="19">
        <v>49</v>
      </c>
      <c r="AI187" s="19">
        <v>10</v>
      </c>
      <c r="AJ187" s="19">
        <v>55</v>
      </c>
      <c r="AK187" s="19">
        <v>11</v>
      </c>
      <c r="AL187" s="110"/>
      <c r="AM187" s="110"/>
      <c r="AN187" s="110"/>
      <c r="AO187" s="110"/>
      <c r="AP187" s="110"/>
      <c r="AQ187" s="110"/>
      <c r="AR187" s="110"/>
      <c r="AS187" s="110"/>
      <c r="AT187" s="110"/>
      <c r="AU187" s="110"/>
      <c r="AV187" s="110"/>
      <c r="AW187" s="110"/>
      <c r="AX187" s="110"/>
      <c r="AY187" s="110"/>
    </row>
    <row r="188" spans="5:51" x14ac:dyDescent="0.25">
      <c r="E188" s="39" t="s">
        <v>246</v>
      </c>
      <c r="F188" s="39">
        <f>AVERAGEIFS(D36:D167,$C$36:$C$167,"=1", $B$36:$B$167,"OFICIAL")</f>
        <v>52.25</v>
      </c>
      <c r="G188" s="39">
        <f>AVERAGEIFS(E36:E167,$C$36:$C$167,"=1", $B$36:$B$167,"OFICIAL")</f>
        <v>8.5</v>
      </c>
      <c r="H188" s="39">
        <f>AVERAGEIFS(D36:D167,$C$36:$C$167,"=1", $B$36:$B$167,"NO OFICIAL")</f>
        <v>52.769230769230766</v>
      </c>
      <c r="I188" s="39">
        <f>AVERAGEIFS(E36:E167,$C$36:$C$167,"=1", $B$36:$B$167,"NO OFICIAL")</f>
        <v>8.1538461538461533</v>
      </c>
      <c r="J188" s="39">
        <f>AVERAGEIFS($K$36:$K$167,$C$36:$C$167,"=1", $B$36:$B$167,"OFICIAL")</f>
        <v>49.5</v>
      </c>
      <c r="K188" s="39">
        <f>AVERAGEIFS($L$36:$L$167,$C$36:$C$167,"=1", $B$36:$B$167,"OFICIAL")</f>
        <v>8.25</v>
      </c>
      <c r="L188" s="39">
        <f>AVERAGEIFS($K$36:$K$167,$C$36:$C$167,"=1", $B$36:$B$167,"NO OFICIAL")</f>
        <v>50.75</v>
      </c>
      <c r="M188" s="39">
        <f>AVERAGEIFS($L$36:$L$167,$C$36:$C$167,"=1", $B$36:$B$167,"NO OFICIAL")</f>
        <v>8.8333333333333339</v>
      </c>
      <c r="N188" s="39">
        <f>AVERAGEIFS($R$36:$R$167,$C$36:$C$167,"=1", $B$36:$B$167,"OFICIAL")</f>
        <v>51.5</v>
      </c>
      <c r="O188" s="39">
        <f>AVERAGEIFS($S$36:$S$167,$C$36:$C$167,"=1", $B$36:$B$167,"OFICIAL")</f>
        <v>9</v>
      </c>
      <c r="P188" s="39">
        <f>AVERAGEIFS($R$36:$R$167,$C$36:$C$167,"=1", $B$36:$B$167,"NO OFICIAL")</f>
        <v>52.307692307692307</v>
      </c>
      <c r="Q188" s="39">
        <f>AVERAGEIFS($S$36:$S$167,$C$36:$C$167,"=1", $B$36:$B$167,"NO OFICIAL")</f>
        <v>7.9230769230769234</v>
      </c>
      <c r="R188" s="39">
        <f>AVERAGEIFS($Y$36:$Y$167,$C$36:$C$167,"=1", $B$36:$B$167,"OFICIAL")</f>
        <v>50.25</v>
      </c>
      <c r="S188" s="39">
        <f>AVERAGEIFS($Z$36:$Z$167,$C$36:$C$167,"=1", $B$36:$B$167,"OFICIAL")</f>
        <v>9.75</v>
      </c>
      <c r="T188" s="39">
        <f>AVERAGEIFS($Y$36:$Y$167,$C$36:$C$167,"=1", $B$36:$B$167,"NO OFICIAL")</f>
        <v>50</v>
      </c>
      <c r="U188" s="39">
        <f>AVERAGEIFS($Z$36:$Z$167,$C$36:$C$167,"=1", $B$36:$B$167,"NO OFICIAL")</f>
        <v>8.6923076923076916</v>
      </c>
      <c r="V188" s="39">
        <f>AVERAGEIFS($AF$36:$AF$167,$C$36:$C$167,"=1", $B$36:$B$167,"OFICIAL")</f>
        <v>46.5</v>
      </c>
      <c r="W188" s="39">
        <f>AVERAGEIFS($AG$36:$AG$167,$C$36:$C$167,"=1", $B$36:$B$167,"OFICIAL")</f>
        <v>8.75</v>
      </c>
      <c r="X188" s="39">
        <f>AVERAGEIFS($AF$36:$AF$167,$C$36:$C$167,"=1", $B$36:$B$167,"NO OFICIAL")</f>
        <v>48.53846153846154</v>
      </c>
      <c r="Y188" s="39">
        <f>AVERAGEIFS($AG$36:$AG$167,$C$36:$C$167,"=1", $B$36:$B$167,"NO OFICIAL")</f>
        <v>8.9230769230769234</v>
      </c>
      <c r="Z188" s="39">
        <f>AVERAGEIFS($AM$36:$AM$167,$C$36:$C$167,"=1", $B$36:$B$167,"OFICIAL")</f>
        <v>49.5</v>
      </c>
      <c r="AA188" s="39">
        <f>AVERAGEIFS($AO$36:$AO$167,$C$36:$C$167,"=1", $B$36:$B$167,"OFICIAL")</f>
        <v>9.75</v>
      </c>
      <c r="AB188" s="39">
        <f>AVERAGEIFS($AM$36:$AM$167,$C$36:$C$167,"=1", $B$36:$B$167,"NO OFICIAL")</f>
        <v>52.769230769230766</v>
      </c>
      <c r="AC188" s="39">
        <f>AVERAGEIFS($AO$36:$AO$167,$C$36:$C$167,"=1", $B$36:$B$167,"NO OFICIAL")</f>
        <v>9.384615384615385</v>
      </c>
      <c r="AD188" s="39">
        <f>AVERAGEIFS($AV$36:$AV$167,$C$36:$C$167,"=1", $B$36:$B$167,"OFICIAL")</f>
        <v>49.6</v>
      </c>
      <c r="AE188" s="39">
        <f>AVERAGEIFS($AX$36:$AX$167,$C$36:$C$167,"=1", $B$36:$B$167,"OFICIAL")</f>
        <v>9.6</v>
      </c>
      <c r="AF188" s="39">
        <f>AVERAGEIFS($AV$36:$AV$167,$C$36:$C$167,"=1", $B$36:$B$167,"NO OFICIAL")</f>
        <v>52.92307692307692</v>
      </c>
      <c r="AG188" s="39">
        <f>AVERAGEIFS($AX$36:$AX$167,$C$36:$C$167,"=1", $B$36:$B$167,"NO OFICIAL")</f>
        <v>10.23076923076923</v>
      </c>
      <c r="AH188" s="39">
        <f>AVERAGEIFS($BE$36:$BE$167,$C$36:$C$167,"=1", $B$36:$B$167,"OFICIAL")</f>
        <v>49.8</v>
      </c>
      <c r="AI188" s="39">
        <f>AVERAGEIFS($BG$36:$BG$167,$C$36:$C$167,"=1", $B$36:$B$167,"OFICIAL")</f>
        <v>9.4</v>
      </c>
      <c r="AJ188" s="39">
        <f>AVERAGEIFS($BE$36:$BE$167,$C$36:$C$167,"=1", $B$36:$B$167,"NO OFICIAL")</f>
        <v>54.416666666666664</v>
      </c>
      <c r="AK188" s="39">
        <f>AVERAGEIFS($BG$36:$BG$167,$C$36:$C$167,"=1", $B$36:$B$167,"NO OFICIAL")</f>
        <v>9.5</v>
      </c>
      <c r="AL188" s="110"/>
      <c r="AM188" s="110"/>
      <c r="AN188" s="110"/>
      <c r="AO188" s="110"/>
      <c r="AP188" s="110"/>
      <c r="AQ188" s="110"/>
      <c r="AR188" s="110"/>
      <c r="AS188" s="110"/>
      <c r="AT188" s="110"/>
      <c r="AU188" s="110"/>
      <c r="AV188" s="110"/>
      <c r="AW188" s="110"/>
      <c r="AX188" s="110"/>
      <c r="AY188" s="110"/>
    </row>
    <row r="189" spans="5:51" x14ac:dyDescent="0.25">
      <c r="E189" s="39" t="s">
        <v>247</v>
      </c>
      <c r="F189" s="39">
        <f>AVERAGEIFS(D36:D167,$C$36:$C$167,"=2", $B$36:$B$167,"OFICIAL")</f>
        <v>52</v>
      </c>
      <c r="G189" s="39">
        <f>AVERAGEIFS(E36:E167,$C$36:$C$167,"=2", $B$36:$B$167,"OFICIAL")</f>
        <v>8.5</v>
      </c>
      <c r="H189" s="39">
        <f>AVERAGEIFS(D36:D167,$C$36:$C$167,"=2", $B$36:$B$167,"NO OFICIAL")</f>
        <v>55</v>
      </c>
      <c r="I189" s="39">
        <f>AVERAGEIFS(E36:E167,$C$36:$C$167,"=2", $B$36:$B$167,"NO OFICIAL")</f>
        <v>9.3333333333333339</v>
      </c>
      <c r="J189" s="39">
        <f>AVERAGEIFS($K$36:$K$167,$C$36:$C$167,"=2", $B$36:$B$167,"OFICIAL")</f>
        <v>50.5</v>
      </c>
      <c r="K189" s="39">
        <f>AVERAGEIFS($L$36:$L$167,$C$36:$C$167,"=2", $B$36:$B$167,"OFICIAL")</f>
        <v>9</v>
      </c>
      <c r="L189" s="39">
        <f>AVERAGEIFS($K$36:$K$167,$C$36:$C$167,"=2", $B$36:$B$167,"NO OFICIAL")</f>
        <v>52.529411764705884</v>
      </c>
      <c r="M189" s="39">
        <f>AVERAGEIFS($L$36:$L$167,$C$36:$C$167,"=2", $B$36:$B$167,"NO OFICIAL")</f>
        <v>8.6470588235294112</v>
      </c>
      <c r="N189" s="39">
        <f>AVERAGEIFS($R$36:$R$167,$C$36:$C$167,"=2", $B$36:$B$167,"OFICIAL")</f>
        <v>51.5</v>
      </c>
      <c r="O189" s="39">
        <f>AVERAGEIFS($S$36:$S$167,$C$36:$C$167,"=2", $B$36:$B$167,"OFICIAL")</f>
        <v>9</v>
      </c>
      <c r="P189" s="39">
        <f>AVERAGEIFS($R$36:$R$167,$C$36:$C$167,"=2", $B$36:$B$167,"NO OFICIAL")</f>
        <v>54.294117647058826</v>
      </c>
      <c r="Q189" s="39">
        <f>AVERAGEIFS($S$36:$S$167,$C$36:$C$167,"=2", $B$36:$B$167,"NO OFICIAL")</f>
        <v>8.5882352941176467</v>
      </c>
      <c r="R189" s="39">
        <f>AVERAGEIFS($Y$36:$Y$167,$C$36:$C$167,"=2", $B$36:$B$167,"OFICIAL")</f>
        <v>51</v>
      </c>
      <c r="S189" s="39">
        <f>AVERAGEIFS($Z$36:$Z$167,$C$36:$C$167,"=2", $B$36:$B$167,"OFICIAL")</f>
        <v>9.5</v>
      </c>
      <c r="T189" s="39">
        <f>AVERAGEIFS($Y$36:$Y$167,$C$36:$C$167,"=2", $B$36:$B$167,"NO OFICIAL")</f>
        <v>53.722222222222221</v>
      </c>
      <c r="U189" s="39">
        <f>AVERAGEIFS($Z$36:$Z$167,$C$36:$C$167,"=2", $B$36:$B$167,"NO OFICIAL")</f>
        <v>9.7222222222222214</v>
      </c>
      <c r="V189" s="39">
        <f>AVERAGEIFS($AF$36:$AF$167,$C$36:$C$167,"=2", $B$36:$B$167,"OFICIAL")</f>
        <v>47</v>
      </c>
      <c r="W189" s="39">
        <f>AVERAGEIFS($AG$36:$AG$167,$C$36:$C$167,"=2", $B$36:$B$167,"OFICIAL")</f>
        <v>8.5</v>
      </c>
      <c r="X189" s="39">
        <f>AVERAGEIFS($AF$36:$AF$167,$C$36:$C$167,"=2", $B$36:$B$167,"NO OFICIAL")</f>
        <v>48.727272727272727</v>
      </c>
      <c r="Y189" s="39">
        <f>AVERAGEIFS($AG$36:$AG$167,$C$36:$C$167,"=2", $B$36:$B$167,"NO OFICIAL")</f>
        <v>7.8636363636363633</v>
      </c>
      <c r="Z189" s="39">
        <f>AVERAGEIFS($AM$36:$AM$167,$C$36:$C$167,"=2", $B$36:$B$167,"OFICIAL")</f>
        <v>50</v>
      </c>
      <c r="AA189" s="39">
        <f>AVERAGEIFS($AO$36:$AO$167,$C$36:$C$167,"=2", $B$36:$B$167,"OFICIAL")</f>
        <v>10</v>
      </c>
      <c r="AB189" s="39">
        <f>AVERAGEIFS($AM$36:$AM$167,$C$36:$C$167,"=2", $B$36:$B$167,"NO OFICIAL")</f>
        <v>53.55</v>
      </c>
      <c r="AC189" s="39">
        <f>AVERAGEIFS($AO$36:$AO$167,$C$36:$C$167,"=2", $B$36:$B$167,"NO OFICIAL")</f>
        <v>9</v>
      </c>
      <c r="AD189" s="39">
        <f>AVERAGEIFS($AV$36:$AV$167,$C$36:$C$167,"=2", $B$36:$B$167,"OFICIAL")</f>
        <v>50.5</v>
      </c>
      <c r="AE189" s="39">
        <f>AVERAGEIFS($AX$36:$AX$167,$C$36:$C$167,"=2", $B$36:$B$167,"OFICIAL")</f>
        <v>9.5</v>
      </c>
      <c r="AF189" s="39">
        <f>AVERAGEIFS($AV$36:$AV$167,$C$36:$C$167,"=2", $B$36:$B$167,"NO OFICIAL")</f>
        <v>55.80952380952381</v>
      </c>
      <c r="AG189" s="39">
        <f>AVERAGEIFS($AX$36:$AX$167,$C$36:$C$167,"=2", $B$36:$B$167,"NO OFICIAL")</f>
        <v>9.5238095238095237</v>
      </c>
      <c r="AH189" s="39">
        <f>AVERAGEIFS($BE$36:$BE$167,$C$36:$C$167,"=2", $B$36:$B$167,"OFICIAL")</f>
        <v>51</v>
      </c>
      <c r="AI189" s="39">
        <f>AVERAGEIFS($BG$36:$BG$167,$C$36:$C$167,"=2", $B$36:$B$167,"OFICIAL")</f>
        <v>9.5</v>
      </c>
      <c r="AJ189" s="39">
        <f>AVERAGEIFS($BE$36:$BE$167,$C$36:$C$167,"=2", $B$36:$B$167,"NO OFICIAL")</f>
        <v>55.045454545454547</v>
      </c>
      <c r="AK189" s="39">
        <f>AVERAGEIFS($BG$36:$BG$167,$C$36:$C$167,"=2", $B$36:$B$167,"NO OFICIAL")</f>
        <v>9.2272727272727266</v>
      </c>
      <c r="AL189" s="110"/>
      <c r="AM189" s="110"/>
      <c r="AN189" s="110"/>
      <c r="AO189" s="110"/>
      <c r="AP189" s="110"/>
      <c r="AQ189" s="110"/>
      <c r="AR189" s="110"/>
      <c r="AS189" s="110"/>
      <c r="AT189" s="110"/>
      <c r="AU189" s="110"/>
      <c r="AV189" s="110"/>
      <c r="AW189" s="110"/>
      <c r="AX189" s="110"/>
      <c r="AY189" s="110"/>
    </row>
    <row r="190" spans="5:51" x14ac:dyDescent="0.25">
      <c r="E190" s="39" t="s">
        <v>248</v>
      </c>
      <c r="F190" s="39">
        <f>AVERAGEIFS(D36:D167,$C$36:$C$167,"=3", $B$36:$B$167,"OFICIAL")</f>
        <v>51.8</v>
      </c>
      <c r="G190" s="39">
        <f>AVERAGEIFS(E36:E167,$C$36:$C$167,"=3", $B$36:$B$167,"OFICIAL")</f>
        <v>9</v>
      </c>
      <c r="H190" s="39">
        <f>AVERAGEIFS(D36:D167,$C$36:$C$167,"=3", $B$36:$B$167,"NO OFICIAL")</f>
        <v>55.153846153846153</v>
      </c>
      <c r="I190" s="39">
        <f>AVERAGEIFS(E36:E167,$C$36:$C$167,"=3", $B$36:$B$167,"NO OFICIAL")</f>
        <v>8.9230769230769234</v>
      </c>
      <c r="J190" s="39">
        <f>AVERAGEIFS($K$36:$K$167,$C$36:$C$167,"=3", $B$36:$B$167,"OFICIAL")</f>
        <v>50.4</v>
      </c>
      <c r="K190" s="39">
        <f>AVERAGEIFS($L$36:$L$167,$C$36:$C$167,"=3", $B$36:$B$167,"OFICIAL")</f>
        <v>9.4</v>
      </c>
      <c r="L190" s="39">
        <f>AVERAGEIFS($K$36:$K$167,$C$36:$C$167,"=3", $B$36:$B$167,"NO OFICIAL")</f>
        <v>51.428571428571431</v>
      </c>
      <c r="M190" s="39">
        <f>AVERAGEIFS($L$36:$L$167,$C$36:$C$167,"=3", $B$36:$B$167,"NO OFICIAL")</f>
        <v>8.9285714285714288</v>
      </c>
      <c r="N190" s="39">
        <f>AVERAGEIFS($R$36:$R$167,$C$36:$C$167,"=3", $B$36:$B$167,"OFICIAL")</f>
        <v>51.6</v>
      </c>
      <c r="O190" s="39">
        <f>AVERAGEIFS($S$36:$S$167,$C$36:$C$167,"=3", $B$36:$B$167,"OFICIAL")</f>
        <v>9.1999999999999993</v>
      </c>
      <c r="P190" s="39">
        <f>AVERAGEIFS($R$36:$R$167,$C$36:$C$167,"=3", $B$36:$B$167,"NO OFICIAL")</f>
        <v>53.285714285714285</v>
      </c>
      <c r="Q190" s="39">
        <f>AVERAGEIFS($S$36:$S$167,$C$36:$C$167,"=3", $B$36:$B$167,"NO OFICIAL")</f>
        <v>8.5714285714285712</v>
      </c>
      <c r="R190" s="39">
        <f>AVERAGEIFS($Y$36:$Y$167,$C$36:$C$167,"=3", $B$36:$B$167,"OFICIAL")</f>
        <v>49.4</v>
      </c>
      <c r="S190" s="39">
        <f>AVERAGEIFS($Z$36:$Z$167,$C$36:$C$167,"=3", $B$36:$B$167,"OFICIAL")</f>
        <v>9.6</v>
      </c>
      <c r="T190" s="39">
        <f>AVERAGEIFS($Y$36:$Y$167,$C$36:$C$167,"=3", $B$36:$B$167,"NO OFICIAL")</f>
        <v>52.357142857142854</v>
      </c>
      <c r="U190" s="39">
        <f>AVERAGEIFS($Z$36:$Z$167,$C$36:$C$167,"=3", $B$36:$B$167,"NO OFICIAL")</f>
        <v>9.4285714285714288</v>
      </c>
      <c r="V190" s="39">
        <f>AVERAGEIFS($AF$36:$AF$167,$C$36:$C$167,"=3", $B$36:$B$167,"OFICIAL")</f>
        <v>47</v>
      </c>
      <c r="W190" s="39">
        <f>AVERAGEIFS($AG$36:$AG$167,$C$36:$C$167,"=3", $B$36:$B$167,"OFICIAL")</f>
        <v>8.8000000000000007</v>
      </c>
      <c r="X190" s="39">
        <f>AVERAGEIFS($AF$36:$AF$167,$C$36:$C$167,"=3", $B$36:$B$167,"NO OFICIAL")</f>
        <v>49.733333333333334</v>
      </c>
      <c r="Y190" s="39">
        <f>AVERAGEIFS($AG$36:$AG$167,$C$36:$C$167,"=3", $B$36:$B$167,"NO OFICIAL")</f>
        <v>8.4</v>
      </c>
      <c r="Z190" s="39">
        <f>AVERAGEIFS($AM$36:$AM$167,$C$36:$C$167,"=3", $B$36:$B$167,"OFICIAL")</f>
        <v>49</v>
      </c>
      <c r="AA190" s="39">
        <f>AVERAGEIFS($AO$36:$AO$167,$C$36:$C$167,"=3", $B$36:$B$167,"OFICIAL")</f>
        <v>10</v>
      </c>
      <c r="AB190" s="39">
        <f>AVERAGEIFS($AM$36:$AM$167,$C$36:$C$167,"=3", $B$36:$B$167,"NO OFICIAL")</f>
        <v>53.333333333333336</v>
      </c>
      <c r="AC190" s="39">
        <f>AVERAGEIFS($AO$36:$AO$167,$C$36:$C$167,"=3", $B$36:$B$167,"NO OFICIAL")</f>
        <v>10.133333333333333</v>
      </c>
      <c r="AD190" s="39">
        <f>AVERAGEIFS($AV$36:$AV$167,$C$36:$C$167,"=3", $B$36:$B$167,"OFICIAL")</f>
        <v>51.666666666666664</v>
      </c>
      <c r="AE190" s="39">
        <f>AVERAGEIFS($AX$36:$AX$167,$C$36:$C$167,"=3", $B$36:$B$167,"OFICIAL")</f>
        <v>10.833333333333334</v>
      </c>
      <c r="AF190" s="39">
        <f>AVERAGEIFS($AV$36:$AV$167,$C$36:$C$167,"=3", $B$36:$B$167,"NO OFICIAL")</f>
        <v>55.375</v>
      </c>
      <c r="AG190" s="39">
        <f>AVERAGEIFS($AX$36:$AX$167,$C$36:$C$167,"=3", $B$36:$B$167,"NO OFICIAL")</f>
        <v>9.8125</v>
      </c>
      <c r="AH190" s="39">
        <f>AVERAGEIFS($BE$36:$BE$167,$C$36:$C$167,"=3", $B$36:$B$167,"OFICIAL")</f>
        <v>51.333333333333336</v>
      </c>
      <c r="AI190" s="39">
        <f>AVERAGEIFS($BG$36:$BG$167,$C$36:$C$167,"=3", $B$36:$B$167,"OFICIAL")</f>
        <v>9.6666666666666661</v>
      </c>
      <c r="AJ190" s="39">
        <f>AVERAGEIFS($BE$36:$BE$167,$C$36:$C$167,"=3", $B$36:$B$167,"NO OFICIAL")</f>
        <v>55.5625</v>
      </c>
      <c r="AK190" s="39">
        <f>AVERAGEIFS($BG$36:$BG$167,$C$36:$C$167,"=3", $B$36:$B$167,"NO OFICIAL")</f>
        <v>9.9375</v>
      </c>
      <c r="AL190" s="110"/>
      <c r="AM190" s="110"/>
      <c r="AN190" s="110"/>
      <c r="AO190" s="110"/>
      <c r="AP190" s="110"/>
      <c r="AQ190" s="110"/>
      <c r="AR190" s="110"/>
      <c r="AS190" s="110"/>
      <c r="AT190" s="110"/>
      <c r="AU190" s="110"/>
      <c r="AV190" s="110"/>
      <c r="AW190" s="110"/>
      <c r="AX190" s="110"/>
      <c r="AY190" s="110"/>
    </row>
    <row r="191" spans="5:51" x14ac:dyDescent="0.25">
      <c r="E191" s="39" t="s">
        <v>249</v>
      </c>
      <c r="F191" s="39">
        <f>AVERAGEIFS(D36:D167,$C$36:$C$167,"=4", $B$36:$B$167,"OFICIAL")</f>
        <v>49.333333333333336</v>
      </c>
      <c r="G191" s="39">
        <f>AVERAGEIFS(E36:E167,$C$36:$C$167,"=4", $B$36:$B$167,"OFICIAL")</f>
        <v>8.5</v>
      </c>
      <c r="H191" s="39">
        <f>AVERAGEIFS(D36:D167,$C$36:$C$167,"=4", $B$36:$B$167,"NO OFICIAL")</f>
        <v>51.875</v>
      </c>
      <c r="I191" s="39">
        <f>AVERAGEIFS(E36:E167,$C$36:$C$167,"=4", $B$36:$B$167,"NO OFICIAL")</f>
        <v>8.375</v>
      </c>
      <c r="J191" s="39">
        <f>AVERAGEIFS($K$36:$K$167,$C$36:$C$167,"=4", $B$36:$B$167,"OFICIAL")</f>
        <v>47.333333333333336</v>
      </c>
      <c r="K191" s="39">
        <f>AVERAGEIFS($L$36:$L$167,$C$36:$C$167,"=4", $B$36:$B$167,"OFICIAL")</f>
        <v>8.8333333333333339</v>
      </c>
      <c r="L191" s="39">
        <f>AVERAGEIFS($K$36:$K$167,$C$36:$C$167,"=4", $B$36:$B$167,"NO OFICIAL")</f>
        <v>50.888888888888886</v>
      </c>
      <c r="M191" s="39">
        <f>AVERAGEIFS($L$36:$L$167,$C$36:$C$167,"=4", $B$36:$B$167,"NO OFICIAL")</f>
        <v>6.5555555555555554</v>
      </c>
      <c r="N191" s="39">
        <f>AVERAGEIFS($R$36:$R$167,$C$36:$C$167,"=4", $B$36:$B$167,"OFICIAL")</f>
        <v>48.5</v>
      </c>
      <c r="O191" s="39">
        <f>AVERAGEIFS($S$36:$S$167,$C$36:$C$167,"=4", $B$36:$B$167,"OFICIAL")</f>
        <v>8.3333333333333339</v>
      </c>
      <c r="P191" s="39">
        <f>AVERAGEIFS($R$36:$R$167,$C$36:$C$167,"=4", $B$36:$B$167,"NO OFICIAL")</f>
        <v>54.555555555555557</v>
      </c>
      <c r="Q191" s="39">
        <f>AVERAGEIFS($S$36:$S$167,$C$36:$C$167,"=4", $B$36:$B$167,"NO OFICIAL")</f>
        <v>8.2222222222222214</v>
      </c>
      <c r="R191" s="39">
        <f>AVERAGEIFS($Y$36:$Y$167,$C$36:$C$167,"=4", $B$36:$B$167,"OFICIAL")</f>
        <v>46.833333333333336</v>
      </c>
      <c r="S191" s="39">
        <f>AVERAGEIFS($Z$36:$Z$167,$C$36:$C$167,"=4", $B$36:$B$167,"OFICIAL")</f>
        <v>9.1666666666666661</v>
      </c>
      <c r="T191" s="39">
        <f>AVERAGEIFS($Y$36:$Y$167,$C$36:$C$167,"=4", $B$36:$B$167,"NO OFICIAL")</f>
        <v>50.25</v>
      </c>
      <c r="U191" s="39">
        <f>AVERAGEIFS($Z$36:$Z$167,$C$36:$C$167,"=4", $B$36:$B$167,"NO OFICIAL")</f>
        <v>8.375</v>
      </c>
      <c r="V191" s="39">
        <f>AVERAGEIFS($AF$36:$AF$167,$C$36:$C$167,"=4", $B$36:$B$167,"OFICIAL")</f>
        <v>44</v>
      </c>
      <c r="W191" s="39">
        <f>AVERAGEIFS($AG$36:$AG$167,$C$36:$C$167,"=4", $B$36:$B$167,"OFICIAL")</f>
        <v>7.5</v>
      </c>
      <c r="X191" s="39">
        <f>AVERAGEIFS($AF$36:$AF$167,$C$36:$C$167,"=4", $B$36:$B$167,"NO OFICIAL")</f>
        <v>47.428571428571431</v>
      </c>
      <c r="Y191" s="39">
        <f>AVERAGEIFS($AG$36:$AG$167,$C$36:$C$167,"=4", $B$36:$B$167,"NO OFICIAL")</f>
        <v>8.5714285714285712</v>
      </c>
      <c r="Z191" s="39">
        <f>AVERAGEIFS($AM$36:$AM$167,$C$36:$C$167,"=4", $B$36:$B$167,"OFICIAL")</f>
        <v>46</v>
      </c>
      <c r="AA191" s="39">
        <f>AVERAGEIFS($AO$36:$AO$167,$C$36:$C$167,"=4", $B$36:$B$167,"OFICIAL")</f>
        <v>8.8333333333333339</v>
      </c>
      <c r="AB191" s="39">
        <f>AVERAGEIFS($AM$36:$AM$167,$C$36:$C$167,"=4", $B$36:$B$167,"NO OFICIAL")</f>
        <v>51</v>
      </c>
      <c r="AC191" s="39">
        <f>AVERAGEIFS($AO$36:$AO$167,$C$36:$C$167,"=4", $B$36:$B$167,"NO OFICIAL")</f>
        <v>8.625</v>
      </c>
      <c r="AD191" s="39">
        <f>AVERAGEIFS($AV$36:$AV$167,$C$36:$C$167,"=4", $B$36:$B$167,"OFICIAL")</f>
        <v>48.333333333333336</v>
      </c>
      <c r="AE191" s="39">
        <f>AVERAGEIFS($AX$36:$AX$167,$C$36:$C$167,"=4", $B$36:$B$167,"OFICIAL")</f>
        <v>9.3333333333333339</v>
      </c>
      <c r="AF191" s="39">
        <f>AVERAGEIFS($AV$36:$AV$167,$C$36:$C$167,"=4", $B$36:$B$167,"NO OFICIAL")</f>
        <v>50.875</v>
      </c>
      <c r="AG191" s="39">
        <f>AVERAGEIFS($AX$36:$AX$167,$C$36:$C$167,"=4", $B$36:$B$167,"NO OFICIAL")</f>
        <v>9.375</v>
      </c>
      <c r="AH191" s="39">
        <f>AVERAGEIFS($BE$36:$BE$167,$C$36:$C$167,"=4", $B$36:$B$167,"OFICIAL")</f>
        <v>47.666666666666664</v>
      </c>
      <c r="AI191" s="39">
        <f>AVERAGEIFS($BG$36:$BG$167,$C$36:$C$167,"=4", $B$36:$B$167,"OFICIAL")</f>
        <v>8.8333333333333339</v>
      </c>
      <c r="AJ191" s="39">
        <f>AVERAGEIFS($BE$36:$BE$167,$C$36:$C$167,"=4", $B$36:$B$167,"NO OFICIAL")</f>
        <v>50.333333333333336</v>
      </c>
      <c r="AK191" s="39">
        <f>AVERAGEIFS($BG$36:$BG$167,$C$36:$C$167,"=4", $B$36:$B$167,"NO OFICIAL")</f>
        <v>9</v>
      </c>
      <c r="AL191" s="110"/>
      <c r="AM191" s="110"/>
      <c r="AN191" s="110"/>
      <c r="AO191" s="110"/>
      <c r="AP191" s="110"/>
      <c r="AQ191" s="110"/>
      <c r="AR191" s="110"/>
      <c r="AS191" s="110"/>
      <c r="AT191" s="110"/>
      <c r="AU191" s="110"/>
      <c r="AV191" s="110"/>
      <c r="AW191" s="110"/>
      <c r="AX191" s="110"/>
      <c r="AY191" s="110"/>
    </row>
    <row r="192" spans="5:51" x14ac:dyDescent="0.25">
      <c r="E192" s="39" t="s">
        <v>250</v>
      </c>
      <c r="F192" s="39">
        <f>AVERAGEIFS(D36:D167,$C$36:$C$167,"=5", $B$36:$B$167,"OFICIAL")</f>
        <v>53</v>
      </c>
      <c r="G192" s="39">
        <f>AVERAGEIFS(E36:E167,$C$36:$C$167,"=5", $B$36:$B$167,"OFICIAL")</f>
        <v>9</v>
      </c>
      <c r="H192" s="39">
        <f>AVERAGEIFS(D36:D167,$C$36:$C$167,"=5", $B$36:$B$167,"NO OFICIAL")</f>
        <v>57.533333333333331</v>
      </c>
      <c r="I192" s="39">
        <f>AVERAGEIFS(E36:E167,$C$36:$C$167,"=5", $B$36:$B$167,"NO OFICIAL")</f>
        <v>9.1999999999999993</v>
      </c>
      <c r="J192" s="39">
        <f>AVERAGEIFS($K$36:$K$167,$C$36:$C$167,"=5", $B$36:$B$167,"OFICIAL")</f>
        <v>50</v>
      </c>
      <c r="K192" s="39">
        <f>AVERAGEIFS($L$36:$L$167,$C$36:$C$167,"=5", $B$36:$B$167,"OFICIAL")</f>
        <v>9</v>
      </c>
      <c r="L192" s="39">
        <f>AVERAGEIFS($K$36:$K$167,$C$36:$C$167,"=5", $B$36:$B$167,"NO OFICIAL")</f>
        <v>56.133333333333333</v>
      </c>
      <c r="M192" s="39">
        <f>AVERAGEIFS($L$36:$L$167,$C$36:$C$167,"=5", $B$36:$B$167,"NO OFICIAL")</f>
        <v>8.7333333333333325</v>
      </c>
      <c r="N192" s="39">
        <f>AVERAGEIFS($R$36:$R$167,$C$36:$C$167,"=5", $B$36:$B$167,"OFICIAL")</f>
        <v>50</v>
      </c>
      <c r="O192" s="39">
        <f>AVERAGEIFS($S$36:$S$167,$C$36:$C$167,"=5", $B$36:$B$167,"OFICIAL")</f>
        <v>9</v>
      </c>
      <c r="P192" s="39">
        <f>AVERAGEIFS($R$36:$R$167,$C$36:$C$167,"=5", $B$36:$B$167,"NO OFICIAL")</f>
        <v>56.5625</v>
      </c>
      <c r="Q192" s="39">
        <f>AVERAGEIFS($S$36:$S$167,$C$36:$C$167,"=5", $B$36:$B$167,"NO OFICIAL")</f>
        <v>8.6875</v>
      </c>
      <c r="R192" s="39">
        <f>AVERAGEIFS($Y$36:$Y$167,$C$36:$C$167,"=5", $B$36:$B$167,"OFICIAL")</f>
        <v>50</v>
      </c>
      <c r="S192" s="39">
        <f>AVERAGEIFS($Z$36:$Z$167,$C$36:$C$167,"=5", $B$36:$B$167,"OFICIAL")</f>
        <v>10</v>
      </c>
      <c r="T192" s="39">
        <f>AVERAGEIFS($Y$36:$Y$167,$C$36:$C$167,"=5", $B$36:$B$167,"NO OFICIAL")</f>
        <v>55.705882352941174</v>
      </c>
      <c r="U192" s="39">
        <f>AVERAGEIFS($Z$36:$Z$167,$C$36:$C$167,"=5", $B$36:$B$167,"NO OFICIAL")</f>
        <v>9</v>
      </c>
      <c r="V192" s="39">
        <f>AVERAGEIFS($AF$36:$AF$167,$C$36:$C$167,"=5", $B$36:$B$167,"OFICIAL")</f>
        <v>46.5</v>
      </c>
      <c r="W192" s="39">
        <f>AVERAGEIFS($AG$36:$AG$167,$C$36:$C$167,"=5", $B$36:$B$167,"OFICIAL")</f>
        <v>8</v>
      </c>
      <c r="X192" s="39">
        <f>AVERAGEIFS($AF$36:$AF$167,$C$36:$C$167,"=5", $B$36:$B$167,"NO OFICIAL")</f>
        <v>51.75</v>
      </c>
      <c r="Y192" s="39">
        <f>AVERAGEIFS($AG$36:$AG$167,$C$36:$C$167,"=5", $B$36:$B$167,"NO OFICIAL")</f>
        <v>9.1875</v>
      </c>
      <c r="Z192" s="39">
        <f>AVERAGEIFS($AM$36:$AM$167,$C$36:$C$167,"=5", $B$36:$B$167,"OFICIAL")</f>
        <v>49.5</v>
      </c>
      <c r="AA192" s="39">
        <f>AVERAGEIFS($AO$36:$AO$167,$C$36:$C$167,"=5", $B$36:$B$167,"OFICIAL")</f>
        <v>10</v>
      </c>
      <c r="AB192" s="39">
        <f>AVERAGEIFS($AM$36:$AM$167,$C$36:$C$167,"=5", $B$36:$B$167,"NO OFICIAL")</f>
        <v>56.9375</v>
      </c>
      <c r="AC192" s="39">
        <f>AVERAGEIFS($AO$36:$AO$167,$C$36:$C$167,"=5", $B$36:$B$167,"NO OFICIAL")</f>
        <v>9.5625</v>
      </c>
      <c r="AD192" s="39">
        <f>AVERAGEIFS($AV$36:$AV$167,$C$36:$C$167,"=5", $B$36:$B$167,"OFICIAL")</f>
        <v>52</v>
      </c>
      <c r="AE192" s="39">
        <f>AVERAGEIFS($AX$36:$AX$167,$C$36:$C$167,"=5", $B$36:$B$167,"OFICIAL")</f>
        <v>11</v>
      </c>
      <c r="AF192" s="39">
        <f>AVERAGEIFS($AV$36:$AV$167,$C$36:$C$167,"=5", $B$36:$B$167,"NO OFICIAL")</f>
        <v>57.8</v>
      </c>
      <c r="AG192" s="39">
        <f>AVERAGEIFS($AX$36:$AX$167,$C$36:$C$167,"=5", $B$36:$B$167,"NO OFICIAL")</f>
        <v>9.1999999999999993</v>
      </c>
      <c r="AH192" s="39">
        <f>AVERAGEIFS($BE$36:$BE$167,$C$36:$C$167,"=5", $B$36:$B$167,"OFICIAL")</f>
        <v>52</v>
      </c>
      <c r="AI192" s="39">
        <f>AVERAGEIFS($BG$36:$BG$167,$C$36:$C$167,"=5", $B$36:$B$167,"OFICIAL")</f>
        <v>10</v>
      </c>
      <c r="AJ192" s="39">
        <f>AVERAGEIFS($BE$36:$BE$167,$C$36:$C$167,"=5", $B$36:$B$167,"NO OFICIAL")</f>
        <v>58.2</v>
      </c>
      <c r="AK192" s="39">
        <f>AVERAGEIFS($BG$36:$BG$167,$C$36:$C$167,"=5", $B$36:$B$167,"NO OFICIAL")</f>
        <v>9.6666666666666661</v>
      </c>
      <c r="AL192" s="110"/>
      <c r="AM192" s="110"/>
      <c r="AN192" s="110"/>
      <c r="AO192" s="110"/>
      <c r="AP192" s="110"/>
      <c r="AQ192" s="110"/>
      <c r="AR192" s="110"/>
      <c r="AS192" s="110"/>
      <c r="AT192" s="110"/>
      <c r="AU192" s="110"/>
      <c r="AV192" s="110"/>
      <c r="AW192" s="110"/>
      <c r="AX192" s="110"/>
      <c r="AY192" s="110"/>
    </row>
    <row r="193" spans="5:43" x14ac:dyDescent="0.25">
      <c r="E193" s="39" t="s">
        <v>251</v>
      </c>
      <c r="F193" s="39">
        <f>AVERAGEIFS(D36:D167,$C$36:$C$167,"=6", $B$36:$B$167,"OFICIAL")</f>
        <v>52.333333333333336</v>
      </c>
      <c r="G193" s="39">
        <f>AVERAGEIFS(E36:E167,$C$36:$C$167,"=6", $B$36:$B$167,"OFICIAL")</f>
        <v>8.6666666666666661</v>
      </c>
      <c r="H193" s="39">
        <f>AVERAGEIFS(D36:D167,$C$36:$C$167,"=6", $B$36:$B$167,"NO OFICIAL")</f>
        <v>54.666666666666664</v>
      </c>
      <c r="I193" s="39">
        <f>AVERAGEIFS(E36:E167,$C$36:$C$167,"=6", $B$36:$B$167,"NO OFICIAL")</f>
        <v>8.25</v>
      </c>
      <c r="J193" s="39">
        <f>AVERAGEIFS($K$36:$K$167,$C$36:$C$167,"=6", $B$36:$B$167,"OFICIAL")</f>
        <v>49.333333333333336</v>
      </c>
      <c r="K193" s="39">
        <f>AVERAGEIFS($L$36:$L$167,$C$36:$C$167,"=6", $B$36:$B$167,"OFICIAL")</f>
        <v>10</v>
      </c>
      <c r="L193" s="39">
        <f>AVERAGEIFS($K$36:$K$167,$C$36:$C$167,"=6", $B$36:$B$167,"NO OFICIAL")</f>
        <v>51.333333333333336</v>
      </c>
      <c r="M193" s="39">
        <f>AVERAGEIFS($L$36:$L$167,$C$36:$C$167,"=6", $B$36:$B$167,"NO OFICIAL")</f>
        <v>9.1666666666666661</v>
      </c>
      <c r="N193" s="39">
        <f>AVERAGEIFS($R$36:$R$167,$C$36:$C$167,"=6", $B$36:$B$167,"OFICIAL")</f>
        <v>50.666666666666664</v>
      </c>
      <c r="O193" s="39">
        <f>AVERAGEIFS($S$36:$S$167,$C$36:$C$167,"=6", $B$36:$B$167,"OFICIAL")</f>
        <v>8.3333333333333339</v>
      </c>
      <c r="P193" s="39">
        <f>AVERAGEIFS($R$36:$R$167,$C$36:$C$167,"=6", $B$36:$B$167,"NO OFICIAL")</f>
        <v>52.81818181818182</v>
      </c>
      <c r="Q193" s="39">
        <f>AVERAGEIFS($S$36:$S$167,$C$36:$C$167,"=6", $B$36:$B$167,"NO OFICIAL")</f>
        <v>8.6363636363636367</v>
      </c>
      <c r="R193" s="39">
        <f>AVERAGEIFS($Y$36:$Y$167,$C$36:$C$167,"=6", $B$36:$B$167,"OFICIAL")</f>
        <v>50</v>
      </c>
      <c r="S193" s="39">
        <f>AVERAGEIFS($Z$36:$Z$167,$C$36:$C$167,"=6", $B$36:$B$167,"OFICIAL")</f>
        <v>10</v>
      </c>
      <c r="T193" s="39">
        <f>AVERAGEIFS($Y$36:$Y$167,$C$36:$C$167,"=6", $B$36:$B$167,"NO OFICIAL")</f>
        <v>52.166666666666664</v>
      </c>
      <c r="U193" s="39">
        <f>AVERAGEIFS($Z$36:$Z$167,$C$36:$C$167,"=6", $B$36:$B$167,"NO OFICIAL")</f>
        <v>9</v>
      </c>
      <c r="V193" s="39">
        <f>AVERAGEIFS($AF$36:$AF$167,$C$36:$C$167,"=6", $B$36:$B$167,"OFICIAL")</f>
        <v>47</v>
      </c>
      <c r="W193" s="39">
        <f>AVERAGEIFS($AG$36:$AG$167,$C$36:$C$167,"=6", $B$36:$B$167,"OFICIAL")</f>
        <v>8.3333333333333339</v>
      </c>
      <c r="X193" s="39">
        <f>AVERAGEIFS($AF$36:$AF$167,$C$36:$C$167,"=6", $B$36:$B$167,"NO OFICIAL")</f>
        <v>47.714285714285715</v>
      </c>
      <c r="Y193" s="39">
        <f>AVERAGEIFS($AG$36:$AG$167,$C$36:$C$167,"=6", $B$36:$B$167,"NO OFICIAL")</f>
        <v>9.2142857142857135</v>
      </c>
      <c r="Z193" s="39">
        <f>AVERAGEIFS($AM$36:$AM$167,$C$36:$C$167,"=6", $B$36:$B$167,"OFICIAL")</f>
        <v>50.333333333333336</v>
      </c>
      <c r="AA193" s="39">
        <f>AVERAGEIFS($AO$36:$AO$167,$C$36:$C$167,"=6", $B$36:$B$167,"OFICIAL")</f>
        <v>10.666666666666666</v>
      </c>
      <c r="AB193" s="39">
        <f>AVERAGEIFS($AM$36:$AM$167,$C$36:$C$167,"=6", $B$36:$B$167,"NO OFICIAL")</f>
        <v>53.714285714285715</v>
      </c>
      <c r="AC193" s="39">
        <f>AVERAGEIFS($AO$36:$AO$167,$C$36:$C$167,"=6", $B$36:$B$167,"NO OFICIAL")</f>
        <v>9.1428571428571423</v>
      </c>
      <c r="AD193" s="39">
        <f>AVERAGEIFS($AV$36:$AV$167,$C$36:$C$167,"=6", $B$36:$B$167,"OFICIAL")</f>
        <v>52</v>
      </c>
      <c r="AE193" s="39">
        <f>AVERAGEIFS($AX$36:$AX$167,$C$36:$C$167,"=6", $B$36:$B$167,"OFICIAL")</f>
        <v>10</v>
      </c>
      <c r="AF193" s="39">
        <f>AVERAGEIFS($AV$36:$AV$167,$C$36:$C$167,"=6", $B$36:$B$167,"NO OFICIAL")</f>
        <v>54.1875</v>
      </c>
      <c r="AG193" s="39">
        <f>AVERAGEIFS($AX$36:$AX$167,$C$36:$C$167,"=6", $B$36:$B$167,"NO OFICIAL")</f>
        <v>9.875</v>
      </c>
      <c r="AH193" s="39">
        <f>AVERAGEIFS($BE$36:$BE$167,$C$36:$C$167,"=6", $B$36:$B$167,"OFICIAL")</f>
        <v>50.666666666666664</v>
      </c>
      <c r="AI193" s="39">
        <f>AVERAGEIFS($BG$36:$BG$167,$C$36:$C$167,"=6", $B$36:$B$167,"OFICIAL")</f>
        <v>9</v>
      </c>
      <c r="AJ193" s="39">
        <f>AVERAGEIFS($BE$36:$BE$167,$C$36:$C$167,"=6", $B$36:$B$167,"NO OFICIAL")</f>
        <v>54.352941176470587</v>
      </c>
      <c r="AK193" s="39">
        <f>AVERAGEIFS($BG$36:$BG$167,$C$36:$C$167,"=6", $B$36:$B$167,"NO OFICIAL")</f>
        <v>9.2941176470588243</v>
      </c>
    </row>
    <row r="194" spans="5:43" x14ac:dyDescent="0.25">
      <c r="E194" s="48"/>
      <c r="F194" s="48"/>
      <c r="G194" s="48"/>
      <c r="H194" s="48"/>
      <c r="I194" s="48"/>
      <c r="J194" s="48"/>
      <c r="K194" s="48"/>
      <c r="L194" s="48"/>
      <c r="M194" s="48"/>
      <c r="N194" s="48"/>
      <c r="O194" s="48"/>
      <c r="P194" s="48"/>
      <c r="Q194" s="48"/>
      <c r="R194" s="48"/>
      <c r="S194" s="48"/>
      <c r="T194" s="48"/>
      <c r="U194" s="48"/>
      <c r="V194" s="48"/>
      <c r="W194" s="48"/>
      <c r="X194" s="48"/>
      <c r="Y194" s="48"/>
      <c r="Z194" s="48"/>
      <c r="AA194" s="48"/>
      <c r="AB194" s="48"/>
      <c r="AC194" s="48"/>
      <c r="AD194" s="48"/>
      <c r="AE194" s="48"/>
      <c r="AF194" s="48"/>
      <c r="AG194" s="48"/>
      <c r="AH194" s="48"/>
      <c r="AI194" s="48"/>
      <c r="AJ194" s="48"/>
      <c r="AK194" s="48"/>
      <c r="AL194" s="48"/>
      <c r="AM194" s="48"/>
      <c r="AN194" s="48"/>
      <c r="AO194" s="48"/>
      <c r="AP194" s="48"/>
      <c r="AQ194" s="48"/>
    </row>
    <row r="195" spans="5:43" ht="12.75" customHeight="1" x14ac:dyDescent="0.25">
      <c r="K195" s="737" t="s">
        <v>254</v>
      </c>
      <c r="L195" s="737"/>
      <c r="M195" s="737"/>
      <c r="N195" s="737"/>
      <c r="O195" s="737"/>
      <c r="P195" s="737"/>
      <c r="Q195" s="113"/>
      <c r="T195" s="44"/>
      <c r="U195" s="44"/>
      <c r="V195" s="44"/>
      <c r="W195" s="44"/>
      <c r="X195" s="737" t="s">
        <v>255</v>
      </c>
      <c r="Y195" s="737"/>
      <c r="Z195" s="737"/>
      <c r="AA195" s="737"/>
      <c r="AB195" s="737"/>
      <c r="AC195" s="737"/>
    </row>
    <row r="196" spans="5:43" x14ac:dyDescent="0.25">
      <c r="K196" s="45"/>
      <c r="L196" s="45">
        <v>2016</v>
      </c>
      <c r="M196" s="46">
        <v>2017</v>
      </c>
      <c r="N196" s="45">
        <v>2018</v>
      </c>
      <c r="O196" s="45">
        <v>2019</v>
      </c>
      <c r="P196" s="55">
        <v>2020</v>
      </c>
      <c r="Q196" s="437">
        <v>2021</v>
      </c>
      <c r="R196" s="572">
        <v>2022</v>
      </c>
      <c r="S196" s="676">
        <v>2023</v>
      </c>
      <c r="T196" s="44"/>
      <c r="U196" s="44"/>
      <c r="V196" s="44"/>
      <c r="W196" s="44"/>
      <c r="X196" s="45"/>
      <c r="Y196" s="45">
        <v>2016</v>
      </c>
      <c r="Z196" s="46">
        <v>2017</v>
      </c>
      <c r="AA196" s="45">
        <v>2018</v>
      </c>
      <c r="AB196" s="45">
        <v>2019</v>
      </c>
      <c r="AC196" s="60">
        <v>2020</v>
      </c>
      <c r="AD196" s="437">
        <v>2021</v>
      </c>
      <c r="AE196" s="572">
        <v>2022</v>
      </c>
      <c r="AF196" s="676">
        <v>2023</v>
      </c>
    </row>
    <row r="197" spans="5:43" x14ac:dyDescent="0.25">
      <c r="K197" s="39" t="s">
        <v>246</v>
      </c>
      <c r="L197" s="39">
        <v>52.25</v>
      </c>
      <c r="M197" s="39">
        <v>49.5</v>
      </c>
      <c r="N197" s="39">
        <v>51.5</v>
      </c>
      <c r="O197" s="39">
        <v>50.25</v>
      </c>
      <c r="P197" s="39">
        <v>46.5</v>
      </c>
      <c r="Q197" s="39">
        <v>49.5</v>
      </c>
      <c r="R197" s="39">
        <v>49.6</v>
      </c>
      <c r="S197" s="39">
        <v>49.8</v>
      </c>
      <c r="T197" s="44"/>
      <c r="U197" s="44"/>
      <c r="V197" s="44"/>
      <c r="W197" s="44"/>
      <c r="X197" s="39" t="s">
        <v>246</v>
      </c>
      <c r="Y197" s="39">
        <v>52.769230769230766</v>
      </c>
      <c r="Z197" s="39">
        <v>50.75</v>
      </c>
      <c r="AA197" s="39">
        <v>52.307692307692307</v>
      </c>
      <c r="AB197" s="39">
        <v>50</v>
      </c>
      <c r="AC197" s="39">
        <f>AVERAGEIFS($AF$36:$AF$167,$C$36:$C$167,"=1", $B$36:$B$167,"NO OFICIAL")</f>
        <v>48.53846153846154</v>
      </c>
      <c r="AD197" s="39">
        <v>52.769230769230766</v>
      </c>
      <c r="AE197" s="39">
        <v>52.92307692307692</v>
      </c>
      <c r="AF197" s="39">
        <v>54.416666666666664</v>
      </c>
    </row>
    <row r="198" spans="5:43" x14ac:dyDescent="0.25">
      <c r="K198" s="39" t="s">
        <v>247</v>
      </c>
      <c r="L198" s="39">
        <v>52</v>
      </c>
      <c r="M198" s="39">
        <v>50.5</v>
      </c>
      <c r="N198" s="39">
        <v>51.5</v>
      </c>
      <c r="O198" s="39">
        <v>51</v>
      </c>
      <c r="P198" s="39">
        <v>47</v>
      </c>
      <c r="Q198" s="39">
        <v>50</v>
      </c>
      <c r="R198" s="39">
        <v>50.5</v>
      </c>
      <c r="S198" s="39">
        <v>51</v>
      </c>
      <c r="T198" s="44"/>
      <c r="U198" s="44"/>
      <c r="V198" s="44"/>
      <c r="W198" s="44"/>
      <c r="X198" s="39" t="s">
        <v>247</v>
      </c>
      <c r="Y198" s="39">
        <v>55</v>
      </c>
      <c r="Z198" s="39">
        <v>52.529411764705884</v>
      </c>
      <c r="AA198" s="39">
        <v>54.294117647058826</v>
      </c>
      <c r="AB198" s="39">
        <v>53.722222222222221</v>
      </c>
      <c r="AC198" s="39">
        <f>AVERAGEIFS($AF$36:$AF$167,$C$36:$C$167,"=2", $B$36:$B$167,"NO OFICIAL")</f>
        <v>48.727272727272727</v>
      </c>
      <c r="AD198" s="39">
        <v>53.55</v>
      </c>
      <c r="AE198" s="39">
        <v>55.80952380952381</v>
      </c>
      <c r="AF198" s="39">
        <v>55.045454545454547</v>
      </c>
    </row>
    <row r="199" spans="5:43" x14ac:dyDescent="0.25">
      <c r="K199" s="39" t="s">
        <v>248</v>
      </c>
      <c r="L199" s="39">
        <v>51.666666666666664</v>
      </c>
      <c r="M199" s="39">
        <v>49.666666666666664</v>
      </c>
      <c r="N199" s="39">
        <v>51</v>
      </c>
      <c r="O199" s="39">
        <v>49</v>
      </c>
      <c r="P199" s="39">
        <v>46.75</v>
      </c>
      <c r="Q199" s="39">
        <v>49</v>
      </c>
      <c r="R199" s="39">
        <v>51.666666666666664</v>
      </c>
      <c r="S199" s="39">
        <v>51.333333333333336</v>
      </c>
      <c r="T199" s="44"/>
      <c r="U199" s="44"/>
      <c r="V199" s="44"/>
      <c r="W199" s="44"/>
      <c r="X199" s="39" t="s">
        <v>248</v>
      </c>
      <c r="Y199" s="39">
        <v>55.153846153846153</v>
      </c>
      <c r="Z199" s="39">
        <v>51.428571428571431</v>
      </c>
      <c r="AA199" s="39">
        <v>53.285714285714285</v>
      </c>
      <c r="AB199" s="39">
        <v>52.357142857142854</v>
      </c>
      <c r="AC199" s="39">
        <f>AVERAGEIFS($AF$36:$AF$167,$C$36:$C$167,"=3", $B$36:$B$167,"NO OFICIAL")</f>
        <v>49.733333333333334</v>
      </c>
      <c r="AD199" s="39">
        <v>53.333333333333336</v>
      </c>
      <c r="AE199" s="39">
        <v>55.375</v>
      </c>
      <c r="AF199" s="39">
        <v>55.5625</v>
      </c>
    </row>
    <row r="200" spans="5:43" x14ac:dyDescent="0.25">
      <c r="K200" s="39" t="s">
        <v>249</v>
      </c>
      <c r="L200" s="39">
        <v>49.333333333333336</v>
      </c>
      <c r="M200" s="39">
        <v>47.333333333333336</v>
      </c>
      <c r="N200" s="39">
        <v>48.5</v>
      </c>
      <c r="O200" s="39">
        <v>46.833333333333336</v>
      </c>
      <c r="P200" s="39">
        <v>44</v>
      </c>
      <c r="Q200" s="39">
        <v>46</v>
      </c>
      <c r="R200" s="39">
        <v>48.333333333333336</v>
      </c>
      <c r="S200" s="39">
        <v>47.666666666666664</v>
      </c>
      <c r="T200" s="44"/>
      <c r="U200" s="44"/>
      <c r="V200" s="44"/>
      <c r="W200" s="44"/>
      <c r="X200" s="39" t="s">
        <v>249</v>
      </c>
      <c r="Y200" s="39">
        <v>51.875</v>
      </c>
      <c r="Z200" s="39">
        <v>50.888888888888886</v>
      </c>
      <c r="AA200" s="39">
        <v>54.555555555555557</v>
      </c>
      <c r="AB200" s="39">
        <v>50.25</v>
      </c>
      <c r="AC200" s="39">
        <f>AVERAGEIFS($AF$36:$AF$167,$C$36:$C$167,"=4", $B$36:$B$167,"NO OFICIAL")</f>
        <v>47.428571428571431</v>
      </c>
      <c r="AD200" s="39">
        <v>51</v>
      </c>
      <c r="AE200" s="39">
        <v>50.875</v>
      </c>
      <c r="AF200" s="39">
        <v>50.333333333333336</v>
      </c>
    </row>
    <row r="201" spans="5:43" x14ac:dyDescent="0.25">
      <c r="K201" s="39" t="s">
        <v>250</v>
      </c>
      <c r="L201" s="39">
        <v>53</v>
      </c>
      <c r="M201" s="39">
        <v>50</v>
      </c>
      <c r="N201" s="39">
        <v>50</v>
      </c>
      <c r="O201" s="39">
        <v>50</v>
      </c>
      <c r="P201" s="39">
        <v>46.5</v>
      </c>
      <c r="Q201" s="39">
        <v>49.5</v>
      </c>
      <c r="R201" s="39">
        <v>52</v>
      </c>
      <c r="S201" s="39">
        <v>52</v>
      </c>
      <c r="T201" s="44"/>
      <c r="U201" s="44"/>
      <c r="V201" s="44"/>
      <c r="W201" s="44"/>
      <c r="X201" s="39" t="s">
        <v>250</v>
      </c>
      <c r="Y201" s="39">
        <v>57.533333333333331</v>
      </c>
      <c r="Z201" s="39">
        <v>56.133333333333333</v>
      </c>
      <c r="AA201" s="39">
        <v>56.5625</v>
      </c>
      <c r="AB201" s="39">
        <v>55.705882352941174</v>
      </c>
      <c r="AC201" s="39">
        <f>AVERAGEIFS($AF$36:$AF$167,$C$36:$C$167,"=5", $B$36:$B$167,"NO OFICIAL")</f>
        <v>51.75</v>
      </c>
      <c r="AD201" s="39">
        <v>56.9375</v>
      </c>
      <c r="AE201" s="39">
        <v>57.8</v>
      </c>
      <c r="AF201" s="39">
        <v>58.2</v>
      </c>
    </row>
    <row r="202" spans="5:43" x14ac:dyDescent="0.25">
      <c r="K202" s="39" t="s">
        <v>251</v>
      </c>
      <c r="L202" s="39">
        <v>52.333333333333336</v>
      </c>
      <c r="M202" s="39">
        <v>49.333333333333336</v>
      </c>
      <c r="N202" s="39">
        <v>50.666666666666664</v>
      </c>
      <c r="O202" s="39">
        <v>50</v>
      </c>
      <c r="P202" s="39">
        <v>47</v>
      </c>
      <c r="Q202" s="39">
        <v>50.333333333333336</v>
      </c>
      <c r="R202" s="39">
        <v>52</v>
      </c>
      <c r="S202" s="39">
        <v>50.666666666666664</v>
      </c>
      <c r="T202" s="44"/>
      <c r="U202" s="44"/>
      <c r="V202" s="44"/>
      <c r="W202" s="44"/>
      <c r="X202" s="39" t="s">
        <v>251</v>
      </c>
      <c r="Y202" s="39">
        <v>54.666666666666664</v>
      </c>
      <c r="Z202" s="39">
        <v>51.333333333333336</v>
      </c>
      <c r="AA202" s="39">
        <v>52.81818181818182</v>
      </c>
      <c r="AB202" s="39">
        <v>52.166666666666664</v>
      </c>
      <c r="AC202" s="39">
        <f>AVERAGEIFS($AF$36:$AF$167,$C$36:$C$167,"=6", $B$36:$B$167,"NO OFICIAL")</f>
        <v>47.714285714285715</v>
      </c>
      <c r="AD202" s="39">
        <v>53.714285714285715</v>
      </c>
      <c r="AE202" s="39">
        <v>54.1875</v>
      </c>
      <c r="AF202" s="39">
        <v>54.352941176470587</v>
      </c>
    </row>
    <row r="243" spans="6:38" x14ac:dyDescent="0.25">
      <c r="F243" s="736" t="s">
        <v>325</v>
      </c>
      <c r="G243" s="737"/>
      <c r="H243" s="737"/>
      <c r="I243" s="737"/>
      <c r="J243" s="737"/>
      <c r="K243" s="737"/>
      <c r="L243" s="737"/>
      <c r="M243" s="737"/>
      <c r="N243" s="737"/>
      <c r="O243" s="737"/>
      <c r="P243" s="737"/>
      <c r="Q243" s="737"/>
      <c r="R243" s="737"/>
      <c r="S243" s="737"/>
      <c r="T243" s="737"/>
      <c r="U243" s="737"/>
      <c r="V243" s="737"/>
      <c r="W243" s="737"/>
      <c r="X243" s="737"/>
      <c r="Y243" s="737"/>
      <c r="Z243" s="737"/>
    </row>
    <row r="244" spans="6:38" x14ac:dyDescent="0.25">
      <c r="F244" s="130"/>
      <c r="G244" s="736">
        <v>2016</v>
      </c>
      <c r="H244" s="737"/>
      <c r="I244" s="737"/>
      <c r="J244" s="854"/>
      <c r="K244" s="736">
        <v>2017</v>
      </c>
      <c r="L244" s="737"/>
      <c r="M244" s="737"/>
      <c r="N244" s="854"/>
      <c r="O244" s="736">
        <v>2018</v>
      </c>
      <c r="P244" s="737"/>
      <c r="Q244" s="737"/>
      <c r="R244" s="854"/>
      <c r="S244" s="736">
        <v>2019</v>
      </c>
      <c r="T244" s="737"/>
      <c r="U244" s="737"/>
      <c r="V244" s="854"/>
      <c r="W244" s="736">
        <v>2020</v>
      </c>
      <c r="X244" s="737"/>
      <c r="Y244" s="737"/>
      <c r="Z244" s="737"/>
      <c r="AA244" s="736">
        <v>2021</v>
      </c>
      <c r="AB244" s="737"/>
      <c r="AC244" s="737"/>
      <c r="AD244" s="737"/>
      <c r="AE244" s="736">
        <v>2022</v>
      </c>
      <c r="AF244" s="737"/>
      <c r="AG244" s="737"/>
      <c r="AH244" s="737"/>
      <c r="AI244" s="736">
        <v>2023</v>
      </c>
      <c r="AJ244" s="737"/>
      <c r="AK244" s="737"/>
      <c r="AL244" s="737"/>
    </row>
    <row r="245" spans="6:38" x14ac:dyDescent="0.25">
      <c r="F245" s="129"/>
      <c r="G245" s="132" t="s">
        <v>10</v>
      </c>
      <c r="H245" s="129" t="s">
        <v>0</v>
      </c>
      <c r="I245" s="129" t="s">
        <v>323</v>
      </c>
      <c r="J245" s="129" t="s">
        <v>324</v>
      </c>
      <c r="K245" s="132" t="s">
        <v>10</v>
      </c>
      <c r="L245" s="132" t="s">
        <v>0</v>
      </c>
      <c r="M245" s="129" t="s">
        <v>323</v>
      </c>
      <c r="N245" s="129" t="s">
        <v>324</v>
      </c>
      <c r="O245" s="132" t="s">
        <v>10</v>
      </c>
      <c r="P245" s="132" t="s">
        <v>0</v>
      </c>
      <c r="Q245" s="129" t="s">
        <v>323</v>
      </c>
      <c r="R245" s="129" t="s">
        <v>324</v>
      </c>
      <c r="S245" s="132" t="s">
        <v>10</v>
      </c>
      <c r="T245" s="132" t="s">
        <v>0</v>
      </c>
      <c r="U245" s="129" t="s">
        <v>323</v>
      </c>
      <c r="V245" s="129" t="s">
        <v>324</v>
      </c>
      <c r="W245" s="132" t="s">
        <v>10</v>
      </c>
      <c r="X245" s="132" t="s">
        <v>0</v>
      </c>
      <c r="Y245" s="129" t="s">
        <v>323</v>
      </c>
      <c r="Z245" s="129" t="s">
        <v>324</v>
      </c>
      <c r="AA245" s="439" t="s">
        <v>10</v>
      </c>
      <c r="AB245" s="439" t="s">
        <v>0</v>
      </c>
      <c r="AC245" s="434" t="s">
        <v>323</v>
      </c>
      <c r="AD245" s="434" t="s">
        <v>324</v>
      </c>
      <c r="AE245" s="573" t="s">
        <v>10</v>
      </c>
      <c r="AF245" s="573" t="s">
        <v>0</v>
      </c>
      <c r="AG245" s="571" t="s">
        <v>323</v>
      </c>
      <c r="AH245" s="571" t="s">
        <v>324</v>
      </c>
      <c r="AI245" s="679" t="s">
        <v>10</v>
      </c>
      <c r="AJ245" s="679" t="s">
        <v>0</v>
      </c>
      <c r="AK245" s="677" t="s">
        <v>323</v>
      </c>
      <c r="AL245" s="677" t="s">
        <v>324</v>
      </c>
    </row>
    <row r="246" spans="6:38" x14ac:dyDescent="0.25">
      <c r="F246" s="127" t="s">
        <v>315</v>
      </c>
      <c r="G246" s="97">
        <f>$F10</f>
        <v>0.36</v>
      </c>
      <c r="H246" s="97">
        <f>$F11</f>
        <v>0.28999999999999998</v>
      </c>
      <c r="I246" s="97">
        <f>$F12</f>
        <v>0.35</v>
      </c>
      <c r="J246" s="97">
        <f>$F14</f>
        <v>0.22</v>
      </c>
      <c r="K246" s="84">
        <f>$M10</f>
        <v>0.44</v>
      </c>
      <c r="L246" s="84">
        <f>$M11</f>
        <v>0.38</v>
      </c>
      <c r="M246" s="84">
        <f>$M12</f>
        <v>0.45</v>
      </c>
      <c r="N246" s="84">
        <f>$M14</f>
        <v>0.3</v>
      </c>
      <c r="O246" s="97">
        <f>$T10</f>
        <v>0.37</v>
      </c>
      <c r="P246" s="97">
        <f>$T11</f>
        <v>0.31</v>
      </c>
      <c r="Q246" s="97">
        <f>$T12</f>
        <v>0.37</v>
      </c>
      <c r="R246" s="97">
        <f>$T14</f>
        <v>0.23</v>
      </c>
      <c r="S246" s="97">
        <f>$AA10</f>
        <v>0.44</v>
      </c>
      <c r="T246" s="97">
        <f>$AA11</f>
        <v>0.35</v>
      </c>
      <c r="U246" s="97">
        <f>$AA12</f>
        <v>0.43</v>
      </c>
      <c r="V246" s="97">
        <f>$AA14</f>
        <v>0.26</v>
      </c>
      <c r="W246" s="87">
        <f>$AH10</f>
        <v>0.56999999999999995</v>
      </c>
      <c r="X246" s="87">
        <f>$AH11</f>
        <v>0.51</v>
      </c>
      <c r="Y246" s="87">
        <f>$AH12</f>
        <v>0.59</v>
      </c>
      <c r="Z246" s="87">
        <f>$AH14</f>
        <v>0.43</v>
      </c>
      <c r="AA246" s="87">
        <f>$AQ10</f>
        <v>0.47</v>
      </c>
      <c r="AB246" s="87">
        <f>$AQ11</f>
        <v>0.35</v>
      </c>
      <c r="AC246" s="87">
        <f>$AQ12</f>
        <v>0.44</v>
      </c>
      <c r="AD246" s="87">
        <f>$AQ14</f>
        <v>0.24</v>
      </c>
      <c r="AE246" s="422">
        <v>0.44</v>
      </c>
      <c r="AF246" s="423">
        <v>0.3</v>
      </c>
      <c r="AG246" s="426">
        <v>0.39</v>
      </c>
      <c r="AH246" s="426">
        <v>0.21</v>
      </c>
      <c r="AI246" s="641">
        <v>0.42</v>
      </c>
      <c r="AJ246" s="642">
        <v>0.31</v>
      </c>
      <c r="AK246" s="643">
        <v>0.39</v>
      </c>
      <c r="AL246" s="643">
        <v>0.22</v>
      </c>
    </row>
    <row r="247" spans="6:38" x14ac:dyDescent="0.25">
      <c r="F247" s="127" t="s">
        <v>316</v>
      </c>
      <c r="G247" s="97">
        <f>$G10</f>
        <v>0.33</v>
      </c>
      <c r="H247" s="97">
        <f>$G11</f>
        <v>0.4</v>
      </c>
      <c r="I247" s="97">
        <f>$G12</f>
        <v>0.41</v>
      </c>
      <c r="J247" s="97">
        <f>$G14</f>
        <v>0.38</v>
      </c>
      <c r="K247" s="84">
        <f>$N10</f>
        <v>0.3</v>
      </c>
      <c r="L247" s="84">
        <f>$N11</f>
        <v>0.36</v>
      </c>
      <c r="M247" s="84">
        <f>$N12</f>
        <v>0.36</v>
      </c>
      <c r="N247" s="84">
        <f>$N14</f>
        <v>0.36</v>
      </c>
      <c r="O247" s="97">
        <f>$U10</f>
        <v>0.34</v>
      </c>
      <c r="P247" s="97">
        <f>$U11</f>
        <v>0.42</v>
      </c>
      <c r="Q247" s="97">
        <f>$U12</f>
        <v>0.43</v>
      </c>
      <c r="R247" s="97">
        <f>$U14</f>
        <v>0.4</v>
      </c>
      <c r="S247" s="97">
        <f>$AB10</f>
        <v>0.3</v>
      </c>
      <c r="T247" s="97">
        <f>$AB11</f>
        <v>0.39</v>
      </c>
      <c r="U247" s="97">
        <f>$AB12</f>
        <v>0.38</v>
      </c>
      <c r="V247" s="97">
        <f>$AB14</f>
        <v>0.4</v>
      </c>
      <c r="W247" s="87">
        <f>$AI10</f>
        <v>0.27</v>
      </c>
      <c r="X247" s="87">
        <f>$AI11</f>
        <v>0.34</v>
      </c>
      <c r="Y247" s="87">
        <f>$AI12</f>
        <v>0.32</v>
      </c>
      <c r="Z247" s="87">
        <f>$AI14</f>
        <v>0.37</v>
      </c>
      <c r="AA247" s="87">
        <f>$AR10</f>
        <v>0.28000000000000003</v>
      </c>
      <c r="AB247" s="87">
        <f>$AR11</f>
        <v>0.37</v>
      </c>
      <c r="AC247" s="87">
        <f>$AR12</f>
        <v>0.37</v>
      </c>
      <c r="AD247" s="87">
        <f>$AR14</f>
        <v>0.37</v>
      </c>
      <c r="AE247" s="422">
        <v>0.28000000000000003</v>
      </c>
      <c r="AF247" s="423">
        <v>0.36</v>
      </c>
      <c r="AG247" s="426">
        <v>0.36</v>
      </c>
      <c r="AH247" s="426">
        <v>0.35</v>
      </c>
      <c r="AI247" s="641">
        <v>0.31</v>
      </c>
      <c r="AJ247" s="642">
        <v>0.37</v>
      </c>
      <c r="AK247" s="643">
        <v>0.39</v>
      </c>
      <c r="AL247" s="643">
        <v>0.35</v>
      </c>
    </row>
    <row r="248" spans="6:38" x14ac:dyDescent="0.25">
      <c r="F248" s="127" t="s">
        <v>317</v>
      </c>
      <c r="G248" s="97">
        <f>$H10</f>
        <v>0.19</v>
      </c>
      <c r="H248" s="97">
        <f>$H11</f>
        <v>0.24</v>
      </c>
      <c r="I248" s="97">
        <f>$H12</f>
        <v>0.2</v>
      </c>
      <c r="J248" s="97">
        <f>$H14</f>
        <v>0.28000000000000003</v>
      </c>
      <c r="K248" s="84">
        <f>$O10</f>
        <v>0.16</v>
      </c>
      <c r="L248" s="84">
        <f>$O11</f>
        <v>0.2</v>
      </c>
      <c r="M248" s="84">
        <f>$O12</f>
        <v>0.16</v>
      </c>
      <c r="N248" s="84">
        <f>$O14</f>
        <v>0.25</v>
      </c>
      <c r="O248" s="97">
        <f>$V10</f>
        <v>0.19</v>
      </c>
      <c r="P248" s="97">
        <f>$V11</f>
        <v>0.21</v>
      </c>
      <c r="Q248" s="97">
        <f>$V12</f>
        <v>0.16</v>
      </c>
      <c r="R248" s="97">
        <f>$V14</f>
        <v>0.28000000000000003</v>
      </c>
      <c r="S248" s="97">
        <f>$AC10</f>
        <v>0.17</v>
      </c>
      <c r="T248" s="97">
        <f>$AC11</f>
        <v>0.2</v>
      </c>
      <c r="U248" s="97">
        <f>$AC12</f>
        <v>0.15</v>
      </c>
      <c r="V248" s="97">
        <f>$AC14</f>
        <v>0.25</v>
      </c>
      <c r="W248" s="87">
        <f>$AJ10</f>
        <v>0.09</v>
      </c>
      <c r="X248" s="87">
        <f>$AJ11</f>
        <v>0.1</v>
      </c>
      <c r="Y248" s="87">
        <f>$AJ12</f>
        <v>7.0000000000000007E-2</v>
      </c>
      <c r="Z248" s="87">
        <f>$AJ14</f>
        <v>0.14000000000000001</v>
      </c>
      <c r="AA248" s="87">
        <f>$AS10</f>
        <v>0.15</v>
      </c>
      <c r="AB248" s="87">
        <f>$AS11</f>
        <v>0.2</v>
      </c>
      <c r="AC248" s="87">
        <f>$AS12</f>
        <v>0.15</v>
      </c>
      <c r="AD248" s="87">
        <f>$AS14</f>
        <v>0.27</v>
      </c>
      <c r="AE248" s="422">
        <v>0.17</v>
      </c>
      <c r="AF248" s="423">
        <v>0.24</v>
      </c>
      <c r="AG248" s="426">
        <v>0.19</v>
      </c>
      <c r="AH248" s="426">
        <v>0.28999999999999998</v>
      </c>
      <c r="AI248" s="641">
        <v>0.16</v>
      </c>
      <c r="AJ248" s="642">
        <v>0.22</v>
      </c>
      <c r="AK248" s="643">
        <v>0.17</v>
      </c>
      <c r="AL248" s="643">
        <v>0.27</v>
      </c>
    </row>
    <row r="249" spans="6:38" x14ac:dyDescent="0.25">
      <c r="F249" s="127" t="s">
        <v>318</v>
      </c>
      <c r="G249" s="97">
        <f>$I10</f>
        <v>0.1</v>
      </c>
      <c r="H249" s="97">
        <f>$I11</f>
        <v>0.08</v>
      </c>
      <c r="I249" s="97">
        <f>$I12</f>
        <v>0.04</v>
      </c>
      <c r="J249" s="97">
        <f>$I14</f>
        <v>0.11</v>
      </c>
      <c r="K249" s="84">
        <f>$P10</f>
        <v>0.08</v>
      </c>
      <c r="L249" s="84">
        <f>$P11</f>
        <v>0.05</v>
      </c>
      <c r="M249" s="84">
        <f>$P12</f>
        <v>0.03</v>
      </c>
      <c r="N249" s="84">
        <f>$P14</f>
        <v>7.0000000000000007E-2</v>
      </c>
      <c r="O249" s="97">
        <f>$W10</f>
        <v>0.08</v>
      </c>
      <c r="P249" s="97">
        <f>$W11</f>
        <v>0.06</v>
      </c>
      <c r="Q249" s="97">
        <f>$W12</f>
        <v>0.03</v>
      </c>
      <c r="R249" s="97">
        <f>$W14</f>
        <v>0.08</v>
      </c>
      <c r="S249" s="97">
        <f>$AD10</f>
        <v>7.0000000000000007E-2</v>
      </c>
      <c r="T249" s="97">
        <f>$AD11</f>
        <v>0.06</v>
      </c>
      <c r="U249" s="97">
        <f>$AD12</f>
        <v>0.03</v>
      </c>
      <c r="V249" s="97">
        <f>$AD14</f>
        <v>0.08</v>
      </c>
      <c r="W249" s="87">
        <f>$AK10</f>
        <v>0.06</v>
      </c>
      <c r="X249" s="87">
        <f>$AK11</f>
        <v>0.04</v>
      </c>
      <c r="Y249" s="87">
        <f>$AK12</f>
        <v>0.02</v>
      </c>
      <c r="Z249" s="87">
        <f>$AK14</f>
        <v>0.06</v>
      </c>
      <c r="AA249" s="87">
        <f>$AT10</f>
        <v>0.08</v>
      </c>
      <c r="AB249" s="87">
        <f>$AT11</f>
        <v>7.0000000000000007E-2</v>
      </c>
      <c r="AC249" s="87">
        <f>$AT12</f>
        <v>0.04</v>
      </c>
      <c r="AD249" s="87">
        <f>$AT14</f>
        <v>0.11</v>
      </c>
      <c r="AE249" s="422">
        <v>0.09</v>
      </c>
      <c r="AF249" s="423">
        <v>0.09</v>
      </c>
      <c r="AG249" s="426">
        <v>0.05</v>
      </c>
      <c r="AH249" s="426">
        <v>0.13</v>
      </c>
      <c r="AI249" s="641">
        <v>0.09</v>
      </c>
      <c r="AJ249" s="642">
        <v>0.09</v>
      </c>
      <c r="AK249" s="643">
        <v>0.05</v>
      </c>
      <c r="AL249" s="643">
        <v>0.15</v>
      </c>
    </row>
    <row r="250" spans="6:38" x14ac:dyDescent="0.25">
      <c r="F250" s="127" t="s">
        <v>319</v>
      </c>
      <c r="G250" s="97">
        <f>$J10</f>
        <v>0.02</v>
      </c>
      <c r="H250" s="97">
        <f>$J11</f>
        <v>0</v>
      </c>
      <c r="I250" s="97">
        <f>$J12</f>
        <v>0</v>
      </c>
      <c r="J250" s="97">
        <f>$J14</f>
        <v>0</v>
      </c>
      <c r="K250" s="97">
        <f>$Q10</f>
        <v>0.02</v>
      </c>
      <c r="L250" s="84">
        <f>$Q11</f>
        <v>0</v>
      </c>
      <c r="M250" s="97">
        <f>$Q12</f>
        <v>0</v>
      </c>
      <c r="N250" s="97">
        <f>$Q14</f>
        <v>0.01</v>
      </c>
      <c r="O250" s="97">
        <f>$X10</f>
        <v>0.02</v>
      </c>
      <c r="P250" s="97">
        <f>$X11</f>
        <v>0.01</v>
      </c>
      <c r="Q250" s="97">
        <f>$X12</f>
        <v>0</v>
      </c>
      <c r="R250" s="97">
        <f>$X14</f>
        <v>0.01</v>
      </c>
      <c r="S250" s="97">
        <f>$AE10</f>
        <v>0.02</v>
      </c>
      <c r="T250" s="97">
        <f>$AE11</f>
        <v>0</v>
      </c>
      <c r="U250" s="97">
        <f>$AE12</f>
        <v>0</v>
      </c>
      <c r="V250" s="97">
        <f>$AE14</f>
        <v>0.01</v>
      </c>
      <c r="W250" s="97">
        <f>$AL10</f>
        <v>0.01</v>
      </c>
      <c r="X250" s="97">
        <f>$AL11</f>
        <v>0</v>
      </c>
      <c r="Y250" s="97">
        <f>$AL12</f>
        <v>0</v>
      </c>
      <c r="Z250" s="97">
        <f>$AL14</f>
        <v>0</v>
      </c>
      <c r="AA250" s="97">
        <f>$AU10</f>
        <v>0.02</v>
      </c>
      <c r="AB250" s="97">
        <f>$AU11</f>
        <v>0.01</v>
      </c>
      <c r="AC250" s="97">
        <f>$AU12</f>
        <v>0</v>
      </c>
      <c r="AD250" s="97">
        <f>$AU14</f>
        <v>0.01</v>
      </c>
      <c r="AE250" s="422">
        <v>0.02</v>
      </c>
      <c r="AF250" s="423">
        <v>0.01</v>
      </c>
      <c r="AG250" s="426">
        <v>0</v>
      </c>
      <c r="AH250" s="426">
        <v>0.01</v>
      </c>
      <c r="AI250" s="641">
        <v>0.03</v>
      </c>
      <c r="AJ250" s="642">
        <v>0.01</v>
      </c>
      <c r="AK250" s="643">
        <v>0</v>
      </c>
      <c r="AL250" s="643">
        <v>0.02</v>
      </c>
    </row>
    <row r="285" spans="4:34" x14ac:dyDescent="0.25">
      <c r="D285" s="267"/>
      <c r="E285" s="853">
        <v>2016</v>
      </c>
      <c r="F285" s="853"/>
      <c r="G285" s="853"/>
      <c r="H285" s="853"/>
      <c r="I285" s="853"/>
      <c r="J285" s="853">
        <v>2017</v>
      </c>
      <c r="K285" s="853"/>
      <c r="L285" s="853"/>
      <c r="M285" s="853"/>
      <c r="N285" s="853"/>
      <c r="O285" s="853">
        <v>2018</v>
      </c>
      <c r="P285" s="853"/>
      <c r="Q285" s="853"/>
      <c r="R285" s="853"/>
      <c r="S285" s="853"/>
      <c r="T285" s="853">
        <v>2019</v>
      </c>
      <c r="U285" s="853"/>
      <c r="V285" s="853"/>
      <c r="W285" s="853"/>
      <c r="X285" s="853"/>
      <c r="Y285" s="291">
        <v>2020</v>
      </c>
      <c r="AD285" s="291">
        <v>2021</v>
      </c>
      <c r="AE285" s="434"/>
      <c r="AF285" s="434"/>
      <c r="AG285" s="434"/>
      <c r="AH285" s="434"/>
    </row>
    <row r="286" spans="4:34" x14ac:dyDescent="0.25">
      <c r="D286" s="267"/>
      <c r="E286" s="287" t="s">
        <v>315</v>
      </c>
      <c r="F286" s="287" t="s">
        <v>316</v>
      </c>
      <c r="G286" s="287" t="s">
        <v>317</v>
      </c>
      <c r="H286" s="287" t="s">
        <v>318</v>
      </c>
      <c r="I286" s="287" t="s">
        <v>319</v>
      </c>
      <c r="J286" s="287" t="s">
        <v>315</v>
      </c>
      <c r="K286" s="287" t="s">
        <v>316</v>
      </c>
      <c r="L286" s="287" t="s">
        <v>317</v>
      </c>
      <c r="M286" s="287" t="s">
        <v>318</v>
      </c>
      <c r="N286" s="287" t="s">
        <v>319</v>
      </c>
      <c r="O286" s="287" t="s">
        <v>315</v>
      </c>
      <c r="P286" s="287" t="s">
        <v>316</v>
      </c>
      <c r="Q286" s="287" t="s">
        <v>317</v>
      </c>
      <c r="R286" s="287" t="s">
        <v>318</v>
      </c>
      <c r="S286" s="287" t="s">
        <v>319</v>
      </c>
      <c r="T286" s="287" t="s">
        <v>315</v>
      </c>
      <c r="U286" s="287" t="s">
        <v>316</v>
      </c>
      <c r="V286" s="287" t="s">
        <v>317</v>
      </c>
      <c r="W286" s="287" t="s">
        <v>318</v>
      </c>
      <c r="X286" s="287" t="s">
        <v>319</v>
      </c>
      <c r="Y286" s="287" t="s">
        <v>315</v>
      </c>
      <c r="Z286" s="287" t="s">
        <v>316</v>
      </c>
      <c r="AA286" s="287" t="s">
        <v>317</v>
      </c>
      <c r="AB286" s="287" t="s">
        <v>318</v>
      </c>
      <c r="AC286" s="287" t="s">
        <v>319</v>
      </c>
      <c r="AD286" s="287" t="s">
        <v>315</v>
      </c>
      <c r="AE286" s="287" t="s">
        <v>316</v>
      </c>
      <c r="AF286" s="287" t="s">
        <v>317</v>
      </c>
      <c r="AG286" s="287" t="s">
        <v>318</v>
      </c>
      <c r="AH286" s="287" t="s">
        <v>319</v>
      </c>
    </row>
    <row r="287" spans="4:34" x14ac:dyDescent="0.25">
      <c r="D287" s="39" t="s">
        <v>246</v>
      </c>
      <c r="E287" s="65">
        <f>AVERAGEIF($C$36:$C$167,"=1",$F$36:$F$167)</f>
        <v>0.29882352941176465</v>
      </c>
      <c r="F287" s="65">
        <f>AVERAGEIF($C$36:$C$167,"=1",$G$36:$G$167)</f>
        <v>0.4611764705882353</v>
      </c>
      <c r="G287" s="65">
        <f>AVERAGEIF($C$36:$C$167,"=1",$H$36:$H$167)</f>
        <v>0.18470588235294122</v>
      </c>
      <c r="H287" s="65">
        <f>AVERAGEIF($C$36:$C$167,"=1",$I$36:$I$167)</f>
        <v>5.4705882352941181E-2</v>
      </c>
      <c r="I287" s="65">
        <f>AVERAGEIF($C$36:$C$167,"=1",$J$36:$J$167)</f>
        <v>0</v>
      </c>
      <c r="J287" s="65">
        <f>AVERAGEIF($C$36:$C$167,"=1",$M$36:$M$167)</f>
        <v>0.41125</v>
      </c>
      <c r="K287" s="65">
        <f>AVERAGEIF($C$36:$C$167,"=1",$N$36:$N$167)</f>
        <v>0.38874999999999998</v>
      </c>
      <c r="L287" s="65">
        <f>AVERAGEIF($C$36:$C$167,"=1",$O$36:$O$167)</f>
        <v>0.15812500000000004</v>
      </c>
      <c r="M287" s="65">
        <f>AVERAGEIF($C$36:$C$167,"=1",$P$36:$P$167)</f>
        <v>4.2499999999999996E-2</v>
      </c>
      <c r="N287" s="65">
        <f>AVERAGEIF($C$36:$C$167,"=1",$Q$36:$Q$167)</f>
        <v>6.2500000000000001E-4</v>
      </c>
      <c r="O287" s="65">
        <f>AVERAGEIF($C$36:$C$167,"=1",$T$36:$T$167)</f>
        <v>0.30294117647058827</v>
      </c>
      <c r="P287" s="65">
        <f>AVERAGEIF($C$36:$C$167,"=1",$U$36:$U$167)</f>
        <v>0.42352941176470588</v>
      </c>
      <c r="Q287" s="65">
        <f>AVERAGEIF($C$36:$C$167,"=1",$V$36:$V$167)</f>
        <v>0.24117647058823521</v>
      </c>
      <c r="R287" s="65">
        <f>AVERAGEIF($C$36:$C$167,"=1",$W$36:$W$167)</f>
        <v>3.2352941176470591E-2</v>
      </c>
      <c r="S287" s="65">
        <f>AVERAGEIF($C$36:$C$167,"=1",$X$36:$X$167)</f>
        <v>1.1764705882352942E-3</v>
      </c>
      <c r="T287" s="65">
        <f>AVERAGEIF($C$36:$C$167,"=1",$AA$36:$AA$167)</f>
        <v>0.37470588235294122</v>
      </c>
      <c r="U287" s="65">
        <f>AVERAGEIF($C$36:$C$167,"=1",$AB$36:$AB$167)</f>
        <v>0.42352941176470582</v>
      </c>
      <c r="V287" s="65">
        <f>AVERAGEIF($C$36:$C$167,"=1",$AC$36:$AC$167)</f>
        <v>0.16705882352941182</v>
      </c>
      <c r="W287" s="65">
        <f>AVERAGEIF($C$36:$C$167,"=1",$AD$36:$AD$167)</f>
        <v>3.529411764705883E-2</v>
      </c>
      <c r="X287" s="65">
        <f>AVERAGEIF($C$36:$C$167,"=1",$AE$36:$AE$167)</f>
        <v>1.764705882352941E-3</v>
      </c>
      <c r="Y287" s="65">
        <f>AVERAGEIF($C$36:$C$167,"=1",$AH$36:$AH$167)</f>
        <v>0.52176470588235302</v>
      </c>
      <c r="Z287" s="65">
        <f>AVERAGEIF($C$36:$C$167,"=1",$AI$36:$AI$167)</f>
        <v>0.33882352941176475</v>
      </c>
      <c r="AA287" s="65">
        <f>AVERAGEIF($C$36:$C$167,"=1",$AJ$36:$AJ$167)</f>
        <v>0.10764705882352942</v>
      </c>
      <c r="AB287" s="65">
        <f>AVERAGEIF($C$36:$C$167,"=1",$AK$36:$AK$167)</f>
        <v>2.9411764705882349E-2</v>
      </c>
      <c r="AC287" s="65">
        <f>AVERAGEIF($C$36:$C$167,"=1",$AL$36:$AL$167)</f>
        <v>2.9411764705882353E-3</v>
      </c>
      <c r="AD287" s="65">
        <f>AVERAGEIF($C$36:$C$167,"=1",$AQ$36:$AQ$167)</f>
        <v>0.30294117647058816</v>
      </c>
      <c r="AE287" s="65">
        <f>AVERAGEIF($C$36:$C$167,"=1",$AR$36:$AR$167)</f>
        <v>0.40941176470588231</v>
      </c>
      <c r="AF287" s="65">
        <f>AVERAGEIF($C$36:$C$167,"=1",$AS$36:$AS$167)</f>
        <v>0.23176470588235296</v>
      </c>
      <c r="AG287" s="65">
        <f>AVERAGEIF($C$36:$C$167,"=1",$AT$36:$AT$167)</f>
        <v>5.2352941176470595E-2</v>
      </c>
      <c r="AH287" s="65">
        <f>AVERAGEIF($C$36:$C$167,"=1",$AU$36:$AU$167)</f>
        <v>4.7058823529411769E-3</v>
      </c>
    </row>
    <row r="288" spans="4:34" x14ac:dyDescent="0.25">
      <c r="D288" s="39" t="s">
        <v>247</v>
      </c>
      <c r="E288" s="65">
        <f>AVERAGEIF($C$36:$C$167,"=2",$F$36:$F$167)</f>
        <v>0.26199999999999996</v>
      </c>
      <c r="F288" s="65">
        <f>AVERAGEIF($C$36:$C$167,"=2",$G$36:$G$167)</f>
        <v>0.36</v>
      </c>
      <c r="G288" s="65">
        <f>AVERAGEIF($C$36:$C$167,"=2",$H$36:$H$167)</f>
        <v>0.27350000000000002</v>
      </c>
      <c r="H288" s="65">
        <f>AVERAGEIF($C$36:$C$167,"=2",$I$36:$I$167)</f>
        <v>9.8000000000000004E-2</v>
      </c>
      <c r="I288" s="65">
        <f>AVERAGEIF($C$36:$C$167,"=2",$J$36:$J$167)</f>
        <v>6.5000000000000006E-3</v>
      </c>
      <c r="J288" s="65">
        <f>AVERAGEIF($C$36:$C$167,"=2",$M$36:$M$167)</f>
        <v>0.35105263157894734</v>
      </c>
      <c r="K288" s="65">
        <f>AVERAGEIF($C$36:$C$167,"=2",$N$36:$N$167)</f>
        <v>0.31894736842105259</v>
      </c>
      <c r="L288" s="65">
        <f>AVERAGEIF($C$36:$C$167,"=2",$O$36:$O$167)</f>
        <v>0.2636842105263158</v>
      </c>
      <c r="M288" s="65">
        <f>AVERAGEIF($C$36:$C$167,"=2",$P$36:$P$167)</f>
        <v>6.0000000000000005E-2</v>
      </c>
      <c r="N288" s="65">
        <f>AVERAGEIF($C$36:$C$167,"=2",$Q$36:$Q$167)</f>
        <v>5.7894736842105266E-3</v>
      </c>
      <c r="O288" s="65">
        <f>AVERAGEIF($C$36:$C$167,"=2",$T$36:$T$167)</f>
        <v>0.24578947368421053</v>
      </c>
      <c r="P288" s="65">
        <f>AVERAGEIF($C$36:$C$167,"=2",$U$36:$U$167)</f>
        <v>0.41736842105263161</v>
      </c>
      <c r="Q288" s="65">
        <f>AVERAGEIF($C$36:$C$167,"=2",$V$36:$V$167)</f>
        <v>0.25105263157894742</v>
      </c>
      <c r="R288" s="65">
        <f>AVERAGEIF($C$36:$C$167,"=2",$W$36:$W$167)</f>
        <v>7.4736842105263171E-2</v>
      </c>
      <c r="S288" s="65">
        <f>AVERAGEIF($C$36:$C$167,"=2",$X$36:$X$167)</f>
        <v>8.9473684210526309E-3</v>
      </c>
      <c r="T288" s="65">
        <f>AVERAGEIF($C$36:$C$167,"=2",$AA$36:$AA$167)</f>
        <v>0.27450000000000008</v>
      </c>
      <c r="U288" s="65">
        <f>AVERAGEIF($C$36:$C$167,"=2",$AB$36:$AB$167)</f>
        <v>0.38849999999999996</v>
      </c>
      <c r="V288" s="65">
        <f>AVERAGEIF($C$36:$C$167,"=2",$AC$36:$AC$167)</f>
        <v>0.24100000000000002</v>
      </c>
      <c r="W288" s="65">
        <f>AVERAGEIF($C$36:$C$167,"=2",$AD$36:$AD$167)</f>
        <v>8.5000000000000006E-2</v>
      </c>
      <c r="X288" s="65">
        <f>AVERAGEIF($C$36:$C$167,"=2",$AE$36:$AE$167)</f>
        <v>1.0999999999999999E-2</v>
      </c>
      <c r="Y288" s="65">
        <f>AVERAGEIF($C$36:$C$167,"=2",$AH$36:$AH$167)</f>
        <v>0.50583333333333336</v>
      </c>
      <c r="Z288" s="65">
        <f>AVERAGEIF($C$36:$C$167,"=2",$AI$36:$AI$167)</f>
        <v>0.31958333333333339</v>
      </c>
      <c r="AA288" s="65">
        <f>AVERAGEIF($C$36:$C$167,"=2",$AJ$36:$AJ$167)</f>
        <v>0.10124999999999999</v>
      </c>
      <c r="AB288" s="65">
        <f>AVERAGEIF($C$36:$C$167,"=2",$AK$36:$AK$167)</f>
        <v>6.458333333333334E-2</v>
      </c>
      <c r="AC288" s="65">
        <f>AVERAGEIF($C$36:$C$167,"=2",$AL$36:$AL$167)</f>
        <v>9.166666666666665E-3</v>
      </c>
      <c r="AD288" s="65">
        <f>AVERAGEIF($C$36:$C$167,"=2",$AQ$36:$AQ$167)</f>
        <v>0.28499999999999998</v>
      </c>
      <c r="AE288" s="65">
        <f>AVERAGEIF($C$36:$C$167,"=2",$AR$36:$AR$167)</f>
        <v>0.3736363636363636</v>
      </c>
      <c r="AF288" s="65">
        <f>AVERAGEIF($C$36:$C$167,"=2",$AS$36:$AS$167)</f>
        <v>0.23727272727272722</v>
      </c>
      <c r="AG288" s="65">
        <f>AVERAGEIF($C$36:$C$167,"=2",$AT$36:$AT$167)</f>
        <v>8.9090909090909096E-2</v>
      </c>
      <c r="AH288" s="65">
        <f>AVERAGEIF($C$36:$C$167,"=2",$AU$36:$AU$167)</f>
        <v>1.3636363636363636E-2</v>
      </c>
    </row>
    <row r="289" spans="4:34" x14ac:dyDescent="0.25">
      <c r="D289" s="39" t="s">
        <v>248</v>
      </c>
      <c r="E289" s="65">
        <f>AVERAGEIF($C$36:$C$167,"=3",$F$36:$F$167)</f>
        <v>0.25222222222222229</v>
      </c>
      <c r="F289" s="65">
        <f>AVERAGEIF($C$36:$C$167,"=3",$G$36:$G$167)</f>
        <v>0.4005555555555555</v>
      </c>
      <c r="G289" s="65">
        <f>AVERAGEIF($C$36:$C$167,"=3",$H$36:$H$167)</f>
        <v>0.27055555555555555</v>
      </c>
      <c r="H289" s="65">
        <f>AVERAGEIF($C$36:$C$167,"=3",$I$36:$I$167)</f>
        <v>7.6666666666666661E-2</v>
      </c>
      <c r="I289" s="65">
        <f>AVERAGEIF($C$36:$C$167,"=3",$J$36:$J$167)</f>
        <v>2.7777777777777779E-3</v>
      </c>
      <c r="J289" s="65">
        <f>AVERAGEIF($C$36:$C$167,"=3",$M$36:$M$167)</f>
        <v>0.3568421052631579</v>
      </c>
      <c r="K289" s="65">
        <f>AVERAGEIF($C$36:$C$167,"=3",$N$36:$N$167)</f>
        <v>0.3936842105263158</v>
      </c>
      <c r="L289" s="65">
        <f>AVERAGEIF($C$36:$C$167,"=3",$O$36:$O$167)</f>
        <v>0.19789473684210526</v>
      </c>
      <c r="M289" s="65">
        <f>AVERAGEIF($C$36:$C$167,"=3",$P$36:$P$167)</f>
        <v>4.9473684210526329E-2</v>
      </c>
      <c r="N289" s="65">
        <f>AVERAGEIF($C$36:$C$167,"=3",$Q$36:$Q$167)</f>
        <v>3.6842105263157898E-3</v>
      </c>
      <c r="O289" s="65">
        <f>AVERAGEIF($C$36:$C$167,"=3",$T$36:$T$167)</f>
        <v>0.28526315789473689</v>
      </c>
      <c r="P289" s="65">
        <f>AVERAGEIF($C$36:$C$167,"=3",$U$36:$U$167)</f>
        <v>0.41421052631578942</v>
      </c>
      <c r="Q289" s="65">
        <f>AVERAGEIF($C$36:$C$167,"=3",$V$36:$V$167)</f>
        <v>0.24684210526315792</v>
      </c>
      <c r="R289" s="65">
        <f>AVERAGEIF($C$36:$C$167,"=3",$W$36:$W$167)</f>
        <v>4.7894736842105282E-2</v>
      </c>
      <c r="S289" s="65">
        <f>AVERAGEIF($C$36:$C$167,"=3",$X$36:$X$167)</f>
        <v>4.7368421052631574E-3</v>
      </c>
      <c r="T289" s="65">
        <f>AVERAGEIF($C$36:$C$167,"=3",$AA$36:$AA$167)</f>
        <v>0.33473684210526317</v>
      </c>
      <c r="U289" s="65">
        <f>AVERAGEIF($C$36:$C$167,"=3",$AB$36:$AB$167)</f>
        <v>0.3978947368421053</v>
      </c>
      <c r="V289" s="65">
        <f>AVERAGEIF($C$36:$C$167,"=3",$AC$36:$AC$167)</f>
        <v>0.21000000000000002</v>
      </c>
      <c r="W289" s="65">
        <f>AVERAGEIF($C$36:$C$167,"=3",$AD$36:$AD$167)</f>
        <v>5.6842105263157895E-2</v>
      </c>
      <c r="X289" s="65">
        <f>AVERAGEIF($C$36:$C$167,"=3",$AE$36:$AE$167)</f>
        <v>1.5789473684210526E-3</v>
      </c>
      <c r="Y289" s="65">
        <f>AVERAGEIF($C$36:$C$167,"=3",$AH$36:$AH$167)</f>
        <v>0.48</v>
      </c>
      <c r="Z289" s="65">
        <f>AVERAGEIF($C$36:$C$167,"=3",$AI$36:$AI$167)</f>
        <v>0.35749999999999998</v>
      </c>
      <c r="AA289" s="65">
        <f>AVERAGEIF($C$36:$C$167,"=3",$AJ$36:$AJ$167)</f>
        <v>0.11499999999999999</v>
      </c>
      <c r="AB289" s="65">
        <f>AVERAGEIF($C$36:$C$167,"=3",$AK$36:$AK$167)</f>
        <v>4.5999999999999999E-2</v>
      </c>
      <c r="AC289" s="65">
        <f>AVERAGEIF($C$36:$C$167,"=3",$AL$36:$AL$167)</f>
        <v>1.5E-3</v>
      </c>
      <c r="AD289" s="65">
        <f>AVERAGEIF($C$36:$C$167,"=3",$AQ$36:$AQ$167)</f>
        <v>0.34799999999999998</v>
      </c>
      <c r="AE289" s="65">
        <f>AVERAGEIF($C$36:$C$167,"=3",$AR$36:$AR$167)</f>
        <v>0.34050000000000002</v>
      </c>
      <c r="AF289" s="65">
        <f>AVERAGEIF($C$36:$C$167,"=3",$AS$36:$AS$167)</f>
        <v>0.21599999999999997</v>
      </c>
      <c r="AG289" s="65">
        <f>AVERAGEIF($C$36:$C$167,"=3",$AT$36:$AT$167)</f>
        <v>8.7000000000000008E-2</v>
      </c>
      <c r="AH289" s="65">
        <f>AVERAGEIF($C$36:$C$167,"=3",$AU$36:$AU$167)</f>
        <v>9.0000000000000011E-3</v>
      </c>
    </row>
    <row r="290" spans="4:34" x14ac:dyDescent="0.25">
      <c r="D290" s="39" t="s">
        <v>249</v>
      </c>
      <c r="E290" s="65">
        <f>AVERAGEIF($C$36:$C$167,"=4",$F$36:$F$167)</f>
        <v>0.41285714285714292</v>
      </c>
      <c r="F290" s="65">
        <f t="shared" ref="F290:F292" si="145">AVERAGEIF($C$36:$C$167,"=1",$G$36:$G$167)</f>
        <v>0.4611764705882353</v>
      </c>
      <c r="G290" s="65">
        <f>AVERAGEIF($C$36:$C$167,"=4",$H$36:$H$167)</f>
        <v>0.15928571428571428</v>
      </c>
      <c r="H290" s="65">
        <f>AVERAGEIF($C$36:$C$167,"=4",$I$36:$I$167)</f>
        <v>5.8571428571428573E-2</v>
      </c>
      <c r="I290" s="65">
        <f>AVERAGEIF($C$36:$C$167,"=4",$J$36:$J$167)</f>
        <v>7.1428571428571429E-4</v>
      </c>
      <c r="J290" s="65">
        <f>AVERAGEIF($C$36:$C$167,"=4",$M$36:$M$167)</f>
        <v>0.46666666666666667</v>
      </c>
      <c r="K290" s="65">
        <f>AVERAGEIF($C$36:$C$167,"=4",$N$36:$N$167)</f>
        <v>0.32333333333333331</v>
      </c>
      <c r="L290" s="65">
        <f>AVERAGEIF($C$36:$C$167,"=4",$O$36:$O$167)</f>
        <v>0.19533333333333333</v>
      </c>
      <c r="M290" s="65">
        <f>AVERAGEIF($C$36:$C$167,"=4",$P$36:$P$167)</f>
        <v>1.6E-2</v>
      </c>
      <c r="N290" s="65">
        <f>AVERAGEIF($C$36:$C$167,"=4",$Q$36:$Q$167)</f>
        <v>6.6666666666666664E-4</v>
      </c>
      <c r="O290" s="65">
        <f>AVERAGEIF($C$36:$C$167,"=4",$T$36:$T$167)</f>
        <v>0.35133333333333339</v>
      </c>
      <c r="P290" s="65">
        <f>AVERAGEIF($C$36:$C$167,"=4",$U$36:$U$167)</f>
        <v>0.37066666666666664</v>
      </c>
      <c r="Q290" s="65">
        <f>AVERAGEIF($C$36:$C$167,"=4",$V$36:$V$167)</f>
        <v>0.19400000000000001</v>
      </c>
      <c r="R290" s="65">
        <f>AVERAGEIF($C$36:$C$167,"=4",$W$36:$W$167)</f>
        <v>7.8666666666666676E-2</v>
      </c>
      <c r="S290" s="65">
        <f>AVERAGEIF($C$36:$C$167,"=4",$X$36:$X$167)</f>
        <v>4.6666666666666671E-3</v>
      </c>
      <c r="T290" s="65">
        <f>AVERAGEIF($C$36:$C$167,"=4",$AA$36:$AA$167)</f>
        <v>0.45857142857142863</v>
      </c>
      <c r="U290" s="65">
        <f>AVERAGEIF($C$36:$C$167,"=4",$AB$36:$AB$167)</f>
        <v>0.36857142857142861</v>
      </c>
      <c r="V290" s="65">
        <f>AVERAGEIF($C$36:$C$167,"=4",$AC$36:$AC$167)</f>
        <v>0.15071428571428572</v>
      </c>
      <c r="W290" s="65">
        <f>AVERAGEIF($C$36:$C$167,"=4",$AD$36:$AD$167)</f>
        <v>2.2142857142857141E-2</v>
      </c>
      <c r="X290" s="65">
        <f>AVERAGEIF($C$36:$C$167,"=4",$AE$36:$AE$167)</f>
        <v>1.4285714285714286E-3</v>
      </c>
      <c r="Y290" s="65">
        <f>AVERAGEIF($C$36:$C$167,"=4",$AH$36:$AH$167)</f>
        <v>0.57923076923076922</v>
      </c>
      <c r="Z290" s="65">
        <f>AVERAGEIF($C$36:$C$167,"=4",$AI$36:$AI$167)</f>
        <v>0.32692307692307693</v>
      </c>
      <c r="AA290" s="65">
        <f>AVERAGEIF($C$36:$C$167,"=4",$AJ$36:$AJ$167)</f>
        <v>8.3846153846153848E-2</v>
      </c>
      <c r="AB290" s="65">
        <f>AVERAGEIF($C$36:$C$167,"=4",$AK$36:$AK$167)</f>
        <v>1.0769230769230771E-2</v>
      </c>
      <c r="AC290" s="65">
        <f>AVERAGEIF($C$36:$C$167,"=4",$AL$36:$AL$167)</f>
        <v>0</v>
      </c>
      <c r="AD290" s="65">
        <f>AVERAGEIF($C$36:$C$167,"=4",$AQ$36:$AQ$167)</f>
        <v>0.42928571428571433</v>
      </c>
      <c r="AE290" s="65">
        <f>AVERAGEIF($C$36:$C$167,"=4",$AR$36:$AR$167)</f>
        <v>0.3978571428571428</v>
      </c>
      <c r="AF290" s="65">
        <f>AVERAGEIF($C$36:$C$167,"=4",$AS$36:$AS$167)</f>
        <v>0.1357142857142857</v>
      </c>
      <c r="AG290" s="65">
        <f>AVERAGEIF($C$36:$C$167,"=4",$AT$36:$AT$167)</f>
        <v>3.2857142857142856E-2</v>
      </c>
      <c r="AH290" s="65">
        <f>AVERAGEIF($C$36:$C$167,"=4",$AU$36:$AU$167)</f>
        <v>4.2857142857142859E-3</v>
      </c>
    </row>
    <row r="291" spans="4:34" x14ac:dyDescent="0.25">
      <c r="D291" s="39" t="s">
        <v>250</v>
      </c>
      <c r="E291" s="65">
        <f>AVERAGEIF($C$36:$C$167,"=5",$F$36:$F$167)</f>
        <v>0.19411764705882351</v>
      </c>
      <c r="F291" s="65">
        <f t="shared" si="145"/>
        <v>0.4611764705882353</v>
      </c>
      <c r="G291" s="65">
        <f>AVERAGEIF($C$36:$C$167,"=5",$H$36:$H$167)</f>
        <v>0.27352941176470591</v>
      </c>
      <c r="H291" s="65">
        <f>AVERAGEIF($C$36:$C$167,"=5",$I$36:$I$167)</f>
        <v>0.15882352941176472</v>
      </c>
      <c r="I291" s="65">
        <f>AVERAGEIF($C$36:$C$167,"=5",$J$36:$J$167)</f>
        <v>1.0588235294117647E-2</v>
      </c>
      <c r="J291" s="65">
        <f>AVERAGEIF($C$36:$C$167,"=5",$M$36:$M$167)</f>
        <v>0.22352941176470589</v>
      </c>
      <c r="K291" s="65">
        <f>AVERAGEIF($C$36:$C$167,"=5",$N$36:$N$167)</f>
        <v>0.34411764705882358</v>
      </c>
      <c r="L291" s="65">
        <f>AVERAGEIF($C$36:$C$167,"=5",$O$36:$O$167)</f>
        <v>0.33235294117647057</v>
      </c>
      <c r="M291" s="65">
        <f>AVERAGEIF($C$36:$C$167,"=5",$P$36:$P$167)</f>
        <v>8.529411764705884E-2</v>
      </c>
      <c r="N291" s="65">
        <f>AVERAGEIF($C$36:$C$167,"=5",$Q$36:$Q$167)</f>
        <v>1.5882352941176472E-2</v>
      </c>
      <c r="O291" s="65">
        <f>AVERAGEIF($C$36:$C$167,"=5",$T$36:$T$167)</f>
        <v>0.19166666666666665</v>
      </c>
      <c r="P291" s="65">
        <f>AVERAGEIF($C$36:$C$167,"=5",$U$36:$U$167)</f>
        <v>0.38500000000000001</v>
      </c>
      <c r="Q291" s="65">
        <f>AVERAGEIF($C$36:$C$167,"=5",$V$36:$V$167)</f>
        <v>0.27500000000000008</v>
      </c>
      <c r="R291" s="65">
        <f>AVERAGEIF($C$36:$C$167,"=5",$W$36:$W$167)</f>
        <v>0.13</v>
      </c>
      <c r="S291" s="65">
        <f>AVERAGEIF($C$36:$C$167,"=5",$X$36:$X$167)</f>
        <v>1.666666666666667E-2</v>
      </c>
      <c r="T291" s="65">
        <f>AVERAGEIF($C$36:$C$167,"=5",$AA$36:$AA$167)</f>
        <v>0.24526315789473685</v>
      </c>
      <c r="U291" s="65">
        <f>AVERAGEIF($C$36:$C$167,"=5",$AB$36:$AB$167)</f>
        <v>0.34789473684210526</v>
      </c>
      <c r="V291" s="65">
        <f>AVERAGEIF($C$36:$C$167,"=5",$AC$36:$AC$167)</f>
        <v>0.29842105263157898</v>
      </c>
      <c r="W291" s="65">
        <f>AVERAGEIF($C$36:$C$167,"=5",$AD$36:$AD$167)</f>
        <v>0.10894736842105264</v>
      </c>
      <c r="X291" s="65">
        <f>AVERAGEIF($C$36:$C$167,"=5",$AE$36:$AE$167)</f>
        <v>1.0526315789473684E-3</v>
      </c>
      <c r="Y291" s="65">
        <f>AVERAGEIF($C$36:$C$167,"=5",$AH$36:$AH$167)</f>
        <v>0.34555555555555556</v>
      </c>
      <c r="Z291" s="65">
        <f>AVERAGEIF($C$36:$C$167,"=5",$AI$36:$AI$167)</f>
        <v>0.41000000000000003</v>
      </c>
      <c r="AA291" s="65">
        <f>AVERAGEIF($C$36:$C$167,"=5",$AJ$36:$AJ$167)</f>
        <v>0.18277777777777779</v>
      </c>
      <c r="AB291" s="65">
        <f>AVERAGEIF($C$36:$C$167,"=5",$AK$36:$AK$167)</f>
        <v>6.2222222222222227E-2</v>
      </c>
      <c r="AC291" s="65">
        <f>AVERAGEIF($C$36:$C$167,"=5",$AL$36:$AL$167)</f>
        <v>5.5555555555555556E-4</v>
      </c>
      <c r="AD291" s="65">
        <f>AVERAGEIF($C$36:$C$167,"=5",$AQ$36:$AQ$167)</f>
        <v>0.20277777777777775</v>
      </c>
      <c r="AE291" s="65">
        <f>AVERAGEIF($C$36:$C$167,"=5",$AR$36:$AR$167)</f>
        <v>0.37888888888888883</v>
      </c>
      <c r="AF291" s="65">
        <f>AVERAGEIF($C$36:$C$167,"=5",$AS$36:$AS$167)</f>
        <v>0.27277777777777779</v>
      </c>
      <c r="AG291" s="65">
        <f>AVERAGEIF($C$36:$C$167,"=5",$AT$36:$AT$167)</f>
        <v>0.14000000000000001</v>
      </c>
      <c r="AH291" s="65">
        <f>AVERAGEIF($C$36:$C$167,"=5",$AU$36:$AU$167)</f>
        <v>5.5555555555555558E-3</v>
      </c>
    </row>
    <row r="292" spans="4:34" x14ac:dyDescent="0.25">
      <c r="D292" s="39" t="s">
        <v>251</v>
      </c>
      <c r="E292" s="65">
        <f>AVERAGEIF($C$36:$C$167,"=6",$F$36:$F$167)</f>
        <v>0.30066666666666664</v>
      </c>
      <c r="F292" s="65">
        <f t="shared" si="145"/>
        <v>0.4611764705882353</v>
      </c>
      <c r="G292" s="65">
        <f>AVERAGEIF($C$36:$C$167,"=6",$H$36:$H$167)</f>
        <v>0.28066666666666668</v>
      </c>
      <c r="H292" s="65">
        <f>AVERAGEIF($C$36:$C$167,"=6",$I$36:$I$167)</f>
        <v>6.6666666666666666E-2</v>
      </c>
      <c r="I292" s="65">
        <f>AVERAGEIF($C$36:$C$167,"=6",$J$36:$J$167)</f>
        <v>4.0000000000000001E-3</v>
      </c>
      <c r="J292" s="65">
        <f>AVERAGEIF($C$36:$C$167,"=6",$M$36:$M$167)</f>
        <v>0.43199999999999988</v>
      </c>
      <c r="K292" s="65">
        <f>AVERAGEIF($C$36:$C$167,"=6",$N$36:$N$167)</f>
        <v>0.34466666666666668</v>
      </c>
      <c r="L292" s="65">
        <f>AVERAGEIF($C$36:$C$167,"=6",$O$36:$O$167)</f>
        <v>0.1566666666666667</v>
      </c>
      <c r="M292" s="65">
        <f>AVERAGEIF($C$36:$C$167,"=6",$P$36:$P$167)</f>
        <v>6.0666666666666674E-2</v>
      </c>
      <c r="N292" s="65">
        <f>AVERAGEIF($C$36:$C$167,"=6",$Q$36:$Q$167)</f>
        <v>7.3333333333333332E-3</v>
      </c>
      <c r="O292" s="65">
        <f>AVERAGEIF($C$36:$C$167,"=6",$T$36:$T$167)</f>
        <v>0.29928571428571432</v>
      </c>
      <c r="P292" s="65">
        <f>AVERAGEIF($C$36:$C$167,"=6",$U$36:$U$167)</f>
        <v>0.45714285714285713</v>
      </c>
      <c r="Q292" s="65">
        <f>AVERAGEIF($C$36:$C$167,"=6",$V$36:$V$167)</f>
        <v>0.17571428571428571</v>
      </c>
      <c r="R292" s="65">
        <f>AVERAGEIF($C$36:$C$167,"=6",$W$36:$W$167)</f>
        <v>6.2857142857142848E-2</v>
      </c>
      <c r="S292" s="65">
        <f>AVERAGEIF($C$36:$C$167,"=6",$X$36:$X$167)</f>
        <v>5.0000000000000001E-3</v>
      </c>
      <c r="T292" s="65">
        <f>AVERAGEIF($C$36:$C$167,"=6",$AA$36:$AA$167)</f>
        <v>0.35933333333333334</v>
      </c>
      <c r="U292" s="65">
        <f>AVERAGEIF($C$36:$C$167,"=6",$AB$36:$AB$167)</f>
        <v>0.36866666666666664</v>
      </c>
      <c r="V292" s="65">
        <f>AVERAGEIF($C$36:$C$167,"=6",$AC$36:$AC$167)</f>
        <v>0.19466666666666665</v>
      </c>
      <c r="W292" s="65">
        <f>AVERAGEIF($C$36:$C$167,"=6",$AD$36:$AD$167)</f>
        <v>7.2000000000000022E-2</v>
      </c>
      <c r="X292" s="65">
        <f>AVERAGEIF($C$36:$C$167,"=6",$AE$36:$AE$167)</f>
        <v>8.0000000000000002E-3</v>
      </c>
      <c r="Y292" s="65">
        <f>AVERAGEIF($C$36:$C$167,"=6",$AH$36:$AH$167)</f>
        <v>0.53941176470588237</v>
      </c>
      <c r="Z292" s="65">
        <f>AVERAGEIF($C$36:$C$167,"=6",$AI$36:$AI$167)</f>
        <v>0.30705882352941172</v>
      </c>
      <c r="AA292" s="65">
        <f>AVERAGEIF($C$36:$C$167,"=6",$AJ$36:$AJ$167)</f>
        <v>0.1123529411764706</v>
      </c>
      <c r="AB292" s="65">
        <f>AVERAGEIF($C$36:$C$167,"=6",$AK$36:$AK$167)</f>
        <v>3.9411764705882354E-2</v>
      </c>
      <c r="AC292" s="65">
        <f>AVERAGEIF($C$36:$C$167,"=6",$AL$36:$AL$167)</f>
        <v>2.9411764705882353E-3</v>
      </c>
      <c r="AD292" s="65">
        <f>AVERAGEIF($C$36:$C$167,"=6",$AQ$36:$AQ$167)</f>
        <v>0.25588235294117645</v>
      </c>
      <c r="AE292" s="65">
        <f>AVERAGEIF($C$36:$C$167,"=6",$AR$36:$AR$167)</f>
        <v>0.40705882352941175</v>
      </c>
      <c r="AF292" s="65">
        <f>AVERAGEIF($C$36:$C$167,"=6",$AS$36:$AS$167)</f>
        <v>0.24529411764705883</v>
      </c>
      <c r="AG292" s="65">
        <f>AVERAGEIF($C$36:$C$167,"=6",$AT$36:$AT$167)</f>
        <v>7.823529411764707E-2</v>
      </c>
      <c r="AH292" s="65">
        <f>AVERAGEIF($C$36:$C$167,"=6",$AU$36:$AU$167)</f>
        <v>1.5294117647058824E-2</v>
      </c>
    </row>
  </sheetData>
  <sheetProtection algorithmName="SHA-512" hashValue="oAotITgxCOUMok2HlyNWSRIH+CQxebY8TfUe9I7EFRTKwUp5dD9F2DImgqRDZzqKHwEO+IccJecoVukJuB0+/w==" saltValue="qf1SSmw/rC4XgrSDdwReDA==" spinCount="100000" sheet="1" objects="1" scenarios="1"/>
  <sortState ref="A37:Z167">
    <sortCondition ref="A37:A167"/>
  </sortState>
  <mergeCells count="85">
    <mergeCell ref="AV7:BD7"/>
    <mergeCell ref="AV8:AV9"/>
    <mergeCell ref="AX8:AX9"/>
    <mergeCell ref="AA244:AD244"/>
    <mergeCell ref="AM7:AU7"/>
    <mergeCell ref="AM8:AM9"/>
    <mergeCell ref="AO8:AO9"/>
    <mergeCell ref="AF7:AL7"/>
    <mergeCell ref="AF8:AF9"/>
    <mergeCell ref="AG8:AG9"/>
    <mergeCell ref="Y172:AD172"/>
    <mergeCell ref="AL184:AQ184"/>
    <mergeCell ref="X185:Y185"/>
    <mergeCell ref="R7:X7"/>
    <mergeCell ref="R8:R9"/>
    <mergeCell ref="AH185:AI185"/>
    <mergeCell ref="AJ185:AK185"/>
    <mergeCell ref="AI244:AL244"/>
    <mergeCell ref="AE244:AH244"/>
    <mergeCell ref="E173:E174"/>
    <mergeCell ref="F173:G173"/>
    <mergeCell ref="H173:I173"/>
    <mergeCell ref="J173:K173"/>
    <mergeCell ref="L173:M173"/>
    <mergeCell ref="E285:I285"/>
    <mergeCell ref="J285:N285"/>
    <mergeCell ref="O285:S285"/>
    <mergeCell ref="T285:X285"/>
    <mergeCell ref="F243:Z243"/>
    <mergeCell ref="G244:J244"/>
    <mergeCell ref="K244:N244"/>
    <mergeCell ref="O244:R244"/>
    <mergeCell ref="S244:V244"/>
    <mergeCell ref="W244:Z244"/>
    <mergeCell ref="A1:L1"/>
    <mergeCell ref="A3:L3"/>
    <mergeCell ref="A4:L4"/>
    <mergeCell ref="F8:J8"/>
    <mergeCell ref="D7:J7"/>
    <mergeCell ref="D8:D9"/>
    <mergeCell ref="E8:E9"/>
    <mergeCell ref="K7:Q7"/>
    <mergeCell ref="K8:K9"/>
    <mergeCell ref="L8:L9"/>
    <mergeCell ref="M8:Q8"/>
    <mergeCell ref="A7:A9"/>
    <mergeCell ref="B7:B9"/>
    <mergeCell ref="C7:C9"/>
    <mergeCell ref="E172:O172"/>
    <mergeCell ref="P173:Q173"/>
    <mergeCell ref="K195:P195"/>
    <mergeCell ref="X195:AC195"/>
    <mergeCell ref="AH184:AK184"/>
    <mergeCell ref="N173:O173"/>
    <mergeCell ref="Z184:AC184"/>
    <mergeCell ref="Z185:AA185"/>
    <mergeCell ref="AB185:AC185"/>
    <mergeCell ref="F184:I184"/>
    <mergeCell ref="J184:M184"/>
    <mergeCell ref="N184:Q184"/>
    <mergeCell ref="R184:U184"/>
    <mergeCell ref="V185:W185"/>
    <mergeCell ref="V184:Y184"/>
    <mergeCell ref="P185:Q185"/>
    <mergeCell ref="F185:G185"/>
    <mergeCell ref="H185:I185"/>
    <mergeCell ref="J185:K185"/>
    <mergeCell ref="L185:M185"/>
    <mergeCell ref="N185:O185"/>
    <mergeCell ref="BE7:BM7"/>
    <mergeCell ref="BE8:BE9"/>
    <mergeCell ref="BG8:BG9"/>
    <mergeCell ref="R185:S185"/>
    <mergeCell ref="T185:U185"/>
    <mergeCell ref="Y7:AE7"/>
    <mergeCell ref="Y8:Y9"/>
    <mergeCell ref="Z8:Z9"/>
    <mergeCell ref="AA8:AE8"/>
    <mergeCell ref="T8:X8"/>
    <mergeCell ref="S8:S9"/>
    <mergeCell ref="R173:S173"/>
    <mergeCell ref="T173:U173"/>
    <mergeCell ref="AD184:AG184"/>
    <mergeCell ref="AD185:AE185"/>
    <mergeCell ref="AF185:AG185"/>
  </mergeCells>
  <pageMargins left="0.75" right="0.75" top="1" bottom="1" header="0.5" footer="0.5"/>
  <pageSetup orientation="portrait" horizontalDpi="300" verticalDpi="300"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19F7EE-09D3-465B-A518-281BF771CBEF}">
  <sheetPr codeName="Hoja11">
    <tabColor theme="4"/>
  </sheetPr>
  <dimension ref="A1:Q30"/>
  <sheetViews>
    <sheetView tabSelected="1" topLeftCell="A13" zoomScale="79" zoomScaleNormal="79" workbookViewId="0">
      <selection activeCell="B26" sqref="B26:K27"/>
    </sheetView>
  </sheetViews>
  <sheetFormatPr baseColWidth="10" defaultColWidth="12.5546875" defaultRowHeight="15.6" x14ac:dyDescent="0.3"/>
  <cols>
    <col min="1" max="1" width="5.33203125" style="696" customWidth="1"/>
    <col min="2" max="2" width="12.5546875" style="696"/>
    <col min="3" max="3" width="13.6640625" style="696" customWidth="1"/>
    <col min="4" max="6" width="12.5546875" style="696"/>
    <col min="7" max="7" width="23.44140625" style="696" customWidth="1"/>
    <col min="8" max="8" width="18.5546875" style="696" customWidth="1"/>
    <col min="9" max="9" width="38.88671875" style="696" customWidth="1"/>
    <col min="10" max="10" width="53.77734375" style="696" customWidth="1"/>
    <col min="11" max="11" width="47.6640625" style="696" customWidth="1"/>
    <col min="12" max="16384" width="12.5546875" style="696"/>
  </cols>
  <sheetData>
    <row r="1" spans="1:12" x14ac:dyDescent="0.3">
      <c r="A1" s="685"/>
      <c r="B1" s="685"/>
      <c r="C1" s="685"/>
      <c r="D1" s="685"/>
      <c r="E1" s="685"/>
      <c r="F1" s="685"/>
      <c r="G1" s="685"/>
      <c r="H1" s="685"/>
      <c r="I1" s="685"/>
      <c r="J1" s="685"/>
      <c r="K1" s="685"/>
      <c r="L1" s="685"/>
    </row>
    <row r="2" spans="1:12" x14ac:dyDescent="0.3">
      <c r="A2" s="685"/>
      <c r="B2" s="685"/>
      <c r="C2" s="685"/>
      <c r="D2" s="685"/>
      <c r="E2" s="685"/>
      <c r="F2" s="685"/>
      <c r="G2" s="685"/>
      <c r="H2" s="685"/>
      <c r="I2" s="685"/>
      <c r="J2" s="685"/>
      <c r="K2" s="685"/>
      <c r="L2" s="685"/>
    </row>
    <row r="3" spans="1:12" x14ac:dyDescent="0.3">
      <c r="A3" s="685"/>
      <c r="B3" s="685"/>
      <c r="C3" s="685"/>
      <c r="D3" s="685"/>
      <c r="E3" s="685"/>
      <c r="F3" s="685"/>
      <c r="G3" s="685"/>
      <c r="H3" s="685"/>
      <c r="I3" s="685"/>
      <c r="J3" s="685"/>
      <c r="K3" s="685"/>
      <c r="L3" s="685"/>
    </row>
    <row r="4" spans="1:12" x14ac:dyDescent="0.3">
      <c r="A4" s="685"/>
      <c r="B4" s="685"/>
      <c r="C4" s="685"/>
      <c r="D4" s="685"/>
      <c r="E4" s="685"/>
      <c r="F4" s="685"/>
      <c r="G4" s="685"/>
      <c r="H4" s="685"/>
      <c r="I4" s="685"/>
      <c r="J4" s="685"/>
      <c r="K4" s="685"/>
      <c r="L4" s="685"/>
    </row>
    <row r="5" spans="1:12" ht="65.400000000000006" customHeight="1" x14ac:dyDescent="0.3">
      <c r="A5" s="685"/>
      <c r="B5" s="685"/>
      <c r="C5" s="685"/>
      <c r="D5" s="685"/>
      <c r="E5" s="685"/>
      <c r="F5" s="685"/>
      <c r="G5" s="685"/>
      <c r="H5" s="685"/>
      <c r="I5" s="685"/>
      <c r="J5" s="685"/>
      <c r="K5" s="685"/>
      <c r="L5" s="685"/>
    </row>
    <row r="6" spans="1:12" ht="44.25" customHeight="1" x14ac:dyDescent="0.3">
      <c r="A6" s="685"/>
      <c r="B6" s="760" t="s">
        <v>896</v>
      </c>
      <c r="C6" s="760"/>
      <c r="D6" s="760"/>
      <c r="E6" s="760"/>
      <c r="F6" s="760"/>
      <c r="G6" s="760"/>
      <c r="H6" s="760"/>
      <c r="I6" s="760"/>
      <c r="J6" s="760"/>
      <c r="K6" s="760"/>
      <c r="L6" s="685"/>
    </row>
    <row r="7" spans="1:12" x14ac:dyDescent="0.3">
      <c r="A7" s="685"/>
      <c r="B7" s="685"/>
      <c r="C7" s="685"/>
      <c r="D7" s="685"/>
      <c r="E7" s="685"/>
      <c r="F7" s="685"/>
      <c r="G7" s="685"/>
      <c r="H7" s="685"/>
      <c r="I7" s="685"/>
      <c r="J7" s="685"/>
      <c r="K7" s="685"/>
      <c r="L7" s="685"/>
    </row>
    <row r="8" spans="1:12" ht="16.2" thickBot="1" x14ac:dyDescent="0.35">
      <c r="A8" s="685"/>
      <c r="B8" s="685"/>
      <c r="C8" s="685"/>
      <c r="D8" s="685"/>
      <c r="E8" s="685"/>
      <c r="F8" s="685"/>
      <c r="G8" s="685"/>
      <c r="H8" s="685"/>
      <c r="I8" s="685"/>
      <c r="J8" s="685"/>
      <c r="K8" s="685"/>
      <c r="L8" s="685"/>
    </row>
    <row r="9" spans="1:12" ht="30.75" customHeight="1" thickBot="1" x14ac:dyDescent="0.45">
      <c r="A9" s="685"/>
      <c r="B9" s="697" t="s">
        <v>895</v>
      </c>
      <c r="C9" s="697"/>
      <c r="D9" s="697"/>
      <c r="E9" s="897" t="str">
        <f>PuntajeGlobal!E9</f>
        <v>INSTITUCION EDUCATIVA EDUARDO SANTOS</v>
      </c>
      <c r="F9" s="898"/>
      <c r="G9" s="898"/>
      <c r="H9" s="898"/>
      <c r="I9" s="898"/>
      <c r="J9" s="898"/>
      <c r="K9" s="899"/>
      <c r="L9" s="685"/>
    </row>
    <row r="10" spans="1:12" ht="29.25" customHeight="1" x14ac:dyDescent="0.4">
      <c r="A10" s="685"/>
      <c r="B10" s="698"/>
      <c r="C10" s="698"/>
      <c r="D10" s="698"/>
      <c r="E10" s="698"/>
      <c r="F10" s="699"/>
      <c r="G10" s="699"/>
      <c r="H10" s="699"/>
      <c r="I10" s="699"/>
      <c r="J10" s="699"/>
      <c r="K10" s="699"/>
      <c r="L10" s="685"/>
    </row>
    <row r="11" spans="1:12" ht="18" x14ac:dyDescent="0.35">
      <c r="A11" s="685"/>
      <c r="B11" s="683"/>
      <c r="C11" s="683"/>
      <c r="D11" s="683"/>
      <c r="E11" s="683"/>
      <c r="F11" s="684"/>
      <c r="G11" s="684"/>
      <c r="H11" s="684"/>
      <c r="I11" s="684"/>
      <c r="J11" s="685"/>
      <c r="K11" s="685"/>
      <c r="L11" s="685"/>
    </row>
    <row r="12" spans="1:12" ht="38.25" customHeight="1" x14ac:dyDescent="0.35">
      <c r="A12" s="685"/>
      <c r="B12" s="685"/>
      <c r="C12" s="685"/>
      <c r="D12" s="683"/>
      <c r="E12" s="683"/>
      <c r="F12" s="684"/>
      <c r="G12" s="684"/>
      <c r="H12" s="896" t="s">
        <v>890</v>
      </c>
      <c r="I12" s="896"/>
      <c r="J12" s="896"/>
      <c r="K12" s="896"/>
      <c r="L12" s="685"/>
    </row>
    <row r="13" spans="1:12" ht="57" customHeight="1" x14ac:dyDescent="0.3">
      <c r="A13" s="685"/>
      <c r="B13" s="685"/>
      <c r="C13" s="685"/>
      <c r="D13" s="685"/>
      <c r="E13" s="685"/>
      <c r="F13" s="685"/>
      <c r="G13" s="685"/>
      <c r="H13" s="686" t="s">
        <v>891</v>
      </c>
      <c r="I13" s="686" t="s">
        <v>1035</v>
      </c>
      <c r="J13" s="686" t="s">
        <v>1036</v>
      </c>
      <c r="K13" s="686" t="s">
        <v>1037</v>
      </c>
      <c r="L13" s="685"/>
    </row>
    <row r="14" spans="1:12" ht="121.8" customHeight="1" x14ac:dyDescent="0.3">
      <c r="A14" s="685"/>
      <c r="B14" s="685"/>
      <c r="C14" s="685"/>
      <c r="D14" s="685"/>
      <c r="E14" s="685"/>
      <c r="F14" s="685"/>
      <c r="G14" s="685"/>
      <c r="H14" s="687" t="s">
        <v>1030</v>
      </c>
      <c r="I14" s="688" t="s">
        <v>1033</v>
      </c>
      <c r="J14" s="689" t="s">
        <v>1031</v>
      </c>
      <c r="K14" s="688" t="s">
        <v>1032</v>
      </c>
      <c r="L14" s="685"/>
    </row>
    <row r="15" spans="1:12" ht="21" x14ac:dyDescent="0.3">
      <c r="A15" s="685"/>
      <c r="B15" s="685"/>
      <c r="C15" s="685"/>
      <c r="D15" s="685"/>
      <c r="E15" s="685"/>
      <c r="F15" s="685"/>
      <c r="G15" s="685"/>
      <c r="H15" s="690">
        <v>2016</v>
      </c>
      <c r="I15" s="691">
        <f>VLOOKUP($E$9,LC!$A$10:$AV$167,10,0)</f>
        <v>0.51</v>
      </c>
      <c r="J15" s="691">
        <f>VLOOKUP($E$9,LC!$A$10:$AV$167,11,0)</f>
        <v>0.5</v>
      </c>
      <c r="K15" s="691">
        <f>VLOOKUP($E$9,LC!$A$10:$AV$167,12,0)</f>
        <v>0.5</v>
      </c>
      <c r="L15" s="685"/>
    </row>
    <row r="16" spans="1:12" ht="21" x14ac:dyDescent="0.3">
      <c r="A16" s="685"/>
      <c r="B16" s="685"/>
      <c r="C16" s="685"/>
      <c r="D16" s="685"/>
      <c r="E16" s="685"/>
      <c r="F16" s="685"/>
      <c r="G16" s="685"/>
      <c r="H16" s="690">
        <v>2017</v>
      </c>
      <c r="I16" s="691">
        <f>VLOOKUP($E$9,LC!$A$10:$AV$167,19,0)</f>
        <v>0.43</v>
      </c>
      <c r="J16" s="691">
        <f>VLOOKUP($E$9,LC!$A$10:$AV$167,20,0)</f>
        <v>0.49</v>
      </c>
      <c r="K16" s="691">
        <f>VLOOKUP($E$9,LC!$A$10:$AV$167,21,0)</f>
        <v>0.47</v>
      </c>
      <c r="L16" s="685"/>
    </row>
    <row r="17" spans="1:17" ht="21" x14ac:dyDescent="0.3">
      <c r="A17" s="685"/>
      <c r="B17" s="685"/>
      <c r="C17" s="685"/>
      <c r="D17" s="685"/>
      <c r="E17" s="685"/>
      <c r="F17" s="685"/>
      <c r="G17" s="685"/>
      <c r="H17" s="690">
        <v>2018</v>
      </c>
      <c r="I17" s="691">
        <f>VLOOKUP($E$9,LC!$A$10:$AV$167,29,0)</f>
        <v>0.52</v>
      </c>
      <c r="J17" s="691">
        <f>VLOOKUP($E$9,LC!$A$10:$AV$167,28,0)</f>
        <v>0.46</v>
      </c>
      <c r="K17" s="691">
        <f>VLOOKUP($E$9,LC!$A$10:$AV$167,30,0)</f>
        <v>0.53</v>
      </c>
      <c r="L17" s="685"/>
    </row>
    <row r="18" spans="1:17" ht="21" x14ac:dyDescent="0.3">
      <c r="A18" s="685"/>
      <c r="B18" s="685"/>
      <c r="C18" s="685"/>
      <c r="D18" s="685"/>
      <c r="E18" s="685"/>
      <c r="F18" s="685"/>
      <c r="G18" s="685"/>
      <c r="H18" s="690">
        <v>2019</v>
      </c>
      <c r="I18" s="691">
        <f>VLOOKUP($E$9,LC!$A$10:$AV$167,38,0)</f>
        <v>0.36</v>
      </c>
      <c r="J18" s="691">
        <f>VLOOKUP($E$9,LC!$A$10:$AV$167,37,0)</f>
        <v>0.45</v>
      </c>
      <c r="K18" s="691">
        <f>VLOOKUP($E$9,LC!$A$10:$AV$167,39,0)</f>
        <v>0.42</v>
      </c>
      <c r="L18" s="685"/>
    </row>
    <row r="19" spans="1:17" ht="21" x14ac:dyDescent="0.3">
      <c r="A19" s="685"/>
      <c r="B19" s="685"/>
      <c r="C19" s="685"/>
      <c r="D19" s="685"/>
      <c r="E19" s="685"/>
      <c r="F19" s="685"/>
      <c r="G19" s="685"/>
      <c r="H19" s="690">
        <v>2020</v>
      </c>
      <c r="I19" s="691">
        <f>VLOOKUP($E$9,LC!$A$10:$AV$167,48,0)</f>
        <v>0.45</v>
      </c>
      <c r="J19" s="691">
        <f>VLOOKUP($E$9,LC!$A$10:$AV$167,46,0)</f>
        <v>0.47</v>
      </c>
      <c r="K19" s="691">
        <f>VLOOKUP($E$9,LC!$A$10:$AV$167,47,0)</f>
        <v>0.38</v>
      </c>
      <c r="L19" s="685"/>
    </row>
    <row r="20" spans="1:17" ht="21" x14ac:dyDescent="0.3">
      <c r="A20" s="685"/>
      <c r="B20" s="685"/>
      <c r="C20" s="685"/>
      <c r="D20" s="685"/>
      <c r="E20" s="685"/>
      <c r="F20" s="685"/>
      <c r="G20" s="685"/>
      <c r="H20" s="690">
        <v>2021</v>
      </c>
      <c r="I20" s="691">
        <f>VLOOKUP($E$9,LC!$A$10:$BG$167,58,0)</f>
        <v>0.36</v>
      </c>
      <c r="J20" s="691">
        <f>VLOOKUP($E$9,LC!$A$10:$BG$167,57,0)</f>
        <v>0.48</v>
      </c>
      <c r="K20" s="691">
        <f>VLOOKUP($E$9,LC!$A$10:$BG$167,59,0)</f>
        <v>0.56000000000000005</v>
      </c>
      <c r="L20" s="685"/>
    </row>
    <row r="21" spans="1:17" ht="21" x14ac:dyDescent="0.35">
      <c r="A21" s="685"/>
      <c r="B21" s="685"/>
      <c r="C21" s="685"/>
      <c r="D21" s="683"/>
      <c r="E21" s="683"/>
      <c r="F21" s="684"/>
      <c r="G21" s="684"/>
      <c r="H21" s="690">
        <v>2022</v>
      </c>
      <c r="I21" s="691">
        <f>VLOOKUP($E$9,LC!$A$10:$BR$167,69,0)</f>
        <v>0.34</v>
      </c>
      <c r="J21" s="691">
        <f>VLOOKUP($E$9,LC!$A$10:$BR$167,68,0)</f>
        <v>0.47</v>
      </c>
      <c r="K21" s="691">
        <f>VLOOKUP($E$9,LC!$A$10:$BR$167,70,0)</f>
        <v>0.45</v>
      </c>
      <c r="L21" s="685"/>
    </row>
    <row r="22" spans="1:17" ht="21" x14ac:dyDescent="0.3">
      <c r="A22" s="685"/>
      <c r="B22" s="685"/>
      <c r="C22" s="685"/>
      <c r="D22" s="685"/>
      <c r="E22" s="685"/>
      <c r="F22" s="685"/>
      <c r="G22" s="685"/>
      <c r="H22" s="690">
        <v>2023</v>
      </c>
      <c r="I22" s="691">
        <f>VLOOKUP($E$9,LC!$A$10:$CC$167,79,0)</f>
        <v>0.37</v>
      </c>
      <c r="J22" s="691">
        <f>VLOOKUP($E$9,LC!$A$10:$CC$167,80,0)</f>
        <v>0.51</v>
      </c>
      <c r="K22" s="691">
        <f>VLOOKUP($E$9,LC!$A$10:$CC$167,81,0)</f>
        <v>0.51</v>
      </c>
      <c r="L22" s="685"/>
    </row>
    <row r="23" spans="1:17" ht="15.75" customHeight="1" x14ac:dyDescent="0.3">
      <c r="A23" s="685"/>
      <c r="B23" s="685"/>
      <c r="C23" s="685"/>
      <c r="D23" s="685"/>
      <c r="E23" s="685"/>
      <c r="F23" s="685"/>
      <c r="G23" s="685"/>
      <c r="H23" s="685"/>
      <c r="I23" s="685"/>
      <c r="J23" s="685"/>
      <c r="K23" s="685"/>
      <c r="L23" s="685"/>
    </row>
    <row r="24" spans="1:17" ht="26.25" customHeight="1" x14ac:dyDescent="0.3">
      <c r="A24" s="685"/>
      <c r="B24" s="685"/>
      <c r="C24" s="685"/>
      <c r="D24" s="685"/>
      <c r="E24" s="685"/>
      <c r="F24" s="685"/>
      <c r="G24" s="685"/>
      <c r="H24" s="685"/>
      <c r="I24" s="685"/>
      <c r="J24" s="685"/>
      <c r="K24" s="685"/>
      <c r="L24" s="692"/>
    </row>
    <row r="25" spans="1:17" ht="26.4" customHeight="1" x14ac:dyDescent="0.3">
      <c r="A25" s="685"/>
      <c r="B25" s="693" t="s">
        <v>1034</v>
      </c>
      <c r="C25" s="694"/>
      <c r="D25" s="694"/>
      <c r="E25" s="694"/>
      <c r="F25" s="694"/>
      <c r="G25" s="694"/>
      <c r="H25" s="694"/>
      <c r="I25" s="694"/>
      <c r="J25" s="694"/>
      <c r="K25" s="694"/>
      <c r="L25" s="692"/>
    </row>
    <row r="26" spans="1:17" ht="186" customHeight="1" x14ac:dyDescent="0.3">
      <c r="A26" s="685"/>
      <c r="B26" s="895" t="s">
        <v>1044</v>
      </c>
      <c r="C26" s="895"/>
      <c r="D26" s="895"/>
      <c r="E26" s="895"/>
      <c r="F26" s="895"/>
      <c r="G26" s="895"/>
      <c r="H26" s="895"/>
      <c r="I26" s="895"/>
      <c r="J26" s="895"/>
      <c r="K26" s="895"/>
      <c r="L26" s="692"/>
    </row>
    <row r="27" spans="1:17" ht="234.6" customHeight="1" x14ac:dyDescent="0.3">
      <c r="A27" s="685"/>
      <c r="B27" s="895"/>
      <c r="C27" s="895"/>
      <c r="D27" s="895"/>
      <c r="E27" s="895"/>
      <c r="F27" s="895"/>
      <c r="G27" s="895"/>
      <c r="H27" s="895"/>
      <c r="I27" s="895"/>
      <c r="J27" s="895"/>
      <c r="K27" s="895"/>
      <c r="L27" s="685"/>
    </row>
    <row r="28" spans="1:17" ht="46.8" customHeight="1" x14ac:dyDescent="0.3">
      <c r="A28" s="685"/>
      <c r="B28" s="695"/>
      <c r="C28" s="695"/>
      <c r="D28" s="695"/>
      <c r="E28" s="695"/>
      <c r="F28" s="695"/>
      <c r="G28" s="695"/>
      <c r="H28" s="695"/>
      <c r="I28" s="695"/>
      <c r="J28" s="695"/>
      <c r="K28" s="695"/>
      <c r="L28" s="685"/>
    </row>
    <row r="29" spans="1:17" x14ac:dyDescent="0.3">
      <c r="A29" s="685"/>
      <c r="B29" s="685"/>
      <c r="C29" s="685"/>
      <c r="D29" s="685"/>
      <c r="E29" s="685"/>
      <c r="F29" s="685"/>
      <c r="G29" s="685"/>
      <c r="H29" s="685"/>
      <c r="I29" s="685"/>
      <c r="J29" s="685"/>
      <c r="K29" s="685"/>
      <c r="L29" s="685"/>
    </row>
    <row r="30" spans="1:17" ht="15.75" customHeight="1" x14ac:dyDescent="0.3">
      <c r="A30" s="685"/>
      <c r="B30" s="759" t="s">
        <v>975</v>
      </c>
      <c r="C30" s="759"/>
      <c r="D30" s="759"/>
      <c r="E30" s="759"/>
      <c r="F30" s="759"/>
      <c r="G30" s="759"/>
      <c r="H30" s="759"/>
      <c r="I30" s="759"/>
      <c r="J30" s="759"/>
      <c r="K30" s="759"/>
      <c r="L30" s="759"/>
      <c r="M30" s="700"/>
      <c r="N30" s="700"/>
      <c r="O30" s="700"/>
      <c r="P30" s="700"/>
      <c r="Q30" s="700"/>
    </row>
  </sheetData>
  <sheetProtection algorithmName="SHA-512" hashValue="nITWAdO8CWcTzl9etSgrinpIU9NpPgm0RJdpIBgR+wzN+pwmq9QpQiucsZMUD4JxcatPE1D0gQSH6qlnFI+v2w==" saltValue="FCz18xVdDH8HauM1sgU8wA==" spinCount="100000" sheet="1"/>
  <mergeCells count="5">
    <mergeCell ref="B26:K27"/>
    <mergeCell ref="B6:K6"/>
    <mergeCell ref="H12:K12"/>
    <mergeCell ref="B30:L30"/>
    <mergeCell ref="E9:K9"/>
  </mergeCells>
  <conditionalFormatting sqref="I15:K19">
    <cfRule type="cellIs" dxfId="129" priority="21" operator="equal">
      <formula>0</formula>
    </cfRule>
    <cfRule type="cellIs" dxfId="128" priority="22" operator="between">
      <formula>0.7</formula>
      <formula>1</formula>
    </cfRule>
    <cfRule type="cellIs" dxfId="127" priority="23" operator="between">
      <formula>0.4</formula>
      <formula>0.69</formula>
    </cfRule>
    <cfRule type="cellIs" dxfId="126" priority="24" operator="between">
      <formula>0.2</formula>
      <formula>0.39</formula>
    </cfRule>
    <cfRule type="cellIs" dxfId="125" priority="25" operator="between">
      <formula>0.01</formula>
      <formula>0.19</formula>
    </cfRule>
  </conditionalFormatting>
  <conditionalFormatting sqref="I20:K20">
    <cfRule type="cellIs" dxfId="124" priority="16" operator="equal">
      <formula>0</formula>
    </cfRule>
    <cfRule type="cellIs" dxfId="123" priority="17" operator="between">
      <formula>0.7</formula>
      <formula>1</formula>
    </cfRule>
    <cfRule type="cellIs" dxfId="122" priority="18" operator="between">
      <formula>0.4</formula>
      <formula>0.69</formula>
    </cfRule>
    <cfRule type="cellIs" dxfId="121" priority="19" operator="between">
      <formula>0.2</formula>
      <formula>0.39</formula>
    </cfRule>
    <cfRule type="cellIs" dxfId="120" priority="20" operator="between">
      <formula>0.01</formula>
      <formula>0.19</formula>
    </cfRule>
  </conditionalFormatting>
  <conditionalFormatting sqref="I21:K21">
    <cfRule type="cellIs" dxfId="119" priority="11" operator="equal">
      <formula>0</formula>
    </cfRule>
    <cfRule type="cellIs" dxfId="118" priority="12" operator="between">
      <formula>0.7</formula>
      <formula>1</formula>
    </cfRule>
    <cfRule type="cellIs" dxfId="117" priority="13" operator="between">
      <formula>0.4</formula>
      <formula>0.69</formula>
    </cfRule>
    <cfRule type="cellIs" dxfId="116" priority="14" operator="between">
      <formula>0.2</formula>
      <formula>0.39</formula>
    </cfRule>
    <cfRule type="cellIs" dxfId="115" priority="15" operator="between">
      <formula>0.01</formula>
      <formula>0.19</formula>
    </cfRule>
  </conditionalFormatting>
  <conditionalFormatting sqref="I22:K22">
    <cfRule type="cellIs" dxfId="114" priority="1" operator="equal">
      <formula>0</formula>
    </cfRule>
    <cfRule type="cellIs" dxfId="113" priority="2" operator="between">
      <formula>0.7</formula>
      <formula>1</formula>
    </cfRule>
    <cfRule type="cellIs" dxfId="112" priority="3" operator="between">
      <formula>0.4</formula>
      <formula>0.69</formula>
    </cfRule>
    <cfRule type="cellIs" dxfId="111" priority="4" operator="between">
      <formula>0.2</formula>
      <formula>0.39</formula>
    </cfRule>
    <cfRule type="cellIs" dxfId="110" priority="5" operator="between">
      <formula>0.01</formula>
      <formula>0.19</formula>
    </cfRule>
  </conditionalFormatting>
  <pageMargins left="0.39370078740157483" right="0.39370078740157483" top="0.39370078740157483" bottom="0.39370078740157483" header="0.31496062992125984" footer="0.31496062992125984"/>
  <pageSetup paperSize="14" scale="60"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DEEE5846-6539-4411-A1F3-3BA6794E72F3}">
          <x14:formula1>
            <xm:f>PGLOBAL!$A$10:$A$167</xm:f>
          </x14:formula1>
          <xm:sqref>E9</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22CB73-D5ED-4A39-8A96-F4627B2839AB}">
  <sheetPr codeName="Hoja12">
    <tabColor rgb="FF7030A0"/>
  </sheetPr>
  <dimension ref="A1:M29"/>
  <sheetViews>
    <sheetView zoomScale="73" zoomScaleNormal="73" workbookViewId="0">
      <selection activeCell="E10" sqref="E10"/>
    </sheetView>
  </sheetViews>
  <sheetFormatPr baseColWidth="10" defaultColWidth="12.5546875" defaultRowHeight="15.6" x14ac:dyDescent="0.3"/>
  <cols>
    <col min="1" max="1" width="5.33203125" style="155" customWidth="1"/>
    <col min="2" max="2" width="12.5546875" style="155"/>
    <col min="3" max="3" width="13.6640625" style="155" customWidth="1"/>
    <col min="4" max="4" width="15.33203125" style="155" customWidth="1"/>
    <col min="5" max="7" width="12.5546875" style="155"/>
    <col min="8" max="8" width="20.33203125" style="155" customWidth="1"/>
    <col min="9" max="9" width="17.44140625" style="155" customWidth="1"/>
    <col min="10" max="12" width="40.77734375" style="155" customWidth="1"/>
    <col min="13" max="13" width="6.33203125" style="155" customWidth="1"/>
    <col min="14" max="16384" width="12.5546875" style="155"/>
  </cols>
  <sheetData>
    <row r="1" spans="1:13" x14ac:dyDescent="0.3">
      <c r="A1" s="154"/>
      <c r="B1" s="154"/>
      <c r="C1" s="154"/>
      <c r="D1" s="154"/>
      <c r="E1" s="154"/>
      <c r="F1" s="154"/>
      <c r="G1" s="154"/>
      <c r="H1" s="154"/>
      <c r="I1" s="154"/>
      <c r="J1" s="154"/>
      <c r="K1" s="154"/>
      <c r="L1" s="154"/>
      <c r="M1" s="154"/>
    </row>
    <row r="2" spans="1:13" x14ac:dyDescent="0.3">
      <c r="A2" s="154"/>
      <c r="B2" s="154"/>
      <c r="C2" s="154"/>
      <c r="D2" s="154"/>
      <c r="E2" s="154"/>
      <c r="F2" s="154"/>
      <c r="G2" s="154"/>
      <c r="H2" s="154"/>
      <c r="I2" s="154"/>
      <c r="J2" s="154"/>
      <c r="K2" s="154"/>
      <c r="L2" s="154"/>
      <c r="M2" s="154"/>
    </row>
    <row r="3" spans="1:13" x14ac:dyDescent="0.3">
      <c r="A3" s="154"/>
      <c r="B3" s="154"/>
      <c r="C3" s="154"/>
      <c r="D3" s="154"/>
      <c r="E3" s="154"/>
      <c r="F3" s="154"/>
      <c r="G3" s="154"/>
      <c r="H3" s="154"/>
      <c r="I3" s="154"/>
      <c r="J3" s="154"/>
      <c r="K3" s="154"/>
      <c r="L3" s="154"/>
      <c r="M3" s="154"/>
    </row>
    <row r="4" spans="1:13" x14ac:dyDescent="0.3">
      <c r="A4" s="154"/>
      <c r="B4" s="154"/>
      <c r="C4" s="154"/>
      <c r="D4" s="154"/>
      <c r="E4" s="154"/>
      <c r="F4" s="154"/>
      <c r="G4" s="154"/>
      <c r="H4" s="154"/>
      <c r="I4" s="154"/>
      <c r="J4" s="154"/>
      <c r="K4" s="154"/>
      <c r="L4" s="154"/>
      <c r="M4" s="154"/>
    </row>
    <row r="5" spans="1:13" ht="74.400000000000006" customHeight="1" x14ac:dyDescent="0.3">
      <c r="A5" s="154"/>
      <c r="B5" s="154"/>
      <c r="C5" s="154"/>
      <c r="D5" s="154"/>
      <c r="E5" s="154"/>
      <c r="F5" s="154"/>
      <c r="G5" s="154"/>
      <c r="H5" s="154"/>
      <c r="I5" s="154"/>
      <c r="J5" s="154"/>
      <c r="K5" s="154"/>
      <c r="L5" s="154"/>
      <c r="M5" s="154"/>
    </row>
    <row r="6" spans="1:13" ht="38.25" customHeight="1" x14ac:dyDescent="0.3">
      <c r="A6" s="154"/>
      <c r="B6" s="902" t="s">
        <v>897</v>
      </c>
      <c r="C6" s="902"/>
      <c r="D6" s="902"/>
      <c r="E6" s="902"/>
      <c r="F6" s="902"/>
      <c r="G6" s="902"/>
      <c r="H6" s="902"/>
      <c r="I6" s="902"/>
      <c r="J6" s="902"/>
      <c r="K6" s="902"/>
      <c r="L6" s="902"/>
      <c r="M6" s="154"/>
    </row>
    <row r="7" spans="1:13" x14ac:dyDescent="0.3">
      <c r="A7" s="154"/>
      <c r="B7" s="154"/>
      <c r="C7" s="154"/>
      <c r="D7" s="154"/>
      <c r="E7" s="154"/>
      <c r="F7" s="154"/>
      <c r="G7" s="154"/>
      <c r="H7" s="154"/>
      <c r="I7" s="154"/>
      <c r="J7" s="154"/>
      <c r="K7" s="154"/>
      <c r="L7" s="154"/>
      <c r="M7" s="154"/>
    </row>
    <row r="8" spans="1:13" ht="16.2" thickBot="1" x14ac:dyDescent="0.35">
      <c r="A8" s="154"/>
      <c r="B8" s="154"/>
      <c r="C8" s="154"/>
      <c r="D8" s="154"/>
      <c r="E8" s="154"/>
      <c r="F8" s="154"/>
      <c r="G8" s="154"/>
      <c r="H8" s="154"/>
      <c r="I8" s="154"/>
      <c r="J8" s="154"/>
      <c r="K8" s="154"/>
      <c r="L8" s="154"/>
      <c r="M8" s="154"/>
    </row>
    <row r="9" spans="1:13" ht="36.75" customHeight="1" thickBot="1" x14ac:dyDescent="0.45">
      <c r="A9" s="154"/>
      <c r="B9" s="324" t="s">
        <v>895</v>
      </c>
      <c r="C9" s="324"/>
      <c r="D9" s="324"/>
      <c r="E9" s="903" t="str">
        <f>PuntajeGlobal!E9</f>
        <v>INSTITUCION EDUCATIVA EDUARDO SANTOS</v>
      </c>
      <c r="F9" s="904"/>
      <c r="G9" s="904"/>
      <c r="H9" s="904"/>
      <c r="I9" s="904"/>
      <c r="J9" s="904"/>
      <c r="K9" s="904"/>
      <c r="L9" s="905"/>
      <c r="M9" s="154"/>
    </row>
    <row r="10" spans="1:13" ht="18" x14ac:dyDescent="0.35">
      <c r="A10" s="154"/>
      <c r="B10" s="157"/>
      <c r="C10" s="157"/>
      <c r="D10" s="157"/>
      <c r="E10" s="157"/>
      <c r="F10" s="157"/>
      <c r="G10" s="158"/>
      <c r="H10" s="158"/>
      <c r="I10" s="158"/>
      <c r="J10" s="158"/>
      <c r="K10" s="154"/>
      <c r="L10" s="154"/>
      <c r="M10" s="154"/>
    </row>
    <row r="11" spans="1:13" ht="33.75" customHeight="1" x14ac:dyDescent="0.35">
      <c r="A11" s="154"/>
      <c r="B11" s="154"/>
      <c r="C11" s="154"/>
      <c r="D11" s="157"/>
      <c r="E11" s="157"/>
      <c r="F11" s="157"/>
      <c r="G11" s="158"/>
      <c r="H11" s="158"/>
      <c r="I11" s="901" t="s">
        <v>892</v>
      </c>
      <c r="J11" s="901"/>
      <c r="K11" s="901"/>
      <c r="L11" s="901"/>
      <c r="M11" s="154"/>
    </row>
    <row r="12" spans="1:13" ht="26.4" x14ac:dyDescent="0.35">
      <c r="A12" s="154"/>
      <c r="B12" s="154"/>
      <c r="C12" s="154"/>
      <c r="D12" s="157"/>
      <c r="E12" s="157"/>
      <c r="F12" s="157"/>
      <c r="G12" s="158"/>
      <c r="H12" s="158"/>
      <c r="I12" s="162" t="s">
        <v>366</v>
      </c>
      <c r="J12" s="162" t="s">
        <v>1038</v>
      </c>
      <c r="K12" s="162" t="s">
        <v>1039</v>
      </c>
      <c r="L12" s="162" t="s">
        <v>1040</v>
      </c>
      <c r="M12" s="154"/>
    </row>
    <row r="13" spans="1:13" ht="39.6" x14ac:dyDescent="0.3">
      <c r="A13" s="154"/>
      <c r="B13" s="154"/>
      <c r="C13" s="154"/>
      <c r="D13" s="154"/>
      <c r="E13" s="154"/>
      <c r="F13" s="154"/>
      <c r="G13" s="154"/>
      <c r="H13" s="154"/>
      <c r="I13" s="576" t="s">
        <v>367</v>
      </c>
      <c r="J13" s="604" t="s">
        <v>368</v>
      </c>
      <c r="K13" s="604" t="s">
        <v>369</v>
      </c>
      <c r="L13" s="604" t="s">
        <v>370</v>
      </c>
      <c r="M13" s="154"/>
    </row>
    <row r="14" spans="1:13" ht="96" customHeight="1" x14ac:dyDescent="0.3">
      <c r="A14" s="154"/>
      <c r="B14" s="154"/>
      <c r="C14" s="154"/>
      <c r="D14" s="154"/>
      <c r="E14" s="154"/>
      <c r="F14" s="154"/>
      <c r="G14" s="154"/>
      <c r="H14" s="154"/>
      <c r="I14" s="577" t="s">
        <v>1045</v>
      </c>
      <c r="J14" s="605" t="s">
        <v>1041</v>
      </c>
      <c r="K14" s="605" t="s">
        <v>1042</v>
      </c>
      <c r="L14" s="605" t="s">
        <v>1043</v>
      </c>
      <c r="M14" s="154"/>
    </row>
    <row r="15" spans="1:13" ht="21" x14ac:dyDescent="0.3">
      <c r="A15" s="154"/>
      <c r="B15" s="154"/>
      <c r="C15" s="154"/>
      <c r="D15" s="154"/>
      <c r="E15" s="154"/>
      <c r="F15" s="154"/>
      <c r="G15" s="154"/>
      <c r="H15" s="154"/>
      <c r="I15" s="160">
        <v>2016</v>
      </c>
      <c r="J15" s="269">
        <f>VLOOKUP($E$9,MATE!$A$10:$AV$167,10,0)</f>
        <v>0.51</v>
      </c>
      <c r="K15" s="330">
        <f>VLOOKUP($E$9,MATE!$A$10:$AV$167,12,0)</f>
        <v>0.56000000000000005</v>
      </c>
      <c r="L15" s="330">
        <f>VLOOKUP($E$9,MATE!$A$10:$AV$167,11,0)</f>
        <v>0.37</v>
      </c>
      <c r="M15" s="154"/>
    </row>
    <row r="16" spans="1:13" ht="21" x14ac:dyDescent="0.3">
      <c r="A16" s="154"/>
      <c r="B16" s="154"/>
      <c r="C16" s="154"/>
      <c r="D16" s="154"/>
      <c r="E16" s="154"/>
      <c r="F16" s="154"/>
      <c r="G16" s="154"/>
      <c r="H16" s="154"/>
      <c r="I16" s="160">
        <v>2017</v>
      </c>
      <c r="J16" s="330">
        <f>VLOOKUP($E$9,MATE!$A$10:$AV$167,21,0)</f>
        <v>0.35</v>
      </c>
      <c r="K16" s="330">
        <f>VLOOKUP($E$9,MATE!$A$10:$AV$167,20,0)</f>
        <v>0.56999999999999995</v>
      </c>
      <c r="L16" s="330">
        <f>VLOOKUP($E$9,MATE!$A$10:$AV$167,19,0)</f>
        <v>0.5</v>
      </c>
      <c r="M16" s="154"/>
    </row>
    <row r="17" spans="1:13" ht="21" x14ac:dyDescent="0.3">
      <c r="A17" s="154"/>
      <c r="B17" s="154"/>
      <c r="C17" s="154"/>
      <c r="D17" s="154"/>
      <c r="E17" s="154"/>
      <c r="F17" s="154"/>
      <c r="G17" s="154"/>
      <c r="H17" s="154"/>
      <c r="I17" s="160">
        <v>2018</v>
      </c>
      <c r="J17" s="330">
        <f>VLOOKUP($E$9,MATE!$A$10:$AV$167,29,0)</f>
        <v>0.4</v>
      </c>
      <c r="K17" s="330">
        <f>VLOOKUP($E$9,MATE!$A$10:$AV$167,28,0)</f>
        <v>0.51</v>
      </c>
      <c r="L17" s="330">
        <f>VLOOKUP($E$9,MATE!$A$10:$AV$167,30,0)</f>
        <v>0.56999999999999995</v>
      </c>
      <c r="M17" s="154"/>
    </row>
    <row r="18" spans="1:13" ht="21" x14ac:dyDescent="0.3">
      <c r="A18" s="154"/>
      <c r="B18" s="154"/>
      <c r="C18" s="154"/>
      <c r="D18" s="154"/>
      <c r="E18" s="154"/>
      <c r="F18" s="154"/>
      <c r="G18" s="154"/>
      <c r="H18" s="154"/>
      <c r="I18" s="160">
        <v>2019</v>
      </c>
      <c r="J18" s="330">
        <f>VLOOKUP($E$9,MATE!$A$10:$AV$167,39,0)</f>
        <v>0.3</v>
      </c>
      <c r="K18" s="330">
        <f>VLOOKUP($E$9,MATE!$A$10:$AV$167,37,0)</f>
        <v>0.55000000000000004</v>
      </c>
      <c r="L18" s="330">
        <f>VLOOKUP($E$9,MATE!$A$10:$AV$167,38,0)</f>
        <v>0.47</v>
      </c>
      <c r="M18" s="154"/>
    </row>
    <row r="19" spans="1:13" ht="21" x14ac:dyDescent="0.3">
      <c r="A19" s="154"/>
      <c r="B19" s="154"/>
      <c r="C19" s="154"/>
      <c r="D19" s="154"/>
      <c r="E19" s="154"/>
      <c r="F19" s="154"/>
      <c r="G19" s="154"/>
      <c r="H19" s="154"/>
      <c r="I19" s="160">
        <v>2020</v>
      </c>
      <c r="J19" s="330">
        <f>VLOOKUP($E$9,MATE!$A$10:$AV$167,46,0)</f>
        <v>0.24</v>
      </c>
      <c r="K19" s="330">
        <f>VLOOKUP($E$9,MATE!$A$10:$AV$167,47,0)</f>
        <v>0.52</v>
      </c>
      <c r="L19" s="330">
        <f>VLOOKUP($E$9,MATE!$A$10:$AV$167,48,0)</f>
        <v>0.51</v>
      </c>
      <c r="M19" s="154"/>
    </row>
    <row r="20" spans="1:13" ht="21" x14ac:dyDescent="0.3">
      <c r="A20" s="154"/>
      <c r="B20" s="154"/>
      <c r="C20" s="154"/>
      <c r="D20" s="154"/>
      <c r="E20" s="154"/>
      <c r="F20" s="154"/>
      <c r="G20" s="154"/>
      <c r="H20" s="154"/>
      <c r="I20" s="160">
        <v>2021</v>
      </c>
      <c r="J20" s="378">
        <f>VLOOKUP($E$9,MATE!$A$10:$BG$167,57,0)</f>
        <v>0.31</v>
      </c>
      <c r="K20" s="378">
        <f>VLOOKUP($E$9,MATE!$A$10:$BG$167,58,0)</f>
        <v>0.51</v>
      </c>
      <c r="L20" s="378">
        <f>VLOOKUP($E$9,MATE!$A$10:$BG$167,59,0)</f>
        <v>0.5</v>
      </c>
      <c r="M20" s="154"/>
    </row>
    <row r="21" spans="1:13" ht="21" x14ac:dyDescent="0.3">
      <c r="A21" s="154"/>
      <c r="B21" s="154"/>
      <c r="C21" s="154"/>
      <c r="D21" s="154"/>
      <c r="E21" s="154"/>
      <c r="F21" s="154"/>
      <c r="G21" s="154"/>
      <c r="H21" s="154"/>
      <c r="I21" s="160">
        <v>2022</v>
      </c>
      <c r="J21" s="378">
        <f>VLOOKUP($E$9,MATE!$A$10:$BR$167,70,0)</f>
        <v>0.32</v>
      </c>
      <c r="K21" s="378">
        <f>VLOOKUP($E$9,MATE!$A$10:$BR$167,68,0)</f>
        <v>0.47</v>
      </c>
      <c r="L21" s="378">
        <f>VLOOKUP($E$9,MATE!$A$10:$BR$167,69,0)</f>
        <v>0.57999999999999996</v>
      </c>
      <c r="M21" s="154"/>
    </row>
    <row r="22" spans="1:13" ht="21" x14ac:dyDescent="0.35">
      <c r="A22" s="154"/>
      <c r="B22" s="154"/>
      <c r="C22" s="154"/>
      <c r="D22" s="157"/>
      <c r="E22" s="157"/>
      <c r="F22" s="157"/>
      <c r="G22" s="158"/>
      <c r="H22" s="158"/>
      <c r="I22" s="160">
        <v>2023</v>
      </c>
      <c r="J22" s="378">
        <f>VLOOKUP($E$9,MATE!$A$10:$CC$167,80,0)</f>
        <v>0.33</v>
      </c>
      <c r="K22" s="378">
        <f>VLOOKUP($E$9,MATE!$A$10:$CC$167,81,0)</f>
        <v>0.56000000000000005</v>
      </c>
      <c r="L22" s="378">
        <f>VLOOKUP($E$9,MATE!$A$10:$CC$167,79,0)</f>
        <v>0.6</v>
      </c>
      <c r="M22" s="154"/>
    </row>
    <row r="23" spans="1:13" x14ac:dyDescent="0.3">
      <c r="A23" s="154"/>
      <c r="B23" s="154"/>
      <c r="C23" s="154"/>
      <c r="D23" s="154"/>
      <c r="E23" s="154"/>
      <c r="F23" s="154"/>
      <c r="G23" s="154"/>
      <c r="H23" s="154"/>
      <c r="I23" s="154"/>
      <c r="J23" s="154"/>
      <c r="K23" s="154"/>
      <c r="L23" s="154"/>
      <c r="M23" s="154"/>
    </row>
    <row r="24" spans="1:13" ht="28.8" customHeight="1" x14ac:dyDescent="0.3">
      <c r="A24" s="154"/>
      <c r="B24" s="598" t="s">
        <v>1034</v>
      </c>
      <c r="C24" s="596"/>
      <c r="D24" s="596"/>
      <c r="E24" s="596"/>
      <c r="F24" s="596"/>
      <c r="G24" s="596"/>
      <c r="H24" s="596"/>
      <c r="I24" s="596"/>
      <c r="J24" s="596"/>
      <c r="K24" s="596"/>
      <c r="L24" s="596"/>
      <c r="M24" s="154"/>
    </row>
    <row r="25" spans="1:13" ht="174.6" customHeight="1" x14ac:dyDescent="0.3">
      <c r="A25" s="154"/>
      <c r="B25" s="906" t="s">
        <v>1044</v>
      </c>
      <c r="C25" s="906"/>
      <c r="D25" s="906"/>
      <c r="E25" s="906"/>
      <c r="F25" s="906"/>
      <c r="G25" s="906"/>
      <c r="H25" s="906"/>
      <c r="I25" s="906"/>
      <c r="J25" s="906"/>
      <c r="K25" s="906"/>
      <c r="L25" s="906"/>
      <c r="M25" s="154"/>
    </row>
    <row r="26" spans="1:13" ht="238.8" customHeight="1" x14ac:dyDescent="0.3">
      <c r="A26" s="154"/>
      <c r="B26" s="906"/>
      <c r="C26" s="906"/>
      <c r="D26" s="906"/>
      <c r="E26" s="906"/>
      <c r="F26" s="906"/>
      <c r="G26" s="906"/>
      <c r="H26" s="906"/>
      <c r="I26" s="906"/>
      <c r="J26" s="906"/>
      <c r="K26" s="906"/>
      <c r="L26" s="906"/>
      <c r="M26" s="154"/>
    </row>
    <row r="27" spans="1:13" ht="26.25" customHeight="1" x14ac:dyDescent="0.3">
      <c r="A27" s="154"/>
      <c r="B27" s="154"/>
      <c r="C27" s="154"/>
      <c r="D27" s="154"/>
      <c r="E27" s="154"/>
      <c r="F27" s="154"/>
      <c r="G27" s="154"/>
      <c r="H27" s="154"/>
      <c r="I27" s="154"/>
      <c r="J27" s="154"/>
      <c r="K27" s="154"/>
      <c r="L27" s="154"/>
      <c r="M27" s="154"/>
    </row>
    <row r="28" spans="1:13" x14ac:dyDescent="0.3">
      <c r="A28" s="154"/>
      <c r="B28" s="154"/>
      <c r="C28" s="154"/>
      <c r="D28" s="154"/>
      <c r="E28" s="154"/>
      <c r="F28" s="154"/>
      <c r="G28" s="154"/>
      <c r="H28" s="154"/>
      <c r="I28" s="154"/>
      <c r="J28" s="154"/>
      <c r="K28" s="154"/>
      <c r="L28" s="154"/>
      <c r="M28" s="154"/>
    </row>
    <row r="29" spans="1:13" ht="15.75" customHeight="1" x14ac:dyDescent="0.3">
      <c r="A29" s="154"/>
      <c r="B29" s="900" t="s">
        <v>975</v>
      </c>
      <c r="C29" s="900"/>
      <c r="D29" s="900"/>
      <c r="E29" s="900"/>
      <c r="F29" s="900"/>
      <c r="G29" s="900"/>
      <c r="H29" s="900"/>
      <c r="I29" s="900"/>
      <c r="J29" s="900"/>
      <c r="K29" s="900"/>
      <c r="L29" s="900"/>
      <c r="M29" s="154"/>
    </row>
  </sheetData>
  <sheetProtection algorithmName="SHA-512" hashValue="fb77E1wQZLXRp2hEXchaltIGmIlmUR1kUhsUKeF9J4pKBzHJWDcfeYuxXCiGi1tSNbTUx8jk5XpYzV2HP2Vd5g==" saltValue="5o0BtdQEZWeJ5b3RTBelRQ==" spinCount="100000" sheet="1" objects="1" scenarios="1"/>
  <mergeCells count="5">
    <mergeCell ref="B29:L29"/>
    <mergeCell ref="I11:L11"/>
    <mergeCell ref="B6:L6"/>
    <mergeCell ref="E9:L9"/>
    <mergeCell ref="B25:L26"/>
  </mergeCells>
  <conditionalFormatting sqref="J15:L19">
    <cfRule type="cellIs" dxfId="109" priority="21" operator="equal">
      <formula>0</formula>
    </cfRule>
    <cfRule type="cellIs" dxfId="108" priority="22" operator="between">
      <formula>0.7</formula>
      <formula>1</formula>
    </cfRule>
    <cfRule type="cellIs" dxfId="107" priority="23" operator="between">
      <formula>0.4</formula>
      <formula>0.69</formula>
    </cfRule>
    <cfRule type="cellIs" dxfId="106" priority="24" operator="between">
      <formula>0.2</formula>
      <formula>0.39</formula>
    </cfRule>
    <cfRule type="cellIs" dxfId="105" priority="25" operator="between">
      <formula>0.01</formula>
      <formula>0.19</formula>
    </cfRule>
  </conditionalFormatting>
  <conditionalFormatting sqref="J20:L20">
    <cfRule type="cellIs" dxfId="104" priority="16" operator="equal">
      <formula>0</formula>
    </cfRule>
    <cfRule type="cellIs" dxfId="103" priority="17" operator="between">
      <formula>0.7</formula>
      <formula>1</formula>
    </cfRule>
    <cfRule type="cellIs" dxfId="102" priority="18" operator="between">
      <formula>0.4</formula>
      <formula>0.69</formula>
    </cfRule>
    <cfRule type="cellIs" dxfId="101" priority="19" operator="between">
      <formula>0.2</formula>
      <formula>0.39</formula>
    </cfRule>
    <cfRule type="cellIs" dxfId="100" priority="20" operator="between">
      <formula>0.01</formula>
      <formula>0.19</formula>
    </cfRule>
  </conditionalFormatting>
  <conditionalFormatting sqref="J21:L21">
    <cfRule type="cellIs" dxfId="99" priority="11" operator="equal">
      <formula>0</formula>
    </cfRule>
    <cfRule type="cellIs" dxfId="98" priority="12" operator="between">
      <formula>0.7</formula>
      <formula>1</formula>
    </cfRule>
    <cfRule type="cellIs" dxfId="97" priority="13" operator="between">
      <formula>0.4</formula>
      <formula>0.69</formula>
    </cfRule>
    <cfRule type="cellIs" dxfId="96" priority="14" operator="between">
      <formula>0.2</formula>
      <formula>0.39</formula>
    </cfRule>
    <cfRule type="cellIs" dxfId="95" priority="15" operator="between">
      <formula>0.01</formula>
      <formula>0.19</formula>
    </cfRule>
  </conditionalFormatting>
  <conditionalFormatting sqref="J22:L22">
    <cfRule type="cellIs" dxfId="94" priority="1" operator="equal">
      <formula>0</formula>
    </cfRule>
    <cfRule type="cellIs" dxfId="93" priority="2" operator="between">
      <formula>0.7</formula>
      <formula>1</formula>
    </cfRule>
    <cfRule type="cellIs" dxfId="92" priority="3" operator="between">
      <formula>0.4</formula>
      <formula>0.69</formula>
    </cfRule>
    <cfRule type="cellIs" dxfId="91" priority="4" operator="between">
      <formula>0.2</formula>
      <formula>0.39</formula>
    </cfRule>
    <cfRule type="cellIs" dxfId="90" priority="5" operator="between">
      <formula>0.01</formula>
      <formula>0.19</formula>
    </cfRule>
  </conditionalFormatting>
  <pageMargins left="0.39370078740157483" right="0.39370078740157483" top="0.39370078740157483" bottom="0.39370078740157483" header="0.31496062992125984" footer="0.31496062992125984"/>
  <pageSetup paperSize="14" scale="60"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EE393F7C-1A0A-46BE-9A87-18361F4A0CB0}">
          <x14:formula1>
            <xm:f>PGLOBAL!$A$10:$A$167</xm:f>
          </x14:formula1>
          <xm:sqref>E9:F9</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82EF9C-4F94-4882-9CC7-6AC0262098CB}">
  <sheetPr codeName="Hoja13">
    <tabColor rgb="FFF16B2F"/>
    <pageSetUpPr fitToPage="1"/>
  </sheetPr>
  <dimension ref="A1:M110"/>
  <sheetViews>
    <sheetView topLeftCell="A7" zoomScale="59" zoomScaleNormal="59" workbookViewId="0">
      <selection activeCell="J22" sqref="J22"/>
    </sheetView>
  </sheetViews>
  <sheetFormatPr baseColWidth="10" defaultColWidth="12.5546875" defaultRowHeight="15.6" x14ac:dyDescent="0.3"/>
  <cols>
    <col min="1" max="1" width="5.33203125" style="155" customWidth="1"/>
    <col min="2" max="2" width="12.5546875" style="155"/>
    <col min="3" max="3" width="15.44140625" style="155" customWidth="1"/>
    <col min="4" max="4" width="36.6640625" style="155" customWidth="1"/>
    <col min="5" max="6" width="36.77734375" style="155" customWidth="1"/>
    <col min="7" max="8" width="36.6640625" style="155" customWidth="1"/>
    <col min="9" max="9" width="36.77734375" style="155" customWidth="1"/>
    <col min="10" max="10" width="5.88671875" style="155" customWidth="1"/>
    <col min="11" max="11" width="3.109375" style="155" customWidth="1"/>
    <col min="12" max="16384" width="12.5546875" style="155"/>
  </cols>
  <sheetData>
    <row r="1" spans="1:13" x14ac:dyDescent="0.3">
      <c r="A1" s="154"/>
      <c r="B1" s="154"/>
      <c r="C1" s="154"/>
      <c r="D1" s="154"/>
      <c r="E1" s="154"/>
      <c r="F1" s="154"/>
      <c r="G1" s="154"/>
      <c r="H1" s="154"/>
      <c r="I1" s="154"/>
      <c r="J1" s="154"/>
      <c r="K1" s="154"/>
      <c r="L1" s="154"/>
    </row>
    <row r="2" spans="1:13" x14ac:dyDescent="0.3">
      <c r="A2" s="154"/>
      <c r="B2" s="154"/>
      <c r="C2" s="154"/>
      <c r="D2" s="154"/>
      <c r="E2" s="154"/>
      <c r="F2" s="154"/>
      <c r="G2" s="154"/>
      <c r="H2" s="154"/>
      <c r="I2" s="154"/>
      <c r="J2" s="154"/>
      <c r="K2" s="154"/>
      <c r="L2" s="154"/>
    </row>
    <row r="3" spans="1:13" x14ac:dyDescent="0.3">
      <c r="A3" s="154"/>
      <c r="B3" s="154"/>
      <c r="C3" s="154"/>
      <c r="D3" s="154"/>
      <c r="E3" s="154"/>
      <c r="F3" s="154"/>
      <c r="G3" s="154"/>
      <c r="H3" s="154"/>
      <c r="I3" s="154"/>
      <c r="J3" s="154"/>
      <c r="K3" s="154"/>
      <c r="L3" s="154"/>
    </row>
    <row r="4" spans="1:13" x14ac:dyDescent="0.3">
      <c r="A4" s="154"/>
      <c r="B4" s="154"/>
      <c r="C4" s="154"/>
      <c r="D4" s="154"/>
      <c r="E4" s="154"/>
      <c r="F4" s="154"/>
      <c r="G4" s="154"/>
      <c r="H4" s="154"/>
      <c r="I4" s="154"/>
      <c r="J4" s="154"/>
      <c r="K4" s="154"/>
      <c r="L4" s="154"/>
    </row>
    <row r="5" spans="1:13" ht="58.2" customHeight="1" x14ac:dyDescent="0.3">
      <c r="A5" s="154"/>
      <c r="B5" s="154"/>
      <c r="C5" s="154"/>
      <c r="D5" s="154"/>
      <c r="E5" s="154"/>
      <c r="F5" s="154"/>
      <c r="G5" s="154"/>
      <c r="H5" s="154"/>
      <c r="I5" s="154"/>
      <c r="J5" s="154"/>
      <c r="K5" s="154"/>
      <c r="L5" s="154"/>
    </row>
    <row r="6" spans="1:13" ht="41.25" customHeight="1" x14ac:dyDescent="0.3">
      <c r="A6" s="154"/>
      <c r="B6" s="902" t="s">
        <v>898</v>
      </c>
      <c r="C6" s="902"/>
      <c r="D6" s="902"/>
      <c r="E6" s="902"/>
      <c r="F6" s="902"/>
      <c r="G6" s="902"/>
      <c r="H6" s="902"/>
      <c r="I6" s="902"/>
      <c r="J6" s="325"/>
      <c r="K6" s="325"/>
      <c r="L6" s="154"/>
    </row>
    <row r="7" spans="1:13" x14ac:dyDescent="0.3">
      <c r="A7" s="154"/>
      <c r="B7" s="154"/>
      <c r="C7" s="154"/>
      <c r="D7" s="154"/>
      <c r="E7" s="154"/>
      <c r="F7" s="154"/>
      <c r="G7" s="154"/>
      <c r="H7" s="154"/>
      <c r="I7" s="154"/>
      <c r="J7" s="154"/>
      <c r="K7" s="154"/>
      <c r="L7" s="154"/>
    </row>
    <row r="8" spans="1:13" ht="19.5" customHeight="1" thickBot="1" x14ac:dyDescent="0.35">
      <c r="A8" s="154"/>
      <c r="B8" s="154"/>
      <c r="C8" s="154"/>
      <c r="D8" s="154"/>
      <c r="E8" s="154"/>
      <c r="F8" s="154"/>
      <c r="G8" s="154"/>
      <c r="H8" s="154"/>
      <c r="I8" s="154"/>
      <c r="J8" s="154"/>
      <c r="K8" s="154"/>
      <c r="L8" s="154"/>
    </row>
    <row r="9" spans="1:13" ht="40.5" customHeight="1" thickBot="1" x14ac:dyDescent="0.35">
      <c r="A9" s="154"/>
      <c r="B9" s="322" t="s">
        <v>895</v>
      </c>
      <c r="C9" s="322"/>
      <c r="D9" s="322"/>
      <c r="E9" s="913" t="str">
        <f>PuntajeGlobal!E9</f>
        <v>INSTITUCION EDUCATIVA EDUARDO SANTOS</v>
      </c>
      <c r="F9" s="914"/>
      <c r="G9" s="914"/>
      <c r="H9" s="914"/>
      <c r="I9" s="915"/>
      <c r="J9" s="154"/>
      <c r="K9" s="154"/>
      <c r="L9" s="154"/>
    </row>
    <row r="10" spans="1:13" ht="18" x14ac:dyDescent="0.35">
      <c r="A10" s="154"/>
      <c r="B10" s="158"/>
      <c r="C10" s="158"/>
      <c r="D10" s="158"/>
      <c r="E10" s="158"/>
      <c r="F10" s="158"/>
      <c r="G10" s="154"/>
      <c r="H10" s="154"/>
      <c r="I10" s="154"/>
      <c r="J10" s="174"/>
      <c r="K10" s="174"/>
      <c r="L10" s="174"/>
      <c r="M10" s="321"/>
    </row>
    <row r="11" spans="1:13" ht="33" customHeight="1" x14ac:dyDescent="0.35">
      <c r="A11" s="154"/>
      <c r="B11" s="158"/>
      <c r="C11" s="907" t="s">
        <v>899</v>
      </c>
      <c r="D11" s="908"/>
      <c r="E11" s="908"/>
      <c r="F11" s="908"/>
      <c r="G11" s="908"/>
      <c r="H11" s="908"/>
      <c r="I11" s="909"/>
      <c r="J11" s="174"/>
      <c r="K11" s="174"/>
      <c r="L11" s="174"/>
      <c r="M11" s="321"/>
    </row>
    <row r="12" spans="1:13" ht="27.9" customHeight="1" x14ac:dyDescent="0.35">
      <c r="A12" s="154"/>
      <c r="B12" s="158"/>
      <c r="C12" s="162" t="s">
        <v>893</v>
      </c>
      <c r="D12" s="910" t="s">
        <v>1105</v>
      </c>
      <c r="E12" s="911"/>
      <c r="F12" s="910" t="s">
        <v>1106</v>
      </c>
      <c r="G12" s="911"/>
      <c r="H12" s="910" t="s">
        <v>1107</v>
      </c>
      <c r="I12" s="911"/>
      <c r="J12" s="174"/>
      <c r="K12" s="174"/>
      <c r="L12" s="174"/>
      <c r="M12" s="321"/>
    </row>
    <row r="13" spans="1:13" ht="52.8" x14ac:dyDescent="0.3">
      <c r="A13" s="154"/>
      <c r="B13" s="154"/>
      <c r="C13" s="159" t="s">
        <v>894</v>
      </c>
      <c r="D13" s="606" t="s">
        <v>371</v>
      </c>
      <c r="E13" s="606" t="s">
        <v>372</v>
      </c>
      <c r="F13" s="606" t="s">
        <v>373</v>
      </c>
      <c r="G13" s="606" t="s">
        <v>374</v>
      </c>
      <c r="H13" s="606" t="s">
        <v>375</v>
      </c>
      <c r="I13" s="606" t="s">
        <v>376</v>
      </c>
      <c r="J13" s="174"/>
      <c r="K13" s="174"/>
      <c r="L13" s="174"/>
      <c r="M13" s="321"/>
    </row>
    <row r="14" spans="1:13" ht="141" customHeight="1" x14ac:dyDescent="0.3">
      <c r="A14" s="154"/>
      <c r="B14" s="154"/>
      <c r="C14" s="585"/>
      <c r="D14" s="607" t="s">
        <v>1046</v>
      </c>
      <c r="E14" s="607" t="s">
        <v>1047</v>
      </c>
      <c r="F14" s="607" t="s">
        <v>1048</v>
      </c>
      <c r="G14" s="607" t="s">
        <v>1049</v>
      </c>
      <c r="H14" s="607" t="s">
        <v>1050</v>
      </c>
      <c r="I14" s="607" t="s">
        <v>1051</v>
      </c>
      <c r="J14" s="174"/>
      <c r="K14" s="174"/>
      <c r="L14" s="174"/>
      <c r="M14" s="321"/>
    </row>
    <row r="15" spans="1:13" ht="21" x14ac:dyDescent="0.3">
      <c r="A15" s="154"/>
      <c r="B15" s="154"/>
      <c r="C15" s="160">
        <v>2016</v>
      </c>
      <c r="D15" s="161">
        <f>VLOOKUP($E$9,SyC!$A$10:$BK$167,14,0)</f>
        <v>0.43</v>
      </c>
      <c r="E15" s="330">
        <f>VLOOKUP($E$9,SyC!$A$10:$BK$167,15,0)</f>
        <v>0.43</v>
      </c>
      <c r="F15" s="161">
        <f>VLOOKUP($E$9,SyC!$A$10:$BK$167,10,0)</f>
        <v>0.54</v>
      </c>
      <c r="G15" s="330">
        <f>VLOOKUP($E$9,SyC!$A$10:$BK$167,11,0)</f>
        <v>0.48</v>
      </c>
      <c r="H15" s="330">
        <f>VLOOKUP($E$9,SyC!$A$10:$BK$167,12,0)</f>
        <v>0.6</v>
      </c>
      <c r="I15" s="330">
        <f>VLOOKUP($E$9,SyC!$A$10:$BK$167,13,0)</f>
        <v>0.33</v>
      </c>
      <c r="J15" s="174"/>
      <c r="K15" s="174"/>
      <c r="L15" s="174"/>
      <c r="M15" s="321"/>
    </row>
    <row r="16" spans="1:13" ht="21" x14ac:dyDescent="0.35">
      <c r="A16" s="154"/>
      <c r="B16" s="158"/>
      <c r="C16" s="160">
        <v>2017</v>
      </c>
      <c r="D16" s="161">
        <f>VLOOKUP($E$9,SyC!$A$10:$BK$167,26,0)</f>
        <v>0.44</v>
      </c>
      <c r="E16" s="330">
        <f>VLOOKUP($E$9,SyC!$A$10:$BK$167,27,0)</f>
        <v>0.51</v>
      </c>
      <c r="F16" s="161">
        <f>VLOOKUP($E$9,SyC!$A$10:$BK$167,22,0)</f>
        <v>0.42</v>
      </c>
      <c r="G16" s="330">
        <f>VLOOKUP($E$9,SyC!$A$10:$BK$167,23,0)</f>
        <v>0.51</v>
      </c>
      <c r="H16" s="330">
        <f>VLOOKUP($E$9,SyC!$A$10:$BK$167,24,0)</f>
        <v>0.54</v>
      </c>
      <c r="I16" s="330">
        <f>VLOOKUP($E$9,SyC!$A$10:$BK$167,25,0)</f>
        <v>0.48</v>
      </c>
      <c r="J16" s="174"/>
      <c r="K16" s="174"/>
      <c r="L16" s="174"/>
      <c r="M16" s="321"/>
    </row>
    <row r="17" spans="1:12" ht="21" x14ac:dyDescent="0.3">
      <c r="A17" s="154"/>
      <c r="B17" s="154"/>
      <c r="C17" s="160">
        <v>2018</v>
      </c>
      <c r="D17" s="163">
        <f>VLOOKUP($E$9,SyC!$A$10:$BK$167,34,0)</f>
        <v>0.48</v>
      </c>
      <c r="E17" s="163">
        <f>VLOOKUP($E$9,SyC!$A$10:$BK$167,38,0)</f>
        <v>0.62</v>
      </c>
      <c r="F17" s="163">
        <f>VLOOKUP($E$9,SyC!$A$10:$BK$167,37,0)</f>
        <v>0.54</v>
      </c>
      <c r="G17" s="163">
        <f>VLOOKUP($E$9,SyC!$A$10:$BK$167,35,0)</f>
        <v>0.51</v>
      </c>
      <c r="H17" s="163">
        <f>VLOOKUP($E$9,SyC!$A$10:$BK$167,39,0)</f>
        <v>0.55000000000000004</v>
      </c>
      <c r="I17" s="163">
        <f>VLOOKUP($E$9,SyC!$A$10:$BK$167,36,0)</f>
        <v>0.45</v>
      </c>
      <c r="J17" s="154"/>
      <c r="K17" s="154"/>
      <c r="L17" s="154"/>
    </row>
    <row r="18" spans="1:12" ht="21" x14ac:dyDescent="0.3">
      <c r="A18" s="154"/>
      <c r="B18" s="154"/>
      <c r="C18" s="160">
        <v>2019</v>
      </c>
      <c r="D18" s="163">
        <f>VLOOKUP($E$9,SyC!$A$10:$BK$167,48,0)</f>
        <v>0.49</v>
      </c>
      <c r="E18" s="163">
        <f>VLOOKUP($E$9,SyC!$A$10:$BK$167,47,0)</f>
        <v>0.5</v>
      </c>
      <c r="F18" s="163">
        <f>VLOOKUP($E$9,SyC!$A$10:$BK$167,50,0)</f>
        <v>0.48</v>
      </c>
      <c r="G18" s="163">
        <f>VLOOKUP($E$9,SyC!$A$10:$BK$167,51,0)</f>
        <v>0.52</v>
      </c>
      <c r="H18" s="163">
        <f>VLOOKUP($E$9,SyC!$A$10:$BK$167,46,0)</f>
        <v>0.59</v>
      </c>
      <c r="I18" s="163">
        <f>VLOOKUP($E$9,SyC!$A$10:$BK$167,49,0)</f>
        <v>0.5</v>
      </c>
      <c r="J18" s="154"/>
      <c r="K18" s="154"/>
      <c r="L18" s="154"/>
    </row>
    <row r="19" spans="1:12" ht="21" x14ac:dyDescent="0.3">
      <c r="A19" s="154"/>
      <c r="B19" s="154"/>
      <c r="C19" s="160">
        <v>2020</v>
      </c>
      <c r="D19" s="163">
        <f>VLOOKUP($E$9,SyC!$A$10:$BK$167,62,0)</f>
        <v>0.45</v>
      </c>
      <c r="E19" s="163">
        <f>VLOOKUP($E$9,SyC!$A$10:$BK$167,58,0)</f>
        <v>0.5</v>
      </c>
      <c r="F19" s="163">
        <f>VLOOKUP($E$9,SyC!$A$10:$BK$167,60,0)</f>
        <v>0.51</v>
      </c>
      <c r="G19" s="163">
        <f>VLOOKUP($E$9,SyC!$A$10:$BK$167,63,0)</f>
        <v>0.45</v>
      </c>
      <c r="H19" s="163">
        <f>VLOOKUP($E$9,SyC!$A$10:$BK$167,61,0)</f>
        <v>0.61</v>
      </c>
      <c r="I19" s="163">
        <f>VLOOKUP($E$9,SyC!$A$10:$BK$167,59,0)</f>
        <v>0.48</v>
      </c>
      <c r="J19" s="154"/>
      <c r="K19" s="154"/>
      <c r="L19" s="154"/>
    </row>
    <row r="20" spans="1:12" ht="21" x14ac:dyDescent="0.3">
      <c r="A20" s="154"/>
      <c r="B20" s="154"/>
      <c r="C20" s="160">
        <v>2021</v>
      </c>
      <c r="D20" s="163">
        <f>VLOOKUP($E$9,SyC!$A$10:$BY$167,75,0)</f>
        <v>0.44</v>
      </c>
      <c r="E20" s="163">
        <f>VLOOKUP($E$9,SyC!$A$10:$BY$167,74,0)</f>
        <v>0.61</v>
      </c>
      <c r="F20" s="163">
        <f>VLOOKUP($E$9,SyC!$A$10:$BY$167,73,0)</f>
        <v>0.48</v>
      </c>
      <c r="G20" s="163">
        <f>VLOOKUP($E$9,SyC!$A$10:$BY$167,77,0)</f>
        <v>0.55000000000000004</v>
      </c>
      <c r="H20" s="163">
        <f>VLOOKUP($E$9,SyC!$A$10:$BY$167,72,0)</f>
        <v>0.5</v>
      </c>
      <c r="I20" s="163">
        <f>VLOOKUP($E$9,SyC!$A$10:$BY$167,76,0)</f>
        <v>0.48</v>
      </c>
      <c r="J20" s="154"/>
      <c r="K20" s="154"/>
      <c r="L20" s="154"/>
    </row>
    <row r="21" spans="1:12" ht="21" x14ac:dyDescent="0.3">
      <c r="A21" s="154"/>
      <c r="B21" s="154"/>
      <c r="C21" s="160">
        <v>2022</v>
      </c>
      <c r="D21" s="163">
        <f>VLOOKUP($E$9,SyC!$A$10:$CM$167,90,0)</f>
        <v>0.49</v>
      </c>
      <c r="E21" s="163">
        <f>VLOOKUP($E$9,SyC!$A$10:$CM$167,89,0)</f>
        <v>0.56000000000000005</v>
      </c>
      <c r="F21" s="163">
        <f>VLOOKUP($E$9,SyC!$A$10:$CM$167,88,0)</f>
        <v>0.56999999999999995</v>
      </c>
      <c r="G21" s="163">
        <f>VLOOKUP($E$9,SyC!$A$10:$CM$167,87,0)</f>
        <v>0.4</v>
      </c>
      <c r="H21" s="163">
        <f>VLOOKUP($E$9,SyC!$A$10:$CM$167,91,0)</f>
        <v>0.64</v>
      </c>
      <c r="I21" s="163">
        <f>VLOOKUP($E$9,SyC!$A$10:$CM$167,86,0)</f>
        <v>0.44</v>
      </c>
      <c r="J21" s="154"/>
      <c r="K21" s="154"/>
      <c r="L21" s="154"/>
    </row>
    <row r="22" spans="1:12" ht="21" x14ac:dyDescent="0.3">
      <c r="A22" s="154"/>
      <c r="B22" s="154"/>
      <c r="C22" s="160">
        <v>2023</v>
      </c>
      <c r="D22" s="163">
        <f>VLOOKUP($E$9,SyC!$A$10:$DA$167,100,0)</f>
        <v>0.36</v>
      </c>
      <c r="E22" s="163">
        <f>VLOOKUP($E$9,SyC!$A$10:$DA$167,104,0)</f>
        <v>0.65</v>
      </c>
      <c r="F22" s="163">
        <f>VLOOKUP($E$9,SyC!$A$10:$DA$167,102,0)</f>
        <v>0.59</v>
      </c>
      <c r="G22" s="163">
        <f>VLOOKUP($E$9,SyC!$A$10:$DA$167,105,0)</f>
        <v>0.56999999999999995</v>
      </c>
      <c r="H22" s="163">
        <f>VLOOKUP($E$9,SyC!$A$10:$DA$167,101,0)</f>
        <v>0.57999999999999996</v>
      </c>
      <c r="I22" s="163">
        <f>VLOOKUP($E$9,SyC!$A$10:$DA$167,103,0)</f>
        <v>0.65</v>
      </c>
      <c r="J22" s="154"/>
      <c r="K22" s="154"/>
      <c r="L22" s="154"/>
    </row>
    <row r="23" spans="1:12" x14ac:dyDescent="0.3">
      <c r="A23" s="154"/>
      <c r="B23" s="154"/>
      <c r="C23" s="154"/>
      <c r="D23" s="154"/>
      <c r="E23" s="154"/>
      <c r="F23" s="154"/>
      <c r="G23" s="154"/>
      <c r="H23" s="154"/>
      <c r="I23" s="154"/>
      <c r="J23" s="154"/>
      <c r="K23" s="154"/>
      <c r="L23" s="154"/>
    </row>
    <row r="24" spans="1:12" x14ac:dyDescent="0.3">
      <c r="A24" s="154"/>
      <c r="B24" s="154"/>
      <c r="C24" s="154"/>
      <c r="D24" s="154"/>
      <c r="E24" s="154"/>
      <c r="F24" s="154"/>
      <c r="G24" s="154"/>
      <c r="H24" s="154"/>
      <c r="I24" s="154"/>
      <c r="J24" s="154"/>
      <c r="K24" s="154"/>
      <c r="L24" s="154"/>
    </row>
    <row r="25" spans="1:12" ht="23.4" x14ac:dyDescent="0.45">
      <c r="A25" s="154"/>
      <c r="B25" s="912" t="str">
        <f>D12</f>
        <v>1. PENSAMIENTO SOCIAL 
(30% de las preguntas)</v>
      </c>
      <c r="C25" s="912"/>
      <c r="D25" s="912"/>
      <c r="E25" s="912"/>
      <c r="F25" s="154"/>
      <c r="G25" s="597" t="s">
        <v>1034</v>
      </c>
      <c r="H25" s="599"/>
      <c r="I25" s="599"/>
      <c r="J25" s="154"/>
      <c r="K25" s="154"/>
      <c r="L25" s="154"/>
    </row>
    <row r="26" spans="1:12" ht="18" customHeight="1" x14ac:dyDescent="0.35">
      <c r="A26" s="154"/>
      <c r="B26" s="158"/>
      <c r="C26" s="158"/>
      <c r="D26" s="158"/>
      <c r="E26" s="164"/>
      <c r="F26" s="164"/>
      <c r="G26" s="916" t="s">
        <v>1044</v>
      </c>
      <c r="H26" s="916"/>
      <c r="I26" s="916"/>
      <c r="J26" s="586"/>
      <c r="K26" s="586"/>
      <c r="L26" s="586"/>
    </row>
    <row r="27" spans="1:12" ht="15.6" customHeight="1" x14ac:dyDescent="0.3">
      <c r="A27" s="154"/>
      <c r="B27" s="154"/>
      <c r="C27" s="154"/>
      <c r="D27" s="154"/>
      <c r="E27" s="154"/>
      <c r="F27" s="154"/>
      <c r="G27" s="916"/>
      <c r="H27" s="916"/>
      <c r="I27" s="916"/>
      <c r="J27" s="586"/>
      <c r="K27" s="586"/>
      <c r="L27" s="586"/>
    </row>
    <row r="28" spans="1:12" ht="15.6" customHeight="1" x14ac:dyDescent="0.3">
      <c r="A28" s="154"/>
      <c r="B28" s="154"/>
      <c r="C28" s="154"/>
      <c r="D28" s="154"/>
      <c r="E28" s="154"/>
      <c r="F28" s="154"/>
      <c r="G28" s="916"/>
      <c r="H28" s="916"/>
      <c r="I28" s="916"/>
      <c r="J28" s="154"/>
      <c r="K28" s="154"/>
      <c r="L28" s="154"/>
    </row>
    <row r="29" spans="1:12" ht="15.6" customHeight="1" x14ac:dyDescent="0.3">
      <c r="A29" s="154"/>
      <c r="B29" s="154"/>
      <c r="C29" s="154"/>
      <c r="D29" s="154"/>
      <c r="E29" s="154"/>
      <c r="F29" s="154"/>
      <c r="G29" s="916"/>
      <c r="H29" s="916"/>
      <c r="I29" s="916"/>
      <c r="J29" s="154"/>
      <c r="K29" s="154"/>
      <c r="L29" s="154"/>
    </row>
    <row r="30" spans="1:12" ht="15.6" customHeight="1" x14ac:dyDescent="0.3">
      <c r="A30" s="154"/>
      <c r="B30" s="154"/>
      <c r="C30" s="154"/>
      <c r="D30" s="154"/>
      <c r="E30" s="154"/>
      <c r="F30" s="154"/>
      <c r="G30" s="916"/>
      <c r="H30" s="916"/>
      <c r="I30" s="916"/>
      <c r="J30" s="154"/>
      <c r="K30" s="154"/>
      <c r="L30" s="154"/>
    </row>
    <row r="31" spans="1:12" ht="15.6" customHeight="1" x14ac:dyDescent="0.3">
      <c r="A31" s="154"/>
      <c r="B31" s="154"/>
      <c r="C31" s="154"/>
      <c r="D31" s="154"/>
      <c r="E31" s="154"/>
      <c r="F31" s="154"/>
      <c r="G31" s="916"/>
      <c r="H31" s="916"/>
      <c r="I31" s="916"/>
      <c r="J31" s="154"/>
      <c r="K31" s="154"/>
      <c r="L31" s="154"/>
    </row>
    <row r="32" spans="1:12" ht="15.6" customHeight="1" x14ac:dyDescent="0.3">
      <c r="A32" s="154"/>
      <c r="B32" s="154"/>
      <c r="C32" s="154"/>
      <c r="D32" s="154"/>
      <c r="E32" s="154"/>
      <c r="F32" s="154"/>
      <c r="G32" s="916"/>
      <c r="H32" s="916"/>
      <c r="I32" s="916"/>
      <c r="J32" s="154"/>
      <c r="K32" s="154"/>
      <c r="L32" s="154"/>
    </row>
    <row r="33" spans="1:12" ht="15.6" customHeight="1" x14ac:dyDescent="0.3">
      <c r="A33" s="154"/>
      <c r="B33" s="154"/>
      <c r="C33" s="154"/>
      <c r="D33" s="154"/>
      <c r="E33" s="154"/>
      <c r="F33" s="154"/>
      <c r="G33" s="916"/>
      <c r="H33" s="916"/>
      <c r="I33" s="916"/>
      <c r="J33" s="154"/>
      <c r="K33" s="154"/>
      <c r="L33" s="154"/>
    </row>
    <row r="34" spans="1:12" ht="15.6" customHeight="1" x14ac:dyDescent="0.3">
      <c r="A34" s="154"/>
      <c r="B34" s="154"/>
      <c r="C34" s="154"/>
      <c r="D34" s="154"/>
      <c r="E34" s="154"/>
      <c r="F34" s="154"/>
      <c r="G34" s="916"/>
      <c r="H34" s="916"/>
      <c r="I34" s="916"/>
      <c r="J34" s="154"/>
      <c r="K34" s="154"/>
      <c r="L34" s="154"/>
    </row>
    <row r="35" spans="1:12" ht="15.6" customHeight="1" x14ac:dyDescent="0.3">
      <c r="A35" s="154"/>
      <c r="B35" s="154"/>
      <c r="C35" s="154"/>
      <c r="D35" s="154"/>
      <c r="E35" s="154"/>
      <c r="F35" s="154"/>
      <c r="G35" s="916"/>
      <c r="H35" s="916"/>
      <c r="I35" s="916"/>
      <c r="J35" s="154"/>
      <c r="K35" s="154"/>
      <c r="L35" s="154"/>
    </row>
    <row r="36" spans="1:12" ht="15.6" customHeight="1" x14ac:dyDescent="0.3">
      <c r="A36" s="154"/>
      <c r="B36" s="154"/>
      <c r="C36" s="154"/>
      <c r="D36" s="154"/>
      <c r="E36" s="154"/>
      <c r="F36" s="154"/>
      <c r="G36" s="916"/>
      <c r="H36" s="916"/>
      <c r="I36" s="916"/>
      <c r="J36" s="154"/>
      <c r="K36" s="154"/>
      <c r="L36" s="154"/>
    </row>
    <row r="37" spans="1:12" ht="15.6" customHeight="1" x14ac:dyDescent="0.3">
      <c r="A37" s="154"/>
      <c r="B37" s="154"/>
      <c r="C37" s="154"/>
      <c r="D37" s="154"/>
      <c r="E37" s="154"/>
      <c r="F37" s="154"/>
      <c r="G37" s="916"/>
      <c r="H37" s="916"/>
      <c r="I37" s="916"/>
      <c r="J37" s="154"/>
      <c r="K37" s="154"/>
      <c r="L37" s="154"/>
    </row>
    <row r="38" spans="1:12" ht="15.6" customHeight="1" x14ac:dyDescent="0.3">
      <c r="A38" s="154"/>
      <c r="B38" s="154"/>
      <c r="C38" s="154"/>
      <c r="D38" s="154"/>
      <c r="E38" s="154"/>
      <c r="F38" s="154"/>
      <c r="G38" s="916"/>
      <c r="H38" s="916"/>
      <c r="I38" s="916"/>
      <c r="J38" s="154"/>
      <c r="K38" s="154"/>
      <c r="L38" s="154"/>
    </row>
    <row r="39" spans="1:12" ht="15.6" customHeight="1" x14ac:dyDescent="0.3">
      <c r="A39" s="154"/>
      <c r="B39" s="154"/>
      <c r="C39" s="154"/>
      <c r="D39" s="154"/>
      <c r="E39" s="154"/>
      <c r="F39" s="154"/>
      <c r="G39" s="916"/>
      <c r="H39" s="916"/>
      <c r="I39" s="916"/>
      <c r="J39" s="154"/>
      <c r="K39" s="154"/>
      <c r="L39" s="154"/>
    </row>
    <row r="40" spans="1:12" ht="15.6" customHeight="1" x14ac:dyDescent="0.3">
      <c r="A40" s="154"/>
      <c r="B40" s="154"/>
      <c r="C40" s="154"/>
      <c r="D40" s="154"/>
      <c r="E40" s="154"/>
      <c r="F40" s="154"/>
      <c r="G40" s="916"/>
      <c r="H40" s="916"/>
      <c r="I40" s="916"/>
      <c r="J40" s="154"/>
      <c r="K40" s="154"/>
      <c r="L40" s="154"/>
    </row>
    <row r="41" spans="1:12" ht="15.6" customHeight="1" x14ac:dyDescent="0.3">
      <c r="A41" s="154"/>
      <c r="B41" s="154"/>
      <c r="C41" s="154"/>
      <c r="D41" s="154"/>
      <c r="E41" s="154"/>
      <c r="F41" s="154"/>
      <c r="G41" s="916"/>
      <c r="H41" s="916"/>
      <c r="I41" s="916"/>
      <c r="J41" s="154"/>
      <c r="K41" s="154"/>
      <c r="L41" s="154"/>
    </row>
    <row r="42" spans="1:12" ht="15.6" customHeight="1" x14ac:dyDescent="0.3">
      <c r="A42" s="154"/>
      <c r="B42" s="154"/>
      <c r="C42" s="154"/>
      <c r="D42" s="154"/>
      <c r="E42" s="154"/>
      <c r="F42" s="154"/>
      <c r="G42" s="916"/>
      <c r="H42" s="916"/>
      <c r="I42" s="916"/>
      <c r="J42" s="154"/>
      <c r="K42" s="154"/>
      <c r="L42" s="154"/>
    </row>
    <row r="43" spans="1:12" ht="15.6" customHeight="1" x14ac:dyDescent="0.3">
      <c r="A43" s="154"/>
      <c r="B43" s="154"/>
      <c r="C43" s="154"/>
      <c r="D43" s="154"/>
      <c r="E43" s="154"/>
      <c r="F43" s="154"/>
      <c r="G43" s="916"/>
      <c r="H43" s="916"/>
      <c r="I43" s="916"/>
      <c r="J43" s="154"/>
      <c r="K43" s="154"/>
      <c r="L43" s="154"/>
    </row>
    <row r="44" spans="1:12" ht="15.6" customHeight="1" x14ac:dyDescent="0.3">
      <c r="A44" s="154"/>
      <c r="B44" s="154"/>
      <c r="C44" s="154"/>
      <c r="D44" s="154"/>
      <c r="E44" s="154"/>
      <c r="F44" s="154"/>
      <c r="G44" s="916"/>
      <c r="H44" s="916"/>
      <c r="I44" s="916"/>
      <c r="J44" s="154"/>
      <c r="K44" s="154"/>
      <c r="L44" s="154"/>
    </row>
    <row r="45" spans="1:12" ht="15.6" customHeight="1" x14ac:dyDescent="0.3">
      <c r="A45" s="154"/>
      <c r="B45" s="154"/>
      <c r="C45" s="154"/>
      <c r="D45" s="154"/>
      <c r="E45" s="154"/>
      <c r="F45" s="154"/>
      <c r="G45" s="916"/>
      <c r="H45" s="916"/>
      <c r="I45" s="916"/>
      <c r="J45" s="154"/>
      <c r="K45" s="154"/>
      <c r="L45" s="154"/>
    </row>
    <row r="46" spans="1:12" ht="15.6" customHeight="1" x14ac:dyDescent="0.3">
      <c r="A46" s="154"/>
      <c r="B46" s="154"/>
      <c r="C46" s="154"/>
      <c r="D46" s="154"/>
      <c r="E46" s="154"/>
      <c r="F46" s="154"/>
      <c r="G46" s="916"/>
      <c r="H46" s="916"/>
      <c r="I46" s="916"/>
      <c r="J46" s="154"/>
      <c r="K46" s="154"/>
      <c r="L46" s="154"/>
    </row>
    <row r="47" spans="1:12" ht="15.6" customHeight="1" x14ac:dyDescent="0.3">
      <c r="A47" s="154"/>
      <c r="B47" s="154"/>
      <c r="C47" s="154"/>
      <c r="D47" s="154"/>
      <c r="E47" s="154"/>
      <c r="F47" s="154"/>
      <c r="G47" s="916"/>
      <c r="H47" s="916"/>
      <c r="I47" s="916"/>
      <c r="J47" s="154"/>
      <c r="K47" s="154"/>
      <c r="L47" s="154"/>
    </row>
    <row r="48" spans="1:12" ht="15.6" customHeight="1" x14ac:dyDescent="0.3">
      <c r="A48" s="154"/>
      <c r="B48" s="154"/>
      <c r="C48" s="154"/>
      <c r="D48" s="154"/>
      <c r="E48" s="154"/>
      <c r="F48" s="154"/>
      <c r="G48" s="916"/>
      <c r="H48" s="916"/>
      <c r="I48" s="916"/>
      <c r="J48" s="154"/>
      <c r="K48" s="154"/>
      <c r="L48" s="154"/>
    </row>
    <row r="49" spans="1:12" ht="15.6" customHeight="1" x14ac:dyDescent="0.3">
      <c r="A49" s="154"/>
      <c r="B49" s="154"/>
      <c r="C49" s="154"/>
      <c r="D49" s="154"/>
      <c r="E49" s="154"/>
      <c r="F49" s="154"/>
      <c r="G49" s="916"/>
      <c r="H49" s="916"/>
      <c r="I49" s="916"/>
      <c r="J49" s="154"/>
      <c r="K49" s="154"/>
      <c r="L49" s="154"/>
    </row>
    <row r="50" spans="1:12" ht="15.6" customHeight="1" x14ac:dyDescent="0.3">
      <c r="A50" s="154"/>
      <c r="B50" s="154"/>
      <c r="C50" s="154"/>
      <c r="D50" s="154"/>
      <c r="E50" s="154"/>
      <c r="F50" s="154"/>
      <c r="G50" s="916"/>
      <c r="H50" s="916"/>
      <c r="I50" s="916"/>
      <c r="J50" s="154"/>
      <c r="K50" s="154"/>
      <c r="L50" s="154"/>
    </row>
    <row r="51" spans="1:12" ht="15.6" customHeight="1" x14ac:dyDescent="0.3">
      <c r="A51" s="154"/>
      <c r="B51" s="154"/>
      <c r="C51" s="154"/>
      <c r="D51" s="154"/>
      <c r="E51" s="154"/>
      <c r="F51" s="154"/>
      <c r="G51" s="916"/>
      <c r="H51" s="916"/>
      <c r="I51" s="916"/>
      <c r="J51" s="154"/>
      <c r="K51" s="154"/>
      <c r="L51" s="154"/>
    </row>
    <row r="52" spans="1:12" ht="15.6" customHeight="1" x14ac:dyDescent="0.3">
      <c r="A52" s="154"/>
      <c r="B52" s="154"/>
      <c r="C52" s="154"/>
      <c r="D52" s="154"/>
      <c r="E52" s="154"/>
      <c r="F52" s="154"/>
      <c r="G52" s="916"/>
      <c r="H52" s="916"/>
      <c r="I52" s="916"/>
      <c r="J52" s="154"/>
      <c r="K52" s="154"/>
      <c r="L52" s="154"/>
    </row>
    <row r="53" spans="1:12" ht="23.4" x14ac:dyDescent="0.45">
      <c r="A53" s="154"/>
      <c r="B53" s="912" t="str">
        <f>F12</f>
        <v>2. INTERPRETACIÓN Y ANÁLISIS DE PERSPECTIVAS 
(40% de las preguntas)</v>
      </c>
      <c r="C53" s="912"/>
      <c r="D53" s="912"/>
      <c r="E53" s="912"/>
      <c r="F53" s="154"/>
      <c r="G53" s="916"/>
      <c r="H53" s="916"/>
      <c r="I53" s="916"/>
      <c r="J53" s="154"/>
      <c r="K53" s="154"/>
      <c r="L53" s="154"/>
    </row>
    <row r="54" spans="1:12" ht="15.6" customHeight="1" x14ac:dyDescent="0.3">
      <c r="A54" s="154"/>
      <c r="B54" s="154"/>
      <c r="C54" s="154"/>
      <c r="D54" s="154"/>
      <c r="E54" s="154"/>
      <c r="F54" s="154"/>
      <c r="G54" s="916"/>
      <c r="H54" s="916"/>
      <c r="I54" s="916"/>
      <c r="J54" s="154"/>
      <c r="K54" s="154"/>
      <c r="L54" s="154"/>
    </row>
    <row r="55" spans="1:12" ht="15.6" customHeight="1" x14ac:dyDescent="0.3">
      <c r="A55" s="154"/>
      <c r="B55" s="154"/>
      <c r="C55" s="154"/>
      <c r="D55" s="154"/>
      <c r="E55" s="154"/>
      <c r="F55" s="154"/>
      <c r="G55" s="916"/>
      <c r="H55" s="916"/>
      <c r="I55" s="916"/>
      <c r="J55" s="154"/>
      <c r="K55" s="154"/>
      <c r="L55" s="154"/>
    </row>
    <row r="56" spans="1:12" ht="15.6" customHeight="1" x14ac:dyDescent="0.3">
      <c r="A56" s="154"/>
      <c r="B56" s="154"/>
      <c r="C56" s="154"/>
      <c r="D56" s="154"/>
      <c r="E56" s="154"/>
      <c r="F56" s="154"/>
      <c r="G56" s="916"/>
      <c r="H56" s="916"/>
      <c r="I56" s="916"/>
      <c r="J56" s="154"/>
      <c r="K56" s="154"/>
      <c r="L56" s="154"/>
    </row>
    <row r="57" spans="1:12" ht="15.6" customHeight="1" x14ac:dyDescent="0.3">
      <c r="A57" s="154"/>
      <c r="B57" s="154"/>
      <c r="C57" s="154"/>
      <c r="D57" s="154"/>
      <c r="E57" s="154"/>
      <c r="F57" s="154"/>
      <c r="G57" s="916"/>
      <c r="H57" s="916"/>
      <c r="I57" s="916"/>
      <c r="J57" s="154"/>
      <c r="K57" s="154"/>
      <c r="L57" s="154"/>
    </row>
    <row r="58" spans="1:12" ht="15.6" customHeight="1" x14ac:dyDescent="0.3">
      <c r="A58" s="154"/>
      <c r="B58" s="154"/>
      <c r="C58" s="154"/>
      <c r="D58" s="154"/>
      <c r="E58" s="154"/>
      <c r="F58" s="154"/>
      <c r="G58" s="916"/>
      <c r="H58" s="916"/>
      <c r="I58" s="916"/>
      <c r="J58" s="154"/>
      <c r="K58" s="154"/>
      <c r="L58" s="154"/>
    </row>
    <row r="59" spans="1:12" ht="15.6" customHeight="1" x14ac:dyDescent="0.3">
      <c r="A59" s="154"/>
      <c r="B59" s="154"/>
      <c r="C59" s="154"/>
      <c r="D59" s="154"/>
      <c r="E59" s="154"/>
      <c r="F59" s="154"/>
      <c r="G59" s="916"/>
      <c r="H59" s="916"/>
      <c r="I59" s="916"/>
      <c r="J59" s="154"/>
      <c r="K59" s="154"/>
      <c r="L59" s="154"/>
    </row>
    <row r="60" spans="1:12" ht="15.6" customHeight="1" x14ac:dyDescent="0.3">
      <c r="A60" s="154"/>
      <c r="B60" s="154"/>
      <c r="C60" s="154"/>
      <c r="D60" s="154"/>
      <c r="E60" s="154"/>
      <c r="F60" s="154"/>
      <c r="G60" s="916"/>
      <c r="H60" s="916"/>
      <c r="I60" s="916"/>
      <c r="J60" s="154"/>
      <c r="K60" s="154"/>
      <c r="L60" s="154"/>
    </row>
    <row r="61" spans="1:12" ht="15.6" customHeight="1" x14ac:dyDescent="0.3">
      <c r="A61" s="154"/>
      <c r="B61" s="154"/>
      <c r="C61" s="154"/>
      <c r="D61" s="154"/>
      <c r="E61" s="154"/>
      <c r="F61" s="154"/>
      <c r="G61" s="916"/>
      <c r="H61" s="916"/>
      <c r="I61" s="916"/>
      <c r="J61" s="154"/>
      <c r="K61" s="154"/>
      <c r="L61" s="154"/>
    </row>
    <row r="62" spans="1:12" ht="15.6" customHeight="1" x14ac:dyDescent="0.3">
      <c r="A62" s="154"/>
      <c r="B62" s="154"/>
      <c r="C62" s="154"/>
      <c r="D62" s="154"/>
      <c r="E62" s="154"/>
      <c r="F62" s="154"/>
      <c r="G62" s="916"/>
      <c r="H62" s="916"/>
      <c r="I62" s="916"/>
      <c r="J62" s="154"/>
      <c r="K62" s="154"/>
      <c r="L62" s="154"/>
    </row>
    <row r="63" spans="1:12" ht="15.6" customHeight="1" x14ac:dyDescent="0.3">
      <c r="A63" s="154"/>
      <c r="B63" s="154"/>
      <c r="C63" s="154"/>
      <c r="D63" s="154"/>
      <c r="E63" s="154"/>
      <c r="F63" s="154"/>
      <c r="G63" s="601"/>
      <c r="H63" s="601"/>
      <c r="I63" s="601"/>
      <c r="J63" s="154"/>
      <c r="K63" s="154"/>
      <c r="L63" s="154"/>
    </row>
    <row r="64" spans="1:12" ht="15.6" customHeight="1" x14ac:dyDescent="0.3">
      <c r="A64" s="154"/>
      <c r="B64" s="154"/>
      <c r="C64" s="154"/>
      <c r="D64" s="154"/>
      <c r="E64" s="154"/>
      <c r="F64" s="154"/>
      <c r="G64" s="601"/>
      <c r="H64" s="601"/>
      <c r="I64" s="601"/>
      <c r="J64" s="154"/>
      <c r="K64" s="154"/>
      <c r="L64" s="154"/>
    </row>
    <row r="65" spans="1:12" ht="15.6" customHeight="1" x14ac:dyDescent="0.3">
      <c r="A65" s="154"/>
      <c r="B65" s="154"/>
      <c r="C65" s="154"/>
      <c r="D65" s="154"/>
      <c r="E65" s="154"/>
      <c r="F65" s="154"/>
      <c r="G65" s="601"/>
      <c r="H65" s="601"/>
      <c r="I65" s="601"/>
      <c r="J65" s="154"/>
      <c r="K65" s="154"/>
      <c r="L65" s="154"/>
    </row>
    <row r="66" spans="1:12" ht="15.6" customHeight="1" x14ac:dyDescent="0.3">
      <c r="A66" s="154"/>
      <c r="B66" s="154"/>
      <c r="C66" s="154"/>
      <c r="D66" s="154"/>
      <c r="E66" s="154"/>
      <c r="F66" s="154"/>
      <c r="G66" s="601"/>
      <c r="H66" s="601"/>
      <c r="I66" s="601"/>
      <c r="J66" s="154"/>
      <c r="K66" s="154"/>
      <c r="L66" s="154"/>
    </row>
    <row r="67" spans="1:12" ht="15.6" customHeight="1" x14ac:dyDescent="0.3">
      <c r="A67" s="154"/>
      <c r="B67" s="154"/>
      <c r="C67" s="154"/>
      <c r="D67" s="154"/>
      <c r="E67" s="154"/>
      <c r="F67" s="154"/>
      <c r="G67" s="601"/>
      <c r="H67" s="601"/>
      <c r="I67" s="601"/>
      <c r="J67" s="154"/>
      <c r="K67" s="154"/>
      <c r="L67" s="154"/>
    </row>
    <row r="68" spans="1:12" ht="15.6" customHeight="1" x14ac:dyDescent="0.3">
      <c r="A68" s="154"/>
      <c r="B68" s="154"/>
      <c r="C68" s="154"/>
      <c r="D68" s="154"/>
      <c r="E68" s="154"/>
      <c r="F68" s="154"/>
      <c r="G68" s="601"/>
      <c r="H68" s="601"/>
      <c r="I68" s="601"/>
      <c r="J68" s="154"/>
      <c r="K68" s="154"/>
      <c r="L68" s="154"/>
    </row>
    <row r="69" spans="1:12" ht="15.6" customHeight="1" x14ac:dyDescent="0.3">
      <c r="A69" s="154"/>
      <c r="B69" s="154"/>
      <c r="C69" s="154"/>
      <c r="D69" s="154"/>
      <c r="E69" s="154"/>
      <c r="F69" s="154"/>
      <c r="G69" s="601"/>
      <c r="H69" s="601"/>
      <c r="I69" s="601"/>
      <c r="J69" s="154"/>
      <c r="K69" s="154"/>
      <c r="L69" s="154"/>
    </row>
    <row r="70" spans="1:12" ht="15.6" customHeight="1" x14ac:dyDescent="0.3">
      <c r="A70" s="154"/>
      <c r="B70" s="154"/>
      <c r="C70" s="154"/>
      <c r="D70" s="154"/>
      <c r="E70" s="154"/>
      <c r="F70" s="154"/>
      <c r="G70" s="601"/>
      <c r="H70" s="601"/>
      <c r="I70" s="601"/>
      <c r="J70" s="154"/>
      <c r="K70" s="154"/>
      <c r="L70" s="154"/>
    </row>
    <row r="71" spans="1:12" ht="15.6" customHeight="1" x14ac:dyDescent="0.3">
      <c r="A71" s="154"/>
      <c r="B71" s="154"/>
      <c r="C71" s="154"/>
      <c r="D71" s="154"/>
      <c r="E71" s="154"/>
      <c r="F71" s="154"/>
      <c r="G71" s="601"/>
      <c r="H71" s="601"/>
      <c r="I71" s="601"/>
      <c r="J71" s="154"/>
      <c r="K71" s="154"/>
      <c r="L71" s="154"/>
    </row>
    <row r="72" spans="1:12" ht="15.6" customHeight="1" x14ac:dyDescent="0.3">
      <c r="A72" s="154"/>
      <c r="B72" s="154"/>
      <c r="C72" s="154"/>
      <c r="D72" s="154"/>
      <c r="E72" s="154"/>
      <c r="F72" s="154"/>
      <c r="G72" s="601"/>
      <c r="H72" s="601"/>
      <c r="I72" s="601"/>
      <c r="J72" s="154"/>
      <c r="K72" s="154"/>
      <c r="L72" s="154"/>
    </row>
    <row r="73" spans="1:12" ht="15.6" customHeight="1" x14ac:dyDescent="0.3">
      <c r="A73" s="154"/>
      <c r="B73" s="154"/>
      <c r="C73" s="154"/>
      <c r="D73" s="154"/>
      <c r="E73" s="154"/>
      <c r="F73" s="154"/>
      <c r="G73" s="601"/>
      <c r="H73" s="601"/>
      <c r="I73" s="601"/>
      <c r="J73" s="154"/>
      <c r="K73" s="154"/>
      <c r="L73" s="154"/>
    </row>
    <row r="74" spans="1:12" ht="15.6" customHeight="1" x14ac:dyDescent="0.3">
      <c r="A74" s="154"/>
      <c r="B74" s="154"/>
      <c r="C74" s="154"/>
      <c r="D74" s="154"/>
      <c r="E74" s="154"/>
      <c r="F74" s="154"/>
      <c r="G74" s="601"/>
      <c r="H74" s="601"/>
      <c r="I74" s="601"/>
      <c r="J74" s="154"/>
      <c r="K74" s="154"/>
      <c r="L74" s="154"/>
    </row>
    <row r="75" spans="1:12" ht="15.6" customHeight="1" x14ac:dyDescent="0.3">
      <c r="A75" s="154"/>
      <c r="B75" s="154"/>
      <c r="C75" s="154"/>
      <c r="D75" s="154"/>
      <c r="E75" s="154"/>
      <c r="F75" s="154"/>
      <c r="G75" s="601"/>
      <c r="H75" s="601"/>
      <c r="I75" s="601"/>
      <c r="J75" s="154"/>
      <c r="K75" s="154"/>
      <c r="L75" s="154"/>
    </row>
    <row r="76" spans="1:12" ht="15.6" customHeight="1" x14ac:dyDescent="0.3">
      <c r="A76" s="154"/>
      <c r="B76" s="154"/>
      <c r="C76" s="154"/>
      <c r="D76" s="154"/>
      <c r="E76" s="154"/>
      <c r="F76" s="154"/>
      <c r="G76" s="601"/>
      <c r="H76" s="601"/>
      <c r="I76" s="601"/>
      <c r="J76" s="154"/>
      <c r="K76" s="154"/>
      <c r="L76" s="154"/>
    </row>
    <row r="77" spans="1:12" ht="15.6" customHeight="1" x14ac:dyDescent="0.3">
      <c r="A77" s="154"/>
      <c r="B77" s="154"/>
      <c r="C77" s="154"/>
      <c r="D77" s="154"/>
      <c r="E77" s="154"/>
      <c r="F77" s="154"/>
      <c r="G77" s="601"/>
      <c r="H77" s="601"/>
      <c r="I77" s="601"/>
      <c r="J77" s="154"/>
      <c r="K77" s="154"/>
      <c r="L77" s="154"/>
    </row>
    <row r="78" spans="1:12" ht="15.6" customHeight="1" x14ac:dyDescent="0.3">
      <c r="A78" s="154"/>
      <c r="B78" s="154"/>
      <c r="C78" s="154"/>
      <c r="D78" s="154"/>
      <c r="E78" s="154"/>
      <c r="F78" s="154"/>
      <c r="G78" s="601"/>
      <c r="H78" s="601"/>
      <c r="I78" s="601"/>
      <c r="J78" s="154"/>
      <c r="K78" s="154"/>
      <c r="L78" s="154"/>
    </row>
    <row r="79" spans="1:12" ht="15.6" customHeight="1" x14ac:dyDescent="0.3">
      <c r="A79" s="154"/>
      <c r="B79" s="154"/>
      <c r="C79" s="154"/>
      <c r="D79" s="154"/>
      <c r="E79" s="154"/>
      <c r="F79" s="154"/>
      <c r="G79" s="601"/>
      <c r="H79" s="601"/>
      <c r="I79" s="601"/>
      <c r="J79" s="154"/>
      <c r="K79" s="154"/>
      <c r="L79" s="154"/>
    </row>
    <row r="80" spans="1:12" ht="15.6" customHeight="1" x14ac:dyDescent="0.3">
      <c r="A80" s="154"/>
      <c r="B80" s="154"/>
      <c r="C80" s="154"/>
      <c r="D80" s="154"/>
      <c r="E80" s="154"/>
      <c r="F80" s="154"/>
      <c r="G80" s="601"/>
      <c r="H80" s="601"/>
      <c r="I80" s="601"/>
      <c r="J80" s="154"/>
      <c r="K80" s="154"/>
      <c r="L80" s="154"/>
    </row>
    <row r="81" spans="1:12" ht="23.4" x14ac:dyDescent="0.45">
      <c r="A81" s="154"/>
      <c r="B81" s="912" t="str">
        <f>H12</f>
        <v>3. PENSAMIENTO REFLEXIVO Y SISTEMÁTICO 
(30% de las preguntas)</v>
      </c>
      <c r="C81" s="912"/>
      <c r="D81" s="912"/>
      <c r="E81" s="912"/>
      <c r="F81" s="154"/>
      <c r="G81" s="601"/>
      <c r="H81" s="601"/>
      <c r="I81" s="601"/>
      <c r="J81" s="154"/>
      <c r="K81" s="154"/>
      <c r="L81" s="154"/>
    </row>
    <row r="82" spans="1:12" ht="15.6" customHeight="1" x14ac:dyDescent="0.3">
      <c r="A82" s="154"/>
      <c r="B82" s="154"/>
      <c r="C82" s="154"/>
      <c r="D82" s="154"/>
      <c r="E82" s="154"/>
      <c r="F82" s="154"/>
      <c r="G82" s="601"/>
      <c r="H82" s="601"/>
      <c r="I82" s="601"/>
      <c r="J82" s="154"/>
      <c r="K82" s="154"/>
      <c r="L82" s="154"/>
    </row>
    <row r="83" spans="1:12" ht="15.6" customHeight="1" x14ac:dyDescent="0.3">
      <c r="A83" s="154"/>
      <c r="B83" s="154"/>
      <c r="C83" s="154"/>
      <c r="D83" s="154"/>
      <c r="E83" s="154"/>
      <c r="F83" s="154"/>
      <c r="G83" s="601"/>
      <c r="H83" s="601"/>
      <c r="I83" s="601"/>
      <c r="J83" s="154"/>
      <c r="K83" s="154"/>
      <c r="L83" s="154"/>
    </row>
    <row r="84" spans="1:12" ht="15.6" customHeight="1" x14ac:dyDescent="0.3">
      <c r="A84" s="154"/>
      <c r="B84" s="154"/>
      <c r="C84" s="154"/>
      <c r="D84" s="154"/>
      <c r="E84" s="154"/>
      <c r="F84" s="154"/>
      <c r="G84" s="601"/>
      <c r="H84" s="601"/>
      <c r="I84" s="601"/>
      <c r="J84" s="154"/>
      <c r="K84" s="154"/>
      <c r="L84" s="154"/>
    </row>
    <row r="85" spans="1:12" ht="15.6" customHeight="1" x14ac:dyDescent="0.3">
      <c r="A85" s="154"/>
      <c r="B85" s="154"/>
      <c r="C85" s="154"/>
      <c r="D85" s="154"/>
      <c r="E85" s="154"/>
      <c r="F85" s="154"/>
      <c r="G85" s="601"/>
      <c r="H85" s="601"/>
      <c r="I85" s="601"/>
      <c r="J85" s="154"/>
      <c r="K85" s="154"/>
      <c r="L85" s="154"/>
    </row>
    <row r="86" spans="1:12" ht="15.6" customHeight="1" x14ac:dyDescent="0.3">
      <c r="A86" s="154"/>
      <c r="B86" s="154"/>
      <c r="C86" s="154"/>
      <c r="D86" s="154"/>
      <c r="E86" s="154"/>
      <c r="F86" s="154"/>
      <c r="G86" s="601"/>
      <c r="H86" s="601"/>
      <c r="I86" s="601"/>
      <c r="J86" s="154"/>
      <c r="K86" s="154"/>
      <c r="L86" s="154"/>
    </row>
    <row r="87" spans="1:12" ht="15.6" customHeight="1" x14ac:dyDescent="0.3">
      <c r="A87" s="154"/>
      <c r="B87" s="154"/>
      <c r="C87" s="154"/>
      <c r="D87" s="154"/>
      <c r="E87" s="154"/>
      <c r="F87" s="154"/>
      <c r="G87" s="601"/>
      <c r="H87" s="601"/>
      <c r="I87" s="601"/>
      <c r="J87" s="154"/>
      <c r="K87" s="154"/>
      <c r="L87" s="154"/>
    </row>
    <row r="88" spans="1:12" ht="15.6" customHeight="1" x14ac:dyDescent="0.3">
      <c r="A88" s="154"/>
      <c r="B88" s="154"/>
      <c r="C88" s="154"/>
      <c r="D88" s="154"/>
      <c r="E88" s="154"/>
      <c r="F88" s="154"/>
      <c r="G88" s="601"/>
      <c r="H88" s="601"/>
      <c r="I88" s="601"/>
      <c r="J88" s="154"/>
      <c r="K88" s="154"/>
      <c r="L88" s="154"/>
    </row>
    <row r="89" spans="1:12" ht="15.6" customHeight="1" x14ac:dyDescent="0.3">
      <c r="A89" s="154"/>
      <c r="B89" s="154"/>
      <c r="C89" s="154"/>
      <c r="D89" s="154"/>
      <c r="E89" s="154"/>
      <c r="F89" s="154"/>
      <c r="G89" s="601"/>
      <c r="H89" s="601"/>
      <c r="I89" s="601"/>
      <c r="J89" s="154"/>
      <c r="K89" s="154"/>
      <c r="L89" s="154"/>
    </row>
    <row r="90" spans="1:12" ht="15.6" customHeight="1" x14ac:dyDescent="0.3">
      <c r="A90" s="154"/>
      <c r="B90" s="154"/>
      <c r="C90" s="154"/>
      <c r="D90" s="154"/>
      <c r="E90" s="154"/>
      <c r="F90" s="154"/>
      <c r="G90" s="601"/>
      <c r="H90" s="601"/>
      <c r="I90" s="601"/>
      <c r="J90" s="154"/>
      <c r="K90" s="154"/>
      <c r="L90" s="154"/>
    </row>
    <row r="91" spans="1:12" ht="15.6" customHeight="1" x14ac:dyDescent="0.3">
      <c r="A91" s="154"/>
      <c r="B91" s="154"/>
      <c r="C91" s="154"/>
      <c r="D91" s="154"/>
      <c r="E91" s="154"/>
      <c r="F91" s="154"/>
      <c r="G91" s="601"/>
      <c r="H91" s="601"/>
      <c r="I91" s="601"/>
      <c r="J91" s="154"/>
      <c r="K91" s="154"/>
      <c r="L91" s="154"/>
    </row>
    <row r="92" spans="1:12" ht="15.6" customHeight="1" x14ac:dyDescent="0.3">
      <c r="A92" s="154"/>
      <c r="B92" s="154"/>
      <c r="C92" s="154"/>
      <c r="D92" s="154"/>
      <c r="E92" s="154"/>
      <c r="F92" s="154"/>
      <c r="G92" s="601"/>
      <c r="H92" s="601"/>
      <c r="I92" s="601"/>
      <c r="J92" s="154"/>
      <c r="K92" s="154"/>
      <c r="L92" s="154"/>
    </row>
    <row r="93" spans="1:12" ht="15.6" customHeight="1" x14ac:dyDescent="0.3">
      <c r="A93" s="154"/>
      <c r="B93" s="154"/>
      <c r="C93" s="154"/>
      <c r="D93" s="154"/>
      <c r="E93" s="154"/>
      <c r="F93" s="154"/>
      <c r="G93" s="601"/>
      <c r="H93" s="601"/>
      <c r="I93" s="601"/>
      <c r="J93" s="154"/>
      <c r="K93" s="154"/>
      <c r="L93" s="154"/>
    </row>
    <row r="94" spans="1:12" ht="15.6" customHeight="1" x14ac:dyDescent="0.3">
      <c r="A94" s="154"/>
      <c r="B94" s="154"/>
      <c r="C94" s="154"/>
      <c r="D94" s="154"/>
      <c r="E94" s="154"/>
      <c r="F94" s="154"/>
      <c r="G94" s="601"/>
      <c r="H94" s="601"/>
      <c r="I94" s="601"/>
      <c r="J94" s="154"/>
      <c r="K94" s="154"/>
      <c r="L94" s="154"/>
    </row>
    <row r="95" spans="1:12" ht="15.6" customHeight="1" x14ac:dyDescent="0.3">
      <c r="A95" s="154"/>
      <c r="B95" s="154"/>
      <c r="C95" s="154"/>
      <c r="D95" s="154"/>
      <c r="E95" s="154"/>
      <c r="F95" s="154"/>
      <c r="G95" s="601"/>
      <c r="H95" s="601"/>
      <c r="I95" s="601"/>
      <c r="J95" s="154"/>
      <c r="K95" s="154"/>
      <c r="L95" s="154"/>
    </row>
    <row r="96" spans="1:12" ht="15.6" customHeight="1" x14ac:dyDescent="0.3">
      <c r="A96" s="154"/>
      <c r="B96" s="154"/>
      <c r="C96" s="154"/>
      <c r="D96" s="154"/>
      <c r="E96" s="154"/>
      <c r="F96" s="154"/>
      <c r="G96" s="601"/>
      <c r="H96" s="601"/>
      <c r="I96" s="601"/>
      <c r="J96" s="154"/>
      <c r="K96" s="154"/>
      <c r="L96" s="154"/>
    </row>
    <row r="97" spans="1:12" ht="15.6" customHeight="1" x14ac:dyDescent="0.3">
      <c r="A97" s="154"/>
      <c r="B97" s="154"/>
      <c r="C97" s="154"/>
      <c r="D97" s="154"/>
      <c r="E97" s="154"/>
      <c r="F97" s="154"/>
      <c r="G97" s="601"/>
      <c r="H97" s="601"/>
      <c r="I97" s="601"/>
      <c r="J97" s="154"/>
      <c r="K97" s="154"/>
      <c r="L97" s="154"/>
    </row>
    <row r="98" spans="1:12" ht="15.6" customHeight="1" x14ac:dyDescent="0.3">
      <c r="A98" s="154"/>
      <c r="B98" s="154"/>
      <c r="C98" s="154"/>
      <c r="D98" s="154"/>
      <c r="E98" s="154"/>
      <c r="F98" s="154"/>
      <c r="G98" s="601"/>
      <c r="H98" s="601"/>
      <c r="I98" s="601"/>
      <c r="J98" s="154"/>
      <c r="K98" s="154"/>
      <c r="L98" s="154"/>
    </row>
    <row r="99" spans="1:12" ht="15.6" customHeight="1" x14ac:dyDescent="0.3">
      <c r="A99" s="154"/>
      <c r="B99" s="154"/>
      <c r="C99" s="154"/>
      <c r="D99" s="154"/>
      <c r="E99" s="154"/>
      <c r="F99" s="154"/>
      <c r="G99" s="601"/>
      <c r="H99" s="601"/>
      <c r="I99" s="601"/>
      <c r="J99" s="154"/>
      <c r="K99" s="154"/>
      <c r="L99" s="154"/>
    </row>
    <row r="100" spans="1:12" ht="15.6" customHeight="1" x14ac:dyDescent="0.3">
      <c r="A100" s="154"/>
      <c r="B100" s="154"/>
      <c r="C100" s="154"/>
      <c r="D100" s="154"/>
      <c r="E100" s="154"/>
      <c r="F100" s="154"/>
      <c r="G100" s="601"/>
      <c r="H100" s="601"/>
      <c r="I100" s="601"/>
      <c r="J100" s="154"/>
      <c r="K100" s="154"/>
      <c r="L100" s="154"/>
    </row>
    <row r="101" spans="1:12" ht="17.399999999999999" x14ac:dyDescent="0.3">
      <c r="A101" s="154"/>
      <c r="B101" s="154"/>
      <c r="C101" s="154"/>
      <c r="D101" s="154"/>
      <c r="E101" s="154"/>
      <c r="F101" s="154"/>
      <c r="G101" s="587"/>
      <c r="H101" s="587"/>
      <c r="I101" s="587"/>
      <c r="J101" s="154"/>
      <c r="K101" s="154"/>
      <c r="L101" s="154"/>
    </row>
    <row r="102" spans="1:12" ht="17.399999999999999" x14ac:dyDescent="0.3">
      <c r="A102" s="154"/>
      <c r="B102" s="154"/>
      <c r="C102" s="154"/>
      <c r="D102" s="154"/>
      <c r="E102" s="154"/>
      <c r="F102" s="154"/>
      <c r="G102" s="587"/>
      <c r="H102" s="587"/>
      <c r="I102" s="587"/>
      <c r="J102" s="154"/>
      <c r="K102" s="154"/>
      <c r="L102" s="154"/>
    </row>
    <row r="103" spans="1:12" ht="17.399999999999999" x14ac:dyDescent="0.3">
      <c r="A103" s="154"/>
      <c r="B103" s="154"/>
      <c r="C103" s="154"/>
      <c r="D103" s="154"/>
      <c r="E103" s="154"/>
      <c r="F103" s="154"/>
      <c r="G103" s="587"/>
      <c r="H103" s="587"/>
      <c r="I103" s="587"/>
      <c r="J103" s="154"/>
      <c r="K103" s="154"/>
      <c r="L103" s="154"/>
    </row>
    <row r="104" spans="1:12" x14ac:dyDescent="0.3">
      <c r="A104" s="154"/>
      <c r="B104" s="154"/>
      <c r="C104" s="154"/>
      <c r="D104" s="154"/>
      <c r="E104" s="154"/>
      <c r="F104" s="154"/>
      <c r="G104" s="154"/>
      <c r="H104" s="154"/>
      <c r="I104" s="154"/>
      <c r="J104" s="154"/>
      <c r="K104" s="154"/>
      <c r="L104" s="154"/>
    </row>
    <row r="105" spans="1:12" x14ac:dyDescent="0.3">
      <c r="A105" s="154"/>
      <c r="B105" s="154"/>
      <c r="C105" s="154"/>
      <c r="D105" s="154"/>
      <c r="E105" s="154"/>
      <c r="F105" s="154"/>
      <c r="G105" s="154"/>
      <c r="H105" s="154"/>
      <c r="I105" s="154"/>
      <c r="J105" s="154"/>
      <c r="K105" s="154"/>
      <c r="L105" s="154"/>
    </row>
    <row r="106" spans="1:12" x14ac:dyDescent="0.3">
      <c r="A106" s="154"/>
      <c r="B106" s="154"/>
      <c r="C106" s="154"/>
      <c r="D106" s="154"/>
      <c r="E106" s="154"/>
      <c r="F106" s="154"/>
      <c r="G106" s="154"/>
      <c r="H106" s="154"/>
      <c r="I106" s="154"/>
      <c r="J106" s="154"/>
      <c r="K106" s="154"/>
      <c r="L106" s="154"/>
    </row>
    <row r="107" spans="1:12" x14ac:dyDescent="0.3">
      <c r="A107" s="154"/>
      <c r="B107" s="154"/>
      <c r="C107" s="154"/>
      <c r="D107" s="154"/>
      <c r="E107" s="154"/>
      <c r="F107" s="154"/>
      <c r="G107" s="154"/>
      <c r="H107" s="154"/>
      <c r="I107" s="154"/>
      <c r="J107" s="154"/>
      <c r="K107" s="154"/>
      <c r="L107" s="154"/>
    </row>
    <row r="108" spans="1:12" x14ac:dyDescent="0.3">
      <c r="A108" s="154"/>
      <c r="B108" s="154"/>
      <c r="C108" s="154"/>
      <c r="D108" s="154"/>
      <c r="E108" s="154"/>
      <c r="F108" s="154"/>
      <c r="G108" s="154"/>
      <c r="H108" s="154"/>
      <c r="I108" s="154"/>
      <c r="J108" s="154"/>
      <c r="K108" s="154"/>
      <c r="L108" s="154"/>
    </row>
    <row r="109" spans="1:12" x14ac:dyDescent="0.3">
      <c r="A109" s="154"/>
      <c r="B109" s="154"/>
      <c r="C109" s="154"/>
      <c r="D109" s="154"/>
      <c r="E109" s="154"/>
      <c r="F109" s="154"/>
      <c r="G109" s="154"/>
      <c r="H109" s="154"/>
      <c r="I109" s="154"/>
      <c r="J109" s="154"/>
      <c r="K109" s="154"/>
      <c r="L109" s="154"/>
    </row>
    <row r="110" spans="1:12" ht="15.75" customHeight="1" x14ac:dyDescent="0.3">
      <c r="A110" s="154"/>
      <c r="B110" s="900" t="s">
        <v>975</v>
      </c>
      <c r="C110" s="900"/>
      <c r="D110" s="900"/>
      <c r="E110" s="900"/>
      <c r="F110" s="900"/>
      <c r="G110" s="900"/>
      <c r="H110" s="900"/>
      <c r="I110" s="900"/>
      <c r="J110" s="154"/>
      <c r="K110" s="154"/>
      <c r="L110" s="154"/>
    </row>
  </sheetData>
  <sheetProtection algorithmName="SHA-512" hashValue="0Vwr3nEHJjuKAgaJJ4nLqqNc5ZXKtKPeWk81qTUUGAx3QEpOx899fPZhFYTmRnsNiacViq8sKAA72TbksnGUnw==" saltValue="ysjKTi0oBSnzFHWY4n+Dig==" spinCount="100000" sheet="1" objects="1" scenarios="1"/>
  <mergeCells count="11">
    <mergeCell ref="B6:I6"/>
    <mergeCell ref="B110:I110"/>
    <mergeCell ref="C11:I11"/>
    <mergeCell ref="D12:E12"/>
    <mergeCell ref="F12:G12"/>
    <mergeCell ref="H12:I12"/>
    <mergeCell ref="B53:E53"/>
    <mergeCell ref="B25:E25"/>
    <mergeCell ref="B81:E81"/>
    <mergeCell ref="E9:I9"/>
    <mergeCell ref="G26:I62"/>
  </mergeCells>
  <conditionalFormatting sqref="D15:I19">
    <cfRule type="cellIs" dxfId="89" priority="21" operator="equal">
      <formula>0</formula>
    </cfRule>
    <cfRule type="cellIs" dxfId="88" priority="22" operator="between">
      <formula>0.4</formula>
      <formula>0.69</formula>
    </cfRule>
    <cfRule type="cellIs" dxfId="87" priority="23" operator="between">
      <formula>0.2</formula>
      <formula>0.39</formula>
    </cfRule>
    <cfRule type="cellIs" dxfId="86" priority="25" operator="between">
      <formula>0.01</formula>
      <formula>0.19</formula>
    </cfRule>
    <cfRule type="cellIs" dxfId="85" priority="26" operator="between">
      <formula>0.7</formula>
      <formula>1</formula>
    </cfRule>
  </conditionalFormatting>
  <conditionalFormatting sqref="D20:I20">
    <cfRule type="cellIs" dxfId="84" priority="16" operator="equal">
      <formula>0</formula>
    </cfRule>
    <cfRule type="cellIs" dxfId="83" priority="17" operator="between">
      <formula>0.4</formula>
      <formula>0.69</formula>
    </cfRule>
    <cfRule type="cellIs" dxfId="82" priority="18" operator="between">
      <formula>0.2</formula>
      <formula>0.39</formula>
    </cfRule>
    <cfRule type="cellIs" dxfId="81" priority="19" operator="between">
      <formula>0.01</formula>
      <formula>0.19</formula>
    </cfRule>
    <cfRule type="cellIs" dxfId="80" priority="20" operator="between">
      <formula>0.7</formula>
      <formula>1</formula>
    </cfRule>
  </conditionalFormatting>
  <conditionalFormatting sqref="D21:I21">
    <cfRule type="cellIs" dxfId="79" priority="11" operator="equal">
      <formula>0</formula>
    </cfRule>
    <cfRule type="cellIs" dxfId="78" priority="12" operator="between">
      <formula>0.4</formula>
      <formula>0.69</formula>
    </cfRule>
    <cfRule type="cellIs" dxfId="77" priority="13" operator="between">
      <formula>0.2</formula>
      <formula>0.39</formula>
    </cfRule>
    <cfRule type="cellIs" dxfId="76" priority="14" operator="between">
      <formula>0.01</formula>
      <formula>0.19</formula>
    </cfRule>
    <cfRule type="cellIs" dxfId="75" priority="15" operator="between">
      <formula>0.7</formula>
      <formula>1</formula>
    </cfRule>
  </conditionalFormatting>
  <conditionalFormatting sqref="D22:I22">
    <cfRule type="cellIs" dxfId="74" priority="1" operator="equal">
      <formula>0</formula>
    </cfRule>
    <cfRule type="cellIs" dxfId="73" priority="2" operator="between">
      <formula>0.4</formula>
      <formula>0.69</formula>
    </cfRule>
    <cfRule type="cellIs" dxfId="72" priority="3" operator="between">
      <formula>0.2</formula>
      <formula>0.39</formula>
    </cfRule>
    <cfRule type="cellIs" dxfId="71" priority="4" operator="between">
      <formula>0.01</formula>
      <formula>0.19</formula>
    </cfRule>
    <cfRule type="cellIs" dxfId="70" priority="5" operator="between">
      <formula>0.7</formula>
      <formula>1</formula>
    </cfRule>
  </conditionalFormatting>
  <pageMargins left="0.25" right="0.25" top="0.75" bottom="0.75" header="0.3" footer="0.3"/>
  <pageSetup paperSize="14" scale="63" fitToHeight="0"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F8F8CD5F-BDA2-4C26-ABE4-1C3A2ED8ABA6}">
          <x14:formula1>
            <xm:f>PGLOBAL!$A$10:$A$167</xm:f>
          </x14:formula1>
          <xm:sqref>E9</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7A4F09-3762-4FA1-AA0B-3CF374E0AC16}">
  <sheetPr>
    <tabColor rgb="FF00B050"/>
    <pageSetUpPr fitToPage="1"/>
  </sheetPr>
  <dimension ref="A1:K99"/>
  <sheetViews>
    <sheetView zoomScale="47" zoomScaleNormal="47" workbookViewId="0">
      <selection activeCell="E14" sqref="E14"/>
    </sheetView>
  </sheetViews>
  <sheetFormatPr baseColWidth="10" defaultColWidth="12.5546875" defaultRowHeight="15.6" x14ac:dyDescent="0.3"/>
  <cols>
    <col min="1" max="1" width="1.77734375" style="155" customWidth="1"/>
    <col min="2" max="2" width="17.88671875" style="155" customWidth="1"/>
    <col min="3" max="10" width="32.77734375" style="155" customWidth="1"/>
    <col min="11" max="11" width="5.88671875" style="155" customWidth="1"/>
    <col min="12" max="16384" width="12.5546875" style="155"/>
  </cols>
  <sheetData>
    <row r="1" spans="1:11" x14ac:dyDescent="0.3">
      <c r="A1" s="154"/>
      <c r="B1" s="154"/>
      <c r="C1" s="154"/>
      <c r="D1" s="154"/>
      <c r="E1" s="154"/>
      <c r="F1" s="154"/>
      <c r="G1" s="154"/>
      <c r="H1" s="154"/>
      <c r="I1" s="154"/>
      <c r="J1" s="154"/>
      <c r="K1" s="154"/>
    </row>
    <row r="2" spans="1:11" x14ac:dyDescent="0.3">
      <c r="A2" s="154"/>
      <c r="B2" s="154"/>
      <c r="C2" s="154"/>
      <c r="D2" s="154"/>
      <c r="E2" s="154"/>
      <c r="F2" s="154"/>
      <c r="G2" s="154"/>
      <c r="H2" s="154"/>
      <c r="I2" s="154"/>
      <c r="J2" s="154"/>
      <c r="K2" s="154"/>
    </row>
    <row r="3" spans="1:11" x14ac:dyDescent="0.3">
      <c r="A3" s="154"/>
      <c r="B3" s="154"/>
      <c r="C3" s="154"/>
      <c r="D3" s="154"/>
      <c r="E3" s="154"/>
      <c r="F3" s="154"/>
      <c r="G3" s="154"/>
      <c r="H3" s="154"/>
      <c r="I3" s="154"/>
      <c r="J3" s="154"/>
      <c r="K3" s="154"/>
    </row>
    <row r="4" spans="1:11" x14ac:dyDescent="0.3">
      <c r="A4" s="154"/>
      <c r="B4" s="154"/>
      <c r="C4" s="154"/>
      <c r="D4" s="154"/>
      <c r="E4" s="154"/>
      <c r="F4" s="154"/>
      <c r="G4" s="154"/>
      <c r="H4" s="154"/>
      <c r="I4" s="154"/>
      <c r="J4" s="154"/>
      <c r="K4" s="154"/>
    </row>
    <row r="5" spans="1:11" ht="51" customHeight="1" x14ac:dyDescent="0.3">
      <c r="A5" s="154"/>
      <c r="B5" s="154"/>
      <c r="C5" s="154"/>
      <c r="D5" s="154"/>
      <c r="E5" s="154"/>
      <c r="F5" s="154"/>
      <c r="G5" s="154"/>
      <c r="H5" s="154"/>
      <c r="I5" s="154"/>
      <c r="J5" s="154"/>
      <c r="K5" s="154"/>
    </row>
    <row r="6" spans="1:11" ht="59.25" customHeight="1" x14ac:dyDescent="0.3">
      <c r="A6" s="154"/>
      <c r="B6" s="902" t="s">
        <v>900</v>
      </c>
      <c r="C6" s="902"/>
      <c r="D6" s="902"/>
      <c r="E6" s="902"/>
      <c r="F6" s="902"/>
      <c r="G6" s="902"/>
      <c r="H6" s="902"/>
      <c r="I6" s="902"/>
      <c r="J6" s="902"/>
      <c r="K6" s="154"/>
    </row>
    <row r="7" spans="1:11" x14ac:dyDescent="0.3">
      <c r="A7" s="154"/>
      <c r="B7" s="154"/>
      <c r="C7" s="154"/>
      <c r="D7" s="154"/>
      <c r="E7" s="154"/>
      <c r="F7" s="154"/>
      <c r="G7" s="154"/>
      <c r="H7" s="154"/>
      <c r="I7" s="154"/>
      <c r="J7" s="154"/>
      <c r="K7" s="154"/>
    </row>
    <row r="8" spans="1:11" x14ac:dyDescent="0.3">
      <c r="A8" s="154"/>
      <c r="B8" s="154"/>
      <c r="C8" s="154"/>
      <c r="D8" s="154"/>
      <c r="E8" s="154"/>
      <c r="F8" s="154"/>
      <c r="G8" s="154"/>
      <c r="H8" s="154"/>
      <c r="I8" s="523"/>
      <c r="J8" s="154"/>
      <c r="K8" s="154"/>
    </row>
    <row r="9" spans="1:11" ht="16.2" thickBot="1" x14ac:dyDescent="0.35">
      <c r="A9" s="154"/>
      <c r="B9" s="154"/>
      <c r="C9" s="154"/>
      <c r="D9" s="154"/>
      <c r="E9" s="154"/>
      <c r="F9" s="154"/>
      <c r="G9" s="154"/>
      <c r="H9" s="154"/>
      <c r="I9" s="154"/>
      <c r="J9" s="154"/>
      <c r="K9" s="154"/>
    </row>
    <row r="10" spans="1:11" ht="40.5" customHeight="1" thickBot="1" x14ac:dyDescent="0.35">
      <c r="A10" s="154"/>
      <c r="B10" s="322" t="s">
        <v>895</v>
      </c>
      <c r="C10" s="322"/>
      <c r="D10" s="322"/>
      <c r="E10" s="913" t="str">
        <f>PuntajeGlobal!E9</f>
        <v>INSTITUCION EDUCATIVA EDUARDO SANTOS</v>
      </c>
      <c r="F10" s="914"/>
      <c r="G10" s="914"/>
      <c r="H10" s="914"/>
      <c r="I10" s="914"/>
      <c r="J10" s="915"/>
      <c r="K10" s="154"/>
    </row>
    <row r="11" spans="1:11" ht="18" x14ac:dyDescent="0.35">
      <c r="A11" s="154"/>
      <c r="B11" s="268"/>
      <c r="C11" s="268"/>
      <c r="D11" s="268"/>
      <c r="E11" s="268"/>
      <c r="F11" s="154"/>
      <c r="G11" s="154"/>
      <c r="H11" s="154"/>
      <c r="I11" s="154"/>
      <c r="J11" s="154"/>
      <c r="K11" s="154"/>
    </row>
    <row r="12" spans="1:11" ht="57.6" customHeight="1" x14ac:dyDescent="0.3">
      <c r="A12" s="154"/>
      <c r="B12" s="919" t="s">
        <v>1108</v>
      </c>
      <c r="C12" s="920"/>
      <c r="D12" s="920"/>
      <c r="E12" s="920"/>
      <c r="F12" s="920"/>
      <c r="G12" s="920"/>
      <c r="H12" s="920"/>
      <c r="I12" s="920"/>
      <c r="J12" s="921"/>
      <c r="K12" s="154"/>
    </row>
    <row r="13" spans="1:11" ht="44.25" customHeight="1" x14ac:dyDescent="0.3">
      <c r="A13" s="154"/>
      <c r="B13" s="682" t="s">
        <v>891</v>
      </c>
      <c r="C13" s="922" t="s">
        <v>1111</v>
      </c>
      <c r="D13" s="923"/>
      <c r="E13" s="922" t="s">
        <v>1110</v>
      </c>
      <c r="F13" s="924"/>
      <c r="G13" s="924"/>
      <c r="H13" s="923"/>
      <c r="I13" s="922" t="s">
        <v>1109</v>
      </c>
      <c r="J13" s="923"/>
      <c r="K13" s="154"/>
    </row>
    <row r="14" spans="1:11" ht="109.2" customHeight="1" x14ac:dyDescent="0.3">
      <c r="A14" s="154"/>
      <c r="B14" s="585" t="s">
        <v>904</v>
      </c>
      <c r="C14" s="609" t="s">
        <v>377</v>
      </c>
      <c r="D14" s="609" t="s">
        <v>378</v>
      </c>
      <c r="E14" s="609" t="s">
        <v>379</v>
      </c>
      <c r="F14" s="609" t="s">
        <v>380</v>
      </c>
      <c r="G14" s="609" t="s">
        <v>381</v>
      </c>
      <c r="H14" s="609" t="s">
        <v>382</v>
      </c>
      <c r="I14" s="609" t="s">
        <v>383</v>
      </c>
      <c r="J14" s="609" t="s">
        <v>384</v>
      </c>
      <c r="K14" s="154"/>
    </row>
    <row r="15" spans="1:11" ht="182.4" customHeight="1" x14ac:dyDescent="0.3">
      <c r="A15" s="154"/>
      <c r="B15" s="585" t="s">
        <v>1030</v>
      </c>
      <c r="C15" s="610" t="s">
        <v>1102</v>
      </c>
      <c r="D15" s="610" t="s">
        <v>1087</v>
      </c>
      <c r="E15" s="610" t="s">
        <v>1088</v>
      </c>
      <c r="F15" s="610" t="s">
        <v>1089</v>
      </c>
      <c r="G15" s="610" t="s">
        <v>1090</v>
      </c>
      <c r="H15" s="610" t="s">
        <v>1091</v>
      </c>
      <c r="I15" s="610" t="s">
        <v>1103</v>
      </c>
      <c r="J15" s="610" t="s">
        <v>1104</v>
      </c>
      <c r="K15" s="154"/>
    </row>
    <row r="16" spans="1:11" ht="21" x14ac:dyDescent="0.3">
      <c r="A16" s="154"/>
      <c r="B16" s="160">
        <v>2016</v>
      </c>
      <c r="C16" s="378">
        <f>VLOOKUP($E$10,CN!$A$10:$FA$167,10,0)</f>
        <v>0.34</v>
      </c>
      <c r="D16" s="378">
        <f>VLOOKUP($E$10,CN!$A$10:$FA$167,11,0)</f>
        <v>0.28999999999999998</v>
      </c>
      <c r="E16" s="378">
        <f>VLOOKUP($E$10,CN!$A$10:$FA$167,12,0)</f>
        <v>0.66</v>
      </c>
      <c r="F16" s="378">
        <f>VLOOKUP($E$10,CN!$A$10:$FA$167,13,0)</f>
        <v>0.21</v>
      </c>
      <c r="G16" s="378">
        <f>VLOOKUP($E$10,CN!$A$10:$FA$167,14,0)</f>
        <v>0.32</v>
      </c>
      <c r="H16" s="378">
        <f>VLOOKUP($E$10,CN!$A$10:$FA$167,15,0)</f>
        <v>0.56000000000000005</v>
      </c>
      <c r="I16" s="378">
        <f>VLOOKUP($E$10,CN!$A$10:$FA$167,16,0)</f>
        <v>0.28999999999999998</v>
      </c>
      <c r="J16" s="378">
        <f>VLOOKUP($E$10,CN!$A$10:$FA$167,17,0)</f>
        <v>0.41</v>
      </c>
      <c r="K16" s="154"/>
    </row>
    <row r="17" spans="1:11" ht="21" x14ac:dyDescent="0.3">
      <c r="A17" s="154"/>
      <c r="B17" s="160">
        <v>2017</v>
      </c>
      <c r="C17" s="378">
        <f>VLOOKUP($E$10,CN!$A$10:$FA$167,40,0)</f>
        <v>0.3</v>
      </c>
      <c r="D17" s="378">
        <f>VLOOKUP($E$10,CN!$A$10:$FA$167,41,0)</f>
        <v>0.52</v>
      </c>
      <c r="E17" s="378">
        <f>VLOOKUP($E$10,CN!$A$10:$FA$167,42,0)</f>
        <v>0.55000000000000004</v>
      </c>
      <c r="F17" s="378">
        <f>VLOOKUP($E$10,CN!$A$10:$FA$167,43,0)</f>
        <v>0.43</v>
      </c>
      <c r="G17" s="378">
        <f>VLOOKUP($E$10,CN!$A$10:$FA$167,44,0)</f>
        <v>0.53</v>
      </c>
      <c r="H17" s="378" t="s">
        <v>403</v>
      </c>
      <c r="I17" s="378">
        <f>VLOOKUP($E$10,CN!$A$10:$FA$167,45,0)</f>
        <v>0.5</v>
      </c>
      <c r="J17" s="378">
        <f>VLOOKUP($E$10,CN!$A$10:$FA$167,46,0)</f>
        <v>0.48</v>
      </c>
      <c r="K17" s="154"/>
    </row>
    <row r="18" spans="1:11" ht="21" x14ac:dyDescent="0.3">
      <c r="A18" s="154"/>
      <c r="B18" s="160">
        <v>2018</v>
      </c>
      <c r="C18" s="378">
        <f>VLOOKUP($E$10,CN!$A$10:$FA$167,79,0)</f>
        <v>0.47</v>
      </c>
      <c r="D18" s="378">
        <f>VLOOKUP($E$10,CN!$A$10:$FA$167,94,0)</f>
        <v>0.38</v>
      </c>
      <c r="E18" s="378">
        <f>VLOOKUP($E$10,CN!$A$10:$FA$167,72,0)</f>
        <v>0.64</v>
      </c>
      <c r="F18" s="378">
        <f>VLOOKUP($E$10,CN!$A$10:$FA$167,90,0)</f>
        <v>0.32</v>
      </c>
      <c r="G18" s="378">
        <f>VLOOKUP($E$10,CN!$A$10:$FA$167,76,0)</f>
        <v>0.34</v>
      </c>
      <c r="H18" s="378">
        <f>VLOOKUP($E$10,CN!$A$10:$FA$167,91,0)</f>
        <v>0.52</v>
      </c>
      <c r="I18" s="378">
        <f>VLOOKUP($E$10,CN!$A$10:$FA$167,86,0)</f>
        <v>0.48</v>
      </c>
      <c r="J18" s="378">
        <f>VLOOKUP($E$10,CN!$A$10:$FA$167,77,0)</f>
        <v>0.46</v>
      </c>
      <c r="K18" s="165"/>
    </row>
    <row r="19" spans="1:11" ht="21" x14ac:dyDescent="0.3">
      <c r="A19" s="154"/>
      <c r="B19" s="160">
        <v>2019</v>
      </c>
      <c r="C19" s="378">
        <f>VLOOKUP($E$10,CN!$A$10:$FA$167,117,0)</f>
        <v>0.57999999999999996</v>
      </c>
      <c r="D19" s="378">
        <f>VLOOKUP($E$10,CN!$A$10:$FA$167,118,0)</f>
        <v>0.49</v>
      </c>
      <c r="E19" s="378">
        <f>VLOOKUP($E$10,CN!$A$10:$FA$167,109,0)</f>
        <v>0.52</v>
      </c>
      <c r="F19" s="378">
        <f>VLOOKUP($E$10,CN!$A$10:$FA$167,115,0)</f>
        <v>0.37</v>
      </c>
      <c r="G19" s="378">
        <f>VLOOKUP($E$10,CN!$A$10:$FA$167,104,0)</f>
        <v>0.3</v>
      </c>
      <c r="H19" s="378">
        <f>VLOOKUP($E$10,CN!$A$10:$FA$167,125,0)</f>
        <v>0.53</v>
      </c>
      <c r="I19" s="378">
        <f>VLOOKUP($E$10,CN!$A$10:$FA$167,105,0)</f>
        <v>0.57999999999999996</v>
      </c>
      <c r="J19" s="378">
        <f>VLOOKUP($E$10,CN!$A$10:$FA$167,112,0)</f>
        <v>0.44</v>
      </c>
      <c r="K19" s="154"/>
    </row>
    <row r="20" spans="1:11" ht="21" x14ac:dyDescent="0.3">
      <c r="A20" s="154"/>
      <c r="B20" s="160">
        <v>2020</v>
      </c>
      <c r="C20" s="378">
        <f>VLOOKUP($E$10,CN!$A$10:$FA$167,135,0)</f>
        <v>0.49</v>
      </c>
      <c r="D20" s="378">
        <f>VLOOKUP($E$10,CN!$A$10:$FA$167,154,0)</f>
        <v>0.67</v>
      </c>
      <c r="E20" s="378">
        <f>VLOOKUP($E$10,CN!$A$10:$FA$167,149,0)</f>
        <v>0.52</v>
      </c>
      <c r="F20" s="378">
        <f>VLOOKUP($E$10,CN!$A$10:$FA$167,146,0)</f>
        <v>0.42</v>
      </c>
      <c r="G20" s="378">
        <f>VLOOKUP($E$10,CN!$A$10:$FA$167,142,0)</f>
        <v>0.49</v>
      </c>
      <c r="H20" s="378" t="s">
        <v>403</v>
      </c>
      <c r="I20" s="378">
        <f>VLOOKUP($E$10,CN!$A$10:$FA$167,134,0)</f>
        <v>0.5</v>
      </c>
      <c r="J20" s="378">
        <f>VLOOKUP($E$10,CN!$A$10:$FA$167,140,0)</f>
        <v>0.59</v>
      </c>
      <c r="K20" s="165"/>
    </row>
    <row r="21" spans="1:11" ht="21" x14ac:dyDescent="0.3">
      <c r="A21" s="154"/>
      <c r="B21" s="160">
        <v>2021</v>
      </c>
      <c r="C21" s="378">
        <f>VLOOKUP($E$10,CN!$A$10:$GI$167,172,0)</f>
        <v>0.46</v>
      </c>
      <c r="D21" s="378">
        <f>VLOOKUP($E$10,CN!$A$10:$GI$167,168,0)</f>
        <v>0.5</v>
      </c>
      <c r="E21" s="378">
        <f>VLOOKUP($E$10,CN!$A$10:$GI$167,188,0)</f>
        <v>0.46</v>
      </c>
      <c r="F21" s="378">
        <f>VLOOKUP($E$10,CN!$A$10:$GI$167,180,0)</f>
        <v>0.56000000000000005</v>
      </c>
      <c r="G21" s="378">
        <f>VLOOKUP($E$10,CN!$A$10:$GI$167,185,0)</f>
        <v>0.5</v>
      </c>
      <c r="H21" s="378">
        <f>VLOOKUP($E$10,CN!$A$10:$GI$167,184,0)</f>
        <v>0.62</v>
      </c>
      <c r="I21" s="378">
        <f>VLOOKUP($E$10,CN!$A$10:$GI$167,189,0)</f>
        <v>0.51</v>
      </c>
      <c r="J21" s="378">
        <f>VLOOKUP($E$10,CN!$A$10:$GI$167,191,0)</f>
        <v>0.34</v>
      </c>
      <c r="K21" s="154"/>
    </row>
    <row r="22" spans="1:11" ht="21" x14ac:dyDescent="0.3">
      <c r="A22" s="154"/>
      <c r="B22" s="160">
        <v>2022</v>
      </c>
      <c r="C22" s="378">
        <f>VLOOKUP($E$10,CN!$A$10:$HQ$167,223,0)</f>
        <v>0.38</v>
      </c>
      <c r="D22" s="378">
        <f>VLOOKUP($E$10,CN!$A$10:$HQ$167,204,0)</f>
        <v>0.59</v>
      </c>
      <c r="E22" s="378" t="str">
        <f>VLOOKUP($E$10,CN!$A$10:$HQ$167,224,0)</f>
        <v>N.D.</v>
      </c>
      <c r="F22" s="378">
        <f>VLOOKUP($E$10,CN!$A$10:$HQ$167,200,0)</f>
        <v>0.5</v>
      </c>
      <c r="G22" s="378">
        <f>VLOOKUP($E$10,CN!$A$10:$HQ$167,201,0)</f>
        <v>0.54</v>
      </c>
      <c r="H22" s="378">
        <f>VLOOKUP($E$10,CN!$A$10:$HQ$167,210,0)</f>
        <v>0.51</v>
      </c>
      <c r="I22" s="378">
        <f>VLOOKUP($E$10,CN!$A$10:$HQ$167,216,0)</f>
        <v>0.44</v>
      </c>
      <c r="J22" s="378">
        <f>VLOOKUP($E$10,CN!$A$10:$HQ$167,202,0)</f>
        <v>0.65</v>
      </c>
      <c r="K22" s="165"/>
    </row>
    <row r="23" spans="1:11" ht="21" x14ac:dyDescent="0.3">
      <c r="A23" s="154"/>
      <c r="B23" s="160">
        <v>2023</v>
      </c>
      <c r="C23" s="378">
        <f>VLOOKUP($E$10,CN!$A$10:$IY$167,259,0)</f>
        <v>0.62</v>
      </c>
      <c r="D23" s="378">
        <f>VLOOKUP($E$10,CN!$A$10:$IY$167,235,0)</f>
        <v>0.6</v>
      </c>
      <c r="E23" s="378">
        <f>VLOOKUP($E$10,CN!$A$10:$IY$167,236,0)</f>
        <v>0.37</v>
      </c>
      <c r="F23" s="378">
        <f>VLOOKUP($E$10,CN!$A$10:$IY$167,237,0)</f>
        <v>0.54</v>
      </c>
      <c r="G23" s="378">
        <f>VLOOKUP($E$10,CN!$A$10:$IY$167,240,0)</f>
        <v>0.42</v>
      </c>
      <c r="H23" s="378">
        <f>VLOOKUP($E$10,CN!$A$10:$IY$167,253,0)</f>
        <v>0.56000000000000005</v>
      </c>
      <c r="I23" s="378">
        <f>VLOOKUP($E$10,CN!$A$10:$IY$167,250,0)</f>
        <v>0.45</v>
      </c>
      <c r="J23" s="378">
        <f>VLOOKUP($E$10,CN!$A$10:$IY$167,248,0)</f>
        <v>0.42</v>
      </c>
      <c r="K23" s="165"/>
    </row>
    <row r="24" spans="1:11" ht="18" x14ac:dyDescent="0.35">
      <c r="A24" s="154"/>
      <c r="B24" s="268"/>
      <c r="C24" s="268"/>
      <c r="D24" s="164"/>
      <c r="E24" s="164"/>
      <c r="F24" s="154"/>
      <c r="G24" s="154"/>
      <c r="H24" s="154"/>
      <c r="I24" s="154"/>
      <c r="J24" s="154"/>
      <c r="K24" s="154"/>
    </row>
    <row r="25" spans="1:11" ht="23.4" x14ac:dyDescent="0.45">
      <c r="A25" s="154"/>
      <c r="B25" s="912" t="str">
        <f>C13</f>
        <v>Explicación de fenómenos 
(12% de las preguntas)</v>
      </c>
      <c r="C25" s="912"/>
      <c r="D25" s="912"/>
      <c r="E25" s="912"/>
      <c r="F25" s="154"/>
      <c r="G25" s="912" t="str">
        <f>I13</f>
        <v>Uso comprensivo del conocimiento científico 
(9% de las preguntas)</v>
      </c>
      <c r="H25" s="912"/>
      <c r="I25" s="912"/>
      <c r="J25" s="912"/>
      <c r="K25" s="154"/>
    </row>
    <row r="26" spans="1:11" x14ac:dyDescent="0.3">
      <c r="A26" s="154"/>
      <c r="B26" s="154"/>
      <c r="C26" s="154"/>
      <c r="D26" s="154"/>
      <c r="E26" s="154"/>
      <c r="F26" s="154"/>
      <c r="G26" s="154"/>
      <c r="H26" s="154"/>
      <c r="I26" s="154"/>
      <c r="J26" s="154"/>
      <c r="K26" s="154"/>
    </row>
    <row r="27" spans="1:11" x14ac:dyDescent="0.3">
      <c r="A27" s="154"/>
      <c r="B27" s="154"/>
      <c r="C27" s="154"/>
      <c r="D27" s="154"/>
      <c r="E27" s="154"/>
      <c r="F27" s="154"/>
      <c r="G27" s="154"/>
      <c r="H27" s="154"/>
      <c r="I27" s="154"/>
      <c r="J27" s="154"/>
      <c r="K27" s="154"/>
    </row>
    <row r="28" spans="1:11" ht="15.75" customHeight="1" x14ac:dyDescent="0.3">
      <c r="A28" s="154"/>
      <c r="B28" s="154"/>
      <c r="C28" s="154"/>
      <c r="D28" s="154"/>
      <c r="E28" s="154"/>
      <c r="F28" s="154"/>
      <c r="G28" s="154"/>
      <c r="H28" s="154"/>
      <c r="I28" s="154"/>
      <c r="J28" s="154"/>
      <c r="K28" s="154"/>
    </row>
    <row r="29" spans="1:11" ht="26.25" customHeight="1" x14ac:dyDescent="0.3">
      <c r="A29" s="154"/>
      <c r="B29" s="154"/>
      <c r="C29" s="154"/>
      <c r="D29" s="154"/>
      <c r="E29" s="154"/>
      <c r="F29" s="154"/>
      <c r="G29" s="154"/>
      <c r="H29" s="154"/>
      <c r="I29" s="154"/>
      <c r="J29" s="154"/>
      <c r="K29" s="154"/>
    </row>
    <row r="30" spans="1:11" x14ac:dyDescent="0.3">
      <c r="A30" s="154"/>
      <c r="B30" s="154"/>
      <c r="C30" s="154"/>
      <c r="D30" s="154"/>
      <c r="E30" s="154"/>
      <c r="F30" s="154"/>
      <c r="G30" s="154"/>
      <c r="H30" s="154"/>
      <c r="I30" s="154"/>
      <c r="J30" s="154"/>
      <c r="K30" s="154"/>
    </row>
    <row r="31" spans="1:11" x14ac:dyDescent="0.3">
      <c r="A31" s="154"/>
      <c r="B31" s="154"/>
      <c r="C31" s="154"/>
      <c r="D31" s="154"/>
      <c r="E31" s="154"/>
      <c r="F31" s="154"/>
      <c r="G31" s="154"/>
      <c r="H31" s="154"/>
      <c r="I31" s="154"/>
      <c r="J31" s="154"/>
      <c r="K31" s="154"/>
    </row>
    <row r="32" spans="1:11" x14ac:dyDescent="0.3">
      <c r="A32" s="154"/>
      <c r="B32" s="154"/>
      <c r="C32" s="154"/>
      <c r="D32" s="154"/>
      <c r="E32" s="154"/>
      <c r="F32" s="154"/>
      <c r="G32" s="154"/>
      <c r="H32" s="154"/>
      <c r="I32" s="154"/>
      <c r="J32" s="154"/>
      <c r="K32" s="154"/>
    </row>
    <row r="33" spans="1:11" x14ac:dyDescent="0.3">
      <c r="A33" s="154"/>
      <c r="B33" s="154"/>
      <c r="C33" s="154"/>
      <c r="D33" s="154"/>
      <c r="E33" s="154"/>
      <c r="F33" s="154"/>
      <c r="G33" s="154"/>
      <c r="H33" s="154"/>
      <c r="I33" s="154"/>
      <c r="J33" s="154"/>
      <c r="K33" s="154"/>
    </row>
    <row r="34" spans="1:11" x14ac:dyDescent="0.3">
      <c r="A34" s="154"/>
      <c r="B34" s="154"/>
      <c r="C34" s="154"/>
      <c r="D34" s="154"/>
      <c r="E34" s="154"/>
      <c r="F34" s="154"/>
      <c r="G34" s="154"/>
      <c r="H34" s="154"/>
      <c r="I34" s="154"/>
      <c r="J34" s="154"/>
      <c r="K34" s="154"/>
    </row>
    <row r="35" spans="1:11" x14ac:dyDescent="0.3">
      <c r="A35" s="154"/>
      <c r="B35" s="154"/>
      <c r="C35" s="154"/>
      <c r="D35" s="154"/>
      <c r="E35" s="154"/>
      <c r="F35" s="154"/>
      <c r="G35" s="154"/>
      <c r="H35" s="154"/>
      <c r="I35" s="154"/>
      <c r="J35" s="154"/>
      <c r="K35" s="154"/>
    </row>
    <row r="36" spans="1:11" x14ac:dyDescent="0.3">
      <c r="A36" s="154"/>
      <c r="B36" s="154"/>
      <c r="C36" s="154"/>
      <c r="D36" s="154"/>
      <c r="E36" s="154"/>
      <c r="F36" s="154"/>
      <c r="G36" s="154"/>
      <c r="H36" s="154"/>
      <c r="I36" s="154"/>
      <c r="J36" s="154"/>
      <c r="K36" s="154"/>
    </row>
    <row r="37" spans="1:11" x14ac:dyDescent="0.3">
      <c r="A37" s="154"/>
      <c r="B37" s="154"/>
      <c r="C37" s="154"/>
      <c r="D37" s="154"/>
      <c r="E37" s="154"/>
      <c r="F37" s="154"/>
      <c r="G37" s="154"/>
      <c r="H37" s="154"/>
      <c r="I37" s="154"/>
      <c r="J37" s="154"/>
      <c r="K37" s="154"/>
    </row>
    <row r="38" spans="1:11" x14ac:dyDescent="0.3">
      <c r="A38" s="154"/>
      <c r="B38" s="154"/>
      <c r="C38" s="154"/>
      <c r="D38" s="154"/>
      <c r="E38" s="154"/>
      <c r="F38" s="154"/>
      <c r="G38" s="154"/>
      <c r="H38" s="154"/>
      <c r="I38" s="154"/>
      <c r="J38" s="154"/>
      <c r="K38" s="154"/>
    </row>
    <row r="39" spans="1:11" x14ac:dyDescent="0.3">
      <c r="A39" s="154"/>
      <c r="B39" s="154"/>
      <c r="C39" s="154"/>
      <c r="D39" s="154"/>
      <c r="E39" s="154"/>
      <c r="F39" s="154"/>
      <c r="G39" s="154"/>
      <c r="H39" s="154"/>
      <c r="I39" s="154"/>
      <c r="J39" s="154"/>
      <c r="K39" s="154"/>
    </row>
    <row r="40" spans="1:11" x14ac:dyDescent="0.3">
      <c r="A40" s="154"/>
      <c r="B40" s="154"/>
      <c r="C40" s="154"/>
      <c r="D40" s="154"/>
      <c r="E40" s="154"/>
      <c r="F40" s="154"/>
      <c r="G40" s="154"/>
      <c r="H40" s="154"/>
      <c r="I40" s="154"/>
      <c r="J40" s="154"/>
      <c r="K40" s="154"/>
    </row>
    <row r="41" spans="1:11" x14ac:dyDescent="0.3">
      <c r="A41" s="154"/>
      <c r="B41" s="154"/>
      <c r="C41" s="154"/>
      <c r="D41" s="154"/>
      <c r="E41" s="154"/>
      <c r="F41" s="154"/>
      <c r="G41" s="154"/>
      <c r="H41" s="154"/>
      <c r="I41" s="154"/>
      <c r="J41" s="154"/>
      <c r="K41" s="154"/>
    </row>
    <row r="42" spans="1:11" x14ac:dyDescent="0.3">
      <c r="A42" s="154"/>
      <c r="B42" s="154"/>
      <c r="C42" s="154"/>
      <c r="D42" s="154"/>
      <c r="E42" s="154"/>
      <c r="F42" s="154"/>
      <c r="G42" s="154"/>
      <c r="H42" s="154"/>
      <c r="I42" s="154"/>
      <c r="J42" s="154"/>
      <c r="K42" s="154"/>
    </row>
    <row r="43" spans="1:11" x14ac:dyDescent="0.3">
      <c r="A43" s="154"/>
      <c r="B43" s="154"/>
      <c r="C43" s="154"/>
      <c r="D43" s="154"/>
      <c r="E43" s="154"/>
      <c r="F43" s="154"/>
      <c r="G43" s="154"/>
      <c r="H43" s="154"/>
      <c r="I43" s="154"/>
      <c r="J43" s="154"/>
      <c r="K43" s="154"/>
    </row>
    <row r="44" spans="1:11" x14ac:dyDescent="0.3">
      <c r="A44" s="154"/>
      <c r="B44" s="154"/>
      <c r="C44" s="154"/>
      <c r="D44" s="154"/>
      <c r="E44" s="154"/>
      <c r="F44" s="154"/>
      <c r="G44" s="154"/>
      <c r="H44" s="154"/>
      <c r="I44" s="154"/>
      <c r="J44" s="154"/>
      <c r="K44" s="154"/>
    </row>
    <row r="45" spans="1:11" x14ac:dyDescent="0.3">
      <c r="A45" s="154"/>
      <c r="B45" s="154"/>
      <c r="C45" s="154"/>
      <c r="D45" s="154"/>
      <c r="E45" s="154"/>
      <c r="F45" s="154"/>
      <c r="G45" s="154"/>
      <c r="H45" s="154"/>
      <c r="I45" s="154"/>
      <c r="J45" s="154"/>
      <c r="K45" s="154"/>
    </row>
    <row r="46" spans="1:11" x14ac:dyDescent="0.3">
      <c r="A46" s="154"/>
      <c r="B46" s="154"/>
      <c r="C46" s="154"/>
      <c r="D46" s="154"/>
      <c r="E46" s="154"/>
      <c r="F46" s="154"/>
      <c r="G46" s="154"/>
      <c r="H46" s="154"/>
      <c r="I46" s="154"/>
      <c r="J46" s="154"/>
      <c r="K46" s="154"/>
    </row>
    <row r="47" spans="1:11" x14ac:dyDescent="0.3">
      <c r="A47" s="154"/>
      <c r="B47" s="154"/>
      <c r="C47" s="154"/>
      <c r="D47" s="154"/>
      <c r="E47" s="154"/>
      <c r="F47" s="154"/>
      <c r="G47" s="154"/>
      <c r="H47" s="154"/>
      <c r="I47" s="154"/>
      <c r="J47" s="154"/>
      <c r="K47" s="154"/>
    </row>
    <row r="48" spans="1:11" x14ac:dyDescent="0.3">
      <c r="A48" s="154"/>
      <c r="B48" s="154"/>
      <c r="C48" s="154"/>
      <c r="D48" s="154"/>
      <c r="E48" s="154"/>
      <c r="F48" s="154"/>
      <c r="G48" s="154"/>
      <c r="H48" s="154"/>
      <c r="I48" s="154"/>
      <c r="J48" s="154"/>
      <c r="K48" s="154"/>
    </row>
    <row r="49" spans="1:11" ht="18" customHeight="1" x14ac:dyDescent="0.3">
      <c r="A49" s="154"/>
      <c r="B49" s="154"/>
      <c r="C49" s="154"/>
      <c r="D49" s="154"/>
      <c r="E49" s="154"/>
      <c r="F49" s="154"/>
      <c r="G49" s="154"/>
      <c r="H49" s="154"/>
      <c r="I49" s="154"/>
      <c r="J49" s="154"/>
      <c r="K49" s="154"/>
    </row>
    <row r="50" spans="1:11" ht="23.4" x14ac:dyDescent="0.45">
      <c r="A50" s="154"/>
      <c r="B50" s="912" t="str">
        <f>E13</f>
        <v>Indagar 
(9% de las preguntas)</v>
      </c>
      <c r="C50" s="912"/>
      <c r="D50" s="912"/>
      <c r="E50" s="912"/>
      <c r="F50" s="154"/>
      <c r="G50" s="154"/>
      <c r="H50" s="154"/>
      <c r="I50" s="154"/>
      <c r="J50" s="154"/>
      <c r="K50" s="154"/>
    </row>
    <row r="51" spans="1:11" ht="18" x14ac:dyDescent="0.3">
      <c r="A51" s="154"/>
      <c r="B51" s="154"/>
      <c r="C51" s="154"/>
      <c r="D51" s="154"/>
      <c r="E51" s="154"/>
      <c r="F51" s="154"/>
      <c r="G51" s="602"/>
      <c r="H51" s="602"/>
      <c r="I51" s="602"/>
      <c r="J51" s="602"/>
      <c r="K51" s="523"/>
    </row>
    <row r="52" spans="1:11" ht="17.399999999999999" customHeight="1" x14ac:dyDescent="0.3">
      <c r="A52" s="154"/>
      <c r="B52" s="154"/>
      <c r="C52" s="154"/>
      <c r="D52" s="154"/>
      <c r="E52" s="154"/>
      <c r="F52" s="154"/>
      <c r="G52" s="918" t="s">
        <v>1034</v>
      </c>
      <c r="H52" s="918"/>
      <c r="I52" s="918"/>
      <c r="J52" s="918"/>
      <c r="K52" s="154"/>
    </row>
    <row r="53" spans="1:11" ht="15.6" customHeight="1" x14ac:dyDescent="0.3">
      <c r="A53" s="154"/>
      <c r="B53" s="154"/>
      <c r="C53" s="154"/>
      <c r="D53" s="154"/>
      <c r="E53" s="154"/>
      <c r="F53" s="154"/>
      <c r="G53" s="917" t="s">
        <v>1044</v>
      </c>
      <c r="H53" s="917"/>
      <c r="I53" s="917"/>
      <c r="J53" s="917"/>
      <c r="K53" s="603"/>
    </row>
    <row r="54" spans="1:11" ht="15.6" customHeight="1" x14ac:dyDescent="0.3">
      <c r="A54" s="154"/>
      <c r="B54" s="154"/>
      <c r="C54" s="154"/>
      <c r="D54" s="154"/>
      <c r="E54" s="154"/>
      <c r="F54" s="154"/>
      <c r="G54" s="917"/>
      <c r="H54" s="917"/>
      <c r="I54" s="917"/>
      <c r="J54" s="917"/>
      <c r="K54" s="603"/>
    </row>
    <row r="55" spans="1:11" ht="15.6" customHeight="1" x14ac:dyDescent="0.3">
      <c r="A55" s="154"/>
      <c r="B55" s="154"/>
      <c r="C55" s="154"/>
      <c r="D55" s="154"/>
      <c r="E55" s="154"/>
      <c r="F55" s="154"/>
      <c r="G55" s="917"/>
      <c r="H55" s="917"/>
      <c r="I55" s="917"/>
      <c r="J55" s="917"/>
      <c r="K55" s="603"/>
    </row>
    <row r="56" spans="1:11" ht="15.6" customHeight="1" x14ac:dyDescent="0.3">
      <c r="A56" s="154"/>
      <c r="B56" s="154"/>
      <c r="C56" s="154"/>
      <c r="D56" s="154"/>
      <c r="E56" s="154"/>
      <c r="F56" s="154"/>
      <c r="G56" s="917"/>
      <c r="H56" s="917"/>
      <c r="I56" s="917"/>
      <c r="J56" s="917"/>
      <c r="K56" s="603"/>
    </row>
    <row r="57" spans="1:11" ht="15.6" customHeight="1" x14ac:dyDescent="0.3">
      <c r="A57" s="154"/>
      <c r="B57" s="154"/>
      <c r="C57" s="154"/>
      <c r="D57" s="154"/>
      <c r="E57" s="154"/>
      <c r="F57" s="154"/>
      <c r="G57" s="917"/>
      <c r="H57" s="917"/>
      <c r="I57" s="917"/>
      <c r="J57" s="917"/>
      <c r="K57" s="603"/>
    </row>
    <row r="58" spans="1:11" ht="15.6" customHeight="1" x14ac:dyDescent="0.3">
      <c r="A58" s="154"/>
      <c r="B58" s="154"/>
      <c r="C58" s="154"/>
      <c r="D58" s="154"/>
      <c r="E58" s="154"/>
      <c r="F58" s="154"/>
      <c r="G58" s="917"/>
      <c r="H58" s="917"/>
      <c r="I58" s="917"/>
      <c r="J58" s="917"/>
      <c r="K58" s="603"/>
    </row>
    <row r="59" spans="1:11" ht="15.6" customHeight="1" x14ac:dyDescent="0.3">
      <c r="A59" s="154"/>
      <c r="B59" s="154"/>
      <c r="C59" s="154"/>
      <c r="D59" s="154"/>
      <c r="E59" s="154"/>
      <c r="F59" s="154"/>
      <c r="G59" s="917"/>
      <c r="H59" s="917"/>
      <c r="I59" s="917"/>
      <c r="J59" s="917"/>
      <c r="K59" s="603"/>
    </row>
    <row r="60" spans="1:11" ht="15.6" customHeight="1" x14ac:dyDescent="0.3">
      <c r="A60" s="154"/>
      <c r="B60" s="154"/>
      <c r="C60" s="154"/>
      <c r="D60" s="154"/>
      <c r="E60" s="154"/>
      <c r="F60" s="154"/>
      <c r="G60" s="917"/>
      <c r="H60" s="917"/>
      <c r="I60" s="917"/>
      <c r="J60" s="917"/>
      <c r="K60" s="603"/>
    </row>
    <row r="61" spans="1:11" ht="15.6" customHeight="1" x14ac:dyDescent="0.3">
      <c r="A61" s="154"/>
      <c r="B61" s="154"/>
      <c r="C61" s="154"/>
      <c r="D61" s="154"/>
      <c r="E61" s="154"/>
      <c r="F61" s="154"/>
      <c r="G61" s="917"/>
      <c r="H61" s="917"/>
      <c r="I61" s="917"/>
      <c r="J61" s="917"/>
      <c r="K61" s="603"/>
    </row>
    <row r="62" spans="1:11" ht="15.6" customHeight="1" x14ac:dyDescent="0.3">
      <c r="A62" s="154"/>
      <c r="B62" s="154"/>
      <c r="C62" s="154"/>
      <c r="D62" s="154"/>
      <c r="E62" s="154"/>
      <c r="F62" s="154"/>
      <c r="G62" s="917"/>
      <c r="H62" s="917"/>
      <c r="I62" s="917"/>
      <c r="J62" s="917"/>
      <c r="K62" s="603"/>
    </row>
    <row r="63" spans="1:11" ht="15.6" customHeight="1" x14ac:dyDescent="0.3">
      <c r="A63" s="154"/>
      <c r="B63" s="154"/>
      <c r="C63" s="154"/>
      <c r="D63" s="154"/>
      <c r="E63" s="154"/>
      <c r="F63" s="154"/>
      <c r="G63" s="917"/>
      <c r="H63" s="917"/>
      <c r="I63" s="917"/>
      <c r="J63" s="917"/>
      <c r="K63" s="603"/>
    </row>
    <row r="64" spans="1:11" ht="15.6" customHeight="1" x14ac:dyDescent="0.3">
      <c r="A64" s="154"/>
      <c r="B64" s="154"/>
      <c r="C64" s="154"/>
      <c r="D64" s="154"/>
      <c r="E64" s="154"/>
      <c r="F64" s="154"/>
      <c r="G64" s="917"/>
      <c r="H64" s="917"/>
      <c r="I64" s="917"/>
      <c r="J64" s="917"/>
      <c r="K64" s="603"/>
    </row>
    <row r="65" spans="1:11" ht="15.6" customHeight="1" x14ac:dyDescent="0.3">
      <c r="A65" s="154"/>
      <c r="B65" s="154"/>
      <c r="C65" s="154"/>
      <c r="D65" s="154"/>
      <c r="E65" s="154"/>
      <c r="F65" s="154"/>
      <c r="G65" s="917"/>
      <c r="H65" s="917"/>
      <c r="I65" s="917"/>
      <c r="J65" s="917"/>
      <c r="K65" s="603"/>
    </row>
    <row r="66" spans="1:11" ht="15.6" customHeight="1" x14ac:dyDescent="0.3">
      <c r="A66" s="154"/>
      <c r="B66" s="154"/>
      <c r="C66" s="154"/>
      <c r="D66" s="154"/>
      <c r="E66" s="154"/>
      <c r="F66" s="154"/>
      <c r="G66" s="917"/>
      <c r="H66" s="917"/>
      <c r="I66" s="917"/>
      <c r="J66" s="917"/>
      <c r="K66" s="603"/>
    </row>
    <row r="67" spans="1:11" ht="15.6" customHeight="1" x14ac:dyDescent="0.3">
      <c r="A67" s="154"/>
      <c r="B67" s="154"/>
      <c r="C67" s="154"/>
      <c r="D67" s="154"/>
      <c r="E67" s="154"/>
      <c r="F67" s="154"/>
      <c r="G67" s="917"/>
      <c r="H67" s="917"/>
      <c r="I67" s="917"/>
      <c r="J67" s="917"/>
      <c r="K67" s="603"/>
    </row>
    <row r="68" spans="1:11" ht="15.6" customHeight="1" x14ac:dyDescent="0.3">
      <c r="A68" s="154"/>
      <c r="B68" s="154"/>
      <c r="C68" s="154"/>
      <c r="D68" s="154"/>
      <c r="E68" s="154"/>
      <c r="F68" s="154"/>
      <c r="G68" s="917"/>
      <c r="H68" s="917"/>
      <c r="I68" s="917"/>
      <c r="J68" s="917"/>
      <c r="K68" s="603"/>
    </row>
    <row r="69" spans="1:11" ht="15.6" customHeight="1" x14ac:dyDescent="0.3">
      <c r="A69" s="154"/>
      <c r="B69" s="154"/>
      <c r="C69" s="154"/>
      <c r="D69" s="154"/>
      <c r="E69" s="154"/>
      <c r="F69" s="154"/>
      <c r="G69" s="917"/>
      <c r="H69" s="917"/>
      <c r="I69" s="917"/>
      <c r="J69" s="917"/>
      <c r="K69" s="603"/>
    </row>
    <row r="70" spans="1:11" ht="15.6" customHeight="1" x14ac:dyDescent="0.3">
      <c r="A70" s="154"/>
      <c r="B70" s="154"/>
      <c r="C70" s="154"/>
      <c r="D70" s="154"/>
      <c r="E70" s="154"/>
      <c r="F70" s="154"/>
      <c r="G70" s="917"/>
      <c r="H70" s="917"/>
      <c r="I70" s="917"/>
      <c r="J70" s="917"/>
      <c r="K70" s="603"/>
    </row>
    <row r="71" spans="1:11" ht="15.6" customHeight="1" x14ac:dyDescent="0.3">
      <c r="A71" s="154"/>
      <c r="B71" s="154"/>
      <c r="C71" s="154"/>
      <c r="D71" s="154"/>
      <c r="E71" s="154"/>
      <c r="F71" s="154"/>
      <c r="G71" s="917"/>
      <c r="H71" s="917"/>
      <c r="I71" s="917"/>
      <c r="J71" s="917"/>
      <c r="K71" s="603"/>
    </row>
    <row r="72" spans="1:11" ht="15.6" customHeight="1" x14ac:dyDescent="0.3">
      <c r="A72" s="154"/>
      <c r="B72" s="154"/>
      <c r="C72" s="154"/>
      <c r="D72" s="154"/>
      <c r="E72" s="154"/>
      <c r="F72" s="154"/>
      <c r="G72" s="917"/>
      <c r="H72" s="917"/>
      <c r="I72" s="917"/>
      <c r="J72" s="917"/>
      <c r="K72" s="603"/>
    </row>
    <row r="73" spans="1:11" ht="15.6" customHeight="1" x14ac:dyDescent="0.3">
      <c r="A73" s="154"/>
      <c r="B73" s="154"/>
      <c r="C73" s="154"/>
      <c r="D73" s="154"/>
      <c r="E73" s="154"/>
      <c r="F73" s="154"/>
      <c r="G73" s="917"/>
      <c r="H73" s="917"/>
      <c r="I73" s="917"/>
      <c r="J73" s="917"/>
      <c r="K73" s="603"/>
    </row>
    <row r="74" spans="1:11" ht="15.6" customHeight="1" x14ac:dyDescent="0.3">
      <c r="A74" s="154"/>
      <c r="B74" s="154"/>
      <c r="C74" s="154"/>
      <c r="D74" s="154"/>
      <c r="E74" s="154"/>
      <c r="F74" s="154"/>
      <c r="G74" s="917"/>
      <c r="H74" s="917"/>
      <c r="I74" s="917"/>
      <c r="J74" s="917"/>
      <c r="K74" s="603"/>
    </row>
    <row r="75" spans="1:11" ht="15.6" customHeight="1" x14ac:dyDescent="0.3">
      <c r="A75" s="154"/>
      <c r="B75" s="154"/>
      <c r="C75" s="154"/>
      <c r="D75" s="154"/>
      <c r="E75" s="154"/>
      <c r="F75" s="154"/>
      <c r="G75" s="917"/>
      <c r="H75" s="917"/>
      <c r="I75" s="917"/>
      <c r="J75" s="917"/>
      <c r="K75" s="603"/>
    </row>
    <row r="76" spans="1:11" ht="15.6" customHeight="1" x14ac:dyDescent="0.3">
      <c r="A76" s="154"/>
      <c r="B76" s="154"/>
      <c r="C76" s="154"/>
      <c r="D76" s="154"/>
      <c r="E76" s="154"/>
      <c r="F76" s="154"/>
      <c r="G76" s="917"/>
      <c r="H76" s="917"/>
      <c r="I76" s="917"/>
      <c r="J76" s="917"/>
      <c r="K76" s="603"/>
    </row>
    <row r="77" spans="1:11" ht="15.6" customHeight="1" x14ac:dyDescent="0.3">
      <c r="A77" s="154"/>
      <c r="B77" s="154"/>
      <c r="C77" s="154"/>
      <c r="D77" s="154"/>
      <c r="E77" s="154"/>
      <c r="F77" s="154"/>
      <c r="G77" s="917"/>
      <c r="H77" s="917"/>
      <c r="I77" s="917"/>
      <c r="J77" s="917"/>
      <c r="K77" s="603"/>
    </row>
    <row r="78" spans="1:11" ht="15.6" customHeight="1" x14ac:dyDescent="0.3">
      <c r="A78" s="154"/>
      <c r="B78" s="154"/>
      <c r="C78" s="154"/>
      <c r="D78" s="154"/>
      <c r="E78" s="154"/>
      <c r="F78" s="154"/>
      <c r="G78" s="917"/>
      <c r="H78" s="917"/>
      <c r="I78" s="917"/>
      <c r="J78" s="917"/>
      <c r="K78" s="603"/>
    </row>
    <row r="79" spans="1:11" ht="15.6" customHeight="1" x14ac:dyDescent="0.3">
      <c r="A79" s="154"/>
      <c r="B79" s="154"/>
      <c r="C79" s="154"/>
      <c r="D79" s="154"/>
      <c r="E79" s="154"/>
      <c r="F79" s="154"/>
      <c r="G79" s="917"/>
      <c r="H79" s="917"/>
      <c r="I79" s="917"/>
      <c r="J79" s="917"/>
      <c r="K79" s="603"/>
    </row>
    <row r="80" spans="1:11" ht="15.6" customHeight="1" x14ac:dyDescent="0.3">
      <c r="A80" s="154"/>
      <c r="B80" s="154"/>
      <c r="C80" s="154"/>
      <c r="D80" s="154"/>
      <c r="E80" s="154"/>
      <c r="F80" s="154"/>
      <c r="G80" s="917"/>
      <c r="H80" s="917"/>
      <c r="I80" s="917"/>
      <c r="J80" s="917"/>
      <c r="K80" s="603"/>
    </row>
    <row r="81" spans="1:11" ht="15.6" customHeight="1" x14ac:dyDescent="0.3">
      <c r="A81" s="154"/>
      <c r="B81" s="154"/>
      <c r="C81" s="154"/>
      <c r="D81" s="154"/>
      <c r="E81" s="154"/>
      <c r="F81" s="154"/>
      <c r="G81" s="917"/>
      <c r="H81" s="917"/>
      <c r="I81" s="917"/>
      <c r="J81" s="917"/>
      <c r="K81" s="603"/>
    </row>
    <row r="82" spans="1:11" ht="15.6" customHeight="1" x14ac:dyDescent="0.3">
      <c r="A82" s="154"/>
      <c r="B82" s="154"/>
      <c r="C82" s="154"/>
      <c r="D82" s="154"/>
      <c r="E82" s="154"/>
      <c r="F82" s="154"/>
      <c r="G82" s="917"/>
      <c r="H82" s="917"/>
      <c r="I82" s="917"/>
      <c r="J82" s="917"/>
      <c r="K82" s="603"/>
    </row>
    <row r="83" spans="1:11" ht="15.6" customHeight="1" x14ac:dyDescent="0.3">
      <c r="A83" s="154"/>
      <c r="B83" s="154"/>
      <c r="C83" s="154"/>
      <c r="D83" s="154"/>
      <c r="E83" s="154"/>
      <c r="F83" s="154"/>
      <c r="G83" s="917"/>
      <c r="H83" s="917"/>
      <c r="I83" s="917"/>
      <c r="J83" s="917"/>
      <c r="K83" s="603"/>
    </row>
    <row r="84" spans="1:11" ht="15.6" customHeight="1" x14ac:dyDescent="0.3">
      <c r="A84" s="154"/>
      <c r="B84" s="154"/>
      <c r="C84" s="154"/>
      <c r="D84" s="154"/>
      <c r="E84" s="154"/>
      <c r="F84" s="154"/>
      <c r="G84" s="917"/>
      <c r="H84" s="917"/>
      <c r="I84" s="917"/>
      <c r="J84" s="917"/>
      <c r="K84" s="603"/>
    </row>
    <row r="85" spans="1:11" ht="15.6" customHeight="1" x14ac:dyDescent="0.3">
      <c r="A85" s="154"/>
      <c r="B85" s="154"/>
      <c r="C85" s="154"/>
      <c r="D85" s="154"/>
      <c r="E85" s="154"/>
      <c r="F85" s="154"/>
      <c r="G85" s="917"/>
      <c r="H85" s="917"/>
      <c r="I85" s="917"/>
      <c r="J85" s="917"/>
      <c r="K85" s="603"/>
    </row>
    <row r="86" spans="1:11" ht="15.6" customHeight="1" x14ac:dyDescent="0.3">
      <c r="A86" s="154"/>
      <c r="B86" s="154"/>
      <c r="C86" s="154"/>
      <c r="D86" s="154"/>
      <c r="E86" s="154"/>
      <c r="F86" s="154"/>
      <c r="G86" s="917"/>
      <c r="H86" s="917"/>
      <c r="I86" s="917"/>
      <c r="J86" s="917"/>
      <c r="K86" s="603"/>
    </row>
    <row r="87" spans="1:11" ht="15.6" customHeight="1" x14ac:dyDescent="0.3">
      <c r="A87" s="154"/>
      <c r="B87" s="154"/>
      <c r="C87" s="154"/>
      <c r="D87" s="154"/>
      <c r="E87" s="154"/>
      <c r="F87" s="154"/>
      <c r="G87" s="602"/>
      <c r="H87" s="602"/>
      <c r="I87" s="602"/>
      <c r="J87" s="602"/>
      <c r="K87" s="603"/>
    </row>
    <row r="88" spans="1:11" ht="15.6" customHeight="1" x14ac:dyDescent="0.3">
      <c r="A88" s="154"/>
      <c r="B88" s="154"/>
      <c r="C88" s="154"/>
      <c r="D88" s="154"/>
      <c r="E88" s="154"/>
      <c r="F88" s="154"/>
      <c r="G88" s="602"/>
      <c r="H88" s="602"/>
      <c r="I88" s="602"/>
      <c r="J88" s="602"/>
      <c r="K88" s="603"/>
    </row>
    <row r="89" spans="1:11" ht="15.6" customHeight="1" x14ac:dyDescent="0.3">
      <c r="A89" s="154"/>
      <c r="B89" s="154"/>
      <c r="C89" s="154"/>
      <c r="D89" s="154"/>
      <c r="E89" s="154"/>
      <c r="F89" s="154"/>
      <c r="G89" s="602"/>
      <c r="H89" s="602"/>
      <c r="I89" s="602"/>
      <c r="J89" s="602"/>
      <c r="K89" s="603"/>
    </row>
    <row r="90" spans="1:11" ht="15.6" customHeight="1" x14ac:dyDescent="0.3">
      <c r="A90" s="154"/>
      <c r="B90" s="154"/>
      <c r="C90" s="154"/>
      <c r="D90" s="154"/>
      <c r="E90" s="154"/>
      <c r="F90" s="154"/>
      <c r="G90" s="602"/>
      <c r="H90" s="602"/>
      <c r="I90" s="602"/>
      <c r="J90" s="602"/>
      <c r="K90" s="603"/>
    </row>
    <row r="91" spans="1:11" ht="15.6" customHeight="1" x14ac:dyDescent="0.3">
      <c r="A91" s="154"/>
      <c r="B91" s="154"/>
      <c r="C91" s="154"/>
      <c r="D91" s="154"/>
      <c r="E91" s="154"/>
      <c r="F91" s="154"/>
      <c r="G91" s="602"/>
      <c r="H91" s="602"/>
      <c r="I91" s="602"/>
      <c r="J91" s="602"/>
      <c r="K91" s="603"/>
    </row>
    <row r="92" spans="1:11" ht="15.6" customHeight="1" x14ac:dyDescent="0.3">
      <c r="A92" s="154"/>
      <c r="B92" s="154"/>
      <c r="C92" s="154"/>
      <c r="D92" s="154"/>
      <c r="E92" s="154"/>
      <c r="F92" s="154"/>
      <c r="G92" s="602"/>
      <c r="H92" s="602"/>
      <c r="I92" s="602"/>
      <c r="J92" s="602"/>
      <c r="K92" s="603"/>
    </row>
    <row r="93" spans="1:11" ht="15.6" customHeight="1" x14ac:dyDescent="0.3">
      <c r="A93" s="154"/>
      <c r="B93" s="154"/>
      <c r="C93" s="154"/>
      <c r="D93" s="154"/>
      <c r="E93" s="154"/>
      <c r="F93" s="154"/>
      <c r="G93" s="602"/>
      <c r="H93" s="602"/>
      <c r="I93" s="602"/>
      <c r="J93" s="602"/>
      <c r="K93" s="603"/>
    </row>
    <row r="94" spans="1:11" ht="15.6" customHeight="1" x14ac:dyDescent="0.3">
      <c r="A94" s="154"/>
      <c r="B94" s="154"/>
      <c r="C94" s="154"/>
      <c r="D94" s="154"/>
      <c r="E94" s="154"/>
      <c r="F94" s="154"/>
      <c r="G94" s="602"/>
      <c r="H94" s="602"/>
      <c r="I94" s="602"/>
      <c r="J94" s="602"/>
      <c r="K94" s="603"/>
    </row>
    <row r="95" spans="1:11" ht="15.6" customHeight="1" x14ac:dyDescent="0.3">
      <c r="A95" s="154"/>
      <c r="B95" s="154"/>
      <c r="C95" s="154"/>
      <c r="D95" s="154"/>
      <c r="E95" s="154"/>
      <c r="F95" s="154"/>
      <c r="G95" s="602"/>
      <c r="H95" s="602"/>
      <c r="I95" s="602"/>
      <c r="J95" s="602"/>
      <c r="K95" s="603"/>
    </row>
    <row r="96" spans="1:11" ht="15.6" customHeight="1" x14ac:dyDescent="0.3">
      <c r="A96" s="154"/>
      <c r="B96" s="154"/>
      <c r="C96" s="154"/>
      <c r="D96" s="154"/>
      <c r="E96" s="154"/>
      <c r="F96" s="154"/>
      <c r="G96" s="603"/>
      <c r="H96" s="603"/>
      <c r="I96" s="603"/>
      <c r="J96" s="603"/>
      <c r="K96" s="603"/>
    </row>
    <row r="97" spans="1:11" x14ac:dyDescent="0.3">
      <c r="A97" s="154"/>
      <c r="B97" s="154"/>
      <c r="C97" s="154"/>
      <c r="D97" s="154"/>
      <c r="E97" s="154"/>
      <c r="F97" s="154"/>
      <c r="G97" s="154"/>
      <c r="H97" s="154"/>
      <c r="I97" s="154"/>
      <c r="J97" s="154"/>
      <c r="K97" s="154"/>
    </row>
    <row r="98" spans="1:11" x14ac:dyDescent="0.3">
      <c r="A98" s="154"/>
      <c r="B98" s="154"/>
      <c r="C98" s="154"/>
      <c r="D98" s="154"/>
      <c r="E98" s="154"/>
      <c r="F98" s="154"/>
      <c r="G98" s="154"/>
      <c r="H98" s="154"/>
      <c r="I98" s="154"/>
      <c r="J98" s="154"/>
      <c r="K98" s="154"/>
    </row>
    <row r="99" spans="1:11" ht="15.75" customHeight="1" x14ac:dyDescent="0.3">
      <c r="A99" s="154"/>
      <c r="B99" s="900" t="s">
        <v>975</v>
      </c>
      <c r="C99" s="900"/>
      <c r="D99" s="900"/>
      <c r="E99" s="900"/>
      <c r="F99" s="900"/>
      <c r="G99" s="900"/>
      <c r="H99" s="900"/>
      <c r="I99" s="900"/>
      <c r="J99" s="900"/>
      <c r="K99" s="154"/>
    </row>
  </sheetData>
  <sheetProtection algorithmName="SHA-512" hashValue="maGocDvLRpQs3Hw9qtrSLOxhNKdBHAfIRrl0cwfuwV+L3R+JOb2TXb0/XV5CacggdIqto9+t1IlpBZsxYBelIw==" saltValue="QHY7OMfH/5VCU8Qm6b4Drg==" spinCount="100000" sheet="1" objects="1" scenarios="1"/>
  <mergeCells count="12">
    <mergeCell ref="B6:J6"/>
    <mergeCell ref="E10:J10"/>
    <mergeCell ref="B12:J12"/>
    <mergeCell ref="C13:D13"/>
    <mergeCell ref="E13:H13"/>
    <mergeCell ref="I13:J13"/>
    <mergeCell ref="B25:E25"/>
    <mergeCell ref="G25:J25"/>
    <mergeCell ref="B50:E50"/>
    <mergeCell ref="B99:J99"/>
    <mergeCell ref="G53:J86"/>
    <mergeCell ref="G52:J52"/>
  </mergeCells>
  <conditionalFormatting sqref="C16:J20">
    <cfRule type="cellIs" dxfId="69" priority="21" operator="equal">
      <formula>0</formula>
    </cfRule>
    <cfRule type="cellIs" dxfId="68" priority="22" operator="between">
      <formula>0.4</formula>
      <formula>0.69</formula>
    </cfRule>
    <cfRule type="cellIs" dxfId="67" priority="23" operator="between">
      <formula>0.2</formula>
      <formula>0.39</formula>
    </cfRule>
    <cfRule type="cellIs" dxfId="66" priority="24" operator="between">
      <formula>0.01</formula>
      <formula>0.19</formula>
    </cfRule>
    <cfRule type="cellIs" dxfId="65" priority="25" operator="between">
      <formula>0.7</formula>
      <formula>1</formula>
    </cfRule>
  </conditionalFormatting>
  <conditionalFormatting sqref="C21:J21">
    <cfRule type="cellIs" dxfId="64" priority="16" operator="equal">
      <formula>0</formula>
    </cfRule>
    <cfRule type="cellIs" dxfId="63" priority="17" operator="between">
      <formula>0.4</formula>
      <formula>0.69</formula>
    </cfRule>
    <cfRule type="cellIs" dxfId="62" priority="18" operator="between">
      <formula>0.2</formula>
      <formula>0.39</formula>
    </cfRule>
    <cfRule type="cellIs" dxfId="61" priority="19" operator="between">
      <formula>0.01</formula>
      <formula>0.19</formula>
    </cfRule>
    <cfRule type="cellIs" dxfId="60" priority="20" operator="between">
      <formula>0.7</formula>
      <formula>1</formula>
    </cfRule>
  </conditionalFormatting>
  <conditionalFormatting sqref="C22:J22">
    <cfRule type="cellIs" dxfId="59" priority="11" operator="equal">
      <formula>0</formula>
    </cfRule>
    <cfRule type="cellIs" dxfId="58" priority="12" operator="between">
      <formula>0.4</formula>
      <formula>0.69</formula>
    </cfRule>
    <cfRule type="cellIs" dxfId="57" priority="13" operator="between">
      <formula>0.2</formula>
      <formula>0.39</formula>
    </cfRule>
    <cfRule type="cellIs" dxfId="56" priority="14" operator="between">
      <formula>0.01</formula>
      <formula>0.19</formula>
    </cfRule>
    <cfRule type="cellIs" dxfId="55" priority="15" operator="between">
      <formula>0.7</formula>
      <formula>1</formula>
    </cfRule>
  </conditionalFormatting>
  <conditionalFormatting sqref="C23:J23">
    <cfRule type="cellIs" dxfId="54" priority="1" operator="equal">
      <formula>0</formula>
    </cfRule>
    <cfRule type="cellIs" dxfId="53" priority="2" operator="between">
      <formula>0.4</formula>
      <formula>0.69</formula>
    </cfRule>
    <cfRule type="cellIs" dxfId="52" priority="3" operator="between">
      <formula>0.2</formula>
      <formula>0.39</formula>
    </cfRule>
    <cfRule type="cellIs" dxfId="51" priority="4" operator="between">
      <formula>0.01</formula>
      <formula>0.19</formula>
    </cfRule>
    <cfRule type="cellIs" dxfId="50" priority="5" operator="between">
      <formula>0.7</formula>
      <formula>1</formula>
    </cfRule>
  </conditionalFormatting>
  <pageMargins left="0.39370078740157483" right="0.39370078740157483" top="0.39370078740157483" bottom="0.39370078740157483" header="0.31496062992125984" footer="0.31496062992125984"/>
  <pageSetup paperSize="14" scale="52" fitToHeight="0"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6BF44071-63E7-462E-A8DF-420AFF3F64BF}">
          <x14:formula1>
            <xm:f>PGLOBAL!$A$10:$A$167</xm:f>
          </x14:formula1>
          <xm:sqref>E10</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9FB0CF-D7C3-4B49-B2F8-F23EFE4AB100}">
  <sheetPr codeName="Hoja15">
    <tabColor rgb="FF00B050"/>
    <pageSetUpPr fitToPage="1"/>
  </sheetPr>
  <dimension ref="A1:L99"/>
  <sheetViews>
    <sheetView zoomScale="45" zoomScaleNormal="45" workbookViewId="0">
      <selection activeCell="F14" sqref="F14"/>
    </sheetView>
  </sheetViews>
  <sheetFormatPr baseColWidth="10" defaultColWidth="12.5546875" defaultRowHeight="15.6" x14ac:dyDescent="0.3"/>
  <cols>
    <col min="1" max="1" width="5.33203125" style="155" customWidth="1"/>
    <col min="2" max="2" width="16.44140625" style="155" customWidth="1"/>
    <col min="3" max="10" width="35.77734375" style="155" customWidth="1"/>
    <col min="11" max="11" width="5.88671875" style="155" customWidth="1"/>
    <col min="12" max="16384" width="12.5546875" style="155"/>
  </cols>
  <sheetData>
    <row r="1" spans="1:12" x14ac:dyDescent="0.3">
      <c r="A1" s="154"/>
      <c r="B1" s="154"/>
      <c r="C1" s="154"/>
      <c r="D1" s="154"/>
      <c r="E1" s="154"/>
      <c r="F1" s="154"/>
      <c r="G1" s="154"/>
      <c r="H1" s="154"/>
      <c r="I1" s="154"/>
      <c r="J1" s="154"/>
      <c r="K1" s="154"/>
    </row>
    <row r="2" spans="1:12" x14ac:dyDescent="0.3">
      <c r="A2" s="154"/>
      <c r="B2" s="154"/>
      <c r="C2" s="154"/>
      <c r="D2" s="154"/>
      <c r="E2" s="154"/>
      <c r="F2" s="154"/>
      <c r="G2" s="154"/>
      <c r="H2" s="154"/>
      <c r="I2" s="154"/>
      <c r="J2" s="154"/>
      <c r="K2" s="154"/>
    </row>
    <row r="3" spans="1:12" x14ac:dyDescent="0.3">
      <c r="A3" s="154"/>
      <c r="B3" s="154"/>
      <c r="C3" s="154"/>
      <c r="D3" s="154"/>
      <c r="E3" s="154"/>
      <c r="F3" s="154"/>
      <c r="G3" s="154"/>
      <c r="H3" s="154"/>
      <c r="I3" s="154"/>
      <c r="J3" s="154"/>
      <c r="K3" s="154"/>
    </row>
    <row r="4" spans="1:12" x14ac:dyDescent="0.3">
      <c r="A4" s="154"/>
      <c r="B4" s="154"/>
      <c r="C4" s="154"/>
      <c r="D4" s="154"/>
      <c r="E4" s="154"/>
      <c r="F4" s="154"/>
      <c r="G4" s="154"/>
      <c r="H4" s="154"/>
      <c r="I4" s="154"/>
      <c r="J4" s="154"/>
      <c r="K4" s="154"/>
    </row>
    <row r="5" spans="1:12" ht="58.8" customHeight="1" x14ac:dyDescent="0.3">
      <c r="A5" s="154"/>
      <c r="B5" s="154"/>
      <c r="C5" s="154"/>
      <c r="D5" s="154"/>
      <c r="E5" s="154"/>
      <c r="F5" s="154"/>
      <c r="G5" s="154"/>
      <c r="H5" s="154"/>
      <c r="I5" s="154"/>
      <c r="J5" s="154"/>
      <c r="K5" s="154"/>
    </row>
    <row r="6" spans="1:12" ht="62.25" customHeight="1" x14ac:dyDescent="0.3">
      <c r="A6" s="154"/>
      <c r="B6" s="902" t="s">
        <v>901</v>
      </c>
      <c r="C6" s="902"/>
      <c r="D6" s="902"/>
      <c r="E6" s="902"/>
      <c r="F6" s="902"/>
      <c r="G6" s="902"/>
      <c r="H6" s="902"/>
      <c r="I6" s="902"/>
      <c r="J6" s="902"/>
      <c r="K6" s="154"/>
    </row>
    <row r="7" spans="1:12" x14ac:dyDescent="0.3">
      <c r="A7" s="154"/>
      <c r="B7" s="154"/>
      <c r="C7" s="154"/>
      <c r="D7" s="154"/>
      <c r="E7" s="154"/>
      <c r="F7" s="154"/>
      <c r="G7" s="154"/>
      <c r="H7" s="154"/>
      <c r="I7" s="154"/>
      <c r="J7" s="154"/>
      <c r="K7" s="154"/>
    </row>
    <row r="8" spans="1:12" ht="16.2" thickBot="1" x14ac:dyDescent="0.35">
      <c r="A8" s="154"/>
      <c r="B8" s="154"/>
      <c r="C8" s="154"/>
      <c r="D8" s="154"/>
      <c r="E8" s="154"/>
      <c r="F8" s="154"/>
      <c r="G8" s="154"/>
      <c r="H8" s="154"/>
      <c r="I8" s="154"/>
      <c r="J8" s="154"/>
      <c r="K8" s="154"/>
    </row>
    <row r="9" spans="1:12" ht="30.75" customHeight="1" thickBot="1" x14ac:dyDescent="0.45">
      <c r="A9" s="154"/>
      <c r="B9" s="324" t="s">
        <v>895</v>
      </c>
      <c r="C9" s="324"/>
      <c r="D9" s="324"/>
      <c r="E9" s="913" t="str">
        <f>PuntajeGlobal!E9</f>
        <v>INSTITUCION EDUCATIVA EDUARDO SANTOS</v>
      </c>
      <c r="F9" s="914"/>
      <c r="G9" s="914"/>
      <c r="H9" s="914"/>
      <c r="I9" s="914"/>
      <c r="J9" s="915"/>
      <c r="K9" s="154"/>
    </row>
    <row r="10" spans="1:12" ht="18" x14ac:dyDescent="0.35">
      <c r="A10" s="154"/>
      <c r="B10" s="158"/>
      <c r="C10" s="158"/>
      <c r="D10" s="158"/>
      <c r="E10" s="158"/>
      <c r="F10" s="154"/>
      <c r="G10" s="154"/>
      <c r="H10" s="154"/>
      <c r="I10" s="154"/>
      <c r="J10" s="154"/>
      <c r="K10" s="154"/>
    </row>
    <row r="11" spans="1:12" ht="55.8" customHeight="1" x14ac:dyDescent="0.3">
      <c r="A11" s="154"/>
      <c r="B11" s="919" t="s">
        <v>1112</v>
      </c>
      <c r="C11" s="920"/>
      <c r="D11" s="920"/>
      <c r="E11" s="920"/>
      <c r="F11" s="920"/>
      <c r="G11" s="920"/>
      <c r="H11" s="920"/>
      <c r="I11" s="920"/>
      <c r="J11" s="921"/>
      <c r="K11" s="154"/>
    </row>
    <row r="12" spans="1:12" ht="41.25" customHeight="1" x14ac:dyDescent="0.3">
      <c r="A12" s="154"/>
      <c r="B12" s="682" t="s">
        <v>891</v>
      </c>
      <c r="C12" s="925" t="s">
        <v>1113</v>
      </c>
      <c r="D12" s="925"/>
      <c r="E12" s="925" t="s">
        <v>1114</v>
      </c>
      <c r="F12" s="925"/>
      <c r="G12" s="925"/>
      <c r="H12" s="925"/>
      <c r="I12" s="925" t="s">
        <v>1109</v>
      </c>
      <c r="J12" s="925"/>
      <c r="K12" s="154"/>
    </row>
    <row r="13" spans="1:12" ht="143.1" customHeight="1" x14ac:dyDescent="0.4">
      <c r="A13" s="154"/>
      <c r="B13" s="611" t="s">
        <v>904</v>
      </c>
      <c r="C13" s="612" t="s">
        <v>402</v>
      </c>
      <c r="D13" s="612" t="s">
        <v>401</v>
      </c>
      <c r="E13" s="612" t="s">
        <v>395</v>
      </c>
      <c r="F13" s="612" t="s">
        <v>396</v>
      </c>
      <c r="G13" s="612" t="s">
        <v>392</v>
      </c>
      <c r="H13" s="612" t="s">
        <v>386</v>
      </c>
      <c r="I13" s="612" t="s">
        <v>393</v>
      </c>
      <c r="J13" s="612" t="s">
        <v>387</v>
      </c>
      <c r="K13" s="154"/>
      <c r="L13" s="170"/>
    </row>
    <row r="14" spans="1:12" ht="201" customHeight="1" x14ac:dyDescent="0.4">
      <c r="A14" s="154"/>
      <c r="B14" s="613"/>
      <c r="C14" s="614" t="s">
        <v>1098</v>
      </c>
      <c r="D14" s="615" t="s">
        <v>1099</v>
      </c>
      <c r="E14" s="614" t="s">
        <v>1088</v>
      </c>
      <c r="F14" s="614" t="s">
        <v>1089</v>
      </c>
      <c r="G14" s="614" t="s">
        <v>1090</v>
      </c>
      <c r="H14" s="614" t="s">
        <v>1091</v>
      </c>
      <c r="I14" s="614" t="s">
        <v>1100</v>
      </c>
      <c r="J14" s="614" t="s">
        <v>1101</v>
      </c>
      <c r="K14" s="154"/>
      <c r="L14" s="170"/>
    </row>
    <row r="15" spans="1:12" ht="21" x14ac:dyDescent="0.3">
      <c r="A15" s="154"/>
      <c r="B15" s="160">
        <v>2016</v>
      </c>
      <c r="C15" s="378">
        <f>VLOOKUP($E$9,CN!$A$10:$FA$167,18,0)</f>
        <v>0.55000000000000004</v>
      </c>
      <c r="D15" s="378">
        <f>VLOOKUP($E$9,CN!$A$10:$FA$167,19,0)</f>
        <v>0.52</v>
      </c>
      <c r="E15" s="378">
        <f>VLOOKUP($E$9,CN!$A$10:$FA$167,20,0)</f>
        <v>0.41</v>
      </c>
      <c r="F15" s="378">
        <f>VLOOKUP($E$9,CN!$A$10:$FA$167,21,0)</f>
        <v>0.61</v>
      </c>
      <c r="G15" s="378">
        <f>VLOOKUP($E$9,CN!$A$10:$FA$167,22,0)</f>
        <v>7.0000000000000007E-2</v>
      </c>
      <c r="H15" s="378">
        <f>VLOOKUP($E$9,CN!$A$10:$FA$167,23,0)</f>
        <v>0.08</v>
      </c>
      <c r="I15" s="378">
        <f>VLOOKUP($E$9,CN!$A$10:$FA$167,24,0)</f>
        <v>0.53</v>
      </c>
      <c r="J15" s="378">
        <f>VLOOKUP($E$9,CN!$A$10:$FA$167,25,0)</f>
        <v>0.49</v>
      </c>
      <c r="K15" s="154"/>
    </row>
    <row r="16" spans="1:12" ht="21" x14ac:dyDescent="0.3">
      <c r="A16" s="154"/>
      <c r="B16" s="160">
        <v>2017</v>
      </c>
      <c r="C16" s="378">
        <f>VLOOKUP($E$9,CN!$A$10:$FA$167,47,0)</f>
        <v>0.56999999999999995</v>
      </c>
      <c r="D16" s="378">
        <f>VLOOKUP($E$9,CN!$A$10:$FA$167,48,0)</f>
        <v>0.64</v>
      </c>
      <c r="E16" s="378">
        <f>VLOOKUP($E$9,CN!$A$10:$FA$167,49,0)</f>
        <v>0.36</v>
      </c>
      <c r="F16" s="378">
        <f>VLOOKUP($E$9,CN!$A$10:$FA$167,50,0)</f>
        <v>0.57999999999999996</v>
      </c>
      <c r="G16" s="378">
        <f>VLOOKUP($E$9,CN!$A$10:$FA$167,51,0)</f>
        <v>0.28000000000000003</v>
      </c>
      <c r="H16" s="378">
        <f>VLOOKUP($E$9,CN!$A$10:$FA$167,52,0)</f>
        <v>0.24</v>
      </c>
      <c r="I16" s="378">
        <f>VLOOKUP($E$9,CN!$A$10:$FA$167,53,0)</f>
        <v>0.46</v>
      </c>
      <c r="J16" s="378">
        <f>VLOOKUP($E$9,CN!$A$10:$FA$167,54,0)</f>
        <v>0.66</v>
      </c>
      <c r="K16" s="154"/>
    </row>
    <row r="17" spans="1:11" ht="21" x14ac:dyDescent="0.3">
      <c r="A17" s="154"/>
      <c r="B17" s="160">
        <v>2018</v>
      </c>
      <c r="C17" s="378">
        <f>VLOOKUP($E$9,CN!$A$10:$FA$167,73,0)</f>
        <v>0.75</v>
      </c>
      <c r="D17" s="378">
        <f>VLOOKUP($E$9,CN!$A$10:$FA$167,95,0)</f>
        <v>0.59</v>
      </c>
      <c r="E17" s="378">
        <f>VLOOKUP($E$9,CN!$A$10:$FA$167,83,0)</f>
        <v>0.4</v>
      </c>
      <c r="F17" s="378">
        <f>VLOOKUP($E$9,CN!$A$10:$FA$167,80,0)</f>
        <v>0.33</v>
      </c>
      <c r="G17" s="378">
        <f>VLOOKUP($E$9,CN!$A$10:$FA$167,81,0)</f>
        <v>0.18</v>
      </c>
      <c r="H17" s="378">
        <f>VLOOKUP($E$9,CN!$A$10:$FA$167,84,0)</f>
        <v>0.67</v>
      </c>
      <c r="I17" s="378">
        <f>VLOOKUP($E$9,CN!$A$10:$FA$167,92,0)</f>
        <v>0.54</v>
      </c>
      <c r="J17" s="378">
        <f>VLOOKUP($E$9,CN!$A$10:$FA$167,93,0)</f>
        <v>0.49</v>
      </c>
      <c r="K17" s="165"/>
    </row>
    <row r="18" spans="1:11" ht="21" x14ac:dyDescent="0.3">
      <c r="A18" s="154"/>
      <c r="B18" s="160">
        <v>2019</v>
      </c>
      <c r="C18" s="378" t="s">
        <v>403</v>
      </c>
      <c r="D18" s="378">
        <f>VLOOKUP($E$9,CN!$A$10:$FA$167,121,0)</f>
        <v>0.64</v>
      </c>
      <c r="E18" s="378">
        <f>VLOOKUP($E$9,CN!$A$10:$FA$167,119,0)</f>
        <v>0.54</v>
      </c>
      <c r="F18" s="378">
        <f>VLOOKUP($E$9,CN!$A$10:$FA$167,106,0)</f>
        <v>0.31</v>
      </c>
      <c r="G18" s="378">
        <f>VLOOKUP($E$9,CN!$A$10:$FA$167,113,0)</f>
        <v>0.56999999999999995</v>
      </c>
      <c r="H18" s="378">
        <f>VLOOKUP($E$9,CN!$A$10:$FA$167,122,0)</f>
        <v>0.21</v>
      </c>
      <c r="I18" s="378">
        <f>VLOOKUP($E$9,CN!$A$10:$FA$167,114,0)</f>
        <v>0.56999999999999995</v>
      </c>
      <c r="J18" s="378">
        <f>VLOOKUP($E$9,CN!$A$10:$FA$167,123,0)</f>
        <v>0.4</v>
      </c>
      <c r="K18" s="154"/>
    </row>
    <row r="19" spans="1:11" ht="21" x14ac:dyDescent="0.3">
      <c r="A19" s="154"/>
      <c r="B19" s="160">
        <v>2020</v>
      </c>
      <c r="C19" s="378" t="s">
        <v>403</v>
      </c>
      <c r="D19" s="378">
        <f>VLOOKUP($E$9,CN!$A$10:$FA$167,155,0)</f>
        <v>0.61</v>
      </c>
      <c r="E19" s="378">
        <f>VLOOKUP($E$9,CN!$A$10:$FA$167,147,0)</f>
        <v>0.4</v>
      </c>
      <c r="F19" s="378">
        <f>VLOOKUP($E$9,CN!$A$10:$FA$167,150,0)</f>
        <v>0.31</v>
      </c>
      <c r="G19" s="378">
        <f>VLOOKUP($E$9,CN!$A$10:$FA$167,143,0)</f>
        <v>0.65</v>
      </c>
      <c r="H19" s="378">
        <f>VLOOKUP($E$9,CN!$A$10:$FA$167,156,0)</f>
        <v>0.2</v>
      </c>
      <c r="I19" s="378">
        <f>VLOOKUP($E$9,CN!$A$10:$FA$167,144,0)</f>
        <v>0.54</v>
      </c>
      <c r="J19" s="378">
        <f>VLOOKUP($E$9,CN!$A$10:$FA$167,136,0)</f>
        <v>0.57999999999999996</v>
      </c>
      <c r="K19" s="154"/>
    </row>
    <row r="20" spans="1:11" ht="21" x14ac:dyDescent="0.3">
      <c r="A20" s="154"/>
      <c r="B20" s="160">
        <v>2021</v>
      </c>
      <c r="C20" s="378">
        <f>VLOOKUP($E$9,CN!$A$10:$GI$167,190,0)</f>
        <v>0.61</v>
      </c>
      <c r="D20" s="378">
        <f>VLOOKUP($E$9,CN!$A$10:$GI$167,186,0)</f>
        <v>0.65</v>
      </c>
      <c r="E20" s="378">
        <f>VLOOKUP($E$9,CN!$A$10:$GI$167,169,0)</f>
        <v>0.48</v>
      </c>
      <c r="F20" s="378">
        <f>VLOOKUP($E$9,CN!$A$10:$GI$167,177,0)</f>
        <v>0.36</v>
      </c>
      <c r="G20" s="378">
        <f>VLOOKUP($E$9,CN!$A$10:$GI$167,181,0)</f>
        <v>0.41</v>
      </c>
      <c r="H20" s="378">
        <f>VLOOKUP($E$9,CN!$A$10:$GI$167,173,0)</f>
        <v>0.43</v>
      </c>
      <c r="I20" s="378">
        <f>VLOOKUP($E$9,CN!$A$10:$GI$167,174,0)</f>
        <v>0.57999999999999996</v>
      </c>
      <c r="J20" s="378">
        <f>VLOOKUP($E$9,CN!$A$10:$GI$167,182,0)</f>
        <v>0.44</v>
      </c>
      <c r="K20" s="154"/>
    </row>
    <row r="21" spans="1:11" ht="21" x14ac:dyDescent="0.3">
      <c r="A21" s="154"/>
      <c r="B21" s="680">
        <v>2022</v>
      </c>
      <c r="C21" s="681">
        <f>VLOOKUP($E$9,CN!$A$10:$HQ$167,211,0)</f>
        <v>0.59</v>
      </c>
      <c r="D21" s="681">
        <f>VLOOKUP($E$9,CN!$A$10:$HQ$167,212,0)</f>
        <v>0.61</v>
      </c>
      <c r="E21" s="681">
        <f>VLOOKUP($E$9,CN!$A$10:$HQ$167,205,0)</f>
        <v>0.52</v>
      </c>
      <c r="F21" s="681">
        <f>VLOOKUP($E$9,CN!$A$10:$HQ$167,209,0)</f>
        <v>0.51</v>
      </c>
      <c r="G21" s="681">
        <f>VLOOKUP($E$9,CN!$A$10:$HQ$167,203,0)</f>
        <v>0.31</v>
      </c>
      <c r="H21" s="681">
        <f>VLOOKUP($E$9,CN!$A$10:$HQ$167,214,0)</f>
        <v>0.48</v>
      </c>
      <c r="I21" s="681">
        <f>VLOOKUP($E$9,CN!$A$10:$HQ$167,213,0)</f>
        <v>0.52</v>
      </c>
      <c r="J21" s="681">
        <f>VLOOKUP($E$9,CN!$A$10:$HQ$167,221,0)</f>
        <v>0.47</v>
      </c>
      <c r="K21" s="154"/>
    </row>
    <row r="22" spans="1:11" ht="21" x14ac:dyDescent="0.3">
      <c r="A22" s="154"/>
      <c r="B22" s="680">
        <v>2023</v>
      </c>
      <c r="C22" s="681">
        <f>VLOOKUP($E$9,CN!$A$10:$IY$167,249,0)</f>
        <v>0.57999999999999996</v>
      </c>
      <c r="D22" s="681">
        <f>VLOOKUP($E$9,CN!$A$10:$IY$167,251,0)</f>
        <v>0.68</v>
      </c>
      <c r="E22" s="681">
        <f>VLOOKUP($E$9,CN!$A$10:$IY$167,243,0)</f>
        <v>0.31</v>
      </c>
      <c r="F22" s="681">
        <f>VLOOKUP($E$9,CN!$A$10:$IY$167,244,0)</f>
        <v>0.31</v>
      </c>
      <c r="G22" s="681">
        <f>VLOOKUP($E$9,CN!$A$10:$IY$167,246,0)</f>
        <v>0.33</v>
      </c>
      <c r="H22" s="681">
        <f>VLOOKUP($E$9,CN!$A$10:$IY$167,241,0)</f>
        <v>0.54</v>
      </c>
      <c r="I22" s="681">
        <f>VLOOKUP($E$9,CN!$A$10:$IY$167,252,0)</f>
        <v>0.56999999999999995</v>
      </c>
      <c r="J22" s="681">
        <f>VLOOKUP($E$9,CN!$A$10:$IY$167,254,0)</f>
        <v>0.47</v>
      </c>
      <c r="K22" s="154"/>
    </row>
    <row r="23" spans="1:11" ht="21" x14ac:dyDescent="0.3">
      <c r="A23" s="154"/>
      <c r="B23" s="608"/>
      <c r="C23" s="154"/>
      <c r="D23" s="154"/>
      <c r="E23" s="154"/>
      <c r="F23" s="154"/>
      <c r="G23" s="154"/>
      <c r="H23" s="154"/>
      <c r="I23" s="154"/>
      <c r="J23" s="154"/>
      <c r="K23" s="154"/>
    </row>
    <row r="24" spans="1:11" ht="21" x14ac:dyDescent="0.3">
      <c r="A24" s="154"/>
      <c r="B24" s="608"/>
      <c r="C24" s="154"/>
      <c r="D24" s="154"/>
      <c r="E24" s="154"/>
      <c r="F24" s="154"/>
      <c r="G24" s="154"/>
      <c r="H24" s="154"/>
      <c r="I24" s="154"/>
      <c r="J24" s="154"/>
      <c r="K24" s="154"/>
    </row>
    <row r="25" spans="1:11" ht="23.4" x14ac:dyDescent="0.45">
      <c r="A25" s="154"/>
      <c r="B25" s="912" t="str">
        <f>C12</f>
        <v>Explicación de fenómenos 
(9% de las preguntas)</v>
      </c>
      <c r="C25" s="912"/>
      <c r="D25" s="912"/>
      <c r="E25" s="912"/>
      <c r="F25" s="154"/>
      <c r="G25" s="912" t="str">
        <f>I12</f>
        <v>Uso comprensivo del conocimiento científico 
(9% de las preguntas)</v>
      </c>
      <c r="H25" s="912"/>
      <c r="I25" s="912"/>
      <c r="J25" s="912"/>
      <c r="K25" s="154"/>
    </row>
    <row r="26" spans="1:11" ht="21" x14ac:dyDescent="0.3">
      <c r="A26" s="154"/>
      <c r="B26" s="608"/>
      <c r="C26" s="154"/>
      <c r="D26" s="154"/>
      <c r="E26" s="154"/>
      <c r="F26" s="154"/>
      <c r="G26" s="154"/>
      <c r="H26" s="154"/>
      <c r="I26" s="154"/>
      <c r="J26" s="154"/>
      <c r="K26" s="154"/>
    </row>
    <row r="27" spans="1:11" ht="21" x14ac:dyDescent="0.3">
      <c r="A27" s="154"/>
      <c r="B27" s="608"/>
      <c r="C27" s="154"/>
      <c r="D27" s="154"/>
      <c r="E27" s="154"/>
      <c r="F27" s="154"/>
      <c r="G27" s="154"/>
      <c r="H27" s="154"/>
      <c r="I27" s="154"/>
      <c r="J27" s="154"/>
      <c r="K27" s="154"/>
    </row>
    <row r="28" spans="1:11" x14ac:dyDescent="0.3">
      <c r="A28" s="154"/>
      <c r="B28" s="173"/>
      <c r="C28" s="173"/>
      <c r="D28" s="173"/>
      <c r="E28" s="173"/>
      <c r="F28" s="173"/>
      <c r="G28" s="173"/>
      <c r="H28" s="173"/>
      <c r="I28" s="173"/>
      <c r="J28" s="173"/>
      <c r="K28" s="154"/>
    </row>
    <row r="29" spans="1:11" ht="18" x14ac:dyDescent="0.35">
      <c r="A29" s="154"/>
      <c r="B29" s="158"/>
      <c r="C29" s="158"/>
      <c r="D29" s="164"/>
      <c r="E29" s="164"/>
      <c r="F29" s="154"/>
      <c r="G29" s="154"/>
      <c r="H29" s="154"/>
      <c r="I29" s="154"/>
      <c r="J29" s="154"/>
      <c r="K29" s="154"/>
    </row>
    <row r="30" spans="1:11" x14ac:dyDescent="0.3">
      <c r="A30" s="154"/>
      <c r="B30" s="154"/>
      <c r="C30" s="154"/>
      <c r="D30" s="154"/>
      <c r="E30" s="154"/>
      <c r="F30" s="154"/>
      <c r="G30" s="154"/>
      <c r="H30" s="154"/>
      <c r="I30" s="154"/>
      <c r="J30" s="154"/>
      <c r="K30" s="154"/>
    </row>
    <row r="31" spans="1:11" x14ac:dyDescent="0.3">
      <c r="A31" s="154"/>
      <c r="B31" s="154"/>
      <c r="C31" s="154"/>
      <c r="D31" s="154"/>
      <c r="E31" s="154"/>
      <c r="F31" s="154"/>
      <c r="G31" s="154"/>
      <c r="H31" s="154"/>
      <c r="I31" s="154"/>
      <c r="J31" s="154"/>
      <c r="K31" s="154"/>
    </row>
    <row r="32" spans="1:11" x14ac:dyDescent="0.3">
      <c r="A32" s="154"/>
      <c r="B32" s="154"/>
      <c r="C32" s="154"/>
      <c r="D32" s="154"/>
      <c r="E32" s="154"/>
      <c r="F32" s="154"/>
      <c r="G32" s="154"/>
      <c r="H32" s="154"/>
      <c r="I32" s="154"/>
      <c r="J32" s="154"/>
      <c r="K32" s="154"/>
    </row>
    <row r="33" spans="1:11" ht="15.75" customHeight="1" x14ac:dyDescent="0.3">
      <c r="A33" s="154"/>
      <c r="B33" s="154"/>
      <c r="C33" s="154"/>
      <c r="D33" s="154"/>
      <c r="E33" s="154"/>
      <c r="F33" s="154"/>
      <c r="G33" s="154"/>
      <c r="H33" s="154"/>
      <c r="I33" s="154"/>
      <c r="J33" s="154"/>
      <c r="K33" s="154"/>
    </row>
    <row r="34" spans="1:11" ht="26.25" customHeight="1" x14ac:dyDescent="0.3">
      <c r="A34" s="154"/>
      <c r="B34" s="154"/>
      <c r="C34" s="154"/>
      <c r="D34" s="154"/>
      <c r="E34" s="154"/>
      <c r="F34" s="154"/>
      <c r="G34" s="154"/>
      <c r="H34" s="154"/>
      <c r="I34" s="154"/>
      <c r="J34" s="154"/>
      <c r="K34" s="154"/>
    </row>
    <row r="35" spans="1:11" x14ac:dyDescent="0.3">
      <c r="A35" s="154"/>
      <c r="B35" s="154"/>
      <c r="C35" s="154"/>
      <c r="D35" s="154"/>
      <c r="E35" s="154"/>
      <c r="F35" s="154"/>
      <c r="G35" s="154"/>
      <c r="H35" s="154"/>
      <c r="I35" s="154"/>
      <c r="J35" s="154"/>
      <c r="K35" s="154"/>
    </row>
    <row r="36" spans="1:11" x14ac:dyDescent="0.3">
      <c r="A36" s="154"/>
      <c r="B36" s="154"/>
      <c r="C36" s="154"/>
      <c r="D36" s="154"/>
      <c r="E36" s="154"/>
      <c r="F36" s="154"/>
      <c r="G36" s="154"/>
      <c r="H36" s="154"/>
      <c r="I36" s="154"/>
      <c r="J36" s="154"/>
      <c r="K36" s="154"/>
    </row>
    <row r="37" spans="1:11" x14ac:dyDescent="0.3">
      <c r="A37" s="154"/>
      <c r="B37" s="154"/>
      <c r="C37" s="154"/>
      <c r="D37" s="154"/>
      <c r="E37" s="154"/>
      <c r="F37" s="154"/>
      <c r="G37" s="154"/>
      <c r="H37" s="154"/>
      <c r="I37" s="154"/>
      <c r="J37" s="154"/>
      <c r="K37" s="154"/>
    </row>
    <row r="38" spans="1:11" x14ac:dyDescent="0.3">
      <c r="A38" s="154"/>
      <c r="B38" s="154"/>
      <c r="C38" s="154"/>
      <c r="D38" s="154"/>
      <c r="E38" s="154"/>
      <c r="F38" s="154"/>
      <c r="G38" s="154"/>
      <c r="H38" s="154"/>
      <c r="I38" s="154"/>
      <c r="J38" s="154"/>
      <c r="K38" s="154"/>
    </row>
    <row r="39" spans="1:11" x14ac:dyDescent="0.3">
      <c r="A39" s="154"/>
      <c r="B39" s="154"/>
      <c r="C39" s="154"/>
      <c r="D39" s="154"/>
      <c r="E39" s="154"/>
      <c r="F39" s="154"/>
      <c r="G39" s="154"/>
      <c r="H39" s="154"/>
      <c r="I39" s="154"/>
      <c r="J39" s="154"/>
      <c r="K39" s="154"/>
    </row>
    <row r="40" spans="1:11" x14ac:dyDescent="0.3">
      <c r="A40" s="154"/>
      <c r="B40" s="154"/>
      <c r="C40" s="154"/>
      <c r="D40" s="154"/>
      <c r="E40" s="154"/>
      <c r="F40" s="154"/>
      <c r="G40" s="154"/>
      <c r="H40" s="154"/>
      <c r="I40" s="154"/>
      <c r="J40" s="154"/>
      <c r="K40" s="154"/>
    </row>
    <row r="41" spans="1:11" x14ac:dyDescent="0.3">
      <c r="A41" s="154"/>
      <c r="B41" s="154"/>
      <c r="C41" s="154"/>
      <c r="D41" s="154"/>
      <c r="E41" s="154"/>
      <c r="F41" s="154"/>
      <c r="G41" s="154"/>
      <c r="H41" s="154"/>
      <c r="I41" s="154"/>
      <c r="J41" s="154"/>
      <c r="K41" s="154"/>
    </row>
    <row r="42" spans="1:11" x14ac:dyDescent="0.3">
      <c r="A42" s="154"/>
      <c r="B42" s="154"/>
      <c r="C42" s="154"/>
      <c r="D42" s="154"/>
      <c r="E42" s="154"/>
      <c r="F42" s="154"/>
      <c r="G42" s="154"/>
      <c r="H42" s="154"/>
      <c r="I42" s="154"/>
      <c r="J42" s="154"/>
      <c r="K42" s="154"/>
    </row>
    <row r="43" spans="1:11" x14ac:dyDescent="0.3">
      <c r="A43" s="154"/>
      <c r="B43" s="154"/>
      <c r="C43" s="154"/>
      <c r="D43" s="154"/>
      <c r="E43" s="154"/>
      <c r="F43" s="154"/>
      <c r="G43" s="154"/>
      <c r="H43" s="154"/>
      <c r="I43" s="154"/>
      <c r="J43" s="154"/>
      <c r="K43" s="154"/>
    </row>
    <row r="44" spans="1:11" x14ac:dyDescent="0.3">
      <c r="A44" s="154"/>
      <c r="B44" s="154"/>
      <c r="C44" s="154"/>
      <c r="D44" s="154"/>
      <c r="E44" s="154"/>
      <c r="F44" s="154"/>
      <c r="G44" s="154"/>
      <c r="H44" s="154"/>
      <c r="I44" s="154"/>
      <c r="J44" s="154"/>
      <c r="K44" s="154"/>
    </row>
    <row r="45" spans="1:11" x14ac:dyDescent="0.3">
      <c r="A45" s="154"/>
      <c r="B45" s="154"/>
      <c r="C45" s="154"/>
      <c r="D45" s="154"/>
      <c r="E45" s="154"/>
      <c r="F45" s="154"/>
      <c r="G45" s="154"/>
      <c r="H45" s="154"/>
      <c r="I45" s="154"/>
      <c r="J45" s="154"/>
      <c r="K45" s="154"/>
    </row>
    <row r="46" spans="1:11" x14ac:dyDescent="0.3">
      <c r="A46" s="154"/>
      <c r="B46" s="154"/>
      <c r="C46" s="154"/>
      <c r="D46" s="154"/>
      <c r="E46" s="154"/>
      <c r="F46" s="154"/>
      <c r="G46" s="154"/>
      <c r="H46" s="154"/>
      <c r="I46" s="154"/>
      <c r="J46" s="154"/>
      <c r="K46" s="154"/>
    </row>
    <row r="47" spans="1:11" ht="18" customHeight="1" x14ac:dyDescent="0.45">
      <c r="A47" s="154"/>
      <c r="B47" s="912" t="str">
        <f>E12</f>
        <v>Indagar 
(12% de las preguntas)</v>
      </c>
      <c r="C47" s="912"/>
      <c r="D47" s="912"/>
      <c r="E47" s="912"/>
      <c r="F47" s="154"/>
      <c r="G47" s="154"/>
      <c r="H47" s="154"/>
      <c r="I47" s="154"/>
      <c r="J47" s="154"/>
      <c r="K47" s="154"/>
    </row>
    <row r="48" spans="1:11" x14ac:dyDescent="0.3">
      <c r="A48" s="154"/>
      <c r="B48" s="154"/>
      <c r="C48" s="154"/>
      <c r="D48" s="154"/>
      <c r="E48" s="154"/>
      <c r="F48" s="154"/>
      <c r="G48" s="154"/>
      <c r="H48" s="154"/>
      <c r="I48" s="154"/>
      <c r="J48" s="154"/>
      <c r="K48" s="154"/>
    </row>
    <row r="49" spans="1:11" ht="17.399999999999999" x14ac:dyDescent="0.3">
      <c r="A49" s="154"/>
      <c r="B49" s="154"/>
      <c r="C49" s="154"/>
      <c r="D49" s="154"/>
      <c r="E49" s="154"/>
      <c r="F49" s="154"/>
      <c r="G49" s="617"/>
      <c r="H49" s="617"/>
      <c r="I49" s="617"/>
      <c r="J49" s="617"/>
      <c r="K49" s="154"/>
    </row>
    <row r="50" spans="1:11" ht="21.6" customHeight="1" x14ac:dyDescent="0.3">
      <c r="A50" s="154"/>
      <c r="B50" s="154"/>
      <c r="C50" s="154"/>
      <c r="D50" s="154"/>
      <c r="E50" s="154"/>
      <c r="F50" s="154"/>
      <c r="G50" s="617"/>
      <c r="H50" s="617"/>
      <c r="I50" s="617"/>
      <c r="J50" s="617"/>
      <c r="K50" s="154"/>
    </row>
    <row r="51" spans="1:11" ht="17.399999999999999" x14ac:dyDescent="0.3">
      <c r="A51" s="154"/>
      <c r="B51" s="154"/>
      <c r="C51" s="154"/>
      <c r="D51" s="154"/>
      <c r="E51" s="154"/>
      <c r="F51" s="154"/>
      <c r="G51" s="926" t="s">
        <v>1034</v>
      </c>
      <c r="H51" s="926"/>
      <c r="I51" s="926"/>
      <c r="J51" s="926"/>
      <c r="K51" s="154"/>
    </row>
    <row r="52" spans="1:11" x14ac:dyDescent="0.3">
      <c r="A52" s="154"/>
      <c r="B52" s="154"/>
      <c r="C52" s="154"/>
      <c r="D52" s="154"/>
      <c r="E52" s="154"/>
      <c r="F52" s="154"/>
      <c r="G52" s="917" t="s">
        <v>1044</v>
      </c>
      <c r="H52" s="917"/>
      <c r="I52" s="917"/>
      <c r="J52" s="917"/>
      <c r="K52" s="154"/>
    </row>
    <row r="53" spans="1:11" x14ac:dyDescent="0.3">
      <c r="A53" s="154"/>
      <c r="B53" s="154"/>
      <c r="C53" s="154"/>
      <c r="D53" s="154"/>
      <c r="E53" s="154"/>
      <c r="F53" s="154"/>
      <c r="G53" s="917"/>
      <c r="H53" s="917"/>
      <c r="I53" s="917"/>
      <c r="J53" s="917"/>
      <c r="K53" s="154"/>
    </row>
    <row r="54" spans="1:11" x14ac:dyDescent="0.3">
      <c r="A54" s="154"/>
      <c r="B54" s="154"/>
      <c r="C54" s="154"/>
      <c r="D54" s="154"/>
      <c r="E54" s="154"/>
      <c r="F54" s="154"/>
      <c r="G54" s="917"/>
      <c r="H54" s="917"/>
      <c r="I54" s="917"/>
      <c r="J54" s="917"/>
      <c r="K54" s="154"/>
    </row>
    <row r="55" spans="1:11" x14ac:dyDescent="0.3">
      <c r="A55" s="154"/>
      <c r="B55" s="154"/>
      <c r="C55" s="154"/>
      <c r="D55" s="154"/>
      <c r="E55" s="154"/>
      <c r="F55" s="154"/>
      <c r="G55" s="917"/>
      <c r="H55" s="917"/>
      <c r="I55" s="917"/>
      <c r="J55" s="917"/>
      <c r="K55" s="154"/>
    </row>
    <row r="56" spans="1:11" x14ac:dyDescent="0.3">
      <c r="A56" s="154"/>
      <c r="B56" s="154"/>
      <c r="C56" s="154"/>
      <c r="D56" s="154"/>
      <c r="E56" s="154"/>
      <c r="F56" s="154"/>
      <c r="G56" s="917"/>
      <c r="H56" s="917"/>
      <c r="I56" s="917"/>
      <c r="J56" s="917"/>
      <c r="K56" s="154"/>
    </row>
    <row r="57" spans="1:11" x14ac:dyDescent="0.3">
      <c r="A57" s="154"/>
      <c r="B57" s="154"/>
      <c r="C57" s="154"/>
      <c r="D57" s="154"/>
      <c r="E57" s="154"/>
      <c r="F57" s="154"/>
      <c r="G57" s="917"/>
      <c r="H57" s="917"/>
      <c r="I57" s="917"/>
      <c r="J57" s="917"/>
      <c r="K57" s="154"/>
    </row>
    <row r="58" spans="1:11" x14ac:dyDescent="0.3">
      <c r="A58" s="154"/>
      <c r="B58" s="154"/>
      <c r="C58" s="154"/>
      <c r="D58" s="154"/>
      <c r="E58" s="154"/>
      <c r="F58" s="154"/>
      <c r="G58" s="917"/>
      <c r="H58" s="917"/>
      <c r="I58" s="917"/>
      <c r="J58" s="917"/>
      <c r="K58" s="154"/>
    </row>
    <row r="59" spans="1:11" x14ac:dyDescent="0.3">
      <c r="A59" s="154"/>
      <c r="B59" s="154"/>
      <c r="C59" s="154"/>
      <c r="D59" s="154"/>
      <c r="E59" s="154"/>
      <c r="F59" s="154"/>
      <c r="G59" s="917"/>
      <c r="H59" s="917"/>
      <c r="I59" s="917"/>
      <c r="J59" s="917"/>
      <c r="K59" s="154"/>
    </row>
    <row r="60" spans="1:11" x14ac:dyDescent="0.3">
      <c r="A60" s="154"/>
      <c r="B60" s="154"/>
      <c r="C60" s="154"/>
      <c r="D60" s="154"/>
      <c r="E60" s="154"/>
      <c r="F60" s="154"/>
      <c r="G60" s="917"/>
      <c r="H60" s="917"/>
      <c r="I60" s="917"/>
      <c r="J60" s="917"/>
      <c r="K60" s="154"/>
    </row>
    <row r="61" spans="1:11" x14ac:dyDescent="0.3">
      <c r="A61" s="154"/>
      <c r="B61" s="154"/>
      <c r="C61" s="154"/>
      <c r="D61" s="154"/>
      <c r="E61" s="154"/>
      <c r="F61" s="154"/>
      <c r="G61" s="917"/>
      <c r="H61" s="917"/>
      <c r="I61" s="917"/>
      <c r="J61" s="917"/>
      <c r="K61" s="154"/>
    </row>
    <row r="62" spans="1:11" x14ac:dyDescent="0.3">
      <c r="A62" s="154"/>
      <c r="B62" s="154"/>
      <c r="C62" s="154"/>
      <c r="D62" s="154"/>
      <c r="E62" s="154"/>
      <c r="F62" s="154"/>
      <c r="G62" s="917"/>
      <c r="H62" s="917"/>
      <c r="I62" s="917"/>
      <c r="J62" s="917"/>
      <c r="K62" s="154"/>
    </row>
    <row r="63" spans="1:11" x14ac:dyDescent="0.3">
      <c r="A63" s="154"/>
      <c r="B63" s="154"/>
      <c r="C63" s="154"/>
      <c r="D63" s="154"/>
      <c r="E63" s="154"/>
      <c r="F63" s="154"/>
      <c r="G63" s="917"/>
      <c r="H63" s="917"/>
      <c r="I63" s="917"/>
      <c r="J63" s="917"/>
      <c r="K63" s="154"/>
    </row>
    <row r="64" spans="1:11" x14ac:dyDescent="0.3">
      <c r="A64" s="154"/>
      <c r="B64" s="154"/>
      <c r="C64" s="154"/>
      <c r="D64" s="154"/>
      <c r="E64" s="154"/>
      <c r="F64" s="154"/>
      <c r="G64" s="917"/>
      <c r="H64" s="917"/>
      <c r="I64" s="917"/>
      <c r="J64" s="917"/>
      <c r="K64" s="154"/>
    </row>
    <row r="65" spans="1:11" x14ac:dyDescent="0.3">
      <c r="A65" s="154"/>
      <c r="B65" s="154"/>
      <c r="C65" s="154"/>
      <c r="D65" s="154"/>
      <c r="E65" s="154"/>
      <c r="F65" s="154"/>
      <c r="G65" s="917"/>
      <c r="H65" s="917"/>
      <c r="I65" s="917"/>
      <c r="J65" s="917"/>
      <c r="K65" s="154"/>
    </row>
    <row r="66" spans="1:11" x14ac:dyDescent="0.3">
      <c r="A66" s="154"/>
      <c r="B66" s="154"/>
      <c r="C66" s="154"/>
      <c r="D66" s="154"/>
      <c r="E66" s="154"/>
      <c r="F66" s="154"/>
      <c r="G66" s="917"/>
      <c r="H66" s="917"/>
      <c r="I66" s="917"/>
      <c r="J66" s="917"/>
      <c r="K66" s="154"/>
    </row>
    <row r="67" spans="1:11" x14ac:dyDescent="0.3">
      <c r="A67" s="154"/>
      <c r="B67" s="154"/>
      <c r="C67" s="154"/>
      <c r="D67" s="154"/>
      <c r="E67" s="154"/>
      <c r="F67" s="154"/>
      <c r="G67" s="917"/>
      <c r="H67" s="917"/>
      <c r="I67" s="917"/>
      <c r="J67" s="917"/>
      <c r="K67" s="154"/>
    </row>
    <row r="68" spans="1:11" x14ac:dyDescent="0.3">
      <c r="A68" s="154"/>
      <c r="B68" s="154"/>
      <c r="C68" s="154"/>
      <c r="D68" s="154"/>
      <c r="E68" s="154"/>
      <c r="F68" s="154"/>
      <c r="G68" s="917"/>
      <c r="H68" s="917"/>
      <c r="I68" s="917"/>
      <c r="J68" s="917"/>
      <c r="K68" s="154"/>
    </row>
    <row r="69" spans="1:11" x14ac:dyDescent="0.3">
      <c r="A69" s="154"/>
      <c r="B69" s="154"/>
      <c r="C69" s="154"/>
      <c r="D69" s="154"/>
      <c r="E69" s="154"/>
      <c r="F69" s="154"/>
      <c r="G69" s="917"/>
      <c r="H69" s="917"/>
      <c r="I69" s="917"/>
      <c r="J69" s="917"/>
      <c r="K69" s="154"/>
    </row>
    <row r="70" spans="1:11" x14ac:dyDescent="0.3">
      <c r="A70" s="154"/>
      <c r="B70" s="154"/>
      <c r="C70" s="154"/>
      <c r="D70" s="154"/>
      <c r="E70" s="154"/>
      <c r="F70" s="154"/>
      <c r="G70" s="917"/>
      <c r="H70" s="917"/>
      <c r="I70" s="917"/>
      <c r="J70" s="917"/>
      <c r="K70" s="154"/>
    </row>
    <row r="71" spans="1:11" x14ac:dyDescent="0.3">
      <c r="A71" s="154"/>
      <c r="B71" s="154"/>
      <c r="C71" s="154"/>
      <c r="D71" s="154"/>
      <c r="E71" s="154"/>
      <c r="F71" s="154"/>
      <c r="G71" s="917"/>
      <c r="H71" s="917"/>
      <c r="I71" s="917"/>
      <c r="J71" s="917"/>
      <c r="K71" s="154"/>
    </row>
    <row r="72" spans="1:11" x14ac:dyDescent="0.3">
      <c r="A72" s="154"/>
      <c r="B72" s="154"/>
      <c r="C72" s="154"/>
      <c r="D72" s="154"/>
      <c r="E72" s="154"/>
      <c r="F72" s="154"/>
      <c r="G72" s="917"/>
      <c r="H72" s="917"/>
      <c r="I72" s="917"/>
      <c r="J72" s="917"/>
      <c r="K72" s="154"/>
    </row>
    <row r="73" spans="1:11" x14ac:dyDescent="0.3">
      <c r="A73" s="154"/>
      <c r="B73" s="154"/>
      <c r="C73" s="154"/>
      <c r="D73" s="154"/>
      <c r="E73" s="154"/>
      <c r="F73" s="154"/>
      <c r="G73" s="917"/>
      <c r="H73" s="917"/>
      <c r="I73" s="917"/>
      <c r="J73" s="917"/>
      <c r="K73" s="154"/>
    </row>
    <row r="74" spans="1:11" x14ac:dyDescent="0.3">
      <c r="A74" s="154"/>
      <c r="B74" s="154"/>
      <c r="C74" s="154"/>
      <c r="D74" s="154"/>
      <c r="E74" s="154"/>
      <c r="F74" s="154"/>
      <c r="G74" s="917"/>
      <c r="H74" s="917"/>
      <c r="I74" s="917"/>
      <c r="J74" s="917"/>
      <c r="K74" s="154"/>
    </row>
    <row r="75" spans="1:11" x14ac:dyDescent="0.3">
      <c r="A75" s="154"/>
      <c r="B75" s="154"/>
      <c r="C75" s="154"/>
      <c r="D75" s="154"/>
      <c r="E75" s="154"/>
      <c r="F75" s="154"/>
      <c r="G75" s="917"/>
      <c r="H75" s="917"/>
      <c r="I75" s="917"/>
      <c r="J75" s="917"/>
      <c r="K75" s="154"/>
    </row>
    <row r="76" spans="1:11" x14ac:dyDescent="0.3">
      <c r="A76" s="154"/>
      <c r="B76" s="154"/>
      <c r="C76" s="154"/>
      <c r="D76" s="154"/>
      <c r="E76" s="154"/>
      <c r="F76" s="154"/>
      <c r="G76" s="917"/>
      <c r="H76" s="917"/>
      <c r="I76" s="917"/>
      <c r="J76" s="917"/>
      <c r="K76" s="154"/>
    </row>
    <row r="77" spans="1:11" x14ac:dyDescent="0.3">
      <c r="A77" s="154"/>
      <c r="B77" s="154"/>
      <c r="C77" s="154"/>
      <c r="D77" s="154"/>
      <c r="E77" s="154"/>
      <c r="F77" s="154"/>
      <c r="G77" s="917"/>
      <c r="H77" s="917"/>
      <c r="I77" s="917"/>
      <c r="J77" s="917"/>
      <c r="K77" s="154"/>
    </row>
    <row r="78" spans="1:11" x14ac:dyDescent="0.3">
      <c r="A78" s="154"/>
      <c r="B78" s="154"/>
      <c r="C78" s="154"/>
      <c r="D78" s="154"/>
      <c r="E78" s="154"/>
      <c r="F78" s="154"/>
      <c r="G78" s="917"/>
      <c r="H78" s="917"/>
      <c r="I78" s="917"/>
      <c r="J78" s="917"/>
      <c r="K78" s="154"/>
    </row>
    <row r="79" spans="1:11" x14ac:dyDescent="0.3">
      <c r="A79" s="154"/>
      <c r="B79" s="154"/>
      <c r="C79" s="154"/>
      <c r="D79" s="154"/>
      <c r="E79" s="154"/>
      <c r="F79" s="154"/>
      <c r="G79" s="917"/>
      <c r="H79" s="917"/>
      <c r="I79" s="917"/>
      <c r="J79" s="917"/>
      <c r="K79" s="154"/>
    </row>
    <row r="80" spans="1:11" x14ac:dyDescent="0.3">
      <c r="A80" s="154"/>
      <c r="B80" s="154"/>
      <c r="C80" s="154"/>
      <c r="D80" s="154"/>
      <c r="E80" s="154"/>
      <c r="F80" s="154"/>
      <c r="G80" s="917"/>
      <c r="H80" s="917"/>
      <c r="I80" s="917"/>
      <c r="J80" s="917"/>
      <c r="K80" s="154"/>
    </row>
    <row r="81" spans="1:11" x14ac:dyDescent="0.3">
      <c r="A81" s="154"/>
      <c r="B81" s="154"/>
      <c r="C81" s="154"/>
      <c r="D81" s="154"/>
      <c r="E81" s="154"/>
      <c r="F81" s="154"/>
      <c r="G81" s="917"/>
      <c r="H81" s="917"/>
      <c r="I81" s="917"/>
      <c r="J81" s="917"/>
      <c r="K81" s="154"/>
    </row>
    <row r="82" spans="1:11" x14ac:dyDescent="0.3">
      <c r="A82" s="154"/>
      <c r="B82" s="154"/>
      <c r="C82" s="154"/>
      <c r="D82" s="154"/>
      <c r="E82" s="154"/>
      <c r="F82" s="154"/>
      <c r="G82" s="917"/>
      <c r="H82" s="917"/>
      <c r="I82" s="917"/>
      <c r="J82" s="917"/>
      <c r="K82" s="154"/>
    </row>
    <row r="83" spans="1:11" x14ac:dyDescent="0.3">
      <c r="A83" s="154"/>
      <c r="B83" s="154"/>
      <c r="C83" s="154"/>
      <c r="D83" s="154"/>
      <c r="E83" s="154"/>
      <c r="F83" s="154"/>
      <c r="G83" s="917"/>
      <c r="H83" s="917"/>
      <c r="I83" s="917"/>
      <c r="J83" s="917"/>
      <c r="K83" s="154"/>
    </row>
    <row r="84" spans="1:11" x14ac:dyDescent="0.3">
      <c r="A84" s="154"/>
      <c r="B84" s="154"/>
      <c r="C84" s="154"/>
      <c r="D84" s="154"/>
      <c r="E84" s="154"/>
      <c r="F84" s="154"/>
      <c r="G84" s="917"/>
      <c r="H84" s="917"/>
      <c r="I84" s="917"/>
      <c r="J84" s="917"/>
      <c r="K84" s="154"/>
    </row>
    <row r="85" spans="1:11" x14ac:dyDescent="0.3">
      <c r="A85" s="154"/>
      <c r="B85" s="154"/>
      <c r="C85" s="154"/>
      <c r="D85" s="154"/>
      <c r="E85" s="154"/>
      <c r="F85" s="154"/>
      <c r="G85" s="917"/>
      <c r="H85" s="917"/>
      <c r="I85" s="917"/>
      <c r="J85" s="917"/>
      <c r="K85" s="154"/>
    </row>
    <row r="86" spans="1:11" x14ac:dyDescent="0.3">
      <c r="A86" s="154"/>
      <c r="B86" s="154"/>
      <c r="C86" s="154"/>
      <c r="D86" s="154"/>
      <c r="E86" s="154"/>
      <c r="F86" s="154"/>
      <c r="G86" s="154"/>
      <c r="H86" s="154"/>
      <c r="I86" s="154"/>
      <c r="J86" s="154"/>
      <c r="K86" s="154"/>
    </row>
    <row r="87" spans="1:11" x14ac:dyDescent="0.3">
      <c r="A87" s="154"/>
      <c r="B87" s="154"/>
      <c r="C87" s="154"/>
      <c r="D87" s="154"/>
      <c r="E87" s="154"/>
      <c r="F87" s="154"/>
      <c r="G87" s="154"/>
      <c r="H87" s="154"/>
      <c r="I87" s="154"/>
      <c r="J87" s="154"/>
      <c r="K87" s="154"/>
    </row>
    <row r="88" spans="1:11" x14ac:dyDescent="0.3">
      <c r="A88" s="154"/>
      <c r="B88" s="154"/>
      <c r="C88" s="154"/>
      <c r="D88" s="154"/>
      <c r="E88" s="154"/>
      <c r="F88" s="154"/>
      <c r="G88" s="154"/>
      <c r="H88" s="154"/>
      <c r="I88" s="154"/>
      <c r="J88" s="154"/>
      <c r="K88" s="154"/>
    </row>
    <row r="89" spans="1:11" x14ac:dyDescent="0.3">
      <c r="A89" s="154"/>
      <c r="B89" s="154"/>
      <c r="C89" s="154"/>
      <c r="D89" s="154"/>
      <c r="E89" s="154"/>
      <c r="F89" s="154"/>
      <c r="G89" s="154"/>
      <c r="H89" s="154"/>
      <c r="I89" s="154"/>
      <c r="J89" s="154"/>
      <c r="K89" s="154"/>
    </row>
    <row r="90" spans="1:11" x14ac:dyDescent="0.3">
      <c r="A90" s="154"/>
      <c r="B90" s="154"/>
      <c r="C90" s="154"/>
      <c r="D90" s="154"/>
      <c r="E90" s="154"/>
      <c r="F90" s="154"/>
      <c r="G90" s="154"/>
      <c r="H90" s="154"/>
      <c r="I90" s="154"/>
      <c r="J90" s="154"/>
      <c r="K90" s="154"/>
    </row>
    <row r="91" spans="1:11" x14ac:dyDescent="0.3">
      <c r="A91" s="154"/>
      <c r="B91" s="154"/>
      <c r="C91" s="154"/>
      <c r="D91" s="154"/>
      <c r="E91" s="154"/>
      <c r="F91" s="154"/>
      <c r="G91" s="154"/>
      <c r="H91" s="154"/>
      <c r="I91" s="154"/>
      <c r="J91" s="154"/>
      <c r="K91" s="154"/>
    </row>
    <row r="92" spans="1:11" x14ac:dyDescent="0.3">
      <c r="A92" s="154"/>
      <c r="B92" s="154"/>
      <c r="C92" s="154"/>
      <c r="D92" s="154"/>
      <c r="E92" s="154"/>
      <c r="F92" s="154"/>
      <c r="G92" s="154"/>
      <c r="H92" s="154"/>
      <c r="I92" s="154"/>
      <c r="J92" s="154"/>
      <c r="K92" s="154"/>
    </row>
    <row r="93" spans="1:11" x14ac:dyDescent="0.3">
      <c r="A93" s="154"/>
      <c r="B93" s="154"/>
      <c r="C93" s="154"/>
      <c r="D93" s="154"/>
      <c r="E93" s="154"/>
      <c r="F93" s="154"/>
      <c r="G93" s="154"/>
      <c r="H93" s="154"/>
      <c r="I93" s="154"/>
      <c r="J93" s="154"/>
      <c r="K93" s="154"/>
    </row>
    <row r="94" spans="1:11" x14ac:dyDescent="0.3">
      <c r="A94" s="154"/>
      <c r="B94" s="154"/>
      <c r="C94" s="154"/>
      <c r="D94" s="154"/>
      <c r="E94" s="154"/>
      <c r="F94" s="154"/>
      <c r="G94" s="154"/>
      <c r="H94" s="154"/>
      <c r="I94" s="154"/>
      <c r="J94" s="154"/>
      <c r="K94" s="154"/>
    </row>
    <row r="95" spans="1:11" x14ac:dyDescent="0.3">
      <c r="A95" s="154"/>
      <c r="B95" s="154"/>
      <c r="C95" s="154"/>
      <c r="D95" s="154"/>
      <c r="E95" s="154"/>
      <c r="F95" s="154"/>
      <c r="G95" s="154"/>
      <c r="H95" s="154"/>
      <c r="I95" s="154"/>
      <c r="J95" s="154"/>
      <c r="K95" s="154"/>
    </row>
    <row r="96" spans="1:11" x14ac:dyDescent="0.3">
      <c r="A96" s="154"/>
      <c r="B96" s="154"/>
      <c r="C96" s="154"/>
      <c r="D96" s="154"/>
      <c r="E96" s="154"/>
      <c r="F96" s="154"/>
      <c r="G96" s="154"/>
      <c r="H96" s="154"/>
      <c r="I96" s="154"/>
      <c r="J96" s="154"/>
      <c r="K96" s="154"/>
    </row>
    <row r="97" spans="1:11" x14ac:dyDescent="0.3">
      <c r="A97" s="154"/>
      <c r="B97" s="154"/>
      <c r="C97" s="154"/>
      <c r="D97" s="154"/>
      <c r="E97" s="154"/>
      <c r="F97" s="154"/>
      <c r="G97" s="154"/>
      <c r="H97" s="154"/>
      <c r="I97" s="154"/>
      <c r="J97" s="154"/>
      <c r="K97" s="154"/>
    </row>
    <row r="98" spans="1:11" x14ac:dyDescent="0.3">
      <c r="A98" s="154"/>
      <c r="B98" s="154"/>
      <c r="C98" s="154"/>
      <c r="D98" s="154"/>
      <c r="E98" s="154"/>
      <c r="F98" s="154"/>
      <c r="G98" s="154"/>
      <c r="H98" s="154"/>
      <c r="I98" s="154"/>
      <c r="J98" s="154"/>
      <c r="K98" s="154"/>
    </row>
    <row r="99" spans="1:11" x14ac:dyDescent="0.3">
      <c r="A99" s="154"/>
      <c r="B99" s="900" t="s">
        <v>975</v>
      </c>
      <c r="C99" s="900"/>
      <c r="D99" s="900"/>
      <c r="E99" s="900"/>
      <c r="F99" s="900"/>
      <c r="G99" s="900"/>
      <c r="H99" s="900"/>
      <c r="I99" s="900"/>
      <c r="J99" s="900"/>
      <c r="K99" s="154"/>
    </row>
  </sheetData>
  <sheetProtection algorithmName="SHA-512" hashValue="tN65qgsuEpveaChCtJkOsfqzMtOqoUzS0882L65OfSv+2Athei9JBYrDhePpiS2pur2maqLFrdCJBKxRZpQl/g==" saltValue="TRkGmkDx16RpELZ6Jfx75Q==" spinCount="100000" sheet="1" objects="1" scenarios="1"/>
  <mergeCells count="12">
    <mergeCell ref="B99:J99"/>
    <mergeCell ref="B11:J11"/>
    <mergeCell ref="B6:J6"/>
    <mergeCell ref="E9:J9"/>
    <mergeCell ref="C12:D12"/>
    <mergeCell ref="E12:H12"/>
    <mergeCell ref="I12:J12"/>
    <mergeCell ref="B25:E25"/>
    <mergeCell ref="G25:J25"/>
    <mergeCell ref="B47:E47"/>
    <mergeCell ref="G51:J51"/>
    <mergeCell ref="G52:J85"/>
  </mergeCells>
  <conditionalFormatting sqref="C15:J19">
    <cfRule type="cellIs" dxfId="49" priority="21" operator="equal">
      <formula>0</formula>
    </cfRule>
    <cfRule type="cellIs" dxfId="48" priority="22" operator="between">
      <formula>0.4</formula>
      <formula>0.69</formula>
    </cfRule>
    <cfRule type="cellIs" dxfId="47" priority="23" operator="between">
      <formula>0.2</formula>
      <formula>0.39</formula>
    </cfRule>
    <cfRule type="cellIs" dxfId="46" priority="25" operator="between">
      <formula>0.01</formula>
      <formula>0.19</formula>
    </cfRule>
    <cfRule type="cellIs" dxfId="45" priority="26" operator="between">
      <formula>0.7</formula>
      <formula>1</formula>
    </cfRule>
  </conditionalFormatting>
  <conditionalFormatting sqref="C20:J20">
    <cfRule type="cellIs" dxfId="44" priority="16" operator="equal">
      <formula>0</formula>
    </cfRule>
    <cfRule type="cellIs" dxfId="43" priority="17" operator="between">
      <formula>0.4</formula>
      <formula>0.69</formula>
    </cfRule>
    <cfRule type="cellIs" dxfId="42" priority="18" operator="between">
      <formula>0.2</formula>
      <formula>0.39</formula>
    </cfRule>
    <cfRule type="cellIs" dxfId="41" priority="19" operator="between">
      <formula>0.01</formula>
      <formula>0.19</formula>
    </cfRule>
    <cfRule type="cellIs" dxfId="40" priority="20" operator="between">
      <formula>0.7</formula>
      <formula>1</formula>
    </cfRule>
  </conditionalFormatting>
  <conditionalFormatting sqref="C21:J21">
    <cfRule type="cellIs" dxfId="39" priority="11" operator="equal">
      <formula>0</formula>
    </cfRule>
    <cfRule type="cellIs" dxfId="38" priority="12" operator="between">
      <formula>0.4</formula>
      <formula>0.69</formula>
    </cfRule>
    <cfRule type="cellIs" dxfId="37" priority="13" operator="between">
      <formula>0.2</formula>
      <formula>0.39</formula>
    </cfRule>
    <cfRule type="cellIs" dxfId="36" priority="14" operator="between">
      <formula>0.01</formula>
      <formula>0.19</formula>
    </cfRule>
    <cfRule type="cellIs" dxfId="35" priority="15" operator="between">
      <formula>0.7</formula>
      <formula>1</formula>
    </cfRule>
  </conditionalFormatting>
  <conditionalFormatting sqref="C22:J22">
    <cfRule type="cellIs" dxfId="34" priority="1" operator="equal">
      <formula>0</formula>
    </cfRule>
    <cfRule type="cellIs" dxfId="33" priority="2" operator="between">
      <formula>0.4</formula>
      <formula>0.69</formula>
    </cfRule>
    <cfRule type="cellIs" dxfId="32" priority="3" operator="between">
      <formula>0.2</formula>
      <formula>0.39</formula>
    </cfRule>
    <cfRule type="cellIs" dxfId="31" priority="4" operator="between">
      <formula>0.01</formula>
      <formula>0.19</formula>
    </cfRule>
    <cfRule type="cellIs" dxfId="30" priority="5" operator="between">
      <formula>0.7</formula>
      <formula>1</formula>
    </cfRule>
  </conditionalFormatting>
  <pageMargins left="0.39370078740157483" right="0.39370078740157483" top="0.39370078740157483" bottom="0.39370078740157483" header="0.31496062992125984" footer="0.31496062992125984"/>
  <pageSetup paperSize="14" scale="52" fitToHeight="0"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403568FA-03EA-46A9-BB62-07065E9B2044}">
          <x14:formula1>
            <xm:f>PGLOBAL!$A$10:$A$167</xm:f>
          </x14:formula1>
          <xm:sqref>E9</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57D7BA-6CF0-4B07-A180-85D5BFA6C516}">
  <sheetPr codeName="Hoja16">
    <tabColor rgb="FF00B050"/>
    <pageSetUpPr fitToPage="1"/>
  </sheetPr>
  <dimension ref="A1:M90"/>
  <sheetViews>
    <sheetView zoomScale="60" zoomScaleNormal="60" workbookViewId="0">
      <selection activeCell="E15" sqref="E15"/>
    </sheetView>
  </sheetViews>
  <sheetFormatPr baseColWidth="10" defaultColWidth="12.5546875" defaultRowHeight="15.6" x14ac:dyDescent="0.3"/>
  <cols>
    <col min="1" max="1" width="5.33203125" style="155" customWidth="1"/>
    <col min="2" max="2" width="16.44140625" style="155" customWidth="1"/>
    <col min="3" max="3" width="35.77734375" style="155" customWidth="1"/>
    <col min="4" max="4" width="40.77734375" style="155" customWidth="1"/>
    <col min="5" max="10" width="35.77734375" style="155" customWidth="1"/>
    <col min="11" max="11" width="5.88671875" style="155" customWidth="1"/>
    <col min="12" max="16384" width="12.5546875" style="155"/>
  </cols>
  <sheetData>
    <row r="1" spans="1:12" x14ac:dyDescent="0.3">
      <c r="A1" s="154"/>
      <c r="B1" s="154"/>
      <c r="C1" s="154"/>
      <c r="D1" s="154"/>
      <c r="E1" s="154"/>
      <c r="F1" s="154"/>
      <c r="G1" s="154"/>
      <c r="H1" s="154"/>
      <c r="I1" s="154"/>
      <c r="J1" s="154"/>
      <c r="K1" s="154"/>
    </row>
    <row r="2" spans="1:12" x14ac:dyDescent="0.3">
      <c r="A2" s="154"/>
      <c r="B2" s="154"/>
      <c r="C2" s="154"/>
      <c r="D2" s="154"/>
      <c r="E2" s="154"/>
      <c r="F2" s="154"/>
      <c r="G2" s="154"/>
      <c r="H2" s="154"/>
      <c r="I2" s="154"/>
      <c r="J2" s="154"/>
      <c r="K2" s="154"/>
    </row>
    <row r="3" spans="1:12" x14ac:dyDescent="0.3">
      <c r="A3" s="154"/>
      <c r="B3" s="154"/>
      <c r="C3" s="154"/>
      <c r="D3" s="154"/>
      <c r="E3" s="154"/>
      <c r="F3" s="154"/>
      <c r="G3" s="154"/>
      <c r="H3" s="154"/>
      <c r="I3" s="154"/>
      <c r="J3" s="154"/>
      <c r="K3" s="154"/>
    </row>
    <row r="4" spans="1:12" x14ac:dyDescent="0.3">
      <c r="A4" s="154"/>
      <c r="B4" s="154"/>
      <c r="C4" s="154"/>
      <c r="D4" s="154"/>
      <c r="E4" s="154"/>
      <c r="F4" s="154"/>
      <c r="G4" s="154"/>
      <c r="H4" s="154"/>
      <c r="I4" s="154"/>
      <c r="J4" s="154"/>
      <c r="K4" s="154"/>
    </row>
    <row r="5" spans="1:12" x14ac:dyDescent="0.3">
      <c r="A5" s="154"/>
      <c r="B5" s="154"/>
      <c r="C5" s="154"/>
      <c r="D5" s="154"/>
      <c r="E5" s="154"/>
      <c r="F5" s="154"/>
      <c r="G5" s="154"/>
      <c r="H5" s="154"/>
      <c r="I5" s="154"/>
      <c r="J5" s="154"/>
      <c r="K5" s="154"/>
    </row>
    <row r="6" spans="1:12" ht="48.6" customHeight="1" x14ac:dyDescent="0.3">
      <c r="A6" s="154"/>
      <c r="B6" s="154"/>
      <c r="C6" s="154"/>
      <c r="D6" s="154"/>
      <c r="E6" s="154"/>
      <c r="F6" s="154"/>
      <c r="G6" s="154"/>
      <c r="H6" s="154"/>
      <c r="I6" s="154"/>
      <c r="J6" s="154"/>
      <c r="K6" s="154"/>
    </row>
    <row r="7" spans="1:12" ht="64.5" customHeight="1" x14ac:dyDescent="0.3">
      <c r="A7" s="154"/>
      <c r="B7" s="902" t="s">
        <v>902</v>
      </c>
      <c r="C7" s="902"/>
      <c r="D7" s="902"/>
      <c r="E7" s="902"/>
      <c r="F7" s="902"/>
      <c r="G7" s="902"/>
      <c r="H7" s="902"/>
      <c r="I7" s="902"/>
      <c r="J7" s="902"/>
      <c r="K7" s="154"/>
    </row>
    <row r="8" spans="1:12" x14ac:dyDescent="0.3">
      <c r="A8" s="154"/>
      <c r="B8" s="154"/>
      <c r="C8" s="154"/>
      <c r="D8" s="154"/>
      <c r="E8" s="154"/>
      <c r="F8" s="154"/>
      <c r="G8" s="154"/>
      <c r="H8" s="154"/>
      <c r="I8" s="154"/>
      <c r="J8" s="154"/>
      <c r="K8" s="154"/>
    </row>
    <row r="9" spans="1:12" ht="16.2" thickBot="1" x14ac:dyDescent="0.35">
      <c r="A9" s="154"/>
      <c r="B9" s="154"/>
      <c r="C9" s="154"/>
      <c r="D9" s="154"/>
      <c r="E9" s="154"/>
      <c r="F9" s="154"/>
      <c r="G9" s="154"/>
      <c r="H9" s="154"/>
      <c r="I9" s="154"/>
      <c r="J9" s="154"/>
      <c r="K9" s="154"/>
    </row>
    <row r="10" spans="1:12" ht="21.6" thickBot="1" x14ac:dyDescent="0.45">
      <c r="A10" s="154"/>
      <c r="B10" s="324" t="s">
        <v>895</v>
      </c>
      <c r="C10" s="324"/>
      <c r="D10" s="324"/>
      <c r="E10" s="927" t="str">
        <f>PuntajeGlobal!E9</f>
        <v>INSTITUCION EDUCATIVA EDUARDO SANTOS</v>
      </c>
      <c r="F10" s="928"/>
      <c r="G10" s="928"/>
      <c r="H10" s="928"/>
      <c r="I10" s="928"/>
      <c r="J10" s="929"/>
      <c r="K10" s="154"/>
    </row>
    <row r="11" spans="1:12" ht="18" x14ac:dyDescent="0.35">
      <c r="A11" s="154"/>
      <c r="B11" s="158"/>
      <c r="C11" s="158"/>
      <c r="D11" s="158"/>
      <c r="E11" s="158"/>
      <c r="F11" s="154"/>
      <c r="G11" s="154"/>
      <c r="H11" s="154"/>
      <c r="I11" s="154"/>
      <c r="J11" s="154"/>
      <c r="K11" s="154"/>
    </row>
    <row r="12" spans="1:12" ht="60.6" customHeight="1" x14ac:dyDescent="0.3">
      <c r="A12" s="154"/>
      <c r="B12" s="919" t="s">
        <v>1119</v>
      </c>
      <c r="C12" s="920"/>
      <c r="D12" s="920"/>
      <c r="E12" s="920"/>
      <c r="F12" s="920"/>
      <c r="G12" s="920"/>
      <c r="H12" s="920"/>
      <c r="I12" s="920"/>
      <c r="J12" s="921"/>
      <c r="K12" s="154"/>
    </row>
    <row r="13" spans="1:12" ht="33.75" customHeight="1" x14ac:dyDescent="0.3">
      <c r="A13" s="154"/>
      <c r="B13" s="682" t="s">
        <v>891</v>
      </c>
      <c r="C13" s="922" t="s">
        <v>1113</v>
      </c>
      <c r="D13" s="923"/>
      <c r="E13" s="922" t="s">
        <v>1114</v>
      </c>
      <c r="F13" s="924"/>
      <c r="G13" s="924"/>
      <c r="H13" s="923"/>
      <c r="I13" s="922" t="s">
        <v>1109</v>
      </c>
      <c r="J13" s="923"/>
      <c r="K13" s="154"/>
    </row>
    <row r="14" spans="1:12" ht="90.6" customHeight="1" x14ac:dyDescent="0.4">
      <c r="A14" s="154"/>
      <c r="B14" s="611" t="s">
        <v>904</v>
      </c>
      <c r="C14" s="618" t="s">
        <v>399</v>
      </c>
      <c r="D14" s="618" t="s">
        <v>388</v>
      </c>
      <c r="E14" s="618" t="s">
        <v>394</v>
      </c>
      <c r="F14" s="618" t="s">
        <v>390</v>
      </c>
      <c r="G14" s="618" t="s">
        <v>400</v>
      </c>
      <c r="H14" s="618" t="s">
        <v>397</v>
      </c>
      <c r="I14" s="618" t="s">
        <v>398</v>
      </c>
      <c r="J14" s="618" t="s">
        <v>391</v>
      </c>
      <c r="K14" s="154"/>
      <c r="L14" s="170"/>
    </row>
    <row r="15" spans="1:12" ht="225.6" customHeight="1" x14ac:dyDescent="0.4">
      <c r="A15" s="154"/>
      <c r="B15" s="613" t="s">
        <v>1030</v>
      </c>
      <c r="C15" s="619" t="s">
        <v>1096</v>
      </c>
      <c r="D15" s="619" t="s">
        <v>1097</v>
      </c>
      <c r="E15" s="619" t="s">
        <v>1088</v>
      </c>
      <c r="F15" s="619" t="s">
        <v>1089</v>
      </c>
      <c r="G15" s="619" t="s">
        <v>1090</v>
      </c>
      <c r="H15" s="619" t="s">
        <v>1091</v>
      </c>
      <c r="I15" s="619" t="s">
        <v>1094</v>
      </c>
      <c r="J15" s="610" t="s">
        <v>1095</v>
      </c>
      <c r="K15" s="154"/>
      <c r="L15" s="170"/>
    </row>
    <row r="16" spans="1:12" ht="21" x14ac:dyDescent="0.3">
      <c r="A16" s="154"/>
      <c r="B16" s="160">
        <v>2016</v>
      </c>
      <c r="C16" s="378">
        <f>VLOOKUP($E$10,CN!$A$10:$FA$167,26,0)</f>
        <v>1</v>
      </c>
      <c r="D16" s="378">
        <f>VLOOKUP($E$10,CN!$A$10:$FA$167,27,0)</f>
        <v>7.0000000000000007E-2</v>
      </c>
      <c r="E16" s="378">
        <f>VLOOKUP($E$10,CN!$A$10:$FA$167,28,0)</f>
        <v>0.42</v>
      </c>
      <c r="F16" s="378" t="s">
        <v>403</v>
      </c>
      <c r="G16" s="378">
        <f>VLOOKUP($E$10,CN!$A$10:$FA$167,29,0)</f>
        <v>0.16</v>
      </c>
      <c r="H16" s="378">
        <f>VLOOKUP($E$10,CN!$A$10:$FA$167,30,0)</f>
        <v>0.4</v>
      </c>
      <c r="I16" s="378">
        <f>VLOOKUP($E$10,CN!$A$10:$FA$167,31,0)</f>
        <v>0.38</v>
      </c>
      <c r="J16" s="378">
        <f>VLOOKUP($E$10,CN!$A$10:$FA$167,32,0)</f>
        <v>0.6</v>
      </c>
      <c r="K16" s="154"/>
    </row>
    <row r="17" spans="1:13" ht="21" x14ac:dyDescent="0.3">
      <c r="A17" s="154"/>
      <c r="B17" s="160">
        <v>2017</v>
      </c>
      <c r="C17" s="378">
        <f>VLOOKUP($E$10,CN!$A$10:$FA$167,55,0)</f>
        <v>0.65</v>
      </c>
      <c r="D17" s="378">
        <f>VLOOKUP($E$10,CN!$A$10:$FA$167,56,0)</f>
        <v>0.38</v>
      </c>
      <c r="E17" s="378">
        <f>VLOOKUP($E$10,CN!$A$10:$FA$167,57,0)</f>
        <v>0.54</v>
      </c>
      <c r="F17" s="378">
        <f>VLOOKUP($E$10,CN!$A$10:$FA$167,58,0)</f>
        <v>0.53</v>
      </c>
      <c r="G17" s="378">
        <f>VLOOKUP($E$10,CN!$A$10:$FA$167,59,0)</f>
        <v>0.53</v>
      </c>
      <c r="H17" s="378">
        <f>VLOOKUP($E$10,CN!$A$10:$FA$167,60,0)</f>
        <v>0.4</v>
      </c>
      <c r="I17" s="378">
        <f>VLOOKUP($E$10,CN!$A$10:$FA$167,61,0)</f>
        <v>0.43</v>
      </c>
      <c r="J17" s="378">
        <f>VLOOKUP($E$10,CN!$A$10:$FA$167,62,0)</f>
        <v>0.38</v>
      </c>
      <c r="K17" s="154"/>
    </row>
    <row r="18" spans="1:13" ht="21" x14ac:dyDescent="0.3">
      <c r="A18" s="154"/>
      <c r="B18" s="160">
        <v>2018</v>
      </c>
      <c r="C18" s="378">
        <f>VLOOKUP($E$10,CN!$A$10:$FA$167,96,0)</f>
        <v>0.62</v>
      </c>
      <c r="D18" s="378">
        <f>VLOOKUP($E$10,CN!$A$10:$FA$167,87,0)</f>
        <v>0.6</v>
      </c>
      <c r="E18" s="378">
        <f>VLOOKUP($E$10,CN!$A$10:$FA$167,74,0)</f>
        <v>0.43</v>
      </c>
      <c r="F18" s="378">
        <f>VLOOKUP($E$10,CN!$A$10:$FA$167,88,0)</f>
        <v>0.4</v>
      </c>
      <c r="G18" s="378">
        <f>VLOOKUP($E$10,CN!$A$10:$FA$167,85,0)</f>
        <v>0.61</v>
      </c>
      <c r="H18" s="378">
        <f>VLOOKUP($E$10,CN!$A$10:$FA$167,89,0)</f>
        <v>0.72</v>
      </c>
      <c r="I18" s="378">
        <f>VLOOKUP($E$10,CN!$A$10:$FA$167,71,0)</f>
        <v>0.36</v>
      </c>
      <c r="J18" s="378">
        <f>VLOOKUP($E$10,CN!$A$10:$FA$167,78,0)</f>
        <v>0.55000000000000004</v>
      </c>
      <c r="K18" s="165"/>
    </row>
    <row r="19" spans="1:13" ht="21" x14ac:dyDescent="0.3">
      <c r="A19" s="154"/>
      <c r="B19" s="160">
        <v>2019</v>
      </c>
      <c r="C19" s="378">
        <f>VLOOKUP($E$10,CN!$A$10:$FA$167,110,0)</f>
        <v>0.54</v>
      </c>
      <c r="D19" s="378">
        <f>VLOOKUP($E$10,CN!$A$10:$FA$167,124,0)</f>
        <v>0.62</v>
      </c>
      <c r="E19" s="378">
        <f>VLOOKUP($E$10,CN!$A$10:$FA$167,116,0)</f>
        <v>0.42</v>
      </c>
      <c r="F19" s="378">
        <f>VLOOKUP($E$10,CN!$A$10:$FA$167,127,0)</f>
        <v>0.3</v>
      </c>
      <c r="G19" s="378">
        <f>VLOOKUP($E$10,CN!$A$10:$FA$167,111,0)</f>
        <v>0.46</v>
      </c>
      <c r="H19" s="378">
        <f>VLOOKUP($E$10,CN!$A$10:$FA$167,107,0)</f>
        <v>0.48</v>
      </c>
      <c r="I19" s="378">
        <f>VLOOKUP($E$10,CN!$A$10:$FA$167,108,0)</f>
        <v>0.63</v>
      </c>
      <c r="J19" s="378">
        <f>VLOOKUP($E$10,CN!$A$10:$FA$167,103,0)</f>
        <v>0.52</v>
      </c>
      <c r="K19" s="154"/>
      <c r="M19" s="171"/>
    </row>
    <row r="20" spans="1:13" ht="21" x14ac:dyDescent="0.3">
      <c r="A20" s="154"/>
      <c r="B20" s="160">
        <v>2020</v>
      </c>
      <c r="C20" s="378">
        <f>VLOOKUP($E$10,CN!$A$10:$FA$167,157,0)</f>
        <v>0.68</v>
      </c>
      <c r="D20" s="378">
        <f>VLOOKUP($E$10,CN!$A$10:$FA$167,151,0)</f>
        <v>0.56999999999999995</v>
      </c>
      <c r="E20" s="378">
        <f>VLOOKUP($E$10,CN!$A$10:$FA$167,137,0)</f>
        <v>0.46</v>
      </c>
      <c r="F20" s="378">
        <f>VLOOKUP($E$10,CN!$A$10:$FA$167,152,0)</f>
        <v>0.46</v>
      </c>
      <c r="G20" s="378">
        <f>VLOOKUP($E$10,CN!$A$10:$FA$167,138,0)</f>
        <v>0.49</v>
      </c>
      <c r="H20" s="378">
        <f>VLOOKUP($E$10,CN!$A$10:$FA$167,148,0)</f>
        <v>0.64</v>
      </c>
      <c r="I20" s="378">
        <f>VLOOKUP($E$10,CN!$A$10:$FA$167,141,0)</f>
        <v>0.31</v>
      </c>
      <c r="J20" s="378">
        <f>VLOOKUP($E$10,CN!$A$10:$FA$167,145,0)</f>
        <v>0.56999999999999995</v>
      </c>
      <c r="K20" s="154"/>
      <c r="M20" s="171"/>
    </row>
    <row r="21" spans="1:13" ht="21" x14ac:dyDescent="0.3">
      <c r="A21" s="154"/>
      <c r="B21" s="160">
        <v>2021</v>
      </c>
      <c r="C21" s="378">
        <f>VLOOKUP($E$10,CN!$A$10:$GI$167,187,0)</f>
        <v>0.62</v>
      </c>
      <c r="D21" s="378">
        <f>VLOOKUP($E$10,CN!$A$10:$GI$167,175,0)</f>
        <v>0.53</v>
      </c>
      <c r="E21" s="378">
        <f>VLOOKUP($E$10,CN!$A$10:$GI$167,170,0)</f>
        <v>0.28000000000000003</v>
      </c>
      <c r="F21" s="378">
        <f>VLOOKUP($E$10,CN!$A$10:$GI$167,178,0)</f>
        <v>0.67</v>
      </c>
      <c r="G21" s="378">
        <f>VLOOKUP($E$10,CN!$A$10:$GI$167,166,0)</f>
        <v>0.56999999999999995</v>
      </c>
      <c r="H21" s="378">
        <f>VLOOKUP($E$10,CN!$A$10:$GI$167,171,0)</f>
        <v>0.36</v>
      </c>
      <c r="I21" s="378">
        <f>VLOOKUP($E$10,CN!$A$10:$GI$167,183,0)</f>
        <v>0.52</v>
      </c>
      <c r="J21" s="378">
        <f>VLOOKUP($E$10,CN!$A$10:$GI$167,167,0)</f>
        <v>0.68</v>
      </c>
      <c r="K21" s="154"/>
      <c r="M21" s="171"/>
    </row>
    <row r="22" spans="1:13" ht="21" x14ac:dyDescent="0.3">
      <c r="A22" s="154"/>
      <c r="B22" s="160">
        <v>2022</v>
      </c>
      <c r="C22" s="378">
        <f>VLOOKUP($E$10,CN!$A$10:$HQ$167,219,0)</f>
        <v>0.56999999999999995</v>
      </c>
      <c r="D22" s="378">
        <f>VLOOKUP($E$10,CN!$A$10:$HQ$167,218,0)</f>
        <v>0.64</v>
      </c>
      <c r="E22" s="378" t="str">
        <f>VLOOKUP($E$10,CN!$A$10:$HQ$167,207,0)</f>
        <v>N.D.</v>
      </c>
      <c r="F22" s="378">
        <f>VLOOKUP($E$10,CN!$A$10:$HQ$167,225,0)</f>
        <v>0.46</v>
      </c>
      <c r="G22" s="378">
        <f>VLOOKUP($E$10,CN!$A$10:$HQ$167,208,0)</f>
        <v>0.45</v>
      </c>
      <c r="H22" s="378">
        <f>VLOOKUP($E$10,CN!$A$10:$HQ$167,206,0)</f>
        <v>0.49</v>
      </c>
      <c r="I22" s="378">
        <f>VLOOKUP($E$10,CN!$A$10:$HQ$167,217,0)</f>
        <v>0.66</v>
      </c>
      <c r="J22" s="378">
        <f>VLOOKUP($E$10,CN!$A$10:$HQ$167,215,0)</f>
        <v>0.7</v>
      </c>
      <c r="K22" s="154"/>
      <c r="M22" s="171"/>
    </row>
    <row r="23" spans="1:13" ht="21" x14ac:dyDescent="0.3">
      <c r="A23" s="154"/>
      <c r="B23" s="160">
        <v>2023</v>
      </c>
      <c r="C23" s="378">
        <f>VLOOKUP($E$10,CN!$A$10:$IY$167,245,0)</f>
        <v>0.7</v>
      </c>
      <c r="D23" s="378">
        <f>VLOOKUP($E$10,CN!$A$10:$IY$167,242,0)</f>
        <v>0.55000000000000004</v>
      </c>
      <c r="E23" s="378" t="str">
        <f>VLOOKUP($E$10,CN!$A$10:$IY$167,255,0)</f>
        <v>N.D.</v>
      </c>
      <c r="F23" s="378">
        <f>VLOOKUP($E$10,CN!$A$10:$IY$167,257,0)</f>
        <v>0.48</v>
      </c>
      <c r="G23" s="378">
        <f>VLOOKUP($E$10,CN!$A$10:$IY$167,247,0)</f>
        <v>0.61</v>
      </c>
      <c r="H23" s="378">
        <f>VLOOKUP($E$10,CN!$A$10:$IY$167,258,0)</f>
        <v>0.56000000000000005</v>
      </c>
      <c r="I23" s="378">
        <f>VLOOKUP($E$10,CN!$A$10:$IY$167,238,0)</f>
        <v>0.69</v>
      </c>
      <c r="J23" s="378">
        <f>VLOOKUP($E$10,CN!$A$10:$IY$167,256,0)</f>
        <v>0.67</v>
      </c>
      <c r="K23" s="154"/>
    </row>
    <row r="24" spans="1:13" ht="18" x14ac:dyDescent="0.35">
      <c r="A24" s="154"/>
      <c r="B24" s="158"/>
      <c r="C24" s="158"/>
      <c r="D24" s="164"/>
      <c r="E24" s="164"/>
      <c r="F24" s="154"/>
      <c r="G24" s="154"/>
      <c r="H24" s="154"/>
      <c r="I24" s="154"/>
      <c r="J24" s="154"/>
      <c r="K24" s="154"/>
    </row>
    <row r="25" spans="1:13" ht="23.4" x14ac:dyDescent="0.45">
      <c r="A25" s="154"/>
      <c r="B25" s="912" t="str">
        <f>C13</f>
        <v>Explicación de fenómenos 
(9% de las preguntas)</v>
      </c>
      <c r="C25" s="912"/>
      <c r="D25" s="912"/>
      <c r="E25" s="912"/>
      <c r="F25" s="154"/>
      <c r="G25" s="912" t="str">
        <f>I13</f>
        <v>Uso comprensivo del conocimiento científico 
(9% de las preguntas)</v>
      </c>
      <c r="H25" s="912"/>
      <c r="I25" s="912"/>
      <c r="J25" s="912"/>
      <c r="K25" s="154"/>
    </row>
    <row r="26" spans="1:13" x14ac:dyDescent="0.3">
      <c r="A26" s="154"/>
      <c r="B26" s="154"/>
      <c r="C26" s="154"/>
      <c r="D26" s="154"/>
      <c r="E26" s="154"/>
      <c r="F26" s="154"/>
      <c r="G26" s="154"/>
      <c r="H26" s="154"/>
      <c r="I26" s="154"/>
      <c r="J26" s="154"/>
      <c r="K26" s="154"/>
    </row>
    <row r="27" spans="1:13" x14ac:dyDescent="0.3">
      <c r="A27" s="154"/>
      <c r="B27" s="154"/>
      <c r="C27" s="154"/>
      <c r="D27" s="154"/>
      <c r="E27" s="154"/>
      <c r="F27" s="154"/>
      <c r="G27" s="154"/>
      <c r="H27" s="154"/>
      <c r="I27" s="154"/>
      <c r="J27" s="154"/>
      <c r="K27" s="154"/>
    </row>
    <row r="28" spans="1:13" ht="15.75" customHeight="1" x14ac:dyDescent="0.3">
      <c r="A28" s="154"/>
      <c r="B28" s="154"/>
      <c r="C28" s="154"/>
      <c r="D28" s="154"/>
      <c r="E28" s="154"/>
      <c r="F28" s="154"/>
      <c r="G28" s="154"/>
      <c r="H28" s="154"/>
      <c r="I28" s="154"/>
      <c r="J28" s="154"/>
      <c r="K28" s="154"/>
    </row>
    <row r="29" spans="1:13" ht="26.25" customHeight="1" x14ac:dyDescent="0.3">
      <c r="A29" s="154"/>
      <c r="B29" s="154"/>
      <c r="C29" s="154"/>
      <c r="D29" s="154"/>
      <c r="E29" s="154"/>
      <c r="F29" s="154"/>
      <c r="G29" s="154"/>
      <c r="H29" s="154"/>
      <c r="I29" s="154"/>
      <c r="J29" s="154"/>
      <c r="K29" s="154"/>
    </row>
    <row r="30" spans="1:13" x14ac:dyDescent="0.3">
      <c r="A30" s="154"/>
      <c r="B30" s="154"/>
      <c r="C30" s="154"/>
      <c r="D30" s="154"/>
      <c r="E30" s="154"/>
      <c r="F30" s="154"/>
      <c r="G30" s="154"/>
      <c r="H30" s="154"/>
      <c r="I30" s="154"/>
      <c r="J30" s="154"/>
      <c r="K30" s="154"/>
    </row>
    <row r="31" spans="1:13" x14ac:dyDescent="0.3">
      <c r="A31" s="154"/>
      <c r="B31" s="154"/>
      <c r="C31" s="154"/>
      <c r="D31" s="154"/>
      <c r="E31" s="154"/>
      <c r="F31" s="154"/>
      <c r="G31" s="154"/>
      <c r="H31" s="154"/>
      <c r="I31" s="154"/>
      <c r="J31" s="154"/>
      <c r="K31" s="154"/>
    </row>
    <row r="32" spans="1:13" x14ac:dyDescent="0.3">
      <c r="A32" s="154"/>
      <c r="B32" s="154"/>
      <c r="C32" s="154"/>
      <c r="D32" s="154"/>
      <c r="E32" s="154"/>
      <c r="F32" s="154"/>
      <c r="G32" s="154"/>
      <c r="H32" s="154"/>
      <c r="I32" s="154"/>
      <c r="J32" s="154"/>
      <c r="K32" s="154"/>
    </row>
    <row r="33" spans="1:11" x14ac:dyDescent="0.3">
      <c r="A33" s="154"/>
      <c r="B33" s="154"/>
      <c r="C33" s="154"/>
      <c r="D33" s="154"/>
      <c r="E33" s="154"/>
      <c r="F33" s="154"/>
      <c r="G33" s="154"/>
      <c r="H33" s="154"/>
      <c r="I33" s="154"/>
      <c r="J33" s="154"/>
      <c r="K33" s="154"/>
    </row>
    <row r="34" spans="1:11" x14ac:dyDescent="0.3">
      <c r="A34" s="154"/>
      <c r="B34" s="154"/>
      <c r="C34" s="154"/>
      <c r="D34" s="154"/>
      <c r="E34" s="154"/>
      <c r="F34" s="154"/>
      <c r="G34" s="154"/>
      <c r="H34" s="154"/>
      <c r="I34" s="154"/>
      <c r="J34" s="154"/>
      <c r="K34" s="154"/>
    </row>
    <row r="35" spans="1:11" x14ac:dyDescent="0.3">
      <c r="A35" s="154"/>
      <c r="B35" s="154"/>
      <c r="C35" s="154"/>
      <c r="D35" s="154"/>
      <c r="E35" s="154"/>
      <c r="F35" s="154"/>
      <c r="G35" s="154"/>
      <c r="H35" s="154"/>
      <c r="I35" s="154"/>
      <c r="J35" s="154"/>
      <c r="K35" s="154"/>
    </row>
    <row r="36" spans="1:11" x14ac:dyDescent="0.3">
      <c r="A36" s="154"/>
      <c r="B36" s="154"/>
      <c r="C36" s="154"/>
      <c r="D36" s="154"/>
      <c r="E36" s="154"/>
      <c r="F36" s="154"/>
      <c r="G36" s="154"/>
      <c r="H36" s="154"/>
      <c r="I36" s="154"/>
      <c r="J36" s="154"/>
      <c r="K36" s="154"/>
    </row>
    <row r="37" spans="1:11" x14ac:dyDescent="0.3">
      <c r="A37" s="154"/>
      <c r="B37" s="154"/>
      <c r="C37" s="154"/>
      <c r="D37" s="154"/>
      <c r="E37" s="154"/>
      <c r="F37" s="154"/>
      <c r="G37" s="154"/>
      <c r="H37" s="154"/>
      <c r="I37" s="154"/>
      <c r="J37" s="154"/>
      <c r="K37" s="154"/>
    </row>
    <row r="38" spans="1:11" x14ac:dyDescent="0.3">
      <c r="A38" s="154"/>
      <c r="B38" s="154"/>
      <c r="C38" s="154"/>
      <c r="D38" s="154"/>
      <c r="E38" s="154"/>
      <c r="F38" s="154"/>
      <c r="G38" s="154"/>
      <c r="H38" s="154"/>
      <c r="I38" s="154"/>
      <c r="J38" s="154"/>
      <c r="K38" s="154"/>
    </row>
    <row r="39" spans="1:11" x14ac:dyDescent="0.3">
      <c r="A39" s="154"/>
      <c r="B39" s="154"/>
      <c r="C39" s="154"/>
      <c r="D39" s="154"/>
      <c r="E39" s="154"/>
      <c r="F39" s="154"/>
      <c r="G39" s="154"/>
      <c r="H39" s="154"/>
      <c r="I39" s="154"/>
      <c r="J39" s="154"/>
      <c r="K39" s="154"/>
    </row>
    <row r="40" spans="1:11" x14ac:dyDescent="0.3">
      <c r="A40" s="154"/>
      <c r="B40" s="154"/>
      <c r="C40" s="154"/>
      <c r="D40" s="154"/>
      <c r="E40" s="154"/>
      <c r="F40" s="154"/>
      <c r="G40" s="154"/>
      <c r="H40" s="154"/>
      <c r="I40" s="154"/>
      <c r="J40" s="154"/>
      <c r="K40" s="154"/>
    </row>
    <row r="41" spans="1:11" x14ac:dyDescent="0.3">
      <c r="A41" s="154"/>
      <c r="B41" s="154"/>
      <c r="C41" s="154"/>
      <c r="D41" s="154"/>
      <c r="E41" s="154"/>
      <c r="F41" s="154"/>
      <c r="G41" s="154"/>
      <c r="H41" s="154"/>
      <c r="I41" s="154"/>
      <c r="J41" s="154"/>
      <c r="K41" s="154"/>
    </row>
    <row r="42" spans="1:11" ht="18" customHeight="1" x14ac:dyDescent="0.3">
      <c r="A42" s="154"/>
      <c r="B42" s="154"/>
      <c r="C42" s="154"/>
      <c r="D42" s="154"/>
      <c r="E42" s="154"/>
      <c r="F42" s="154"/>
      <c r="G42" s="154"/>
      <c r="H42" s="154"/>
      <c r="I42" s="154"/>
      <c r="J42" s="154"/>
      <c r="K42" s="154"/>
    </row>
    <row r="43" spans="1:11" x14ac:dyDescent="0.3">
      <c r="A43" s="154"/>
      <c r="B43" s="154"/>
      <c r="C43" s="154"/>
      <c r="D43" s="154"/>
      <c r="E43" s="154"/>
      <c r="F43" s="154"/>
      <c r="G43" s="154"/>
      <c r="H43" s="154"/>
      <c r="I43" s="154"/>
      <c r="J43" s="154"/>
      <c r="K43" s="154"/>
    </row>
    <row r="44" spans="1:11" x14ac:dyDescent="0.3">
      <c r="A44" s="154"/>
      <c r="B44" s="154"/>
      <c r="C44" s="154"/>
      <c r="D44" s="154"/>
      <c r="E44" s="154"/>
      <c r="F44" s="154"/>
      <c r="G44" s="154"/>
      <c r="H44" s="154"/>
      <c r="I44" s="154"/>
      <c r="J44" s="154"/>
      <c r="K44" s="154"/>
    </row>
    <row r="45" spans="1:11" ht="23.4" x14ac:dyDescent="0.45">
      <c r="A45" s="154"/>
      <c r="B45" s="912" t="str">
        <f>E13</f>
        <v>Indagar 
(12% de las preguntas)</v>
      </c>
      <c r="C45" s="912"/>
      <c r="D45" s="912"/>
      <c r="E45" s="912"/>
      <c r="F45" s="154"/>
      <c r="G45" s="154"/>
      <c r="H45" s="154"/>
      <c r="I45" s="154"/>
      <c r="J45" s="154"/>
      <c r="K45" s="154"/>
    </row>
    <row r="46" spans="1:11" x14ac:dyDescent="0.3">
      <c r="A46" s="154"/>
      <c r="B46" s="154"/>
      <c r="C46" s="154"/>
      <c r="D46" s="154"/>
      <c r="E46" s="154"/>
      <c r="F46" s="154"/>
      <c r="G46" s="154"/>
      <c r="H46" s="154"/>
      <c r="I46" s="154"/>
      <c r="J46" s="154"/>
      <c r="K46" s="154"/>
    </row>
    <row r="47" spans="1:11" x14ac:dyDescent="0.3">
      <c r="A47" s="154"/>
      <c r="B47" s="154"/>
      <c r="C47" s="154"/>
      <c r="D47" s="154"/>
      <c r="E47" s="154"/>
      <c r="F47" s="154"/>
      <c r="G47" s="154"/>
      <c r="H47" s="154"/>
      <c r="I47" s="154"/>
      <c r="J47" s="154"/>
      <c r="K47" s="154"/>
    </row>
    <row r="48" spans="1:11" x14ac:dyDescent="0.3">
      <c r="A48" s="154"/>
      <c r="B48" s="154"/>
      <c r="C48" s="154"/>
      <c r="D48" s="154"/>
      <c r="E48" s="154"/>
      <c r="F48" s="154"/>
      <c r="G48" s="154"/>
      <c r="H48" s="154"/>
      <c r="I48" s="154"/>
      <c r="J48" s="154"/>
      <c r="K48" s="154"/>
    </row>
    <row r="49" spans="1:11" x14ac:dyDescent="0.3">
      <c r="A49" s="154"/>
      <c r="B49" s="154"/>
      <c r="C49" s="154"/>
      <c r="D49" s="154"/>
      <c r="E49" s="154"/>
      <c r="F49" s="154"/>
      <c r="G49" s="154"/>
      <c r="H49" s="154"/>
      <c r="I49" s="154"/>
      <c r="J49" s="154"/>
      <c r="K49" s="154"/>
    </row>
    <row r="50" spans="1:11" x14ac:dyDescent="0.3">
      <c r="A50" s="154"/>
      <c r="B50" s="154"/>
      <c r="C50" s="154"/>
      <c r="D50" s="154"/>
      <c r="E50" s="154"/>
      <c r="F50" s="154"/>
      <c r="G50" s="154"/>
      <c r="H50" s="154"/>
      <c r="I50" s="154"/>
      <c r="J50" s="154"/>
      <c r="K50" s="154"/>
    </row>
    <row r="51" spans="1:11" ht="26.4" customHeight="1" x14ac:dyDescent="0.3">
      <c r="A51" s="154"/>
      <c r="B51" s="154"/>
      <c r="C51" s="154"/>
      <c r="D51" s="154"/>
      <c r="E51" s="154"/>
      <c r="F51" s="154"/>
      <c r="G51" s="926" t="s">
        <v>1034</v>
      </c>
      <c r="H51" s="926"/>
      <c r="I51" s="926"/>
      <c r="J51" s="926"/>
      <c r="K51" s="154"/>
    </row>
    <row r="52" spans="1:11" ht="15.6" customHeight="1" x14ac:dyDescent="0.3">
      <c r="A52" s="154"/>
      <c r="B52" s="154"/>
      <c r="C52" s="154"/>
      <c r="D52" s="154"/>
      <c r="E52" s="154"/>
      <c r="F52" s="154"/>
      <c r="G52" s="917" t="s">
        <v>1044</v>
      </c>
      <c r="H52" s="917"/>
      <c r="I52" s="917"/>
      <c r="J52" s="917"/>
      <c r="K52" s="154"/>
    </row>
    <row r="53" spans="1:11" ht="15.6" customHeight="1" x14ac:dyDescent="0.3">
      <c r="A53" s="154"/>
      <c r="B53" s="154"/>
      <c r="C53" s="154"/>
      <c r="D53" s="154"/>
      <c r="E53" s="154"/>
      <c r="F53" s="154"/>
      <c r="G53" s="917"/>
      <c r="H53" s="917"/>
      <c r="I53" s="917"/>
      <c r="J53" s="917"/>
      <c r="K53" s="154"/>
    </row>
    <row r="54" spans="1:11" ht="15.6" customHeight="1" x14ac:dyDescent="0.3">
      <c r="A54" s="154"/>
      <c r="B54" s="154"/>
      <c r="C54" s="154"/>
      <c r="D54" s="154"/>
      <c r="E54" s="154"/>
      <c r="F54" s="154"/>
      <c r="G54" s="917"/>
      <c r="H54" s="917"/>
      <c r="I54" s="917"/>
      <c r="J54" s="917"/>
      <c r="K54" s="154"/>
    </row>
    <row r="55" spans="1:11" ht="15.6" customHeight="1" x14ac:dyDescent="0.3">
      <c r="A55" s="154"/>
      <c r="B55" s="154"/>
      <c r="C55" s="154"/>
      <c r="D55" s="154"/>
      <c r="E55" s="154"/>
      <c r="F55" s="154"/>
      <c r="G55" s="917"/>
      <c r="H55" s="917"/>
      <c r="I55" s="917"/>
      <c r="J55" s="917"/>
      <c r="K55" s="154"/>
    </row>
    <row r="56" spans="1:11" ht="15.6" customHeight="1" x14ac:dyDescent="0.3">
      <c r="A56" s="154"/>
      <c r="B56" s="154"/>
      <c r="C56" s="154"/>
      <c r="D56" s="154"/>
      <c r="E56" s="154"/>
      <c r="F56" s="154"/>
      <c r="G56" s="917"/>
      <c r="H56" s="917"/>
      <c r="I56" s="917"/>
      <c r="J56" s="917"/>
      <c r="K56" s="154"/>
    </row>
    <row r="57" spans="1:11" ht="15.6" customHeight="1" x14ac:dyDescent="0.3">
      <c r="A57" s="154"/>
      <c r="B57" s="154"/>
      <c r="C57" s="154"/>
      <c r="D57" s="154"/>
      <c r="E57" s="154"/>
      <c r="F57" s="154"/>
      <c r="G57" s="917"/>
      <c r="H57" s="917"/>
      <c r="I57" s="917"/>
      <c r="J57" s="917"/>
      <c r="K57" s="154"/>
    </row>
    <row r="58" spans="1:11" ht="15.6" customHeight="1" x14ac:dyDescent="0.3">
      <c r="A58" s="154"/>
      <c r="B58" s="154"/>
      <c r="C58" s="154"/>
      <c r="D58" s="154"/>
      <c r="E58" s="154"/>
      <c r="F58" s="154"/>
      <c r="G58" s="917"/>
      <c r="H58" s="917"/>
      <c r="I58" s="917"/>
      <c r="J58" s="917"/>
      <c r="K58" s="154"/>
    </row>
    <row r="59" spans="1:11" ht="15.6" customHeight="1" x14ac:dyDescent="0.3">
      <c r="A59" s="154"/>
      <c r="B59" s="154"/>
      <c r="C59" s="154"/>
      <c r="D59" s="154"/>
      <c r="E59" s="154"/>
      <c r="F59" s="154"/>
      <c r="G59" s="917"/>
      <c r="H59" s="917"/>
      <c r="I59" s="917"/>
      <c r="J59" s="917"/>
      <c r="K59" s="154"/>
    </row>
    <row r="60" spans="1:11" ht="15.6" customHeight="1" x14ac:dyDescent="0.3">
      <c r="A60" s="154"/>
      <c r="B60" s="154"/>
      <c r="C60" s="154"/>
      <c r="D60" s="154"/>
      <c r="E60" s="154"/>
      <c r="F60" s="154"/>
      <c r="G60" s="917"/>
      <c r="H60" s="917"/>
      <c r="I60" s="917"/>
      <c r="J60" s="917"/>
      <c r="K60" s="154"/>
    </row>
    <row r="61" spans="1:11" ht="15.6" customHeight="1" x14ac:dyDescent="0.3">
      <c r="A61" s="154"/>
      <c r="B61" s="154"/>
      <c r="C61" s="154"/>
      <c r="D61" s="154"/>
      <c r="E61" s="154"/>
      <c r="F61" s="154"/>
      <c r="G61" s="917"/>
      <c r="H61" s="917"/>
      <c r="I61" s="917"/>
      <c r="J61" s="917"/>
      <c r="K61" s="154"/>
    </row>
    <row r="62" spans="1:11" ht="15.6" customHeight="1" x14ac:dyDescent="0.3">
      <c r="A62" s="154"/>
      <c r="B62" s="154"/>
      <c r="C62" s="154"/>
      <c r="D62" s="154"/>
      <c r="E62" s="154"/>
      <c r="F62" s="154"/>
      <c r="G62" s="917"/>
      <c r="H62" s="917"/>
      <c r="I62" s="917"/>
      <c r="J62" s="917"/>
      <c r="K62" s="154"/>
    </row>
    <row r="63" spans="1:11" ht="15.6" customHeight="1" x14ac:dyDescent="0.3">
      <c r="A63" s="154"/>
      <c r="B63" s="154"/>
      <c r="C63" s="154"/>
      <c r="D63" s="154"/>
      <c r="E63" s="154"/>
      <c r="F63" s="154"/>
      <c r="G63" s="917"/>
      <c r="H63" s="917"/>
      <c r="I63" s="917"/>
      <c r="J63" s="917"/>
      <c r="K63" s="154"/>
    </row>
    <row r="64" spans="1:11" ht="15.6" customHeight="1" x14ac:dyDescent="0.3">
      <c r="A64" s="154"/>
      <c r="B64" s="154"/>
      <c r="C64" s="154"/>
      <c r="D64" s="154"/>
      <c r="E64" s="154"/>
      <c r="F64" s="154"/>
      <c r="G64" s="917"/>
      <c r="H64" s="917"/>
      <c r="I64" s="917"/>
      <c r="J64" s="917"/>
      <c r="K64" s="154"/>
    </row>
    <row r="65" spans="1:11" ht="15.6" customHeight="1" x14ac:dyDescent="0.3">
      <c r="A65" s="154"/>
      <c r="B65" s="154"/>
      <c r="C65" s="154"/>
      <c r="D65" s="154"/>
      <c r="E65" s="154"/>
      <c r="F65" s="154"/>
      <c r="G65" s="917"/>
      <c r="H65" s="917"/>
      <c r="I65" s="917"/>
      <c r="J65" s="917"/>
      <c r="K65" s="154"/>
    </row>
    <row r="66" spans="1:11" ht="15.6" customHeight="1" x14ac:dyDescent="0.3">
      <c r="A66" s="154"/>
      <c r="B66" s="154"/>
      <c r="C66" s="154"/>
      <c r="D66" s="154"/>
      <c r="E66" s="154"/>
      <c r="F66" s="154"/>
      <c r="G66" s="917"/>
      <c r="H66" s="917"/>
      <c r="I66" s="917"/>
      <c r="J66" s="917"/>
      <c r="K66" s="154"/>
    </row>
    <row r="67" spans="1:11" ht="15.6" customHeight="1" x14ac:dyDescent="0.3">
      <c r="A67" s="154"/>
      <c r="B67" s="154"/>
      <c r="C67" s="154"/>
      <c r="D67" s="154"/>
      <c r="E67" s="154"/>
      <c r="F67" s="154"/>
      <c r="G67" s="917"/>
      <c r="H67" s="917"/>
      <c r="I67" s="917"/>
      <c r="J67" s="917"/>
      <c r="K67" s="154"/>
    </row>
    <row r="68" spans="1:11" ht="15.6" customHeight="1" x14ac:dyDescent="0.3">
      <c r="A68" s="154"/>
      <c r="B68" s="154"/>
      <c r="C68" s="154"/>
      <c r="D68" s="154"/>
      <c r="E68" s="154"/>
      <c r="F68" s="154"/>
      <c r="G68" s="917"/>
      <c r="H68" s="917"/>
      <c r="I68" s="917"/>
      <c r="J68" s="917"/>
      <c r="K68" s="154"/>
    </row>
    <row r="69" spans="1:11" ht="15.6" customHeight="1" x14ac:dyDescent="0.3">
      <c r="A69" s="154"/>
      <c r="B69" s="154"/>
      <c r="C69" s="154"/>
      <c r="D69" s="154"/>
      <c r="E69" s="154"/>
      <c r="F69" s="154"/>
      <c r="G69" s="917"/>
      <c r="H69" s="917"/>
      <c r="I69" s="917"/>
      <c r="J69" s="917"/>
      <c r="K69" s="154"/>
    </row>
    <row r="70" spans="1:11" ht="15.6" customHeight="1" x14ac:dyDescent="0.3">
      <c r="A70" s="154"/>
      <c r="B70" s="154"/>
      <c r="C70" s="154"/>
      <c r="D70" s="154"/>
      <c r="E70" s="154"/>
      <c r="F70" s="154"/>
      <c r="G70" s="917"/>
      <c r="H70" s="917"/>
      <c r="I70" s="917"/>
      <c r="J70" s="917"/>
      <c r="K70" s="154"/>
    </row>
    <row r="71" spans="1:11" ht="15.6" customHeight="1" x14ac:dyDescent="0.3">
      <c r="A71" s="154"/>
      <c r="B71" s="154"/>
      <c r="C71" s="154"/>
      <c r="D71" s="154"/>
      <c r="E71" s="154"/>
      <c r="F71" s="154"/>
      <c r="G71" s="917"/>
      <c r="H71" s="917"/>
      <c r="I71" s="917"/>
      <c r="J71" s="917"/>
      <c r="K71" s="154"/>
    </row>
    <row r="72" spans="1:11" ht="15.6" customHeight="1" x14ac:dyDescent="0.3">
      <c r="A72" s="154"/>
      <c r="B72" s="154"/>
      <c r="C72" s="154"/>
      <c r="D72" s="154"/>
      <c r="E72" s="154"/>
      <c r="F72" s="154"/>
      <c r="G72" s="917"/>
      <c r="H72" s="917"/>
      <c r="I72" s="917"/>
      <c r="J72" s="917"/>
      <c r="K72" s="154"/>
    </row>
    <row r="73" spans="1:11" ht="15.6" customHeight="1" x14ac:dyDescent="0.3">
      <c r="A73" s="154"/>
      <c r="B73" s="154"/>
      <c r="C73" s="154"/>
      <c r="D73" s="154"/>
      <c r="E73" s="154"/>
      <c r="F73" s="154"/>
      <c r="G73" s="917"/>
      <c r="H73" s="917"/>
      <c r="I73" s="917"/>
      <c r="J73" s="917"/>
      <c r="K73" s="154"/>
    </row>
    <row r="74" spans="1:11" ht="15.6" customHeight="1" x14ac:dyDescent="0.3">
      <c r="A74" s="154"/>
      <c r="B74" s="154"/>
      <c r="C74" s="154"/>
      <c r="D74" s="154"/>
      <c r="E74" s="154"/>
      <c r="F74" s="154"/>
      <c r="G74" s="917"/>
      <c r="H74" s="917"/>
      <c r="I74" s="917"/>
      <c r="J74" s="917"/>
      <c r="K74" s="154"/>
    </row>
    <row r="75" spans="1:11" ht="15.6" customHeight="1" x14ac:dyDescent="0.3">
      <c r="A75" s="154"/>
      <c r="B75" s="154"/>
      <c r="C75" s="154"/>
      <c r="D75" s="154"/>
      <c r="E75" s="154"/>
      <c r="F75" s="154"/>
      <c r="G75" s="917"/>
      <c r="H75" s="917"/>
      <c r="I75" s="917"/>
      <c r="J75" s="917"/>
      <c r="K75" s="154"/>
    </row>
    <row r="76" spans="1:11" ht="15.6" customHeight="1" x14ac:dyDescent="0.3">
      <c r="A76" s="154"/>
      <c r="B76" s="154"/>
      <c r="C76" s="154"/>
      <c r="D76" s="154"/>
      <c r="E76" s="154"/>
      <c r="F76" s="154"/>
      <c r="G76" s="917"/>
      <c r="H76" s="917"/>
      <c r="I76" s="917"/>
      <c r="J76" s="917"/>
      <c r="K76" s="154"/>
    </row>
    <row r="77" spans="1:11" ht="15.6" customHeight="1" x14ac:dyDescent="0.3">
      <c r="A77" s="154"/>
      <c r="B77" s="154"/>
      <c r="C77" s="154"/>
      <c r="D77" s="154"/>
      <c r="E77" s="154"/>
      <c r="F77" s="154"/>
      <c r="G77" s="917"/>
      <c r="H77" s="917"/>
      <c r="I77" s="917"/>
      <c r="J77" s="917"/>
      <c r="K77" s="154"/>
    </row>
    <row r="78" spans="1:11" ht="15.6" customHeight="1" x14ac:dyDescent="0.3">
      <c r="A78" s="154"/>
      <c r="B78" s="154"/>
      <c r="C78" s="154"/>
      <c r="D78" s="154"/>
      <c r="E78" s="154"/>
      <c r="F78" s="154"/>
      <c r="G78" s="917"/>
      <c r="H78" s="917"/>
      <c r="I78" s="917"/>
      <c r="J78" s="917"/>
      <c r="K78" s="154"/>
    </row>
    <row r="79" spans="1:11" ht="15.6" customHeight="1" x14ac:dyDescent="0.3">
      <c r="A79" s="154"/>
      <c r="B79" s="154"/>
      <c r="C79" s="154"/>
      <c r="D79" s="154"/>
      <c r="E79" s="154"/>
      <c r="F79" s="154"/>
      <c r="G79" s="917"/>
      <c r="H79" s="917"/>
      <c r="I79" s="917"/>
      <c r="J79" s="917"/>
      <c r="K79" s="154"/>
    </row>
    <row r="80" spans="1:11" ht="15.6" customHeight="1" x14ac:dyDescent="0.3">
      <c r="A80" s="154"/>
      <c r="B80" s="154"/>
      <c r="C80" s="154"/>
      <c r="D80" s="154"/>
      <c r="E80" s="154"/>
      <c r="F80" s="154"/>
      <c r="G80" s="917"/>
      <c r="H80" s="917"/>
      <c r="I80" s="917"/>
      <c r="J80" s="917"/>
      <c r="K80" s="154"/>
    </row>
    <row r="81" spans="1:11" ht="15.6" customHeight="1" x14ac:dyDescent="0.3">
      <c r="A81" s="154"/>
      <c r="B81" s="154"/>
      <c r="C81" s="154"/>
      <c r="D81" s="154"/>
      <c r="E81" s="154"/>
      <c r="F81" s="154"/>
      <c r="G81" s="917"/>
      <c r="H81" s="917"/>
      <c r="I81" s="917"/>
      <c r="J81" s="917"/>
      <c r="K81" s="154"/>
    </row>
    <row r="82" spans="1:11" ht="15.6" customHeight="1" x14ac:dyDescent="0.3">
      <c r="A82" s="154"/>
      <c r="B82" s="154"/>
      <c r="C82" s="154"/>
      <c r="D82" s="154"/>
      <c r="E82" s="154"/>
      <c r="F82" s="154"/>
      <c r="G82" s="154"/>
      <c r="H82" s="154"/>
      <c r="I82" s="154"/>
      <c r="J82" s="154"/>
      <c r="K82" s="154"/>
    </row>
    <row r="83" spans="1:11" ht="15.6" customHeight="1" x14ac:dyDescent="0.3">
      <c r="A83" s="154"/>
      <c r="B83" s="154"/>
      <c r="C83" s="154"/>
      <c r="D83" s="154"/>
      <c r="E83" s="154"/>
      <c r="F83" s="154"/>
      <c r="G83" s="154"/>
      <c r="H83" s="154"/>
      <c r="I83" s="154"/>
      <c r="J83" s="154"/>
      <c r="K83" s="154"/>
    </row>
    <row r="84" spans="1:11" ht="15.6" customHeight="1" x14ac:dyDescent="0.3">
      <c r="A84" s="154"/>
      <c r="B84" s="154"/>
      <c r="C84" s="154"/>
      <c r="D84" s="154"/>
      <c r="E84" s="154"/>
      <c r="F84" s="154"/>
      <c r="G84" s="154"/>
      <c r="H84" s="154"/>
      <c r="I84" s="154"/>
      <c r="J84" s="154"/>
      <c r="K84" s="154"/>
    </row>
    <row r="85" spans="1:11" ht="15.6" customHeight="1" x14ac:dyDescent="0.3">
      <c r="A85" s="154"/>
      <c r="B85" s="154"/>
      <c r="C85" s="154"/>
      <c r="D85" s="154"/>
      <c r="E85" s="154"/>
      <c r="F85" s="154"/>
      <c r="G85" s="154"/>
      <c r="H85" s="154"/>
      <c r="I85" s="154"/>
      <c r="J85" s="154"/>
      <c r="K85" s="154"/>
    </row>
    <row r="86" spans="1:11" x14ac:dyDescent="0.3">
      <c r="A86" s="154"/>
      <c r="B86" s="154"/>
      <c r="C86" s="154"/>
      <c r="D86" s="154"/>
      <c r="E86" s="154"/>
      <c r="F86" s="154"/>
      <c r="G86" s="154"/>
      <c r="H86" s="154"/>
      <c r="I86" s="154"/>
      <c r="J86" s="154"/>
      <c r="K86" s="154"/>
    </row>
    <row r="87" spans="1:11" x14ac:dyDescent="0.3">
      <c r="A87" s="154"/>
      <c r="B87" s="154"/>
      <c r="C87" s="154"/>
      <c r="D87" s="154"/>
      <c r="E87" s="154"/>
      <c r="F87" s="154"/>
      <c r="G87" s="154"/>
      <c r="H87" s="154"/>
      <c r="I87" s="154"/>
      <c r="J87" s="154"/>
      <c r="K87" s="154"/>
    </row>
    <row r="88" spans="1:11" x14ac:dyDescent="0.3">
      <c r="A88" s="154"/>
      <c r="B88" s="154"/>
      <c r="C88" s="154"/>
      <c r="D88" s="154"/>
      <c r="E88" s="154"/>
      <c r="F88" s="154"/>
      <c r="G88" s="154"/>
      <c r="H88" s="154"/>
      <c r="I88" s="154"/>
      <c r="J88" s="154"/>
      <c r="K88" s="154"/>
    </row>
    <row r="89" spans="1:11" x14ac:dyDescent="0.3">
      <c r="A89" s="154"/>
      <c r="B89" s="154"/>
      <c r="C89" s="154"/>
      <c r="D89" s="154"/>
      <c r="E89" s="154"/>
      <c r="F89" s="154"/>
      <c r="G89" s="154"/>
      <c r="H89" s="154"/>
      <c r="I89" s="154"/>
      <c r="J89" s="154"/>
      <c r="K89" s="154"/>
    </row>
    <row r="90" spans="1:11" x14ac:dyDescent="0.3">
      <c r="A90" s="154"/>
      <c r="B90" s="900" t="s">
        <v>975</v>
      </c>
      <c r="C90" s="900"/>
      <c r="D90" s="900"/>
      <c r="E90" s="900"/>
      <c r="F90" s="900"/>
      <c r="G90" s="900"/>
      <c r="H90" s="900"/>
      <c r="I90" s="900"/>
      <c r="J90" s="900"/>
      <c r="K90" s="154"/>
    </row>
  </sheetData>
  <sheetProtection algorithmName="SHA-512" hashValue="L4qQMQQh6fGP9YNXC6GbG0VbS8m9FzFdfSEJCfXvanPvBF6gHiV+EpqyypIV6s0BccjBQl/MRd0NvXVtH9WEvA==" saltValue="ZRdZKVMRODu2UZ0dxo+jxw==" spinCount="100000" sheet="1" objects="1" scenarios="1" selectLockedCells="1" selectUnlockedCells="1"/>
  <mergeCells count="12">
    <mergeCell ref="B90:J90"/>
    <mergeCell ref="B12:J12"/>
    <mergeCell ref="B7:J7"/>
    <mergeCell ref="E10:J10"/>
    <mergeCell ref="C13:D13"/>
    <mergeCell ref="E13:H13"/>
    <mergeCell ref="I13:J13"/>
    <mergeCell ref="B25:E25"/>
    <mergeCell ref="G25:J25"/>
    <mergeCell ref="B45:E45"/>
    <mergeCell ref="G51:J51"/>
    <mergeCell ref="G52:J81"/>
  </mergeCells>
  <conditionalFormatting sqref="C16:J20">
    <cfRule type="cellIs" dxfId="29" priority="21" operator="equal">
      <formula>0</formula>
    </cfRule>
    <cfRule type="cellIs" dxfId="28" priority="22" operator="between">
      <formula>0.4</formula>
      <formula>0.69</formula>
    </cfRule>
    <cfRule type="cellIs" dxfId="27" priority="23" operator="between">
      <formula>0.2</formula>
      <formula>0.39</formula>
    </cfRule>
    <cfRule type="cellIs" dxfId="26" priority="25" operator="between">
      <formula>0.01</formula>
      <formula>0.19</formula>
    </cfRule>
    <cfRule type="cellIs" dxfId="25" priority="26" operator="between">
      <formula>0.7</formula>
      <formula>1</formula>
    </cfRule>
  </conditionalFormatting>
  <conditionalFormatting sqref="C21:J21">
    <cfRule type="cellIs" dxfId="24" priority="16" operator="equal">
      <formula>0</formula>
    </cfRule>
    <cfRule type="cellIs" dxfId="23" priority="17" operator="between">
      <formula>0.4</formula>
      <formula>0.69</formula>
    </cfRule>
    <cfRule type="cellIs" dxfId="22" priority="18" operator="between">
      <formula>0.2</formula>
      <formula>0.39</formula>
    </cfRule>
    <cfRule type="cellIs" dxfId="21" priority="19" operator="between">
      <formula>0.01</formula>
      <formula>0.19</formula>
    </cfRule>
    <cfRule type="cellIs" dxfId="20" priority="20" operator="between">
      <formula>0.7</formula>
      <formula>1</formula>
    </cfRule>
  </conditionalFormatting>
  <conditionalFormatting sqref="C22:J22">
    <cfRule type="cellIs" dxfId="19" priority="11" operator="equal">
      <formula>0</formula>
    </cfRule>
    <cfRule type="cellIs" dxfId="18" priority="12" operator="between">
      <formula>0.4</formula>
      <formula>0.69</formula>
    </cfRule>
    <cfRule type="cellIs" dxfId="17" priority="13" operator="between">
      <formula>0.2</formula>
      <formula>0.39</formula>
    </cfRule>
    <cfRule type="cellIs" dxfId="16" priority="14" operator="between">
      <formula>0.01</formula>
      <formula>0.19</formula>
    </cfRule>
    <cfRule type="cellIs" dxfId="15" priority="15" operator="between">
      <formula>0.7</formula>
      <formula>1</formula>
    </cfRule>
  </conditionalFormatting>
  <conditionalFormatting sqref="C23:J23">
    <cfRule type="cellIs" dxfId="14" priority="1" operator="equal">
      <formula>0</formula>
    </cfRule>
    <cfRule type="cellIs" dxfId="13" priority="2" operator="between">
      <formula>0.4</formula>
      <formula>0.69</formula>
    </cfRule>
    <cfRule type="cellIs" dxfId="12" priority="3" operator="between">
      <formula>0.2</formula>
      <formula>0.39</formula>
    </cfRule>
    <cfRule type="cellIs" dxfId="11" priority="4" operator="between">
      <formula>0.01</formula>
      <formula>0.19</formula>
    </cfRule>
    <cfRule type="cellIs" dxfId="10" priority="5" operator="between">
      <formula>0.7</formula>
      <formula>1</formula>
    </cfRule>
  </conditionalFormatting>
  <pageMargins left="0.39370078740157483" right="0.39370078740157483" top="0.39370078740157483" bottom="0.39370078740157483" header="0.31496062992125984" footer="0.31496062992125984"/>
  <pageSetup paperSize="14" scale="54" fitToHeight="0"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81D715A0-82DD-4CC3-A2E9-B0B9BE7E4EA4}">
          <x14:formula1>
            <xm:f>PGLOBAL!$A$10:$A$167</xm:f>
          </x14:formula1>
          <xm:sqref>E10</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3466CD-05FC-436E-AAD0-A9BF1B6060C0}">
  <sheetPr codeName="Hoja17">
    <tabColor rgb="FF00B050"/>
  </sheetPr>
  <dimension ref="A1:I79"/>
  <sheetViews>
    <sheetView zoomScale="78" zoomScaleNormal="78" workbookViewId="0">
      <selection activeCell="E12" sqref="E12"/>
    </sheetView>
  </sheetViews>
  <sheetFormatPr baseColWidth="10" defaultColWidth="12.5546875" defaultRowHeight="15.6" x14ac:dyDescent="0.3"/>
  <cols>
    <col min="1" max="1" width="6" style="155" customWidth="1"/>
    <col min="2" max="3" width="21.33203125" style="155" customWidth="1"/>
    <col min="4" max="5" width="50.88671875" style="155" customWidth="1"/>
    <col min="6" max="6" width="21.44140625" style="155" customWidth="1"/>
    <col min="7" max="7" width="5.88671875" style="155" customWidth="1"/>
    <col min="8" max="16384" width="12.5546875" style="155"/>
  </cols>
  <sheetData>
    <row r="1" spans="1:8" x14ac:dyDescent="0.3">
      <c r="A1" s="154"/>
      <c r="B1" s="154"/>
      <c r="C1" s="154"/>
      <c r="D1" s="154"/>
      <c r="E1" s="154"/>
      <c r="F1" s="154"/>
      <c r="G1" s="154"/>
    </row>
    <row r="2" spans="1:8" x14ac:dyDescent="0.3">
      <c r="A2" s="154"/>
      <c r="B2" s="154"/>
      <c r="C2" s="154"/>
      <c r="D2" s="154"/>
      <c r="E2" s="154"/>
      <c r="F2" s="154"/>
      <c r="G2" s="154"/>
    </row>
    <row r="3" spans="1:8" x14ac:dyDescent="0.3">
      <c r="A3" s="154"/>
      <c r="B3" s="154"/>
      <c r="C3" s="154"/>
      <c r="D3" s="154"/>
      <c r="E3" s="154"/>
      <c r="F3" s="154"/>
      <c r="G3" s="154"/>
    </row>
    <row r="4" spans="1:8" x14ac:dyDescent="0.3">
      <c r="A4" s="154"/>
      <c r="B4" s="154"/>
      <c r="C4" s="154"/>
      <c r="D4" s="154"/>
      <c r="E4" s="154"/>
      <c r="F4" s="154"/>
      <c r="G4" s="154"/>
    </row>
    <row r="5" spans="1:8" x14ac:dyDescent="0.3">
      <c r="A5" s="154"/>
      <c r="B5" s="154"/>
      <c r="C5" s="154"/>
      <c r="D5" s="154"/>
      <c r="E5" s="154"/>
      <c r="F5" s="154"/>
      <c r="G5" s="154"/>
    </row>
    <row r="6" spans="1:8" x14ac:dyDescent="0.3">
      <c r="A6" s="154"/>
      <c r="B6" s="154"/>
      <c r="C6" s="154"/>
      <c r="D6" s="154"/>
      <c r="E6" s="154"/>
      <c r="F6" s="154"/>
      <c r="G6" s="154"/>
    </row>
    <row r="7" spans="1:8" ht="31.8" customHeight="1" x14ac:dyDescent="0.3">
      <c r="A7" s="154"/>
      <c r="B7" s="154"/>
      <c r="C7" s="154"/>
      <c r="D7" s="154"/>
      <c r="E7" s="154"/>
      <c r="F7" s="154"/>
      <c r="G7" s="154"/>
    </row>
    <row r="8" spans="1:8" ht="65.25" customHeight="1" x14ac:dyDescent="0.3">
      <c r="A8" s="154"/>
      <c r="B8" s="902" t="s">
        <v>903</v>
      </c>
      <c r="C8" s="902"/>
      <c r="D8" s="902"/>
      <c r="E8" s="902"/>
      <c r="F8" s="902"/>
      <c r="G8" s="325"/>
      <c r="H8" s="326"/>
    </row>
    <row r="9" spans="1:8" x14ac:dyDescent="0.3">
      <c r="A9" s="154"/>
      <c r="B9" s="154"/>
      <c r="C9" s="154"/>
      <c r="D9" s="154"/>
      <c r="E9" s="154"/>
      <c r="F9" s="154"/>
      <c r="G9" s="154"/>
    </row>
    <row r="10" spans="1:8" ht="16.2" thickBot="1" x14ac:dyDescent="0.35">
      <c r="A10" s="154"/>
      <c r="B10" s="154"/>
      <c r="C10" s="154"/>
      <c r="D10" s="154"/>
      <c r="E10" s="154"/>
      <c r="F10" s="154"/>
      <c r="G10" s="154"/>
    </row>
    <row r="11" spans="1:8" ht="30" customHeight="1" thickBot="1" x14ac:dyDescent="0.45">
      <c r="A11" s="154"/>
      <c r="B11" s="934" t="s">
        <v>895</v>
      </c>
      <c r="C11" s="934"/>
      <c r="D11" s="913" t="str">
        <f>PuntajeGlobal!E9</f>
        <v>INSTITUCION EDUCATIVA EDUARDO SANTOS</v>
      </c>
      <c r="E11" s="935"/>
      <c r="F11" s="154"/>
      <c r="G11" s="154"/>
    </row>
    <row r="12" spans="1:8" ht="18" x14ac:dyDescent="0.35">
      <c r="A12" s="154"/>
      <c r="B12" s="158"/>
      <c r="C12" s="158"/>
      <c r="D12" s="154"/>
      <c r="E12" s="154"/>
      <c r="F12" s="154"/>
      <c r="G12" s="154"/>
    </row>
    <row r="13" spans="1:8" ht="58.5" customHeight="1" x14ac:dyDescent="0.3">
      <c r="A13" s="154"/>
      <c r="B13" s="154"/>
      <c r="C13" s="933" t="s">
        <v>1117</v>
      </c>
      <c r="D13" s="933"/>
      <c r="E13" s="933"/>
      <c r="F13" s="154"/>
      <c r="G13" s="154"/>
    </row>
    <row r="14" spans="1:8" ht="64.2" customHeight="1" x14ac:dyDescent="0.3">
      <c r="A14" s="154"/>
      <c r="B14" s="154"/>
      <c r="C14" s="585" t="s">
        <v>891</v>
      </c>
      <c r="D14" s="620" t="s">
        <v>1115</v>
      </c>
      <c r="E14" s="595" t="s">
        <v>1116</v>
      </c>
      <c r="F14" s="154"/>
      <c r="G14" s="154"/>
    </row>
    <row r="15" spans="1:8" ht="93.9" customHeight="1" x14ac:dyDescent="0.4">
      <c r="A15" s="154"/>
      <c r="B15" s="154"/>
      <c r="C15" s="585" t="s">
        <v>904</v>
      </c>
      <c r="D15" s="621" t="s">
        <v>389</v>
      </c>
      <c r="E15" s="621" t="s">
        <v>385</v>
      </c>
      <c r="F15" s="154"/>
      <c r="G15" s="154"/>
      <c r="H15" s="170"/>
    </row>
    <row r="16" spans="1:8" ht="116.4" customHeight="1" x14ac:dyDescent="0.4">
      <c r="A16" s="154"/>
      <c r="B16" s="154"/>
      <c r="C16" s="622" t="s">
        <v>1093</v>
      </c>
      <c r="D16" s="619" t="s">
        <v>1118</v>
      </c>
      <c r="E16" s="623" t="s">
        <v>1092</v>
      </c>
      <c r="F16" s="154"/>
      <c r="G16" s="154"/>
      <c r="H16" s="170"/>
    </row>
    <row r="17" spans="1:9" ht="21" x14ac:dyDescent="0.3">
      <c r="A17" s="154"/>
      <c r="B17" s="154"/>
      <c r="C17" s="160">
        <v>2016</v>
      </c>
      <c r="D17" s="378" t="s">
        <v>403</v>
      </c>
      <c r="E17" s="616">
        <f>VLOOKUP($D$11,CN!$A$10:$FA$167,33,0)</f>
        <v>0.41</v>
      </c>
      <c r="F17" s="154"/>
      <c r="G17" s="154"/>
    </row>
    <row r="18" spans="1:9" ht="21" x14ac:dyDescent="0.3">
      <c r="A18" s="154"/>
      <c r="B18" s="154"/>
      <c r="C18" s="160">
        <v>2017</v>
      </c>
      <c r="D18" s="378">
        <f>VLOOKUP($D$11,CN!$A$10:$FA$167,64,0)</f>
        <v>0.46</v>
      </c>
      <c r="E18" s="378">
        <f>VLOOKUP($D$11,CN!$A$10:$FA$167,63,0)</f>
        <v>0.43</v>
      </c>
      <c r="F18" s="154"/>
      <c r="G18" s="154"/>
    </row>
    <row r="19" spans="1:9" ht="21" x14ac:dyDescent="0.3">
      <c r="A19" s="154"/>
      <c r="B19" s="154"/>
      <c r="C19" s="160">
        <v>2018</v>
      </c>
      <c r="D19" s="378">
        <f>VLOOKUP($D$11,CN!$A$10:$FA$167,75,0)</f>
        <v>0.64</v>
      </c>
      <c r="E19" s="378">
        <f>VLOOKUP($D$11,CN!$A$10:$FA$167,82,0)</f>
        <v>0.45</v>
      </c>
      <c r="F19" s="154"/>
      <c r="G19" s="173"/>
      <c r="H19" s="320"/>
    </row>
    <row r="20" spans="1:9" ht="21" x14ac:dyDescent="0.3">
      <c r="A20" s="154"/>
      <c r="B20" s="154"/>
      <c r="C20" s="160">
        <v>2019</v>
      </c>
      <c r="D20" s="378">
        <f>VLOOKUP($D$11,CN!$A$10:$FA$167,126,0)</f>
        <v>0.6</v>
      </c>
      <c r="E20" s="378">
        <f>VLOOKUP($D$11,CN!$A$10:$FA$167,120,0)</f>
        <v>0.5</v>
      </c>
      <c r="F20" s="154"/>
      <c r="G20" s="319"/>
      <c r="H20" s="320"/>
    </row>
    <row r="21" spans="1:9" ht="21" customHeight="1" x14ac:dyDescent="0.3">
      <c r="A21" s="154"/>
      <c r="B21" s="154"/>
      <c r="C21" s="160">
        <v>2020</v>
      </c>
      <c r="D21" s="378">
        <f>VLOOKUP($D$11,CN!$A$10:$FA$167,139,0)</f>
        <v>0.54</v>
      </c>
      <c r="E21" s="378">
        <f>VLOOKUP($D$11,CN!$A$10:$FA$167,153,0)</f>
        <v>0.32</v>
      </c>
      <c r="F21" s="154"/>
      <c r="G21" s="173"/>
      <c r="H21" s="320"/>
      <c r="I21" s="171"/>
    </row>
    <row r="22" spans="1:9" ht="21" customHeight="1" x14ac:dyDescent="0.3">
      <c r="A22" s="154"/>
      <c r="B22" s="154"/>
      <c r="C22" s="160">
        <v>2021</v>
      </c>
      <c r="D22" s="378">
        <f>VLOOKUP($D$11,CN!$A$10:$GI$167,176,0)</f>
        <v>0.52</v>
      </c>
      <c r="E22" s="378">
        <f>VLOOKUP($D$11,CN!$A$10:$GI$167,179,0)</f>
        <v>0.56999999999999995</v>
      </c>
      <c r="F22" s="154"/>
      <c r="G22" s="173"/>
      <c r="H22" s="320"/>
      <c r="I22" s="171"/>
    </row>
    <row r="23" spans="1:9" ht="21" customHeight="1" x14ac:dyDescent="0.3">
      <c r="A23" s="154"/>
      <c r="B23" s="154"/>
      <c r="C23" s="160">
        <v>2022</v>
      </c>
      <c r="D23" s="378">
        <f>VLOOKUP($D$11,CN!$A$10:$HQ$167,220,0)</f>
        <v>0.47</v>
      </c>
      <c r="E23" s="378">
        <f>VLOOKUP($D$11,CN!$A$10:$HQ$167,222,0)</f>
        <v>0.5</v>
      </c>
      <c r="F23" s="154"/>
      <c r="G23" s="173"/>
      <c r="H23" s="320"/>
      <c r="I23" s="171"/>
    </row>
    <row r="24" spans="1:9" ht="21" customHeight="1" x14ac:dyDescent="0.3">
      <c r="A24" s="154"/>
      <c r="B24" s="154"/>
      <c r="C24" s="160">
        <v>2023</v>
      </c>
      <c r="D24" s="378">
        <f>VLOOKUP($D$11,CN!$A$10:$IY$167,234,0)</f>
        <v>0.46</v>
      </c>
      <c r="E24" s="378">
        <f>VLOOKUP($D$11,CN!$A$10:$IY$167,239,0)</f>
        <v>0.38</v>
      </c>
      <c r="F24" s="154"/>
      <c r="G24" s="173"/>
      <c r="H24" s="320"/>
      <c r="I24" s="171"/>
    </row>
    <row r="25" spans="1:9" ht="21" customHeight="1" x14ac:dyDescent="0.3">
      <c r="A25" s="154"/>
      <c r="B25" s="154"/>
      <c r="C25" s="154"/>
      <c r="D25" s="154"/>
      <c r="E25" s="154"/>
      <c r="F25" s="154"/>
      <c r="G25" s="173"/>
      <c r="H25" s="320"/>
      <c r="I25" s="171"/>
    </row>
    <row r="26" spans="1:9" ht="21" customHeight="1" x14ac:dyDescent="0.3">
      <c r="A26" s="154"/>
      <c r="B26" s="154"/>
      <c r="C26" s="154"/>
      <c r="D26" s="154"/>
      <c r="E26" s="154"/>
      <c r="F26" s="154"/>
      <c r="G26" s="173"/>
      <c r="H26" s="320"/>
      <c r="I26" s="171"/>
    </row>
    <row r="27" spans="1:9" ht="21" customHeight="1" x14ac:dyDescent="0.3">
      <c r="A27" s="154"/>
      <c r="B27" s="154"/>
      <c r="C27" s="931" t="str">
        <f>D14</f>
        <v>Uso comprensivo del conocimiento científico 
(3% de las preguntas)</v>
      </c>
      <c r="D27" s="931"/>
      <c r="E27" s="931"/>
      <c r="F27" s="154"/>
      <c r="G27" s="173"/>
      <c r="H27" s="320"/>
      <c r="I27" s="171"/>
    </row>
    <row r="28" spans="1:9" ht="21" customHeight="1" x14ac:dyDescent="0.3">
      <c r="A28" s="154"/>
      <c r="B28" s="154"/>
      <c r="C28" s="154"/>
      <c r="D28" s="154"/>
      <c r="E28" s="154"/>
      <c r="F28" s="154"/>
      <c r="G28" s="173"/>
      <c r="H28" s="320"/>
      <c r="I28" s="171"/>
    </row>
    <row r="29" spans="1:9" ht="21" customHeight="1" x14ac:dyDescent="0.3">
      <c r="A29" s="154"/>
      <c r="B29" s="154"/>
      <c r="C29" s="154"/>
      <c r="D29" s="154"/>
      <c r="E29" s="154"/>
      <c r="F29" s="154"/>
      <c r="G29" s="173"/>
      <c r="H29" s="320"/>
      <c r="I29" s="171"/>
    </row>
    <row r="30" spans="1:9" ht="21" customHeight="1" x14ac:dyDescent="0.3">
      <c r="A30" s="154"/>
      <c r="B30" s="154"/>
      <c r="C30" s="154"/>
      <c r="D30" s="154"/>
      <c r="E30" s="154"/>
      <c r="F30" s="154"/>
      <c r="G30" s="173"/>
      <c r="H30" s="320"/>
      <c r="I30" s="171"/>
    </row>
    <row r="31" spans="1:9" ht="21" customHeight="1" x14ac:dyDescent="0.3">
      <c r="A31" s="154"/>
      <c r="B31" s="154"/>
      <c r="C31" s="154"/>
      <c r="D31" s="154"/>
      <c r="E31" s="154"/>
      <c r="F31" s="154"/>
      <c r="G31" s="173"/>
      <c r="H31" s="320"/>
      <c r="I31" s="171"/>
    </row>
    <row r="32" spans="1:9" ht="21" customHeight="1" x14ac:dyDescent="0.3">
      <c r="A32" s="154"/>
      <c r="B32" s="154"/>
      <c r="C32" s="154"/>
      <c r="D32" s="154"/>
      <c r="E32" s="154"/>
      <c r="F32" s="154"/>
      <c r="G32" s="173"/>
      <c r="H32" s="320"/>
      <c r="I32" s="171"/>
    </row>
    <row r="33" spans="1:9" ht="21" customHeight="1" x14ac:dyDescent="0.3">
      <c r="A33" s="154"/>
      <c r="B33" s="154"/>
      <c r="C33" s="154"/>
      <c r="D33" s="154"/>
      <c r="E33" s="154"/>
      <c r="F33" s="154"/>
      <c r="G33" s="173"/>
      <c r="H33" s="320"/>
      <c r="I33" s="171"/>
    </row>
    <row r="34" spans="1:9" ht="21" customHeight="1" x14ac:dyDescent="0.3">
      <c r="A34" s="154"/>
      <c r="B34" s="154"/>
      <c r="C34" s="154"/>
      <c r="D34" s="154"/>
      <c r="E34" s="154"/>
      <c r="F34" s="154"/>
      <c r="G34" s="173"/>
      <c r="H34" s="320"/>
      <c r="I34" s="171"/>
    </row>
    <row r="35" spans="1:9" ht="21" customHeight="1" x14ac:dyDescent="0.3">
      <c r="A35" s="154"/>
      <c r="B35" s="154"/>
      <c r="C35" s="154"/>
      <c r="D35" s="154"/>
      <c r="E35" s="154"/>
      <c r="F35" s="154"/>
      <c r="G35" s="173"/>
      <c r="H35" s="320"/>
      <c r="I35" s="171"/>
    </row>
    <row r="36" spans="1:9" ht="21" customHeight="1" x14ac:dyDescent="0.3">
      <c r="A36" s="154"/>
      <c r="B36" s="154"/>
      <c r="C36" s="154"/>
      <c r="D36" s="154"/>
      <c r="E36" s="154"/>
      <c r="F36" s="154"/>
      <c r="G36" s="173"/>
      <c r="H36" s="320"/>
      <c r="I36" s="171"/>
    </row>
    <row r="37" spans="1:9" ht="21" customHeight="1" x14ac:dyDescent="0.3">
      <c r="A37" s="154"/>
      <c r="B37" s="154"/>
      <c r="C37" s="154"/>
      <c r="D37" s="154"/>
      <c r="E37" s="154"/>
      <c r="F37" s="154"/>
      <c r="G37" s="173"/>
      <c r="H37" s="320"/>
      <c r="I37" s="171"/>
    </row>
    <row r="38" spans="1:9" ht="21" customHeight="1" x14ac:dyDescent="0.3">
      <c r="A38" s="154"/>
      <c r="B38" s="154"/>
      <c r="C38" s="154"/>
      <c r="D38" s="154"/>
      <c r="E38" s="154"/>
      <c r="F38" s="154"/>
      <c r="G38" s="173"/>
      <c r="H38" s="320"/>
      <c r="I38" s="171"/>
    </row>
    <row r="39" spans="1:9" ht="21" customHeight="1" x14ac:dyDescent="0.3">
      <c r="A39" s="154"/>
      <c r="B39" s="154"/>
      <c r="C39" s="154"/>
      <c r="D39" s="154"/>
      <c r="E39" s="154"/>
      <c r="F39" s="154"/>
      <c r="G39" s="173"/>
      <c r="H39" s="320"/>
      <c r="I39" s="171"/>
    </row>
    <row r="40" spans="1:9" ht="21" customHeight="1" x14ac:dyDescent="0.3">
      <c r="A40" s="154"/>
      <c r="B40" s="154"/>
      <c r="C40" s="154"/>
      <c r="D40" s="154"/>
      <c r="E40" s="154"/>
      <c r="F40" s="154"/>
      <c r="G40" s="173"/>
      <c r="H40" s="320"/>
      <c r="I40" s="171"/>
    </row>
    <row r="41" spans="1:9" ht="21" customHeight="1" x14ac:dyDescent="0.3">
      <c r="A41" s="154"/>
      <c r="B41" s="154"/>
      <c r="C41" s="154"/>
      <c r="D41" s="154"/>
      <c r="E41" s="154"/>
      <c r="F41" s="154"/>
      <c r="G41" s="173"/>
      <c r="H41" s="320"/>
      <c r="I41" s="171"/>
    </row>
    <row r="42" spans="1:9" ht="21" customHeight="1" x14ac:dyDescent="0.3">
      <c r="A42" s="154"/>
      <c r="B42" s="154"/>
      <c r="C42" s="154"/>
      <c r="D42" s="154"/>
      <c r="E42" s="154"/>
      <c r="F42" s="154"/>
      <c r="G42" s="173"/>
      <c r="H42" s="320"/>
      <c r="I42" s="171"/>
    </row>
    <row r="43" spans="1:9" ht="23.4" x14ac:dyDescent="0.45">
      <c r="A43" s="154"/>
      <c r="B43" s="154"/>
      <c r="C43" s="912" t="str">
        <f>E14</f>
        <v>Explicación de fenómenos
(3% de las preguntas)</v>
      </c>
      <c r="D43" s="912"/>
      <c r="E43" s="912"/>
      <c r="F43" s="154"/>
      <c r="G43" s="154"/>
    </row>
    <row r="44" spans="1:9" ht="15.6" customHeight="1" x14ac:dyDescent="0.3">
      <c r="A44" s="154"/>
      <c r="B44" s="154"/>
      <c r="C44" s="154"/>
      <c r="D44" s="154"/>
      <c r="E44" s="154"/>
      <c r="F44" s="154"/>
      <c r="G44" s="154"/>
    </row>
    <row r="45" spans="1:9" ht="15.6" customHeight="1" x14ac:dyDescent="0.3">
      <c r="A45" s="154"/>
      <c r="B45" s="154"/>
      <c r="C45" s="154"/>
      <c r="D45" s="154"/>
      <c r="E45" s="154"/>
      <c r="F45" s="154"/>
      <c r="G45" s="154"/>
    </row>
    <row r="46" spans="1:9" ht="15.6" customHeight="1" x14ac:dyDescent="0.3">
      <c r="A46" s="154"/>
      <c r="B46" s="154"/>
      <c r="C46" s="154"/>
      <c r="D46" s="154"/>
      <c r="E46" s="154"/>
      <c r="F46" s="154"/>
      <c r="G46" s="154"/>
    </row>
    <row r="47" spans="1:9" ht="15.6" customHeight="1" x14ac:dyDescent="0.3">
      <c r="A47" s="154"/>
      <c r="B47" s="154"/>
      <c r="C47" s="154"/>
      <c r="D47" s="154"/>
      <c r="E47" s="154"/>
      <c r="F47" s="154"/>
      <c r="G47" s="154"/>
    </row>
    <row r="48" spans="1:9" ht="15.6" customHeight="1" x14ac:dyDescent="0.3">
      <c r="A48" s="154"/>
      <c r="B48" s="154"/>
      <c r="C48" s="154"/>
      <c r="D48" s="154"/>
      <c r="E48" s="154"/>
      <c r="F48" s="154"/>
      <c r="G48" s="154"/>
    </row>
    <row r="49" spans="1:7" ht="15.6" customHeight="1" x14ac:dyDescent="0.3">
      <c r="A49" s="154"/>
      <c r="B49" s="154"/>
      <c r="C49" s="154"/>
      <c r="D49" s="154"/>
      <c r="E49" s="154"/>
      <c r="F49" s="154"/>
      <c r="G49" s="154"/>
    </row>
    <row r="50" spans="1:7" ht="15.6" customHeight="1" x14ac:dyDescent="0.3">
      <c r="A50" s="154"/>
      <c r="B50" s="154"/>
      <c r="C50" s="154"/>
      <c r="D50" s="154"/>
      <c r="E50" s="154"/>
      <c r="F50" s="154"/>
      <c r="G50" s="154"/>
    </row>
    <row r="51" spans="1:7" ht="15.6" customHeight="1" x14ac:dyDescent="0.3">
      <c r="A51" s="154"/>
      <c r="B51" s="154"/>
      <c r="C51" s="154"/>
      <c r="D51" s="154"/>
      <c r="E51" s="154"/>
      <c r="F51" s="154"/>
      <c r="G51" s="154"/>
    </row>
    <row r="52" spans="1:7" ht="15.6" customHeight="1" x14ac:dyDescent="0.3">
      <c r="A52" s="154"/>
      <c r="B52" s="154"/>
      <c r="C52" s="154"/>
      <c r="D52" s="154"/>
      <c r="E52" s="154"/>
      <c r="F52" s="154"/>
      <c r="G52" s="154"/>
    </row>
    <row r="53" spans="1:7" ht="15.6" customHeight="1" x14ac:dyDescent="0.3">
      <c r="A53" s="154"/>
      <c r="B53" s="154"/>
      <c r="C53" s="154"/>
      <c r="D53" s="154"/>
      <c r="E53" s="154"/>
      <c r="F53" s="154"/>
      <c r="G53" s="154"/>
    </row>
    <row r="54" spans="1:7" ht="15.75" customHeight="1" x14ac:dyDescent="0.3">
      <c r="A54" s="154"/>
      <c r="B54" s="154"/>
      <c r="C54" s="154"/>
      <c r="D54" s="154"/>
      <c r="E54" s="154"/>
      <c r="F54" s="154"/>
      <c r="G54" s="154"/>
    </row>
    <row r="55" spans="1:7" ht="26.25" customHeight="1" x14ac:dyDescent="0.3">
      <c r="A55" s="154"/>
      <c r="B55" s="154"/>
      <c r="C55" s="154"/>
      <c r="D55" s="154"/>
      <c r="E55" s="154"/>
      <c r="F55" s="154"/>
      <c r="G55" s="154"/>
    </row>
    <row r="56" spans="1:7" ht="15.6" customHeight="1" x14ac:dyDescent="0.3">
      <c r="A56" s="154"/>
      <c r="B56" s="154"/>
      <c r="C56" s="154"/>
      <c r="D56" s="154"/>
      <c r="E56" s="154"/>
      <c r="F56" s="154"/>
      <c r="G56" s="154"/>
    </row>
    <row r="57" spans="1:7" ht="15.6" customHeight="1" x14ac:dyDescent="0.3">
      <c r="A57" s="154"/>
      <c r="B57" s="154"/>
      <c r="C57" s="154"/>
      <c r="D57" s="154"/>
      <c r="E57" s="154"/>
      <c r="F57" s="154"/>
      <c r="G57" s="154"/>
    </row>
    <row r="58" spans="1:7" ht="15.6" customHeight="1" x14ac:dyDescent="0.3">
      <c r="A58" s="154"/>
      <c r="B58" s="154"/>
      <c r="C58" s="154"/>
      <c r="D58" s="154"/>
      <c r="E58" s="154"/>
      <c r="F58" s="154"/>
      <c r="G58" s="154"/>
    </row>
    <row r="59" spans="1:7" ht="15.6" customHeight="1" x14ac:dyDescent="0.3">
      <c r="A59" s="154"/>
      <c r="B59" s="154"/>
      <c r="C59" s="154"/>
      <c r="D59" s="154"/>
      <c r="E59" s="154"/>
      <c r="F59" s="154"/>
      <c r="G59" s="154"/>
    </row>
    <row r="60" spans="1:7" ht="15.6" customHeight="1" x14ac:dyDescent="0.3">
      <c r="A60" s="154"/>
      <c r="B60" s="154"/>
      <c r="C60" s="154"/>
      <c r="D60" s="154"/>
      <c r="E60" s="154"/>
      <c r="F60" s="154"/>
      <c r="G60" s="154"/>
    </row>
    <row r="61" spans="1:7" ht="15.6" customHeight="1" x14ac:dyDescent="0.3">
      <c r="A61" s="154"/>
      <c r="B61" s="154"/>
      <c r="C61" s="154"/>
      <c r="D61" s="154"/>
      <c r="E61" s="154"/>
      <c r="F61" s="154"/>
      <c r="G61" s="154"/>
    </row>
    <row r="62" spans="1:7" ht="15.6" customHeight="1" x14ac:dyDescent="0.3">
      <c r="A62" s="154"/>
      <c r="B62" s="154"/>
      <c r="C62" s="154"/>
      <c r="D62" s="154"/>
      <c r="E62" s="154"/>
      <c r="F62" s="154"/>
      <c r="G62" s="154"/>
    </row>
    <row r="63" spans="1:7" x14ac:dyDescent="0.3">
      <c r="A63" s="154"/>
      <c r="B63" s="154"/>
      <c r="C63" s="154"/>
      <c r="D63" s="154"/>
      <c r="E63" s="154"/>
      <c r="F63" s="154"/>
      <c r="G63" s="154"/>
    </row>
    <row r="64" spans="1:7" x14ac:dyDescent="0.3">
      <c r="A64" s="154"/>
      <c r="B64" s="154"/>
      <c r="C64" s="154"/>
      <c r="D64" s="154"/>
      <c r="E64" s="154"/>
      <c r="F64" s="154"/>
      <c r="G64" s="154"/>
    </row>
    <row r="65" spans="1:7" ht="17.399999999999999" x14ac:dyDescent="0.3">
      <c r="A65" s="154"/>
      <c r="B65" s="930" t="s">
        <v>1034</v>
      </c>
      <c r="C65" s="930"/>
      <c r="D65" s="930"/>
      <c r="E65" s="930"/>
      <c r="F65" s="930"/>
      <c r="G65" s="154"/>
    </row>
    <row r="66" spans="1:7" ht="409.6" customHeight="1" x14ac:dyDescent="0.3">
      <c r="A66" s="154"/>
      <c r="B66" s="932" t="s">
        <v>1044</v>
      </c>
      <c r="C66" s="932"/>
      <c r="D66" s="932"/>
      <c r="E66" s="932"/>
      <c r="F66" s="932"/>
      <c r="G66" s="154"/>
    </row>
    <row r="67" spans="1:7" ht="15.6" customHeight="1" x14ac:dyDescent="0.3">
      <c r="A67" s="154"/>
      <c r="B67" s="932"/>
      <c r="C67" s="932"/>
      <c r="D67" s="932"/>
      <c r="E67" s="932"/>
      <c r="F67" s="932"/>
      <c r="G67" s="154"/>
    </row>
    <row r="68" spans="1:7" ht="15.6" customHeight="1" x14ac:dyDescent="0.3">
      <c r="A68" s="154"/>
      <c r="B68" s="932"/>
      <c r="C68" s="932"/>
      <c r="D68" s="932"/>
      <c r="E68" s="932"/>
      <c r="F68" s="932"/>
      <c r="G68" s="154"/>
    </row>
    <row r="69" spans="1:7" ht="15.6" customHeight="1" x14ac:dyDescent="0.3">
      <c r="A69" s="154"/>
      <c r="B69" s="932"/>
      <c r="C69" s="932"/>
      <c r="D69" s="932"/>
      <c r="E69" s="932"/>
      <c r="F69" s="932"/>
      <c r="G69" s="154"/>
    </row>
    <row r="70" spans="1:7" ht="15.6" customHeight="1" x14ac:dyDescent="0.3">
      <c r="A70" s="154"/>
      <c r="B70" s="932"/>
      <c r="C70" s="932"/>
      <c r="D70" s="932"/>
      <c r="E70" s="932"/>
      <c r="F70" s="932"/>
      <c r="G70" s="154"/>
    </row>
    <row r="71" spans="1:7" ht="15.6" customHeight="1" x14ac:dyDescent="0.3">
      <c r="A71" s="154"/>
      <c r="B71" s="932"/>
      <c r="C71" s="932"/>
      <c r="D71" s="932"/>
      <c r="E71" s="932"/>
      <c r="F71" s="932"/>
      <c r="G71" s="154"/>
    </row>
    <row r="72" spans="1:7" x14ac:dyDescent="0.3">
      <c r="A72" s="154"/>
      <c r="B72" s="932"/>
      <c r="C72" s="932"/>
      <c r="D72" s="932"/>
      <c r="E72" s="932"/>
      <c r="F72" s="932"/>
      <c r="G72" s="154"/>
    </row>
    <row r="73" spans="1:7" x14ac:dyDescent="0.3">
      <c r="A73" s="154"/>
      <c r="B73" s="154"/>
      <c r="C73" s="154"/>
      <c r="D73" s="154"/>
      <c r="E73" s="154"/>
      <c r="F73" s="154"/>
      <c r="G73" s="154"/>
    </row>
    <row r="74" spans="1:7" x14ac:dyDescent="0.3">
      <c r="A74" s="154"/>
      <c r="B74" s="154"/>
      <c r="C74" s="154"/>
      <c r="D74" s="154"/>
      <c r="E74" s="154"/>
      <c r="F74" s="154"/>
      <c r="G74" s="154"/>
    </row>
    <row r="75" spans="1:7" x14ac:dyDescent="0.3">
      <c r="A75" s="154"/>
      <c r="B75" s="154"/>
      <c r="C75" s="154"/>
      <c r="D75" s="154"/>
      <c r="E75" s="154"/>
      <c r="F75" s="154"/>
      <c r="G75" s="154"/>
    </row>
    <row r="76" spans="1:7" x14ac:dyDescent="0.3">
      <c r="A76" s="154"/>
      <c r="B76" s="154"/>
      <c r="C76" s="154"/>
      <c r="D76" s="154"/>
      <c r="E76" s="154"/>
      <c r="F76" s="154"/>
      <c r="G76" s="154"/>
    </row>
    <row r="77" spans="1:7" x14ac:dyDescent="0.3">
      <c r="A77" s="154"/>
      <c r="B77" s="154"/>
      <c r="C77" s="154"/>
      <c r="D77" s="154"/>
      <c r="E77" s="154"/>
      <c r="F77" s="154"/>
      <c r="G77" s="154"/>
    </row>
    <row r="78" spans="1:7" x14ac:dyDescent="0.3">
      <c r="A78" s="154"/>
      <c r="B78" s="154"/>
      <c r="C78" s="154"/>
      <c r="D78" s="154"/>
      <c r="E78" s="154"/>
      <c r="F78" s="154"/>
      <c r="G78" s="154"/>
    </row>
    <row r="79" spans="1:7" x14ac:dyDescent="0.3">
      <c r="A79" s="154"/>
      <c r="B79" s="323" t="s">
        <v>975</v>
      </c>
      <c r="C79" s="154"/>
      <c r="D79" s="154"/>
      <c r="E79" s="154"/>
      <c r="F79" s="154"/>
      <c r="G79" s="154"/>
    </row>
  </sheetData>
  <sheetProtection algorithmName="SHA-512" hashValue="6qSh+aY/UJ12xYrKE54QermdpcWu9yFvvJbEx6hgN2+76+00ZLOSZtPgDkLMr63v6VD9iR13RlLZYlzSeeG7eA==" saltValue="uoAWw4l5JMaKCwFoREWhKA==" spinCount="100000" sheet="1" objects="1" scenarios="1"/>
  <mergeCells count="8">
    <mergeCell ref="B65:F65"/>
    <mergeCell ref="C27:E27"/>
    <mergeCell ref="C43:E43"/>
    <mergeCell ref="B66:F72"/>
    <mergeCell ref="B8:F8"/>
    <mergeCell ref="C13:E13"/>
    <mergeCell ref="B11:C11"/>
    <mergeCell ref="D11:E11"/>
  </mergeCells>
  <conditionalFormatting sqref="D17:E23">
    <cfRule type="cellIs" dxfId="9" priority="26" operator="equal">
      <formula>0</formula>
    </cfRule>
    <cfRule type="cellIs" dxfId="8" priority="27" operator="between">
      <formula>0.4</formula>
      <formula>0.69</formula>
    </cfRule>
    <cfRule type="cellIs" dxfId="7" priority="28" operator="between">
      <formula>0.2</formula>
      <formula>0.39</formula>
    </cfRule>
    <cfRule type="cellIs" dxfId="6" priority="30" operator="between">
      <formula>0.01</formula>
      <formula>0.19</formula>
    </cfRule>
    <cfRule type="cellIs" dxfId="5" priority="31" operator="between">
      <formula>0.7</formula>
      <formula>1</formula>
    </cfRule>
  </conditionalFormatting>
  <conditionalFormatting sqref="D24:E24">
    <cfRule type="cellIs" dxfId="4" priority="1" operator="equal">
      <formula>0</formula>
    </cfRule>
    <cfRule type="cellIs" dxfId="3" priority="2" operator="between">
      <formula>0.4</formula>
      <formula>0.69</formula>
    </cfRule>
    <cfRule type="cellIs" dxfId="2" priority="3" operator="between">
      <formula>0.2</formula>
      <formula>0.39</formula>
    </cfRule>
    <cfRule type="cellIs" dxfId="1" priority="4" operator="between">
      <formula>0.01</formula>
      <formula>0.19</formula>
    </cfRule>
    <cfRule type="cellIs" dxfId="0" priority="5" operator="between">
      <formula>0.7</formula>
      <formula>1</formula>
    </cfRule>
  </conditionalFormatting>
  <pageMargins left="0.39370078740157483" right="0.39370078740157483" top="0.39370078740157483" bottom="0.39370078740157483" header="0.31496062992125984" footer="0.31496062992125984"/>
  <pageSetup paperSize="14" scale="55"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E49380BA-5CB1-4D1B-81B6-78DD50A6F2E5}">
          <x14:formula1>
            <xm:f>PGLOBAL!$A$10:$A$167</xm:f>
          </x14:formula1>
          <xm:sqref>D11</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1"/>
  <dimension ref="A1:AM365"/>
  <sheetViews>
    <sheetView zoomScale="73" zoomScaleNormal="73" workbookViewId="0">
      <pane xSplit="1" ySplit="9" topLeftCell="M328" activePane="bottomRight" state="frozen"/>
      <selection activeCell="R29" sqref="R29"/>
      <selection pane="topRight" activeCell="R29" sqref="R29"/>
      <selection pane="bottomLeft" activeCell="R29" sqref="R29"/>
      <selection pane="bottomRight" activeCell="Y337" sqref="Y337"/>
    </sheetView>
  </sheetViews>
  <sheetFormatPr baseColWidth="10" defaultColWidth="9.109375" defaultRowHeight="13.2" x14ac:dyDescent="0.25"/>
  <cols>
    <col min="1" max="1" width="48.88671875" customWidth="1"/>
    <col min="2" max="2" width="13" customWidth="1"/>
    <col min="3" max="3" width="11.109375" customWidth="1"/>
    <col min="4" max="7" width="11.109375" style="219" customWidth="1"/>
    <col min="8" max="8" width="18.88671875" customWidth="1"/>
    <col min="9" max="9" width="16.44140625" customWidth="1"/>
    <col min="10" max="10" width="14.33203125" customWidth="1"/>
    <col min="11" max="11" width="15.109375" customWidth="1"/>
    <col min="12" max="12" width="11.6640625" customWidth="1"/>
    <col min="13" max="13" width="14.44140625" customWidth="1"/>
    <col min="14" max="14" width="14.6640625" customWidth="1"/>
    <col min="15" max="15" width="13.88671875" customWidth="1"/>
    <col min="16" max="16" width="12.44140625" customWidth="1"/>
    <col min="17" max="17" width="14.5546875" customWidth="1"/>
    <col min="18" max="18" width="13.33203125" customWidth="1"/>
    <col min="19" max="19" width="11.44140625" customWidth="1"/>
    <col min="20" max="20" width="18.6640625" customWidth="1"/>
    <col min="21" max="21" width="11.88671875" customWidth="1"/>
    <col min="22" max="22" width="10.44140625" customWidth="1"/>
    <col min="23" max="23" width="11.6640625" customWidth="1"/>
    <col min="28" max="28" width="10.5546875" customWidth="1"/>
    <col min="35" max="35" width="9.6640625" bestFit="1" customWidth="1"/>
  </cols>
  <sheetData>
    <row r="1" spans="1:36" x14ac:dyDescent="0.25">
      <c r="A1" s="739"/>
      <c r="B1" s="739"/>
      <c r="C1" s="739"/>
      <c r="D1" s="739"/>
      <c r="E1" s="739"/>
      <c r="F1" s="739"/>
      <c r="G1" s="739"/>
      <c r="H1" s="739"/>
      <c r="I1" s="739"/>
      <c r="J1" s="739"/>
      <c r="K1" s="739"/>
    </row>
    <row r="3" spans="1:36" x14ac:dyDescent="0.25">
      <c r="A3" s="739"/>
      <c r="B3" s="739"/>
      <c r="C3" s="739"/>
      <c r="D3" s="739"/>
      <c r="E3" s="739"/>
      <c r="F3" s="739"/>
      <c r="G3" s="739"/>
      <c r="H3" s="739"/>
      <c r="I3" s="739"/>
      <c r="J3" s="739"/>
      <c r="K3" s="739"/>
    </row>
    <row r="5" spans="1:36" x14ac:dyDescent="0.25">
      <c r="R5" s="434"/>
      <c r="S5" s="434"/>
      <c r="T5" s="434"/>
      <c r="U5" s="434"/>
    </row>
    <row r="6" spans="1:36" x14ac:dyDescent="0.25">
      <c r="A6" s="134">
        <v>1</v>
      </c>
      <c r="B6" s="134">
        <v>2</v>
      </c>
      <c r="C6" s="134">
        <v>3</v>
      </c>
      <c r="D6" s="329">
        <v>4</v>
      </c>
      <c r="E6" s="329">
        <v>5</v>
      </c>
      <c r="F6" s="329">
        <v>6</v>
      </c>
      <c r="G6" s="329">
        <v>7</v>
      </c>
      <c r="H6" s="329">
        <v>8</v>
      </c>
      <c r="I6" s="329">
        <v>9</v>
      </c>
      <c r="J6" s="329">
        <v>10</v>
      </c>
      <c r="K6" s="329">
        <v>11</v>
      </c>
      <c r="L6" s="329">
        <v>12</v>
      </c>
      <c r="M6" s="329">
        <v>13</v>
      </c>
      <c r="N6" s="329">
        <v>14</v>
      </c>
      <c r="O6" s="329">
        <v>15</v>
      </c>
      <c r="P6" s="329">
        <v>16</v>
      </c>
      <c r="Q6" s="329">
        <v>17</v>
      </c>
      <c r="R6" s="434">
        <v>18</v>
      </c>
      <c r="S6" s="434">
        <v>19</v>
      </c>
      <c r="T6" s="434">
        <v>20</v>
      </c>
      <c r="U6" s="434">
        <v>21</v>
      </c>
      <c r="V6">
        <v>22</v>
      </c>
      <c r="W6">
        <v>23</v>
      </c>
      <c r="X6">
        <v>24</v>
      </c>
      <c r="Y6">
        <v>25</v>
      </c>
      <c r="Z6">
        <v>26</v>
      </c>
      <c r="AA6">
        <v>27</v>
      </c>
      <c r="AB6">
        <v>28</v>
      </c>
      <c r="AC6">
        <v>29</v>
      </c>
    </row>
    <row r="7" spans="1:36" x14ac:dyDescent="0.25">
      <c r="K7" s="129"/>
      <c r="L7" s="129"/>
      <c r="M7" s="129"/>
      <c r="N7" s="129"/>
      <c r="O7" s="129"/>
      <c r="P7" s="129"/>
      <c r="Q7" s="129"/>
    </row>
    <row r="8" spans="1:36" x14ac:dyDescent="0.25">
      <c r="D8" s="733">
        <v>2014</v>
      </c>
      <c r="E8" s="734"/>
      <c r="F8" s="733">
        <v>2015</v>
      </c>
      <c r="G8" s="734"/>
      <c r="H8" s="733">
        <v>2016</v>
      </c>
      <c r="I8" s="734"/>
      <c r="J8" s="733">
        <v>2017</v>
      </c>
      <c r="K8" s="734"/>
      <c r="L8" s="733">
        <v>2018</v>
      </c>
      <c r="M8" s="734"/>
      <c r="N8" s="733">
        <v>2019</v>
      </c>
      <c r="O8" s="734"/>
      <c r="P8" s="733">
        <v>2020</v>
      </c>
      <c r="Q8" s="734"/>
      <c r="R8" s="740">
        <v>2021</v>
      </c>
      <c r="S8" s="741"/>
      <c r="T8" s="741"/>
      <c r="U8" s="741"/>
      <c r="V8" s="740">
        <v>2022</v>
      </c>
      <c r="W8" s="741"/>
      <c r="X8" s="741"/>
      <c r="Y8" s="741"/>
      <c r="Z8" s="740">
        <v>2023</v>
      </c>
      <c r="AA8" s="741"/>
      <c r="AB8" s="741"/>
      <c r="AC8" s="741"/>
    </row>
    <row r="9" spans="1:36" ht="24.9" customHeight="1" x14ac:dyDescent="0.25">
      <c r="A9" s="7" t="s">
        <v>5</v>
      </c>
      <c r="B9" s="7" t="s">
        <v>244</v>
      </c>
      <c r="C9" s="7" t="s">
        <v>245</v>
      </c>
      <c r="D9" s="218" t="s">
        <v>217</v>
      </c>
      <c r="E9" s="218" t="s">
        <v>218</v>
      </c>
      <c r="F9" s="218" t="s">
        <v>217</v>
      </c>
      <c r="G9" s="218" t="s">
        <v>218</v>
      </c>
      <c r="H9" s="7" t="s">
        <v>217</v>
      </c>
      <c r="I9" s="7" t="s">
        <v>218</v>
      </c>
      <c r="J9" s="7" t="s">
        <v>217</v>
      </c>
      <c r="K9" s="7" t="s">
        <v>218</v>
      </c>
      <c r="L9" s="7" t="s">
        <v>217</v>
      </c>
      <c r="M9" s="7" t="s">
        <v>218</v>
      </c>
      <c r="N9" s="7" t="s">
        <v>217</v>
      </c>
      <c r="O9" s="7" t="s">
        <v>218</v>
      </c>
      <c r="P9" s="52" t="s">
        <v>217</v>
      </c>
      <c r="Q9" s="52" t="s">
        <v>218</v>
      </c>
      <c r="R9" s="350" t="s">
        <v>217</v>
      </c>
      <c r="S9" s="350" t="s">
        <v>908</v>
      </c>
      <c r="T9" s="350" t="s">
        <v>218</v>
      </c>
      <c r="U9" s="350" t="s">
        <v>909</v>
      </c>
      <c r="V9" s="350" t="s">
        <v>217</v>
      </c>
      <c r="W9" s="350" t="s">
        <v>908</v>
      </c>
      <c r="X9" s="350" t="s">
        <v>218</v>
      </c>
      <c r="Y9" s="350" t="s">
        <v>909</v>
      </c>
      <c r="Z9" s="350" t="s">
        <v>217</v>
      </c>
      <c r="AA9" s="350" t="s">
        <v>908</v>
      </c>
      <c r="AB9" s="350" t="s">
        <v>218</v>
      </c>
      <c r="AC9" s="350" t="s">
        <v>909</v>
      </c>
    </row>
    <row r="10" spans="1:36" ht="24.9" customHeight="1" x14ac:dyDescent="0.25">
      <c r="A10" s="185" t="s">
        <v>10</v>
      </c>
      <c r="B10" s="3"/>
      <c r="C10" s="3"/>
      <c r="D10" s="264">
        <v>255</v>
      </c>
      <c r="E10" s="264">
        <v>35</v>
      </c>
      <c r="F10" s="264">
        <v>256</v>
      </c>
      <c r="G10" s="264">
        <v>35</v>
      </c>
      <c r="H10" s="190">
        <v>264</v>
      </c>
      <c r="I10" s="190">
        <v>46</v>
      </c>
      <c r="J10" s="190">
        <v>262</v>
      </c>
      <c r="K10" s="190">
        <v>47</v>
      </c>
      <c r="L10" s="190">
        <v>258</v>
      </c>
      <c r="M10" s="190">
        <v>49</v>
      </c>
      <c r="N10" s="190">
        <v>253</v>
      </c>
      <c r="O10" s="190">
        <v>50</v>
      </c>
      <c r="P10" s="190">
        <v>252</v>
      </c>
      <c r="Q10" s="190">
        <v>48</v>
      </c>
      <c r="R10" s="345">
        <v>250</v>
      </c>
      <c r="S10" s="344" t="s">
        <v>910</v>
      </c>
      <c r="T10" s="345">
        <v>50</v>
      </c>
      <c r="U10" s="344" t="s">
        <v>911</v>
      </c>
      <c r="V10" s="478">
        <v>254</v>
      </c>
      <c r="W10" s="481" t="s">
        <v>910</v>
      </c>
      <c r="X10" s="478">
        <v>51</v>
      </c>
      <c r="Y10" s="481" t="s">
        <v>911</v>
      </c>
      <c r="Z10" s="626">
        <v>257</v>
      </c>
      <c r="AA10" s="637" t="s">
        <v>910</v>
      </c>
      <c r="AB10" s="626">
        <v>51</v>
      </c>
      <c r="AC10" s="637" t="s">
        <v>911</v>
      </c>
    </row>
    <row r="11" spans="1:36" ht="24.9" customHeight="1" x14ac:dyDescent="0.25">
      <c r="A11" s="186" t="s">
        <v>0</v>
      </c>
      <c r="B11" s="4"/>
      <c r="C11" s="4"/>
      <c r="D11" s="265">
        <v>253</v>
      </c>
      <c r="E11" s="265">
        <v>32</v>
      </c>
      <c r="F11" s="265">
        <v>255</v>
      </c>
      <c r="G11" s="265">
        <v>35</v>
      </c>
      <c r="H11" s="191">
        <v>266</v>
      </c>
      <c r="I11" s="191">
        <v>37</v>
      </c>
      <c r="J11" s="191">
        <v>263</v>
      </c>
      <c r="K11" s="191">
        <v>39</v>
      </c>
      <c r="L11" s="191">
        <v>260</v>
      </c>
      <c r="M11" s="191">
        <v>41</v>
      </c>
      <c r="N11" s="191">
        <v>257</v>
      </c>
      <c r="O11" s="191">
        <v>42</v>
      </c>
      <c r="P11" s="191">
        <v>258</v>
      </c>
      <c r="Q11" s="191">
        <v>40</v>
      </c>
      <c r="R11" s="346">
        <v>257</v>
      </c>
      <c r="S11" s="342" t="s">
        <v>11</v>
      </c>
      <c r="T11" s="346">
        <v>42</v>
      </c>
      <c r="U11" s="342" t="s">
        <v>11</v>
      </c>
      <c r="V11" s="479">
        <v>262</v>
      </c>
      <c r="W11" s="482" t="s">
        <v>11</v>
      </c>
      <c r="X11" s="479">
        <v>43</v>
      </c>
      <c r="Y11" s="482" t="s">
        <v>11</v>
      </c>
      <c r="Z11" s="627">
        <v>262</v>
      </c>
      <c r="AA11" s="638" t="s">
        <v>11</v>
      </c>
      <c r="AB11" s="627">
        <v>43</v>
      </c>
      <c r="AC11" s="638" t="s">
        <v>11</v>
      </c>
    </row>
    <row r="12" spans="1:36" ht="24.9" customHeight="1" x14ac:dyDescent="0.25">
      <c r="A12" s="187" t="s">
        <v>12</v>
      </c>
      <c r="B12" s="6"/>
      <c r="C12" s="6"/>
      <c r="D12" s="94">
        <v>250</v>
      </c>
      <c r="E12" s="94"/>
      <c r="F12" s="94">
        <v>248</v>
      </c>
      <c r="G12" s="94"/>
      <c r="H12" s="192">
        <v>260</v>
      </c>
      <c r="I12" s="192">
        <v>37</v>
      </c>
      <c r="J12" s="192">
        <v>257</v>
      </c>
      <c r="K12" s="192">
        <v>38</v>
      </c>
      <c r="L12" s="192">
        <v>252</v>
      </c>
      <c r="M12" s="192">
        <v>39</v>
      </c>
      <c r="N12" s="192">
        <v>249</v>
      </c>
      <c r="O12" s="192">
        <v>40</v>
      </c>
      <c r="P12" s="192">
        <v>251</v>
      </c>
      <c r="Q12" s="192">
        <v>38</v>
      </c>
      <c r="R12" s="347">
        <v>248</v>
      </c>
      <c r="S12" s="343" t="s">
        <v>910</v>
      </c>
      <c r="T12" s="347">
        <v>40</v>
      </c>
      <c r="U12" s="343" t="s">
        <v>910</v>
      </c>
      <c r="V12" s="480">
        <v>252</v>
      </c>
      <c r="W12" s="483" t="s">
        <v>910</v>
      </c>
      <c r="X12" s="480">
        <v>41</v>
      </c>
      <c r="Y12" s="483" t="s">
        <v>910</v>
      </c>
      <c r="Z12" s="628">
        <v>253</v>
      </c>
      <c r="AA12" s="639" t="s">
        <v>910</v>
      </c>
      <c r="AB12" s="628">
        <v>41</v>
      </c>
      <c r="AC12" s="639" t="s">
        <v>910</v>
      </c>
    </row>
    <row r="13" spans="1:36" ht="24.9" customHeight="1" x14ac:dyDescent="0.25">
      <c r="A13" s="187" t="s">
        <v>13</v>
      </c>
      <c r="B13" s="6"/>
      <c r="C13" s="6"/>
      <c r="D13" s="94"/>
      <c r="E13" s="94"/>
      <c r="F13" s="94"/>
      <c r="G13" s="94"/>
      <c r="H13" s="192">
        <v>260</v>
      </c>
      <c r="I13" s="192">
        <v>35</v>
      </c>
      <c r="J13" s="192">
        <v>249</v>
      </c>
      <c r="K13" s="192">
        <v>32</v>
      </c>
      <c r="L13" s="192">
        <v>248</v>
      </c>
      <c r="M13" s="192">
        <v>42</v>
      </c>
      <c r="N13" s="192">
        <v>249</v>
      </c>
      <c r="O13" s="192">
        <v>42</v>
      </c>
      <c r="P13" s="192">
        <v>248</v>
      </c>
      <c r="Q13" s="192">
        <v>45</v>
      </c>
      <c r="R13" s="347">
        <v>244</v>
      </c>
      <c r="S13" s="343" t="s">
        <v>910</v>
      </c>
      <c r="T13" s="347">
        <v>39</v>
      </c>
      <c r="U13" s="343" t="s">
        <v>910</v>
      </c>
      <c r="V13" s="480">
        <v>249</v>
      </c>
      <c r="W13" s="483" t="s">
        <v>910</v>
      </c>
      <c r="X13" s="480">
        <v>46</v>
      </c>
      <c r="Y13" s="483" t="s">
        <v>910</v>
      </c>
      <c r="Z13" s="628">
        <v>240</v>
      </c>
      <c r="AA13" s="639" t="s">
        <v>910</v>
      </c>
      <c r="AB13" s="628">
        <v>42</v>
      </c>
      <c r="AC13" s="639" t="s">
        <v>910</v>
      </c>
      <c r="AD13" s="624"/>
      <c r="AE13" s="624"/>
      <c r="AF13" s="624"/>
      <c r="AG13" s="624"/>
      <c r="AH13" s="624"/>
      <c r="AI13" s="624"/>
      <c r="AJ13" s="624"/>
    </row>
    <row r="14" spans="1:36" ht="24.9" customHeight="1" x14ac:dyDescent="0.25">
      <c r="A14" s="187" t="s">
        <v>14</v>
      </c>
      <c r="B14" s="6"/>
      <c r="C14" s="6"/>
      <c r="D14" s="94">
        <v>257</v>
      </c>
      <c r="E14" s="94"/>
      <c r="F14" s="94">
        <v>256</v>
      </c>
      <c r="G14" s="94"/>
      <c r="H14" s="192">
        <v>272</v>
      </c>
      <c r="I14" s="192">
        <v>38</v>
      </c>
      <c r="J14" s="192">
        <v>270</v>
      </c>
      <c r="K14" s="192">
        <v>40</v>
      </c>
      <c r="L14" s="192">
        <v>269</v>
      </c>
      <c r="M14" s="192">
        <v>41</v>
      </c>
      <c r="N14" s="192">
        <v>266</v>
      </c>
      <c r="O14" s="192">
        <v>41</v>
      </c>
      <c r="P14" s="192">
        <v>265</v>
      </c>
      <c r="Q14" s="192">
        <v>41</v>
      </c>
      <c r="R14" s="347">
        <v>266</v>
      </c>
      <c r="S14" s="343" t="s">
        <v>910</v>
      </c>
      <c r="T14" s="347">
        <v>43</v>
      </c>
      <c r="U14" s="343" t="s">
        <v>910</v>
      </c>
      <c r="V14" s="480">
        <v>272</v>
      </c>
      <c r="W14" s="483" t="s">
        <v>910</v>
      </c>
      <c r="X14" s="480">
        <v>43</v>
      </c>
      <c r="Y14" s="483" t="s">
        <v>910</v>
      </c>
      <c r="Z14" s="628">
        <v>273</v>
      </c>
      <c r="AA14" s="639" t="s">
        <v>910</v>
      </c>
      <c r="AB14" s="628">
        <v>43</v>
      </c>
      <c r="AC14" s="639" t="s">
        <v>910</v>
      </c>
      <c r="AD14" s="624"/>
      <c r="AE14" s="624"/>
      <c r="AF14" s="624"/>
      <c r="AG14" s="624"/>
      <c r="AH14" s="624"/>
      <c r="AI14" s="624"/>
      <c r="AJ14" s="624"/>
    </row>
    <row r="15" spans="1:36" ht="24.9" customHeight="1" x14ac:dyDescent="0.25">
      <c r="A15" s="187" t="s">
        <v>15</v>
      </c>
      <c r="B15" s="6"/>
      <c r="C15" s="6"/>
      <c r="D15" s="94"/>
      <c r="E15" s="94"/>
      <c r="F15" s="94"/>
      <c r="G15" s="94"/>
      <c r="H15" s="192">
        <v>256</v>
      </c>
      <c r="I15" s="192">
        <v>36</v>
      </c>
      <c r="J15" s="192">
        <v>256</v>
      </c>
      <c r="K15" s="192">
        <v>38</v>
      </c>
      <c r="L15" s="192">
        <v>251</v>
      </c>
      <c r="M15" s="192">
        <v>40</v>
      </c>
      <c r="N15" s="192">
        <v>248</v>
      </c>
      <c r="O15" s="192">
        <v>41</v>
      </c>
      <c r="P15" s="192">
        <v>247</v>
      </c>
      <c r="Q15" s="192">
        <v>38</v>
      </c>
      <c r="R15" s="347">
        <v>244</v>
      </c>
      <c r="S15" s="343" t="s">
        <v>910</v>
      </c>
      <c r="T15" s="347">
        <v>40</v>
      </c>
      <c r="U15" s="343" t="s">
        <v>910</v>
      </c>
      <c r="V15" s="480">
        <v>248</v>
      </c>
      <c r="W15" s="483" t="s">
        <v>910</v>
      </c>
      <c r="X15" s="480">
        <v>41</v>
      </c>
      <c r="Y15" s="483" t="s">
        <v>910</v>
      </c>
      <c r="Z15" s="628">
        <v>250</v>
      </c>
      <c r="AA15" s="639" t="s">
        <v>910</v>
      </c>
      <c r="AB15" s="628">
        <v>41</v>
      </c>
      <c r="AC15" s="639" t="s">
        <v>910</v>
      </c>
    </row>
    <row r="16" spans="1:36" ht="24.9" customHeight="1" x14ac:dyDescent="0.25">
      <c r="A16" s="187" t="s">
        <v>16</v>
      </c>
      <c r="B16" s="6"/>
      <c r="C16" s="6"/>
      <c r="D16" s="94"/>
      <c r="E16" s="94"/>
      <c r="F16" s="94"/>
      <c r="G16" s="94"/>
      <c r="H16" s="192">
        <v>270</v>
      </c>
      <c r="I16" s="192">
        <v>37</v>
      </c>
      <c r="J16" s="192">
        <v>269</v>
      </c>
      <c r="K16" s="192">
        <v>39</v>
      </c>
      <c r="L16" s="192">
        <v>265</v>
      </c>
      <c r="M16" s="192">
        <v>40</v>
      </c>
      <c r="N16" s="192">
        <v>262</v>
      </c>
      <c r="O16" s="192">
        <v>41</v>
      </c>
      <c r="P16" s="192">
        <v>262</v>
      </c>
      <c r="Q16" s="192">
        <v>40</v>
      </c>
      <c r="R16" s="347">
        <v>261</v>
      </c>
      <c r="S16" s="343" t="s">
        <v>910</v>
      </c>
      <c r="T16" s="347">
        <v>42</v>
      </c>
      <c r="U16" s="343" t="s">
        <v>910</v>
      </c>
      <c r="V16" s="480">
        <v>267</v>
      </c>
      <c r="W16" s="483" t="s">
        <v>910</v>
      </c>
      <c r="X16" s="480">
        <v>43</v>
      </c>
      <c r="Y16" s="483" t="s">
        <v>910</v>
      </c>
      <c r="Z16" s="628">
        <v>269</v>
      </c>
      <c r="AA16" s="639" t="s">
        <v>910</v>
      </c>
      <c r="AB16" s="628">
        <v>43</v>
      </c>
      <c r="AC16" s="639" t="s">
        <v>910</v>
      </c>
    </row>
    <row r="17" spans="1:29" s="461" customFormat="1" ht="24.9" customHeight="1" x14ac:dyDescent="0.25">
      <c r="A17" s="6" t="s">
        <v>17</v>
      </c>
      <c r="B17" s="427"/>
      <c r="C17" s="427"/>
      <c r="D17" s="486"/>
      <c r="E17" s="486"/>
      <c r="F17" s="486"/>
      <c r="G17" s="486"/>
      <c r="H17" s="487"/>
      <c r="I17" s="487"/>
      <c r="J17" s="487"/>
      <c r="K17" s="487"/>
      <c r="L17" s="487"/>
      <c r="M17" s="487"/>
      <c r="N17" s="487"/>
      <c r="O17" s="487"/>
      <c r="P17" s="487"/>
      <c r="Q17" s="487"/>
      <c r="R17" s="488"/>
      <c r="S17" s="489"/>
      <c r="T17" s="488"/>
      <c r="U17" s="489"/>
      <c r="V17" s="480">
        <v>313</v>
      </c>
      <c r="W17" s="483" t="s">
        <v>911</v>
      </c>
      <c r="X17" s="480">
        <v>23</v>
      </c>
      <c r="Y17" s="483" t="s">
        <v>912</v>
      </c>
      <c r="Z17" s="489"/>
      <c r="AA17" s="489"/>
      <c r="AB17" s="489"/>
      <c r="AC17" s="489"/>
    </row>
    <row r="18" spans="1:29" s="267" customFormat="1" ht="24.9" customHeight="1" x14ac:dyDescent="0.25">
      <c r="A18" s="283" t="s">
        <v>246</v>
      </c>
      <c r="B18" s="6"/>
      <c r="C18" s="6"/>
      <c r="D18" s="192">
        <f>AVERAGEIF($C$36:$C$167,"=1",D$36:D$167)</f>
        <v>255.1122596153846</v>
      </c>
      <c r="E18" s="192"/>
      <c r="F18" s="192">
        <f>AVERAGEIF($C$36:$C$167,"=1",F$36:F$167)</f>
        <v>250.52740384615385</v>
      </c>
      <c r="G18" s="94"/>
      <c r="H18" s="192">
        <f t="shared" ref="H18:R18" si="0">AVERAGEIF($C$36:$C$167,"=1",H$36:H$167)</f>
        <v>260.94117647058823</v>
      </c>
      <c r="I18" s="192">
        <f t="shared" si="0"/>
        <v>33.823529411764703</v>
      </c>
      <c r="J18" s="192">
        <f t="shared" si="0"/>
        <v>260.375</v>
      </c>
      <c r="K18" s="192">
        <f t="shared" si="0"/>
        <v>35.0625</v>
      </c>
      <c r="L18" s="192">
        <f t="shared" si="0"/>
        <v>257.1764705882353</v>
      </c>
      <c r="M18" s="192">
        <f t="shared" si="0"/>
        <v>37.235294117647058</v>
      </c>
      <c r="N18" s="192">
        <f t="shared" si="0"/>
        <v>252.8235294117647</v>
      </c>
      <c r="O18" s="192">
        <f t="shared" si="0"/>
        <v>37.764705882352942</v>
      </c>
      <c r="P18" s="192">
        <f t="shared" si="0"/>
        <v>257.29411764705884</v>
      </c>
      <c r="Q18" s="192">
        <f t="shared" si="0"/>
        <v>36.705882352941174</v>
      </c>
      <c r="R18" s="192">
        <f t="shared" si="0"/>
        <v>257.29411764705884</v>
      </c>
      <c r="S18" s="283"/>
      <c r="T18" s="192">
        <f>AVERAGEIF($C$36:$C$167,"=1",T$36:T$167)</f>
        <v>37.529411764705884</v>
      </c>
      <c r="U18" s="283"/>
      <c r="V18" s="192">
        <f>AVERAGEIF($C$36:$C$167,"=1",V$36:V$167)</f>
        <v>258.83333333333331</v>
      </c>
      <c r="W18" s="283"/>
      <c r="X18" s="192">
        <f t="shared" ref="X18" si="1">AVERAGEIF($C$36:$C$167,"=1",X$36:X$167)</f>
        <v>40.166666666666664</v>
      </c>
      <c r="Y18" s="283"/>
      <c r="Z18" s="192">
        <f>AVERAGEIF($C$36:$C$167,"=1",Z$36:Z$167)</f>
        <v>262.29411764705884</v>
      </c>
      <c r="AA18" s="283"/>
      <c r="AB18" s="192">
        <f t="shared" ref="AB18" si="2">AVERAGEIF($C$36:$C$167,"=1",AB$36:AB$167)</f>
        <v>38.176470588235297</v>
      </c>
      <c r="AC18" s="283"/>
    </row>
    <row r="19" spans="1:29" s="267" customFormat="1" ht="24.9" customHeight="1" x14ac:dyDescent="0.25">
      <c r="A19" s="283" t="s">
        <v>247</v>
      </c>
      <c r="B19" s="6"/>
      <c r="C19" s="6"/>
      <c r="D19" s="192">
        <f>AVERAGEIF($C$36:$C$167,"=2",D$36:D$167)</f>
        <v>259.49979757085015</v>
      </c>
      <c r="E19" s="192"/>
      <c r="F19" s="192">
        <f>AVERAGEIF($C$36:$C$167,"=2",F$36:F$167)</f>
        <v>256.02692307692308</v>
      </c>
      <c r="G19" s="94"/>
      <c r="H19" s="192">
        <f t="shared" ref="H19:R19" si="3">AVERAGEIF($C$36:$C$167,"=2",H$36:H$167)</f>
        <v>268.45</v>
      </c>
      <c r="I19" s="192">
        <f t="shared" si="3"/>
        <v>33.1</v>
      </c>
      <c r="J19" s="192">
        <f t="shared" si="3"/>
        <v>265.63157894736844</v>
      </c>
      <c r="K19" s="192">
        <f t="shared" si="3"/>
        <v>36</v>
      </c>
      <c r="L19" s="192">
        <f t="shared" si="3"/>
        <v>262.89473684210526</v>
      </c>
      <c r="M19" s="192">
        <f t="shared" si="3"/>
        <v>37.421052631578945</v>
      </c>
      <c r="N19" s="192">
        <f t="shared" si="3"/>
        <v>262.64999999999998</v>
      </c>
      <c r="O19" s="192">
        <f t="shared" si="3"/>
        <v>38.25</v>
      </c>
      <c r="P19" s="192">
        <f t="shared" si="3"/>
        <v>259.125</v>
      </c>
      <c r="Q19" s="192">
        <f t="shared" si="3"/>
        <v>32.083333333333336</v>
      </c>
      <c r="R19" s="192">
        <f t="shared" si="3"/>
        <v>257.45454545454544</v>
      </c>
      <c r="S19" s="283"/>
      <c r="T19" s="192">
        <f>AVERAGEIF($C$36:$C$167,"=2",T$36:T$167)</f>
        <v>35.863636363636367</v>
      </c>
      <c r="U19" s="283"/>
      <c r="V19" s="192">
        <f t="shared" ref="V19:AB19" si="4">AVERAGEIF($C$36:$C$167,"=2",V$36:V$167)</f>
        <v>266.72000000000003</v>
      </c>
      <c r="W19" s="283"/>
      <c r="X19" s="192">
        <f t="shared" si="4"/>
        <v>37.880000000000003</v>
      </c>
      <c r="Y19" s="283"/>
      <c r="Z19" s="192">
        <f t="shared" si="4"/>
        <v>265.03846153846155</v>
      </c>
      <c r="AA19" s="283"/>
      <c r="AB19" s="192">
        <f t="shared" si="4"/>
        <v>37.730769230769234</v>
      </c>
      <c r="AC19" s="283"/>
    </row>
    <row r="20" spans="1:29" s="267" customFormat="1" ht="25.5" customHeight="1" x14ac:dyDescent="0.25">
      <c r="A20" s="283" t="s">
        <v>248</v>
      </c>
      <c r="B20" s="6"/>
      <c r="C20" s="6"/>
      <c r="D20" s="192">
        <f>AVERAGEIF($C$36:$C$167,"=3",D$36:D$167)</f>
        <v>259.16615384615386</v>
      </c>
      <c r="E20" s="192"/>
      <c r="F20" s="192">
        <f>AVERAGEIF($C$36:$C$167,"=3",F$36:F$167)</f>
        <v>256.83769230769235</v>
      </c>
      <c r="G20" s="94"/>
      <c r="H20" s="192">
        <f t="shared" ref="H20:R20" si="5">AVERAGEIF($C$36:$C$167,"=3",H$36:H$167)</f>
        <v>268.22222222222223</v>
      </c>
      <c r="I20" s="192">
        <f t="shared" si="5"/>
        <v>35.5</v>
      </c>
      <c r="J20" s="192">
        <f t="shared" si="5"/>
        <v>265.26315789473682</v>
      </c>
      <c r="K20" s="192">
        <f t="shared" si="5"/>
        <v>36.789473684210527</v>
      </c>
      <c r="L20" s="192">
        <f t="shared" si="5"/>
        <v>264.57894736842104</v>
      </c>
      <c r="M20" s="192">
        <f t="shared" si="5"/>
        <v>38.10526315789474</v>
      </c>
      <c r="N20" s="192">
        <f t="shared" si="5"/>
        <v>258.73684210526318</v>
      </c>
      <c r="O20" s="192">
        <f t="shared" si="5"/>
        <v>38.736842105263158</v>
      </c>
      <c r="P20" s="192">
        <f t="shared" si="5"/>
        <v>262.75</v>
      </c>
      <c r="Q20" s="192">
        <f t="shared" si="5"/>
        <v>36.1</v>
      </c>
      <c r="R20" s="192">
        <f t="shared" si="5"/>
        <v>261.60000000000002</v>
      </c>
      <c r="S20" s="283"/>
      <c r="T20" s="192">
        <f>AVERAGEIF($C$36:$C$167,"=3",T$36:T$167)</f>
        <v>38.200000000000003</v>
      </c>
      <c r="U20" s="283"/>
      <c r="V20" s="192">
        <f t="shared" ref="V20:AB20" si="6">AVERAGEIF($C$36:$C$167,"=3",V$36:V$167)</f>
        <v>267.13636363636363</v>
      </c>
      <c r="W20" s="283"/>
      <c r="X20" s="192">
        <f t="shared" si="6"/>
        <v>39.636363636363633</v>
      </c>
      <c r="Y20" s="283"/>
      <c r="Z20" s="192">
        <f t="shared" si="6"/>
        <v>267.09090909090907</v>
      </c>
      <c r="AA20" s="283"/>
      <c r="AB20" s="192">
        <f t="shared" si="6"/>
        <v>39.227272727272727</v>
      </c>
      <c r="AC20" s="283"/>
    </row>
    <row r="21" spans="1:29" s="267" customFormat="1" ht="25.5" customHeight="1" x14ac:dyDescent="0.25">
      <c r="A21" s="283" t="s">
        <v>249</v>
      </c>
      <c r="B21" s="6"/>
      <c r="C21" s="6"/>
      <c r="D21" s="192">
        <f>AVERAGEIF($C$36:$C$167,"=4",D$36:D$167)</f>
        <v>237.49589743589743</v>
      </c>
      <c r="E21" s="192"/>
      <c r="F21" s="192">
        <f>AVERAGEIF($C$36:$C$167,"=4",F$36:F$167)</f>
        <v>241.06085972850676</v>
      </c>
      <c r="G21" s="94"/>
      <c r="H21" s="192">
        <f t="shared" ref="H21:R21" si="7">AVERAGEIF($C$36:$C$167,"=4",H$36:H$167)</f>
        <v>248.28571428571428</v>
      </c>
      <c r="I21" s="192">
        <f t="shared" si="7"/>
        <v>34</v>
      </c>
      <c r="J21" s="192">
        <f t="shared" si="7"/>
        <v>255.13333333333333</v>
      </c>
      <c r="K21" s="192">
        <f t="shared" si="7"/>
        <v>33.133333333333333</v>
      </c>
      <c r="L21" s="192">
        <f t="shared" si="7"/>
        <v>251.46666666666667</v>
      </c>
      <c r="M21" s="192">
        <f t="shared" si="7"/>
        <v>34.06666666666667</v>
      </c>
      <c r="N21" s="192">
        <f t="shared" si="7"/>
        <v>244.78571428571428</v>
      </c>
      <c r="O21" s="192">
        <f t="shared" si="7"/>
        <v>37.642857142857146</v>
      </c>
      <c r="P21" s="192">
        <f t="shared" si="7"/>
        <v>241.84615384615384</v>
      </c>
      <c r="Q21" s="192">
        <f t="shared" si="7"/>
        <v>36.46153846153846</v>
      </c>
      <c r="R21" s="192">
        <f t="shared" si="7"/>
        <v>243.85714285714286</v>
      </c>
      <c r="S21" s="283"/>
      <c r="T21" s="192">
        <f>AVERAGEIF($C$36:$C$167,"=4",T$36:T$167)</f>
        <v>36.142857142857146</v>
      </c>
      <c r="U21" s="283"/>
      <c r="V21" s="192">
        <f t="shared" ref="V21:AB21" si="8">AVERAGEIF($C$36:$C$167,"=4",V$36:V$167)</f>
        <v>249.64285714285714</v>
      </c>
      <c r="W21" s="283"/>
      <c r="X21" s="192">
        <f t="shared" si="8"/>
        <v>39</v>
      </c>
      <c r="Y21" s="283"/>
      <c r="Z21" s="192">
        <f t="shared" si="8"/>
        <v>245.2</v>
      </c>
      <c r="AA21" s="283"/>
      <c r="AB21" s="192">
        <f t="shared" si="8"/>
        <v>38.133333333333333</v>
      </c>
      <c r="AC21" s="283"/>
    </row>
    <row r="22" spans="1:29" s="267" customFormat="1" ht="24.9" customHeight="1" x14ac:dyDescent="0.25">
      <c r="A22" s="283" t="s">
        <v>250</v>
      </c>
      <c r="B22" s="6"/>
      <c r="C22" s="6"/>
      <c r="D22" s="192">
        <f>AVERAGEIF($C$36:$C$167,"=5",D$36:D$167)</f>
        <v>267.17564102564103</v>
      </c>
      <c r="E22" s="192"/>
      <c r="F22" s="192">
        <f>AVERAGEIF($C$36:$C$167,"=5",F$36:F$167)</f>
        <v>267.14663461538464</v>
      </c>
      <c r="G22" s="94"/>
      <c r="H22" s="192">
        <f t="shared" ref="H22:R22" si="9">AVERAGEIF($C$36:$C$167,"=5",H$36:H$167)</f>
        <v>276.1764705882353</v>
      </c>
      <c r="I22" s="192">
        <f t="shared" si="9"/>
        <v>33.941176470588232</v>
      </c>
      <c r="J22" s="192">
        <f t="shared" si="9"/>
        <v>275.47058823529414</v>
      </c>
      <c r="K22" s="192">
        <f t="shared" si="9"/>
        <v>35.705882352941174</v>
      </c>
      <c r="L22" s="192">
        <f t="shared" si="9"/>
        <v>271.5</v>
      </c>
      <c r="M22" s="192">
        <f t="shared" si="9"/>
        <v>36.277777777777779</v>
      </c>
      <c r="N22" s="192">
        <f t="shared" si="9"/>
        <v>268.31578947368422</v>
      </c>
      <c r="O22" s="192">
        <f t="shared" si="9"/>
        <v>37.05263157894737</v>
      </c>
      <c r="P22" s="192">
        <f t="shared" si="9"/>
        <v>272</v>
      </c>
      <c r="Q22" s="192">
        <f t="shared" si="9"/>
        <v>34.444444444444443</v>
      </c>
      <c r="R22" s="192">
        <f t="shared" si="9"/>
        <v>270.44444444444446</v>
      </c>
      <c r="S22" s="283"/>
      <c r="T22" s="192">
        <f>AVERAGEIF($C$36:$C$167,"=5",T$36:T$167)</f>
        <v>38.611111111111114</v>
      </c>
      <c r="U22" s="283"/>
      <c r="V22" s="192">
        <f t="shared" ref="V22:AB22" si="10">AVERAGEIF($C$36:$C$167,"=5",V$36:V$167)</f>
        <v>276.64705882352939</v>
      </c>
      <c r="W22" s="283"/>
      <c r="X22" s="192">
        <f t="shared" si="10"/>
        <v>37.294117647058826</v>
      </c>
      <c r="Y22" s="283"/>
      <c r="Z22" s="192">
        <f t="shared" si="10"/>
        <v>278.11764705882354</v>
      </c>
      <c r="AA22" s="283"/>
      <c r="AB22" s="192">
        <f t="shared" si="10"/>
        <v>38.941176470588232</v>
      </c>
      <c r="AC22" s="283"/>
    </row>
    <row r="23" spans="1:29" ht="24.9" customHeight="1" x14ac:dyDescent="0.25">
      <c r="A23" s="283" t="s">
        <v>251</v>
      </c>
      <c r="B23" s="192"/>
      <c r="C23" s="192"/>
      <c r="D23" s="192">
        <f>AVERAGEIF($C$36:$C$167,"=6",D$36:D$167)</f>
        <v>256.91706730769238</v>
      </c>
      <c r="E23" s="192"/>
      <c r="F23" s="192">
        <f>AVERAGEIF($C$36:$C$167,"=6",F$36:F$167)</f>
        <v>256.44615384615383</v>
      </c>
      <c r="G23" s="192"/>
      <c r="H23" s="192">
        <f t="shared" ref="H23:R23" si="11">AVERAGEIF($C$36:$C$167,"=6",H$36:H$167)</f>
        <v>267.13333333333333</v>
      </c>
      <c r="I23" s="192">
        <f t="shared" si="11"/>
        <v>29.8</v>
      </c>
      <c r="J23" s="192">
        <f t="shared" si="11"/>
        <v>258.86666666666667</v>
      </c>
      <c r="K23" s="192">
        <f t="shared" si="11"/>
        <v>39</v>
      </c>
      <c r="L23" s="192">
        <f t="shared" si="11"/>
        <v>260.07142857142856</v>
      </c>
      <c r="M23" s="192">
        <f t="shared" si="11"/>
        <v>38.785714285714285</v>
      </c>
      <c r="N23" s="192">
        <f t="shared" si="11"/>
        <v>259</v>
      </c>
      <c r="O23" s="192">
        <f t="shared" si="11"/>
        <v>40.866666666666667</v>
      </c>
      <c r="P23" s="192">
        <f t="shared" si="11"/>
        <v>252.94117647058823</v>
      </c>
      <c r="Q23" s="192">
        <f t="shared" si="11"/>
        <v>35.117647058823529</v>
      </c>
      <c r="R23" s="192">
        <f t="shared" si="11"/>
        <v>255.58823529411765</v>
      </c>
      <c r="S23" s="283"/>
      <c r="T23" s="192">
        <f>AVERAGEIF($C$36:$C$167,"=6",T$36:T$167)</f>
        <v>34.411764705882355</v>
      </c>
      <c r="U23" s="283"/>
      <c r="V23" s="192">
        <f t="shared" ref="V23:AB23" si="12">AVERAGEIF($C$36:$C$167,"=6",V$36:V$167)</f>
        <v>258.31578947368422</v>
      </c>
      <c r="W23" s="283"/>
      <c r="X23" s="192">
        <f t="shared" si="12"/>
        <v>41.368421052631582</v>
      </c>
      <c r="Y23" s="283"/>
      <c r="Z23" s="192">
        <f t="shared" si="12"/>
        <v>264.3</v>
      </c>
      <c r="AA23" s="283"/>
      <c r="AB23" s="192">
        <f t="shared" si="12"/>
        <v>36.15</v>
      </c>
      <c r="AC23" s="283"/>
    </row>
    <row r="24" spans="1:29" s="434" customFormat="1" ht="24.9" customHeight="1" x14ac:dyDescent="0.25">
      <c r="A24" s="6" t="s">
        <v>931</v>
      </c>
      <c r="B24" s="448"/>
      <c r="C24" s="448"/>
      <c r="D24" s="448">
        <f>AVERAGEIFS(D$36:D$167,$C$36:$C$167,"=1", $B$36:$B$167,"OFICIAL")</f>
        <v>254.57596153846151</v>
      </c>
      <c r="E24" s="448"/>
      <c r="F24" s="448">
        <f>AVERAGEIFS(F$36:F$167,$C$36:$C$167,"=1", $B$36:$B$167,"OFICIAL")</f>
        <v>252.89038461538462</v>
      </c>
      <c r="G24" s="448"/>
      <c r="H24" s="448">
        <f t="shared" ref="H24:R24" si="13">AVERAGEIFS(H$36:H$167,$C$36:$C$167,"=1", $B$36:$B$167,"OFICIAL")</f>
        <v>262.5</v>
      </c>
      <c r="I24" s="448">
        <f t="shared" si="13"/>
        <v>35.75</v>
      </c>
      <c r="J24" s="448">
        <f t="shared" si="13"/>
        <v>263</v>
      </c>
      <c r="K24" s="448">
        <f t="shared" si="13"/>
        <v>34.75</v>
      </c>
      <c r="L24" s="448">
        <f t="shared" si="13"/>
        <v>255.75</v>
      </c>
      <c r="M24" s="448">
        <f t="shared" si="13"/>
        <v>36.75</v>
      </c>
      <c r="N24" s="448">
        <f t="shared" si="13"/>
        <v>253.75</v>
      </c>
      <c r="O24" s="448">
        <f t="shared" si="13"/>
        <v>40.25</v>
      </c>
      <c r="P24" s="448">
        <f t="shared" si="13"/>
        <v>255.5</v>
      </c>
      <c r="Q24" s="448">
        <f t="shared" si="13"/>
        <v>37.5</v>
      </c>
      <c r="R24" s="448">
        <f t="shared" si="13"/>
        <v>251.5</v>
      </c>
      <c r="S24" s="446"/>
      <c r="T24" s="448">
        <f>AVERAGEIFS(T$36:T$167,$C$36:$C$167,"=1", $B$36:$B$167,"OFICIAL")</f>
        <v>39.25</v>
      </c>
      <c r="U24" s="446"/>
      <c r="V24" s="448">
        <f t="shared" ref="V24:AB24" si="14">AVERAGEIFS(V$36:V$167,$C$36:$C$167,"=1", $B$36:$B$167,"OFICIAL")</f>
        <v>252.8</v>
      </c>
      <c r="W24" s="446"/>
      <c r="X24" s="448">
        <f t="shared" si="14"/>
        <v>39</v>
      </c>
      <c r="Y24" s="446"/>
      <c r="Z24" s="448">
        <f t="shared" si="14"/>
        <v>253.6</v>
      </c>
      <c r="AA24" s="446"/>
      <c r="AB24" s="448">
        <f t="shared" si="14"/>
        <v>38.6</v>
      </c>
      <c r="AC24" s="446"/>
    </row>
    <row r="25" spans="1:29" s="434" customFormat="1" ht="24.9" customHeight="1" x14ac:dyDescent="0.25">
      <c r="A25" s="6" t="s">
        <v>932</v>
      </c>
      <c r="B25" s="448"/>
      <c r="C25" s="448"/>
      <c r="D25" s="448">
        <f>AVERAGEIFS(D$36:D$167,$C$36:$C$167,"=2", $B$36:$B$167,"OFICIAL")</f>
        <v>255.5</v>
      </c>
      <c r="E25" s="448"/>
      <c r="F25" s="448">
        <f>AVERAGEIFS(F$36:F$167,$C$36:$C$167,"=2", $B$36:$B$167,"OFICIAL")</f>
        <v>252</v>
      </c>
      <c r="G25" s="448"/>
      <c r="H25" s="448">
        <f t="shared" ref="H25:R25" si="15">AVERAGEIFS(H$36:H$167,$C$36:$C$167,"=2", $B$36:$B$167,"OFICIAL")</f>
        <v>264.5</v>
      </c>
      <c r="I25" s="448">
        <f t="shared" si="15"/>
        <v>35</v>
      </c>
      <c r="J25" s="448">
        <f t="shared" si="15"/>
        <v>261.5</v>
      </c>
      <c r="K25" s="448">
        <f t="shared" si="15"/>
        <v>39</v>
      </c>
      <c r="L25" s="448">
        <f t="shared" si="15"/>
        <v>257.5</v>
      </c>
      <c r="M25" s="448">
        <f t="shared" si="15"/>
        <v>40.5</v>
      </c>
      <c r="N25" s="448">
        <f t="shared" si="15"/>
        <v>253.5</v>
      </c>
      <c r="O25" s="448">
        <f t="shared" si="15"/>
        <v>40.5</v>
      </c>
      <c r="P25" s="448">
        <f t="shared" si="15"/>
        <v>255.5</v>
      </c>
      <c r="Q25" s="448">
        <f t="shared" si="15"/>
        <v>37.5</v>
      </c>
      <c r="R25" s="448">
        <f t="shared" si="15"/>
        <v>250.5</v>
      </c>
      <c r="S25" s="446"/>
      <c r="T25" s="448">
        <f>AVERAGEIFS(T$36:T$167,$C$36:$C$167,"=2", $B$36:$B$167,"OFICIAL")</f>
        <v>39</v>
      </c>
      <c r="U25" s="446"/>
      <c r="V25" s="448">
        <f t="shared" ref="V25:AB25" si="16">AVERAGEIFS(V$36:V$167,$C$36:$C$167,"=2", $B$36:$B$167,"OFICIAL")</f>
        <v>253.25</v>
      </c>
      <c r="W25" s="446"/>
      <c r="X25" s="448">
        <f t="shared" si="16"/>
        <v>39</v>
      </c>
      <c r="Y25" s="446"/>
      <c r="Z25" s="448">
        <f t="shared" si="16"/>
        <v>255.5</v>
      </c>
      <c r="AA25" s="446"/>
      <c r="AB25" s="448">
        <f t="shared" si="16"/>
        <v>39.5</v>
      </c>
      <c r="AC25" s="446"/>
    </row>
    <row r="26" spans="1:29" s="434" customFormat="1" ht="24.9" customHeight="1" x14ac:dyDescent="0.25">
      <c r="A26" s="6" t="s">
        <v>933</v>
      </c>
      <c r="B26" s="448"/>
      <c r="C26" s="448"/>
      <c r="D26" s="448">
        <f>AVERAGEIFS(D$36:D$167,$C$36:$C$167,"=3", $B$36:$B$167,"OFICIAL")</f>
        <v>251.66923076923072</v>
      </c>
      <c r="E26" s="448"/>
      <c r="F26" s="448">
        <f>AVERAGEIFS(F$36:F$167,$C$36:$C$167,"=3", $B$36:$B$167,"OFICIAL")</f>
        <v>245.92307692307691</v>
      </c>
      <c r="G26" s="448"/>
      <c r="H26" s="448">
        <f t="shared" ref="H26:R26" si="17">AVERAGEIFS(H$36:H$167,$C$36:$C$167,"=3", $B$36:$B$167,"OFICIAL")</f>
        <v>259.39999999999998</v>
      </c>
      <c r="I26" s="448">
        <f t="shared" si="17"/>
        <v>36.6</v>
      </c>
      <c r="J26" s="448">
        <f t="shared" si="17"/>
        <v>258.8</v>
      </c>
      <c r="K26" s="448">
        <f t="shared" si="17"/>
        <v>37.6</v>
      </c>
      <c r="L26" s="448">
        <f t="shared" si="17"/>
        <v>257.60000000000002</v>
      </c>
      <c r="M26" s="448">
        <f t="shared" si="17"/>
        <v>39</v>
      </c>
      <c r="N26" s="448">
        <f t="shared" si="17"/>
        <v>250.4</v>
      </c>
      <c r="O26" s="448">
        <f t="shared" si="17"/>
        <v>38.799999999999997</v>
      </c>
      <c r="P26" s="448">
        <f t="shared" si="17"/>
        <v>254.6</v>
      </c>
      <c r="Q26" s="448">
        <f t="shared" si="17"/>
        <v>37.4</v>
      </c>
      <c r="R26" s="448">
        <f t="shared" si="17"/>
        <v>250.4</v>
      </c>
      <c r="S26" s="446"/>
      <c r="T26" s="448">
        <f>AVERAGEIFS(T$36:T$167,$C$36:$C$167,"=3", $B$36:$B$167,"OFICIAL")</f>
        <v>38.200000000000003</v>
      </c>
      <c r="U26" s="446"/>
      <c r="V26" s="448">
        <f t="shared" ref="V26:AB26" si="18">AVERAGEIFS(V$36:V$167,$C$36:$C$167,"=3", $B$36:$B$167,"OFICIAL")</f>
        <v>257</v>
      </c>
      <c r="W26" s="446"/>
      <c r="X26" s="448">
        <f t="shared" si="18"/>
        <v>40.666666666666664</v>
      </c>
      <c r="Y26" s="446"/>
      <c r="Z26" s="448">
        <f t="shared" si="18"/>
        <v>257</v>
      </c>
      <c r="AA26" s="446"/>
      <c r="AB26" s="448">
        <f t="shared" si="18"/>
        <v>40.166666666666664</v>
      </c>
      <c r="AC26" s="446"/>
    </row>
    <row r="27" spans="1:29" s="434" customFormat="1" ht="24.9" customHeight="1" x14ac:dyDescent="0.25">
      <c r="A27" s="6" t="s">
        <v>934</v>
      </c>
      <c r="B27" s="448"/>
      <c r="C27" s="448"/>
      <c r="D27" s="448">
        <f>AVERAGEIFS(D$36:D$167,$C$36:$C$167,"=4", $B$36:$B$167,"OFICIAL")</f>
        <v>244.03717948717949</v>
      </c>
      <c r="E27" s="448"/>
      <c r="F27" s="448">
        <f>AVERAGEIFS(F$36:F$167,$C$36:$C$167,"=4", $B$36:$B$167,"OFICIAL")</f>
        <v>241.96089743589744</v>
      </c>
      <c r="G27" s="448"/>
      <c r="H27" s="448">
        <f t="shared" ref="H27:R27" si="19">AVERAGEIFS(H$36:H$167,$C$36:$C$167,"=4", $B$36:$B$167,"OFICIAL")</f>
        <v>243.83333333333334</v>
      </c>
      <c r="I27" s="448">
        <f t="shared" si="19"/>
        <v>35</v>
      </c>
      <c r="J27" s="448">
        <f t="shared" si="19"/>
        <v>244.33333333333334</v>
      </c>
      <c r="K27" s="448">
        <f t="shared" si="19"/>
        <v>37.333333333333336</v>
      </c>
      <c r="L27" s="448">
        <f t="shared" si="19"/>
        <v>237</v>
      </c>
      <c r="M27" s="448">
        <f t="shared" si="19"/>
        <v>38.833333333333336</v>
      </c>
      <c r="N27" s="448">
        <f t="shared" si="19"/>
        <v>232.5</v>
      </c>
      <c r="O27" s="448">
        <f t="shared" si="19"/>
        <v>39.333333333333336</v>
      </c>
      <c r="P27" s="448">
        <f t="shared" si="19"/>
        <v>234.5</v>
      </c>
      <c r="Q27" s="448">
        <f t="shared" si="19"/>
        <v>35.5</v>
      </c>
      <c r="R27" s="448">
        <f t="shared" si="19"/>
        <v>233.66666666666666</v>
      </c>
      <c r="S27" s="446"/>
      <c r="T27" s="448">
        <f>AVERAGEIFS(T$36:T$167,$C$36:$C$167,"=4", $B$36:$B$167,"OFICIAL")</f>
        <v>37.333333333333336</v>
      </c>
      <c r="U27" s="446"/>
      <c r="V27" s="448">
        <f t="shared" ref="V27:AB27" si="20">AVERAGEIFS(V$36:V$167,$C$36:$C$167,"=4", $B$36:$B$167,"OFICIAL")</f>
        <v>238.33333333333334</v>
      </c>
      <c r="W27" s="446"/>
      <c r="X27" s="448">
        <f t="shared" si="20"/>
        <v>39.666666666666664</v>
      </c>
      <c r="Y27" s="446"/>
      <c r="Z27" s="448">
        <f t="shared" si="20"/>
        <v>237.66666666666666</v>
      </c>
      <c r="AA27" s="446"/>
      <c r="AB27" s="448">
        <f t="shared" si="20"/>
        <v>41.166666666666664</v>
      </c>
      <c r="AC27" s="446"/>
    </row>
    <row r="28" spans="1:29" s="434" customFormat="1" ht="24.9" customHeight="1" x14ac:dyDescent="0.25">
      <c r="A28" s="6" t="s">
        <v>935</v>
      </c>
      <c r="B28" s="448"/>
      <c r="C28" s="448"/>
      <c r="D28" s="448">
        <f>AVERAGEIFS(D$36:D$167,$C$36:$C$167,"=5", $B$36:$B$167,"OFICIAL")</f>
        <v>257.79230769230776</v>
      </c>
      <c r="E28" s="448"/>
      <c r="F28" s="448">
        <f>AVERAGEIFS(F$36:F$167,$C$36:$C$167,"=5", $B$36:$B$167,"OFICIAL")</f>
        <v>257.5</v>
      </c>
      <c r="G28" s="448"/>
      <c r="H28" s="448">
        <f t="shared" ref="H28:R28" si="21">AVERAGEIFS(H$36:H$167,$C$36:$C$167,"=5", $B$36:$B$167,"OFICIAL")</f>
        <v>264.5</v>
      </c>
      <c r="I28" s="448">
        <f t="shared" si="21"/>
        <v>34</v>
      </c>
      <c r="J28" s="448">
        <f t="shared" si="21"/>
        <v>257.5</v>
      </c>
      <c r="K28" s="448">
        <f t="shared" si="21"/>
        <v>38</v>
      </c>
      <c r="L28" s="448">
        <f t="shared" si="21"/>
        <v>251</v>
      </c>
      <c r="M28" s="448">
        <f t="shared" si="21"/>
        <v>37</v>
      </c>
      <c r="N28" s="448">
        <f t="shared" si="21"/>
        <v>252.5</v>
      </c>
      <c r="O28" s="448">
        <f t="shared" si="21"/>
        <v>37.5</v>
      </c>
      <c r="P28" s="448">
        <f t="shared" si="21"/>
        <v>252.5</v>
      </c>
      <c r="Q28" s="448">
        <f t="shared" si="21"/>
        <v>36</v>
      </c>
      <c r="R28" s="448">
        <f t="shared" si="21"/>
        <v>251</v>
      </c>
      <c r="S28" s="446"/>
      <c r="T28" s="448">
        <f>AVERAGEIFS(T$36:T$167,$C$36:$C$167,"=5", $B$36:$B$167,"OFICIAL")</f>
        <v>41</v>
      </c>
      <c r="U28" s="446"/>
      <c r="V28" s="448">
        <f t="shared" ref="V28:AB28" si="22">AVERAGEIFS(V$36:V$167,$C$36:$C$167,"=5", $B$36:$B$167,"OFICIAL")</f>
        <v>259.5</v>
      </c>
      <c r="W28" s="446"/>
      <c r="X28" s="448">
        <f t="shared" si="22"/>
        <v>40</v>
      </c>
      <c r="Y28" s="446"/>
      <c r="Z28" s="448">
        <f t="shared" si="22"/>
        <v>256.5</v>
      </c>
      <c r="AA28" s="446"/>
      <c r="AB28" s="448">
        <f t="shared" si="22"/>
        <v>41.5</v>
      </c>
      <c r="AC28" s="446"/>
    </row>
    <row r="29" spans="1:29" s="434" customFormat="1" ht="24.9" customHeight="1" x14ac:dyDescent="0.25">
      <c r="A29" s="6" t="s">
        <v>936</v>
      </c>
      <c r="B29" s="448"/>
      <c r="C29" s="448"/>
      <c r="D29" s="448">
        <f>AVERAGEIFS(D$36:D$167,$C$36:$C$167,"=6", $B$36:$B$167,"OFICIAL")</f>
        <v>249.85000000000002</v>
      </c>
      <c r="E29" s="448"/>
      <c r="F29" s="448">
        <f>AVERAGEIFS(F$36:F$167,$C$36:$C$167,"=6", $B$36:$B$167,"OFICIAL")</f>
        <v>249</v>
      </c>
      <c r="G29" s="448"/>
      <c r="H29" s="448">
        <f t="shared" ref="H29:R29" si="23">AVERAGEIFS(H$36:H$167,$C$36:$C$167,"=6", $B$36:$B$167,"OFICIAL")</f>
        <v>259.33333333333331</v>
      </c>
      <c r="I29" s="448">
        <f t="shared" si="23"/>
        <v>34.666666666666664</v>
      </c>
      <c r="J29" s="448">
        <f t="shared" si="23"/>
        <v>257</v>
      </c>
      <c r="K29" s="448">
        <f t="shared" si="23"/>
        <v>37</v>
      </c>
      <c r="L29" s="448">
        <f t="shared" si="23"/>
        <v>252.33333333333334</v>
      </c>
      <c r="M29" s="448">
        <f t="shared" si="23"/>
        <v>40.333333333333336</v>
      </c>
      <c r="N29" s="448">
        <f t="shared" si="23"/>
        <v>250</v>
      </c>
      <c r="O29" s="448">
        <f t="shared" si="23"/>
        <v>39.333333333333336</v>
      </c>
      <c r="P29" s="448">
        <f t="shared" si="23"/>
        <v>251.33333333333334</v>
      </c>
      <c r="Q29" s="448">
        <f t="shared" si="23"/>
        <v>37.666666666666664</v>
      </c>
      <c r="R29" s="448">
        <f t="shared" si="23"/>
        <v>246.33333333333334</v>
      </c>
      <c r="S29" s="446"/>
      <c r="T29" s="448">
        <f>AVERAGEIFS(T$36:T$167,$C$36:$C$167,"=6", $B$36:$B$167,"OFICIAL")</f>
        <v>39</v>
      </c>
      <c r="U29" s="446"/>
      <c r="V29" s="448">
        <f t="shared" ref="V29:AB29" si="24">AVERAGEIFS(V$36:V$167,$C$36:$C$167,"=6", $B$36:$B$167,"OFICIAL")</f>
        <v>251</v>
      </c>
      <c r="W29" s="446"/>
      <c r="X29" s="448">
        <f t="shared" si="24"/>
        <v>40.666666666666664</v>
      </c>
      <c r="Y29" s="446"/>
      <c r="Z29" s="448">
        <f t="shared" si="24"/>
        <v>249.33333333333334</v>
      </c>
      <c r="AA29" s="446"/>
      <c r="AB29" s="448">
        <f t="shared" si="24"/>
        <v>40</v>
      </c>
      <c r="AC29" s="446"/>
    </row>
    <row r="30" spans="1:29" s="434" customFormat="1" ht="24.9" customHeight="1" x14ac:dyDescent="0.25">
      <c r="A30" s="6" t="s">
        <v>937</v>
      </c>
      <c r="B30" s="448"/>
      <c r="C30" s="448"/>
      <c r="D30" s="448">
        <f>AVERAGEIFS(D$36:D$167,$C$36:$C$167,"=1", $B$36:$B$167,"NO OFICIAL")</f>
        <v>255.29102564102564</v>
      </c>
      <c r="E30" s="448"/>
      <c r="F30" s="448">
        <f>AVERAGEIFS(F$36:F$167,$C$36:$C$167,"=1", $B$36:$B$167,"NO OFICIAL")</f>
        <v>249.7397435897436</v>
      </c>
      <c r="G30" s="448"/>
      <c r="H30" s="448">
        <f t="shared" ref="H30:R30" si="25">AVERAGEIFS(H$36:H$167,$C$36:$C$167,"=1", $B$36:$B$167,"NO OFICIAL")</f>
        <v>260.46153846153845</v>
      </c>
      <c r="I30" s="448">
        <f t="shared" si="25"/>
        <v>33.230769230769234</v>
      </c>
      <c r="J30" s="448">
        <f t="shared" si="25"/>
        <v>259.5</v>
      </c>
      <c r="K30" s="448">
        <f t="shared" si="25"/>
        <v>35.166666666666664</v>
      </c>
      <c r="L30" s="448">
        <f t="shared" si="25"/>
        <v>257.61538461538464</v>
      </c>
      <c r="M30" s="448">
        <f t="shared" si="25"/>
        <v>37.384615384615387</v>
      </c>
      <c r="N30" s="448">
        <f t="shared" si="25"/>
        <v>252.53846153846155</v>
      </c>
      <c r="O30" s="448">
        <f t="shared" si="25"/>
        <v>37</v>
      </c>
      <c r="P30" s="448">
        <f t="shared" si="25"/>
        <v>257.84615384615387</v>
      </c>
      <c r="Q30" s="448">
        <f t="shared" si="25"/>
        <v>36.46153846153846</v>
      </c>
      <c r="R30" s="448">
        <f t="shared" si="25"/>
        <v>259.07692307692309</v>
      </c>
      <c r="S30" s="446"/>
      <c r="T30" s="448">
        <f>AVERAGEIFS(T$36:T$167,$C$36:$C$167,"=1", $B$36:$B$167,"NO OFICIAL")</f>
        <v>37</v>
      </c>
      <c r="U30" s="446"/>
      <c r="V30" s="448">
        <f t="shared" ref="V30:AB30" si="26">AVERAGEIFS(V$36:V$167,$C$36:$C$167,"=1", $B$36:$B$167,"NO OFICIAL")</f>
        <v>261.15384615384613</v>
      </c>
      <c r="W30" s="446"/>
      <c r="X30" s="448">
        <f t="shared" si="26"/>
        <v>40.615384615384613</v>
      </c>
      <c r="Y30" s="446"/>
      <c r="Z30" s="448">
        <f t="shared" si="26"/>
        <v>265.91666666666669</v>
      </c>
      <c r="AA30" s="446"/>
      <c r="AB30" s="448">
        <f t="shared" si="26"/>
        <v>38</v>
      </c>
      <c r="AC30" s="446"/>
    </row>
    <row r="31" spans="1:29" s="434" customFormat="1" ht="24.9" customHeight="1" x14ac:dyDescent="0.25">
      <c r="A31" s="6" t="s">
        <v>938</v>
      </c>
      <c r="B31" s="448"/>
      <c r="C31" s="448"/>
      <c r="D31" s="448">
        <f>AVERAGEIFS(D$36:D$167,$C$36:$C$167,"=2", $B$36:$B$167,"NO OFICIAL")</f>
        <v>259.97036199095021</v>
      </c>
      <c r="E31" s="448"/>
      <c r="F31" s="448">
        <f>AVERAGEIFS(F$36:F$167,$C$36:$C$167,"=2", $B$36:$B$167,"NO OFICIAL")</f>
        <v>256.50067873303169</v>
      </c>
      <c r="G31" s="448"/>
      <c r="H31" s="448">
        <f t="shared" ref="H31:R31" si="27">AVERAGEIFS(H$36:H$167,$C$36:$C$167,"=2", $B$36:$B$167,"NO OFICIAL")</f>
        <v>268.88888888888891</v>
      </c>
      <c r="I31" s="448">
        <f t="shared" si="27"/>
        <v>32.888888888888886</v>
      </c>
      <c r="J31" s="448">
        <f t="shared" si="27"/>
        <v>266.11764705882354</v>
      </c>
      <c r="K31" s="448">
        <f t="shared" si="27"/>
        <v>35.647058823529413</v>
      </c>
      <c r="L31" s="448">
        <f t="shared" si="27"/>
        <v>263.52941176470586</v>
      </c>
      <c r="M31" s="448">
        <f t="shared" si="27"/>
        <v>37.058823529411768</v>
      </c>
      <c r="N31" s="448">
        <f t="shared" si="27"/>
        <v>263.66666666666669</v>
      </c>
      <c r="O31" s="448">
        <f t="shared" si="27"/>
        <v>38</v>
      </c>
      <c r="P31" s="448">
        <f t="shared" si="27"/>
        <v>259.45454545454544</v>
      </c>
      <c r="Q31" s="448">
        <f t="shared" si="27"/>
        <v>31.59090909090909</v>
      </c>
      <c r="R31" s="448">
        <f t="shared" si="27"/>
        <v>258.14999999999998</v>
      </c>
      <c r="S31" s="446"/>
      <c r="T31" s="448">
        <f>AVERAGEIFS(T$36:T$167,$C$36:$C$167,"=2", $B$36:$B$167,"NO OFICIAL")</f>
        <v>35.549999999999997</v>
      </c>
      <c r="U31" s="446"/>
      <c r="V31" s="448">
        <f t="shared" ref="V31:AB31" si="28">AVERAGEIFS(V$36:V$167,$C$36:$C$167,"=2", $B$36:$B$167,"NO OFICIAL")</f>
        <v>269.28571428571428</v>
      </c>
      <c r="W31" s="446"/>
      <c r="X31" s="448">
        <f t="shared" si="28"/>
        <v>37.666666666666664</v>
      </c>
      <c r="Y31" s="446"/>
      <c r="Z31" s="448">
        <f t="shared" si="28"/>
        <v>266.77272727272725</v>
      </c>
      <c r="AA31" s="446"/>
      <c r="AB31" s="448">
        <f t="shared" si="28"/>
        <v>37.409090909090907</v>
      </c>
      <c r="AC31" s="446"/>
    </row>
    <row r="32" spans="1:29" s="434" customFormat="1" ht="24.9" customHeight="1" x14ac:dyDescent="0.25">
      <c r="A32" s="6" t="s">
        <v>939</v>
      </c>
      <c r="B32" s="448"/>
      <c r="C32" s="448"/>
      <c r="D32" s="448">
        <f>AVERAGEIFS(D$36:D$167,$C$36:$C$167,"=3", $B$36:$B$167,"NO OFICIAL")</f>
        <v>261.04038461538465</v>
      </c>
      <c r="E32" s="448"/>
      <c r="F32" s="448">
        <f>AVERAGEIFS(F$36:F$167,$C$36:$C$167,"=3", $B$36:$B$167,"NO OFICIAL")</f>
        <v>259.56634615384615</v>
      </c>
      <c r="G32" s="448"/>
      <c r="H32" s="448">
        <f t="shared" ref="H32:R32" si="29">AVERAGEIFS(H$36:H$167,$C$36:$C$167,"=3", $B$36:$B$167,"NO OFICIAL")</f>
        <v>271.61538461538464</v>
      </c>
      <c r="I32" s="448">
        <f t="shared" si="29"/>
        <v>35.07692307692308</v>
      </c>
      <c r="J32" s="448">
        <f t="shared" si="29"/>
        <v>267.57142857142856</v>
      </c>
      <c r="K32" s="448">
        <f t="shared" si="29"/>
        <v>36.5</v>
      </c>
      <c r="L32" s="448">
        <f t="shared" si="29"/>
        <v>267.07142857142856</v>
      </c>
      <c r="M32" s="448">
        <f t="shared" si="29"/>
        <v>37.785714285714285</v>
      </c>
      <c r="N32" s="448">
        <f t="shared" si="29"/>
        <v>261.71428571428572</v>
      </c>
      <c r="O32" s="448">
        <f t="shared" si="29"/>
        <v>38.714285714285715</v>
      </c>
      <c r="P32" s="448">
        <f t="shared" si="29"/>
        <v>265.46666666666664</v>
      </c>
      <c r="Q32" s="448">
        <f t="shared" si="29"/>
        <v>35.666666666666664</v>
      </c>
      <c r="R32" s="448">
        <f t="shared" si="29"/>
        <v>265.33333333333331</v>
      </c>
      <c r="S32" s="446"/>
      <c r="T32" s="448">
        <f>AVERAGEIFS(T$36:T$167,$C$36:$C$167,"=3", $B$36:$B$167,"NO OFICIAL")</f>
        <v>38.200000000000003</v>
      </c>
      <c r="U32" s="446"/>
      <c r="V32" s="448">
        <f t="shared" ref="V32:AB32" si="30">AVERAGEIFS(V$36:V$167,$C$36:$C$167,"=3", $B$36:$B$167,"NO OFICIAL")</f>
        <v>270.9375</v>
      </c>
      <c r="W32" s="446"/>
      <c r="X32" s="448">
        <f t="shared" si="30"/>
        <v>39.25</v>
      </c>
      <c r="Y32" s="446"/>
      <c r="Z32" s="448">
        <f t="shared" si="30"/>
        <v>270.875</v>
      </c>
      <c r="AA32" s="446"/>
      <c r="AB32" s="448">
        <f t="shared" si="30"/>
        <v>38.875</v>
      </c>
      <c r="AC32" s="446"/>
    </row>
    <row r="33" spans="1:29" s="434" customFormat="1" ht="24.9" customHeight="1" x14ac:dyDescent="0.25">
      <c r="A33" s="6" t="s">
        <v>940</v>
      </c>
      <c r="B33" s="448"/>
      <c r="C33" s="448"/>
      <c r="D33" s="448">
        <f>AVERAGEIFS(D$36:D$167,$C$36:$C$167,"=4", $B$36:$B$167,"NO OFICIAL")</f>
        <v>233.13504273504273</v>
      </c>
      <c r="E33" s="448"/>
      <c r="F33" s="448">
        <f>AVERAGEIFS(F$36:F$167,$C$36:$C$167,"=4", $B$36:$B$167,"NO OFICIAL")</f>
        <v>240.56993006993008</v>
      </c>
      <c r="G33" s="448"/>
      <c r="H33" s="448">
        <f t="shared" ref="H33:R33" si="31">AVERAGEIFS(H$36:H$167,$C$36:$C$167,"=4", $B$36:$B$167,"NO OFICIAL")</f>
        <v>251.625</v>
      </c>
      <c r="I33" s="448">
        <f t="shared" si="31"/>
        <v>33.25</v>
      </c>
      <c r="J33" s="448">
        <f t="shared" si="31"/>
        <v>262.33333333333331</v>
      </c>
      <c r="K33" s="448">
        <f t="shared" si="31"/>
        <v>30.333333333333332</v>
      </c>
      <c r="L33" s="448">
        <f t="shared" si="31"/>
        <v>261.11111111111109</v>
      </c>
      <c r="M33" s="448">
        <f t="shared" si="31"/>
        <v>30.888888888888889</v>
      </c>
      <c r="N33" s="448">
        <f t="shared" si="31"/>
        <v>254</v>
      </c>
      <c r="O33" s="448">
        <f t="shared" si="31"/>
        <v>36.375</v>
      </c>
      <c r="P33" s="448">
        <f t="shared" si="31"/>
        <v>248.14285714285714</v>
      </c>
      <c r="Q33" s="448">
        <f t="shared" si="31"/>
        <v>37.285714285714285</v>
      </c>
      <c r="R33" s="448">
        <f t="shared" si="31"/>
        <v>251.5</v>
      </c>
      <c r="S33" s="446"/>
      <c r="T33" s="448">
        <f>AVERAGEIFS(T$36:T$167,$C$36:$C$167,"=4", $B$36:$B$167,"NO OFICIAL")</f>
        <v>35.25</v>
      </c>
      <c r="U33" s="446"/>
      <c r="V33" s="448">
        <f t="shared" ref="V33:AB33" si="32">AVERAGEIFS(V$36:V$167,$C$36:$C$167,"=4", $B$36:$B$167,"NO OFICIAL")</f>
        <v>258.125</v>
      </c>
      <c r="W33" s="446"/>
      <c r="X33" s="448">
        <f t="shared" si="32"/>
        <v>38.5</v>
      </c>
      <c r="Y33" s="446"/>
      <c r="Z33" s="448">
        <f t="shared" si="32"/>
        <v>250.22222222222223</v>
      </c>
      <c r="AA33" s="446"/>
      <c r="AB33" s="448">
        <f t="shared" si="32"/>
        <v>36.111111111111114</v>
      </c>
      <c r="AC33" s="446"/>
    </row>
    <row r="34" spans="1:29" s="434" customFormat="1" ht="24.9" customHeight="1" x14ac:dyDescent="0.25">
      <c r="A34" s="6" t="s">
        <v>941</v>
      </c>
      <c r="B34" s="448"/>
      <c r="C34" s="448"/>
      <c r="D34" s="448">
        <f>AVERAGEIFS(D$36:D$167,$C$36:$C$167,"=5", $B$36:$B$167,"NO OFICIAL")</f>
        <v>268.6192307692308</v>
      </c>
      <c r="E34" s="448"/>
      <c r="F34" s="448">
        <f>AVERAGEIFS(F$36:F$167,$C$36:$C$167,"=5", $B$36:$B$167,"NO OFICIAL")</f>
        <v>268.52472527472526</v>
      </c>
      <c r="G34" s="448"/>
      <c r="H34" s="448">
        <f t="shared" ref="H34:R34" si="33">AVERAGEIFS(H$36:H$167,$C$36:$C$167,"=5", $B$36:$B$167,"NO OFICIAL")</f>
        <v>277.73333333333335</v>
      </c>
      <c r="I34" s="448">
        <f t="shared" si="33"/>
        <v>33.93333333333333</v>
      </c>
      <c r="J34" s="448">
        <f t="shared" si="33"/>
        <v>277.86666666666667</v>
      </c>
      <c r="K34" s="448">
        <f t="shared" si="33"/>
        <v>35.4</v>
      </c>
      <c r="L34" s="448">
        <f t="shared" si="33"/>
        <v>274.0625</v>
      </c>
      <c r="M34" s="448">
        <f t="shared" si="33"/>
        <v>36.1875</v>
      </c>
      <c r="N34" s="448">
        <f t="shared" si="33"/>
        <v>270.1764705882353</v>
      </c>
      <c r="O34" s="448">
        <f t="shared" si="33"/>
        <v>37</v>
      </c>
      <c r="P34" s="448">
        <f t="shared" si="33"/>
        <v>274.4375</v>
      </c>
      <c r="Q34" s="448">
        <f t="shared" si="33"/>
        <v>34.25</v>
      </c>
      <c r="R34" s="448">
        <f t="shared" si="33"/>
        <v>272.875</v>
      </c>
      <c r="S34" s="446"/>
      <c r="T34" s="448">
        <f>AVERAGEIFS(T$36:T$167,$C$36:$C$167,"=5", $B$36:$B$167,"NO OFICIAL")</f>
        <v>38.3125</v>
      </c>
      <c r="U34" s="446"/>
      <c r="V34" s="448">
        <f t="shared" ref="V34:AB34" si="34">AVERAGEIFS(V$36:V$167,$C$36:$C$167,"=5", $B$36:$B$167,"NO OFICIAL")</f>
        <v>278.93333333333334</v>
      </c>
      <c r="W34" s="446"/>
      <c r="X34" s="448">
        <f t="shared" si="34"/>
        <v>36.93333333333333</v>
      </c>
      <c r="Y34" s="446"/>
      <c r="Z34" s="448">
        <f t="shared" si="34"/>
        <v>281</v>
      </c>
      <c r="AA34" s="446"/>
      <c r="AB34" s="448">
        <f t="shared" si="34"/>
        <v>38.6</v>
      </c>
      <c r="AC34" s="446"/>
    </row>
    <row r="35" spans="1:29" s="434" customFormat="1" ht="24.9" customHeight="1" x14ac:dyDescent="0.25">
      <c r="A35" s="6" t="s">
        <v>942</v>
      </c>
      <c r="B35" s="448"/>
      <c r="C35" s="448"/>
      <c r="D35" s="448">
        <f>AVERAGEIFS(D$36:D$167,$C$36:$C$167,"=6", $B$36:$B$167,"NO OFICIAL")</f>
        <v>258.54792899408284</v>
      </c>
      <c r="E35" s="448"/>
      <c r="F35" s="448">
        <f>AVERAGEIFS(F$36:F$167,$C$36:$C$167,"=6", $B$36:$B$167,"NO OFICIAL")</f>
        <v>258.16449704142008</v>
      </c>
      <c r="G35" s="448"/>
      <c r="H35" s="448">
        <f t="shared" ref="H35:R35" si="35">AVERAGEIFS(H$36:H$167,$C$36:$C$167,"=6", $B$36:$B$167,"NO OFICIAL")</f>
        <v>269.08333333333331</v>
      </c>
      <c r="I35" s="448">
        <f t="shared" si="35"/>
        <v>28.583333333333332</v>
      </c>
      <c r="J35" s="448">
        <f t="shared" si="35"/>
        <v>259.33333333333331</v>
      </c>
      <c r="K35" s="448">
        <f t="shared" si="35"/>
        <v>39.5</v>
      </c>
      <c r="L35" s="448">
        <f t="shared" si="35"/>
        <v>262.18181818181819</v>
      </c>
      <c r="M35" s="448">
        <f t="shared" si="35"/>
        <v>38.363636363636367</v>
      </c>
      <c r="N35" s="448">
        <f t="shared" si="35"/>
        <v>261.25</v>
      </c>
      <c r="O35" s="448">
        <f t="shared" si="35"/>
        <v>41.25</v>
      </c>
      <c r="P35" s="448">
        <f t="shared" si="35"/>
        <v>253.28571428571428</v>
      </c>
      <c r="Q35" s="448">
        <f t="shared" si="35"/>
        <v>34.571428571428569</v>
      </c>
      <c r="R35" s="448">
        <f t="shared" si="35"/>
        <v>257.57142857142856</v>
      </c>
      <c r="S35" s="446"/>
      <c r="T35" s="448">
        <f>AVERAGEIFS(T$36:T$167,$C$36:$C$167,"=6", $B$36:$B$167,"NO OFICIAL")</f>
        <v>33.428571428571431</v>
      </c>
      <c r="U35" s="446"/>
      <c r="V35" s="448">
        <f t="shared" ref="V35:AB35" si="36">AVERAGEIFS(V$36:V$167,$C$36:$C$167,"=6", $B$36:$B$167,"NO OFICIAL")</f>
        <v>259.6875</v>
      </c>
      <c r="W35" s="446"/>
      <c r="X35" s="448">
        <f t="shared" si="36"/>
        <v>41.5</v>
      </c>
      <c r="Y35" s="446"/>
      <c r="Z35" s="448">
        <f t="shared" si="36"/>
        <v>266.94117647058823</v>
      </c>
      <c r="AA35" s="446"/>
      <c r="AB35" s="448">
        <f t="shared" si="36"/>
        <v>35.470588235294116</v>
      </c>
      <c r="AC35" s="446"/>
    </row>
    <row r="36" spans="1:29" ht="24.9" customHeight="1" x14ac:dyDescent="0.25">
      <c r="A36" s="188" t="s">
        <v>29</v>
      </c>
      <c r="B36" s="1" t="s">
        <v>222</v>
      </c>
      <c r="C36" s="2">
        <v>2</v>
      </c>
      <c r="D36" s="39">
        <v>256.93461538461537</v>
      </c>
      <c r="E36" s="2"/>
      <c r="F36" s="2">
        <v>254</v>
      </c>
      <c r="G36" s="2"/>
      <c r="H36" s="51">
        <v>261</v>
      </c>
      <c r="I36" s="51">
        <v>38</v>
      </c>
      <c r="J36" s="51">
        <v>261</v>
      </c>
      <c r="K36" s="51">
        <v>36</v>
      </c>
      <c r="L36" s="51">
        <v>256</v>
      </c>
      <c r="M36" s="51">
        <v>38</v>
      </c>
      <c r="N36" s="51">
        <v>257</v>
      </c>
      <c r="O36" s="51">
        <v>45</v>
      </c>
      <c r="P36" s="193">
        <v>257</v>
      </c>
      <c r="Q36" s="193">
        <v>43</v>
      </c>
      <c r="R36" s="349">
        <v>260</v>
      </c>
      <c r="S36" s="348" t="s">
        <v>910</v>
      </c>
      <c r="T36" s="349">
        <v>40</v>
      </c>
      <c r="U36" s="348" t="s">
        <v>910</v>
      </c>
    </row>
    <row r="37" spans="1:29" s="53" customFormat="1" ht="24.9" customHeight="1" x14ac:dyDescent="0.25">
      <c r="A37" s="189" t="s">
        <v>272</v>
      </c>
      <c r="B37" s="15" t="s">
        <v>222</v>
      </c>
      <c r="C37" s="2">
        <v>2</v>
      </c>
      <c r="D37" s="39">
        <v>245.73076923076923</v>
      </c>
      <c r="E37" s="2"/>
      <c r="F37" s="2">
        <v>233</v>
      </c>
      <c r="G37" s="2"/>
      <c r="H37" s="51" t="s">
        <v>258</v>
      </c>
      <c r="I37" s="51" t="s">
        <v>258</v>
      </c>
      <c r="J37" s="51" t="s">
        <v>258</v>
      </c>
      <c r="K37" s="51" t="s">
        <v>258</v>
      </c>
      <c r="L37" s="51" t="s">
        <v>258</v>
      </c>
      <c r="M37" s="51" t="s">
        <v>258</v>
      </c>
      <c r="N37" s="51" t="s">
        <v>258</v>
      </c>
      <c r="O37" s="51" t="s">
        <v>258</v>
      </c>
      <c r="P37" s="193">
        <v>223</v>
      </c>
      <c r="Q37" s="193">
        <v>25</v>
      </c>
      <c r="R37" s="349">
        <v>220</v>
      </c>
      <c r="S37" s="348" t="s">
        <v>912</v>
      </c>
      <c r="T37" s="349">
        <v>0</v>
      </c>
      <c r="U37" s="348" t="s">
        <v>912</v>
      </c>
      <c r="V37" s="469">
        <v>215</v>
      </c>
      <c r="W37" s="471" t="s">
        <v>912</v>
      </c>
      <c r="X37" s="469">
        <v>80</v>
      </c>
      <c r="Y37" s="471" t="s">
        <v>911</v>
      </c>
      <c r="Z37" s="630">
        <v>250</v>
      </c>
      <c r="AA37" s="640" t="s">
        <v>912</v>
      </c>
      <c r="AB37" s="630">
        <v>0</v>
      </c>
      <c r="AC37" s="640" t="s">
        <v>912</v>
      </c>
    </row>
    <row r="38" spans="1:29" s="461" customFormat="1" ht="24.9" customHeight="1" x14ac:dyDescent="0.25">
      <c r="A38" s="470" t="s">
        <v>952</v>
      </c>
      <c r="B38" s="15" t="s">
        <v>222</v>
      </c>
      <c r="C38" s="471">
        <v>2</v>
      </c>
      <c r="D38" s="490"/>
      <c r="E38" s="471"/>
      <c r="F38" s="471"/>
      <c r="G38" s="471"/>
      <c r="H38" s="491"/>
      <c r="I38" s="491"/>
      <c r="J38" s="491"/>
      <c r="K38" s="491"/>
      <c r="L38" s="491"/>
      <c r="M38" s="491"/>
      <c r="N38" s="491"/>
      <c r="O38" s="491"/>
      <c r="P38" s="492"/>
      <c r="Q38" s="492"/>
      <c r="R38" s="475"/>
      <c r="S38" s="493"/>
      <c r="T38" s="475"/>
      <c r="U38" s="493"/>
      <c r="V38" s="469">
        <v>214</v>
      </c>
      <c r="W38" s="471" t="s">
        <v>912</v>
      </c>
      <c r="X38" s="469">
        <v>34</v>
      </c>
      <c r="Y38" s="471" t="s">
        <v>912</v>
      </c>
      <c r="Z38" s="630">
        <v>209</v>
      </c>
      <c r="AA38" s="640" t="s">
        <v>912</v>
      </c>
      <c r="AB38" s="630">
        <v>41</v>
      </c>
      <c r="AC38" s="640" t="s">
        <v>910</v>
      </c>
    </row>
    <row r="39" spans="1:29" ht="24.9" customHeight="1" x14ac:dyDescent="0.25">
      <c r="A39" s="188" t="s">
        <v>34</v>
      </c>
      <c r="B39" s="1" t="s">
        <v>222</v>
      </c>
      <c r="C39" s="2">
        <v>3</v>
      </c>
      <c r="D39" s="39">
        <v>254.59615384615387</v>
      </c>
      <c r="E39" s="2"/>
      <c r="F39" s="2">
        <v>255</v>
      </c>
      <c r="G39" s="2"/>
      <c r="H39" s="51">
        <v>263</v>
      </c>
      <c r="I39" s="51">
        <v>25</v>
      </c>
      <c r="J39" s="51">
        <v>255</v>
      </c>
      <c r="K39" s="51">
        <v>40</v>
      </c>
      <c r="L39" s="51">
        <v>244</v>
      </c>
      <c r="M39" s="51">
        <v>35</v>
      </c>
      <c r="N39" s="51">
        <v>242</v>
      </c>
      <c r="O39" s="51">
        <v>30</v>
      </c>
      <c r="P39" s="193">
        <v>250</v>
      </c>
      <c r="Q39" s="193">
        <v>37</v>
      </c>
      <c r="R39" s="349">
        <v>260</v>
      </c>
      <c r="S39" s="348" t="s">
        <v>910</v>
      </c>
      <c r="T39" s="349">
        <v>40</v>
      </c>
      <c r="U39" s="348" t="s">
        <v>910</v>
      </c>
      <c r="V39" s="469">
        <v>257</v>
      </c>
      <c r="W39" s="471" t="s">
        <v>912</v>
      </c>
      <c r="X39" s="469">
        <v>38</v>
      </c>
      <c r="Y39" s="471" t="s">
        <v>910</v>
      </c>
      <c r="Z39" s="630">
        <v>262</v>
      </c>
      <c r="AA39" s="640" t="s">
        <v>910</v>
      </c>
      <c r="AB39" s="630">
        <v>41</v>
      </c>
      <c r="AC39" s="640" t="s">
        <v>910</v>
      </c>
    </row>
    <row r="40" spans="1:29" ht="24.9" customHeight="1" x14ac:dyDescent="0.25">
      <c r="A40" s="189" t="s">
        <v>273</v>
      </c>
      <c r="B40" s="1" t="s">
        <v>222</v>
      </c>
      <c r="C40" s="2">
        <v>4</v>
      </c>
      <c r="D40" s="39">
        <v>236.44615384615383</v>
      </c>
      <c r="E40" s="2"/>
      <c r="F40" s="2">
        <v>244</v>
      </c>
      <c r="G40" s="2"/>
      <c r="H40" s="51">
        <v>245</v>
      </c>
      <c r="I40" s="51">
        <v>36</v>
      </c>
      <c r="J40" s="51">
        <v>240</v>
      </c>
      <c r="K40" s="51">
        <v>38</v>
      </c>
      <c r="L40" s="51">
        <v>234</v>
      </c>
      <c r="M40" s="51">
        <v>35</v>
      </c>
      <c r="N40" s="51">
        <v>240</v>
      </c>
      <c r="O40" s="51">
        <v>38</v>
      </c>
      <c r="P40" s="193">
        <v>236</v>
      </c>
      <c r="Q40" s="193">
        <v>36</v>
      </c>
      <c r="R40" s="349">
        <v>239</v>
      </c>
      <c r="S40" s="348" t="s">
        <v>912</v>
      </c>
      <c r="T40" s="349">
        <v>43</v>
      </c>
      <c r="U40" s="348" t="s">
        <v>910</v>
      </c>
      <c r="V40" s="469">
        <v>238</v>
      </c>
      <c r="W40" s="471" t="s">
        <v>912</v>
      </c>
      <c r="X40" s="469">
        <v>38</v>
      </c>
      <c r="Y40" s="471" t="s">
        <v>910</v>
      </c>
      <c r="Z40" s="630">
        <v>253</v>
      </c>
      <c r="AA40" s="640" t="s">
        <v>912</v>
      </c>
      <c r="AB40" s="630">
        <v>33</v>
      </c>
      <c r="AC40" s="640" t="s">
        <v>912</v>
      </c>
    </row>
    <row r="41" spans="1:29" s="53" customFormat="1" ht="24.9" customHeight="1" x14ac:dyDescent="0.25">
      <c r="A41" s="188" t="s">
        <v>296</v>
      </c>
      <c r="B41" s="1" t="s">
        <v>222</v>
      </c>
      <c r="C41" s="2">
        <v>5</v>
      </c>
      <c r="D41" s="39"/>
      <c r="E41" s="2"/>
      <c r="F41" s="2"/>
      <c r="G41" s="2"/>
      <c r="H41" s="51" t="s">
        <v>258</v>
      </c>
      <c r="I41" s="51" t="s">
        <v>258</v>
      </c>
      <c r="J41" s="51" t="s">
        <v>258</v>
      </c>
      <c r="K41" s="51" t="s">
        <v>258</v>
      </c>
      <c r="L41" s="51">
        <v>261</v>
      </c>
      <c r="M41" s="51">
        <v>31</v>
      </c>
      <c r="N41" s="51">
        <v>242</v>
      </c>
      <c r="O41" s="51">
        <v>34</v>
      </c>
      <c r="P41" s="193">
        <v>244</v>
      </c>
      <c r="Q41" s="193">
        <v>45</v>
      </c>
      <c r="R41" s="349">
        <v>256</v>
      </c>
      <c r="S41" s="348" t="s">
        <v>910</v>
      </c>
      <c r="T41" s="349">
        <v>40</v>
      </c>
      <c r="U41" s="348" t="s">
        <v>910</v>
      </c>
      <c r="V41" s="469">
        <v>270</v>
      </c>
      <c r="W41" s="471" t="s">
        <v>911</v>
      </c>
      <c r="X41" s="469">
        <v>44</v>
      </c>
      <c r="Y41" s="471" t="s">
        <v>910</v>
      </c>
      <c r="Z41" s="630">
        <v>267</v>
      </c>
      <c r="AA41" s="640" t="s">
        <v>911</v>
      </c>
      <c r="AB41" s="630">
        <v>41</v>
      </c>
      <c r="AC41" s="640" t="s">
        <v>910</v>
      </c>
    </row>
    <row r="42" spans="1:29" ht="24.9" customHeight="1" x14ac:dyDescent="0.25">
      <c r="A42" s="189" t="s">
        <v>269</v>
      </c>
      <c r="B42" s="15" t="s">
        <v>222</v>
      </c>
      <c r="C42" s="2">
        <v>6</v>
      </c>
      <c r="D42" s="39">
        <v>220</v>
      </c>
      <c r="E42" s="2"/>
      <c r="F42" s="2">
        <v>231</v>
      </c>
      <c r="G42" s="2"/>
      <c r="H42" s="51"/>
      <c r="I42" s="51"/>
      <c r="J42" s="51"/>
      <c r="K42" s="51"/>
      <c r="L42" s="51"/>
      <c r="M42" s="51"/>
      <c r="N42" s="51"/>
      <c r="O42" s="51"/>
      <c r="P42" s="193">
        <v>285</v>
      </c>
      <c r="Q42" s="193">
        <v>30</v>
      </c>
      <c r="R42" s="349">
        <v>237</v>
      </c>
      <c r="S42" s="348" t="s">
        <v>912</v>
      </c>
      <c r="T42" s="349">
        <v>0</v>
      </c>
      <c r="U42" s="348" t="s">
        <v>912</v>
      </c>
      <c r="V42" s="469">
        <v>270</v>
      </c>
      <c r="W42" s="471" t="s">
        <v>911</v>
      </c>
      <c r="X42" s="469">
        <v>57</v>
      </c>
      <c r="Y42" s="471" t="s">
        <v>911</v>
      </c>
      <c r="Z42" s="630">
        <v>264</v>
      </c>
      <c r="AA42" s="640" t="s">
        <v>910</v>
      </c>
      <c r="AB42" s="630">
        <v>26</v>
      </c>
      <c r="AC42" s="640" t="s">
        <v>912</v>
      </c>
    </row>
    <row r="43" spans="1:29" ht="24.9" customHeight="1" x14ac:dyDescent="0.25">
      <c r="A43" s="188" t="s">
        <v>190</v>
      </c>
      <c r="B43" s="1" t="s">
        <v>222</v>
      </c>
      <c r="C43" s="2">
        <v>2</v>
      </c>
      <c r="D43" s="39"/>
      <c r="E43" s="2"/>
      <c r="F43" s="2"/>
      <c r="G43" s="2"/>
      <c r="H43" s="51">
        <v>308</v>
      </c>
      <c r="I43" s="51">
        <v>0</v>
      </c>
      <c r="J43" s="51" t="s">
        <v>258</v>
      </c>
      <c r="K43" s="51" t="s">
        <v>258</v>
      </c>
      <c r="L43" s="51" t="s">
        <v>258</v>
      </c>
      <c r="M43" s="51" t="s">
        <v>258</v>
      </c>
      <c r="N43" s="51" t="s">
        <v>258</v>
      </c>
      <c r="O43" s="51" t="s">
        <v>258</v>
      </c>
      <c r="P43" s="193">
        <v>197</v>
      </c>
      <c r="Q43" s="193">
        <v>0</v>
      </c>
      <c r="S43" s="62"/>
    </row>
    <row r="44" spans="1:29" s="461" customFormat="1" ht="24.9" customHeight="1" x14ac:dyDescent="0.25">
      <c r="A44" s="470" t="s">
        <v>954</v>
      </c>
      <c r="B44" s="15" t="s">
        <v>222</v>
      </c>
      <c r="C44" s="471">
        <v>2</v>
      </c>
      <c r="D44" s="490"/>
      <c r="E44" s="471"/>
      <c r="F44" s="471"/>
      <c r="G44" s="471"/>
      <c r="H44" s="491"/>
      <c r="I44" s="491"/>
      <c r="J44" s="491"/>
      <c r="K44" s="491"/>
      <c r="L44" s="491"/>
      <c r="M44" s="491"/>
      <c r="N44" s="491"/>
      <c r="O44" s="491"/>
      <c r="P44" s="492"/>
      <c r="Q44" s="492"/>
      <c r="S44" s="494"/>
      <c r="V44" s="469">
        <v>313</v>
      </c>
      <c r="W44" s="471" t="s">
        <v>911</v>
      </c>
      <c r="X44" s="469">
        <v>23</v>
      </c>
      <c r="Y44" s="471" t="s">
        <v>912</v>
      </c>
      <c r="Z44" s="630">
        <v>263</v>
      </c>
      <c r="AA44" s="640" t="s">
        <v>910</v>
      </c>
      <c r="AB44" s="630">
        <v>39</v>
      </c>
      <c r="AC44" s="640" t="s">
        <v>910</v>
      </c>
    </row>
    <row r="45" spans="1:29" ht="24.9" customHeight="1" x14ac:dyDescent="0.25">
      <c r="A45" s="188" t="s">
        <v>63</v>
      </c>
      <c r="B45" s="1" t="s">
        <v>222</v>
      </c>
      <c r="C45" s="2">
        <v>4</v>
      </c>
      <c r="D45" s="39">
        <v>238.64230769230767</v>
      </c>
      <c r="E45" s="2"/>
      <c r="F45" s="2">
        <v>231</v>
      </c>
      <c r="G45" s="2"/>
      <c r="H45" s="51">
        <v>247</v>
      </c>
      <c r="I45" s="51">
        <v>42</v>
      </c>
      <c r="J45" s="51">
        <v>263</v>
      </c>
      <c r="K45" s="51">
        <v>39</v>
      </c>
      <c r="L45" s="51">
        <v>270</v>
      </c>
      <c r="M45" s="51">
        <v>50</v>
      </c>
      <c r="N45" s="51">
        <v>286</v>
      </c>
      <c r="O45" s="51">
        <v>36</v>
      </c>
      <c r="P45" s="193">
        <v>239</v>
      </c>
      <c r="Q45" s="193">
        <v>34</v>
      </c>
      <c r="R45" s="349">
        <v>262</v>
      </c>
      <c r="S45" s="348" t="s">
        <v>911</v>
      </c>
      <c r="T45" s="349">
        <v>41</v>
      </c>
      <c r="U45" s="348" t="s">
        <v>910</v>
      </c>
      <c r="V45" s="469">
        <v>253</v>
      </c>
      <c r="W45" s="471" t="s">
        <v>912</v>
      </c>
      <c r="X45" s="469">
        <v>38</v>
      </c>
      <c r="Y45" s="471" t="s">
        <v>910</v>
      </c>
      <c r="Z45" s="630">
        <v>251</v>
      </c>
      <c r="AA45" s="640" t="s">
        <v>912</v>
      </c>
      <c r="AB45" s="630">
        <v>41</v>
      </c>
      <c r="AC45" s="640" t="s">
        <v>910</v>
      </c>
    </row>
    <row r="46" spans="1:29" ht="24.9" customHeight="1" x14ac:dyDescent="0.25">
      <c r="A46" s="188" t="s">
        <v>44</v>
      </c>
      <c r="B46" s="1" t="s">
        <v>222</v>
      </c>
      <c r="C46" s="2">
        <v>1</v>
      </c>
      <c r="D46" s="39">
        <v>246.30769230769229</v>
      </c>
      <c r="E46" s="2"/>
      <c r="F46" s="2">
        <v>247</v>
      </c>
      <c r="G46" s="2"/>
      <c r="H46" s="51">
        <v>250</v>
      </c>
      <c r="I46" s="51">
        <v>36</v>
      </c>
      <c r="J46" s="51" t="s">
        <v>258</v>
      </c>
      <c r="K46" s="51" t="s">
        <v>258</v>
      </c>
      <c r="L46" s="51" t="s">
        <v>258</v>
      </c>
      <c r="M46" s="51" t="s">
        <v>258</v>
      </c>
      <c r="N46" s="51" t="s">
        <v>258</v>
      </c>
      <c r="O46" s="51" t="s">
        <v>258</v>
      </c>
      <c r="P46" s="51" t="s">
        <v>258</v>
      </c>
      <c r="Q46" s="51" t="s">
        <v>258</v>
      </c>
      <c r="S46" s="62"/>
    </row>
    <row r="47" spans="1:29" s="53" customFormat="1" ht="24.9" customHeight="1" x14ac:dyDescent="0.25">
      <c r="A47" s="188" t="s">
        <v>69</v>
      </c>
      <c r="B47" s="1" t="s">
        <v>222</v>
      </c>
      <c r="C47" s="2">
        <v>2</v>
      </c>
      <c r="D47" s="39">
        <v>243.70384615384614</v>
      </c>
      <c r="E47" s="2"/>
      <c r="F47" s="2">
        <v>229</v>
      </c>
      <c r="G47" s="2"/>
      <c r="H47" s="51">
        <v>233</v>
      </c>
      <c r="I47" s="51">
        <v>34</v>
      </c>
      <c r="J47" s="51" t="s">
        <v>258</v>
      </c>
      <c r="K47" s="51" t="s">
        <v>258</v>
      </c>
      <c r="L47" s="51">
        <v>223</v>
      </c>
      <c r="M47" s="51">
        <v>33</v>
      </c>
      <c r="N47" s="51">
        <v>250</v>
      </c>
      <c r="O47" s="51">
        <v>30</v>
      </c>
      <c r="P47" s="193">
        <v>271</v>
      </c>
      <c r="Q47" s="193">
        <v>33</v>
      </c>
      <c r="R47" s="349">
        <v>237</v>
      </c>
      <c r="S47" s="348" t="s">
        <v>912</v>
      </c>
      <c r="T47" s="349">
        <v>52</v>
      </c>
      <c r="U47" s="348" t="s">
        <v>911</v>
      </c>
      <c r="Z47" s="630">
        <v>265</v>
      </c>
      <c r="AA47" s="640" t="s">
        <v>910</v>
      </c>
      <c r="AB47" s="630">
        <v>37</v>
      </c>
      <c r="AC47" s="640" t="s">
        <v>910</v>
      </c>
    </row>
    <row r="48" spans="1:29" ht="24.9" customHeight="1" x14ac:dyDescent="0.25">
      <c r="A48" s="189" t="s">
        <v>270</v>
      </c>
      <c r="B48" s="1" t="s">
        <v>222</v>
      </c>
      <c r="C48" s="2">
        <v>6</v>
      </c>
      <c r="D48" s="39"/>
      <c r="E48" s="2"/>
      <c r="F48" s="2"/>
      <c r="G48" s="2"/>
      <c r="H48" s="51"/>
      <c r="I48" s="51"/>
      <c r="J48" s="51"/>
      <c r="K48" s="51"/>
      <c r="L48" s="51"/>
      <c r="M48" s="51"/>
      <c r="N48" s="51"/>
      <c r="O48" s="51"/>
      <c r="P48" s="193">
        <v>242</v>
      </c>
      <c r="Q48" s="193">
        <v>34</v>
      </c>
      <c r="R48" s="349">
        <v>262</v>
      </c>
      <c r="S48" s="348" t="s">
        <v>911</v>
      </c>
      <c r="T48" s="349">
        <v>42</v>
      </c>
      <c r="U48" s="348" t="s">
        <v>910</v>
      </c>
      <c r="V48" s="469">
        <v>232</v>
      </c>
      <c r="W48" s="471" t="s">
        <v>912</v>
      </c>
      <c r="X48" s="469">
        <v>45</v>
      </c>
      <c r="Y48" s="471" t="s">
        <v>910</v>
      </c>
      <c r="Z48" s="630">
        <v>260</v>
      </c>
      <c r="AA48" s="640" t="s">
        <v>910</v>
      </c>
      <c r="AB48" s="630">
        <v>49</v>
      </c>
      <c r="AC48" s="640" t="s">
        <v>910</v>
      </c>
    </row>
    <row r="49" spans="1:29" ht="24.9" customHeight="1" x14ac:dyDescent="0.25">
      <c r="A49" s="188" t="s">
        <v>225</v>
      </c>
      <c r="B49" s="1" t="s">
        <v>222</v>
      </c>
      <c r="C49" s="2">
        <v>3</v>
      </c>
      <c r="D49" s="39"/>
      <c r="E49" s="2"/>
      <c r="F49" s="2"/>
      <c r="G49" s="2"/>
      <c r="H49" s="51" t="s">
        <v>258</v>
      </c>
      <c r="I49" s="51" t="s">
        <v>258</v>
      </c>
      <c r="J49" s="51">
        <v>257</v>
      </c>
      <c r="K49" s="51">
        <v>37</v>
      </c>
      <c r="L49" s="51">
        <v>246</v>
      </c>
      <c r="M49" s="51">
        <v>36</v>
      </c>
      <c r="N49" s="51">
        <v>246</v>
      </c>
      <c r="O49" s="51">
        <v>41</v>
      </c>
      <c r="P49" s="193">
        <v>238</v>
      </c>
      <c r="Q49" s="193">
        <v>42</v>
      </c>
      <c r="R49" s="349">
        <v>240</v>
      </c>
      <c r="S49" s="348" t="s">
        <v>912</v>
      </c>
      <c r="T49" s="349">
        <v>39</v>
      </c>
      <c r="U49" s="348" t="s">
        <v>910</v>
      </c>
      <c r="V49" s="469">
        <v>241</v>
      </c>
      <c r="W49" s="471" t="s">
        <v>912</v>
      </c>
      <c r="X49" s="469">
        <v>36</v>
      </c>
      <c r="Y49" s="471" t="s">
        <v>912</v>
      </c>
      <c r="Z49" s="630">
        <v>253</v>
      </c>
      <c r="AA49" s="640" t="s">
        <v>912</v>
      </c>
      <c r="AB49" s="630">
        <v>39</v>
      </c>
      <c r="AC49" s="640" t="s">
        <v>910</v>
      </c>
    </row>
    <row r="50" spans="1:29" s="53" customFormat="1" ht="24.9" customHeight="1" x14ac:dyDescent="0.25">
      <c r="A50" s="188" t="s">
        <v>126</v>
      </c>
      <c r="B50" s="1" t="s">
        <v>222</v>
      </c>
      <c r="C50" s="2">
        <v>2</v>
      </c>
      <c r="D50" s="39">
        <v>286.25769230769225</v>
      </c>
      <c r="E50" s="2"/>
      <c r="F50" s="2">
        <v>277</v>
      </c>
      <c r="G50" s="2"/>
      <c r="H50" s="51">
        <v>299</v>
      </c>
      <c r="I50" s="51">
        <v>35</v>
      </c>
      <c r="J50" s="51">
        <v>293</v>
      </c>
      <c r="K50" s="51">
        <v>36</v>
      </c>
      <c r="L50" s="51">
        <v>292</v>
      </c>
      <c r="M50" s="51">
        <v>33</v>
      </c>
      <c r="N50" s="51">
        <v>292</v>
      </c>
      <c r="O50" s="51">
        <v>37</v>
      </c>
      <c r="P50" s="193">
        <v>298</v>
      </c>
      <c r="Q50" s="193">
        <v>37</v>
      </c>
      <c r="R50" s="349">
        <v>288</v>
      </c>
      <c r="S50" s="348" t="s">
        <v>911</v>
      </c>
      <c r="T50" s="349">
        <v>39</v>
      </c>
      <c r="U50" s="348" t="s">
        <v>910</v>
      </c>
      <c r="V50" s="469">
        <v>296</v>
      </c>
      <c r="W50" s="471" t="s">
        <v>911</v>
      </c>
      <c r="X50" s="469">
        <v>36</v>
      </c>
      <c r="Y50" s="471" t="s">
        <v>912</v>
      </c>
      <c r="Z50" s="630">
        <v>295</v>
      </c>
      <c r="AA50" s="640" t="s">
        <v>911</v>
      </c>
      <c r="AB50" s="630">
        <v>36</v>
      </c>
      <c r="AC50" s="640" t="s">
        <v>912</v>
      </c>
    </row>
    <row r="51" spans="1:29" ht="24.9" customHeight="1" x14ac:dyDescent="0.25">
      <c r="A51" s="189" t="s">
        <v>271</v>
      </c>
      <c r="B51" s="1" t="s">
        <v>222</v>
      </c>
      <c r="C51" s="2">
        <v>2</v>
      </c>
      <c r="D51" s="39"/>
      <c r="E51" s="2"/>
      <c r="F51" s="2">
        <v>249</v>
      </c>
      <c r="G51" s="2"/>
      <c r="H51" s="51"/>
      <c r="I51" s="51"/>
      <c r="J51" s="51"/>
      <c r="K51" s="51"/>
      <c r="L51" s="51"/>
      <c r="M51" s="51"/>
      <c r="N51" s="51"/>
      <c r="O51" s="51"/>
      <c r="P51" s="193">
        <v>252</v>
      </c>
      <c r="Q51" s="193">
        <v>0</v>
      </c>
    </row>
    <row r="52" spans="1:29" ht="24.9" customHeight="1" x14ac:dyDescent="0.25">
      <c r="A52" s="188" t="s">
        <v>134</v>
      </c>
      <c r="B52" s="1" t="s">
        <v>222</v>
      </c>
      <c r="C52" s="2">
        <v>5</v>
      </c>
      <c r="D52" s="39">
        <v>263.62692307692311</v>
      </c>
      <c r="E52" s="2"/>
      <c r="F52" s="2">
        <v>258</v>
      </c>
      <c r="G52" s="2"/>
      <c r="H52" s="51">
        <v>273</v>
      </c>
      <c r="I52" s="51">
        <v>28</v>
      </c>
      <c r="J52" s="51">
        <v>276</v>
      </c>
      <c r="K52" s="51">
        <v>32</v>
      </c>
      <c r="L52" s="51">
        <v>272</v>
      </c>
      <c r="M52" s="51">
        <v>39</v>
      </c>
      <c r="N52" s="51">
        <v>283</v>
      </c>
      <c r="O52" s="51">
        <v>39</v>
      </c>
      <c r="P52" s="193">
        <v>285</v>
      </c>
      <c r="Q52" s="193">
        <v>39</v>
      </c>
      <c r="R52" s="349">
        <v>298</v>
      </c>
      <c r="S52" s="348" t="s">
        <v>911</v>
      </c>
      <c r="T52" s="349">
        <v>45</v>
      </c>
      <c r="U52" s="348" t="s">
        <v>910</v>
      </c>
      <c r="V52" s="469">
        <v>287</v>
      </c>
      <c r="W52" s="471" t="s">
        <v>911</v>
      </c>
      <c r="X52" s="469">
        <v>25</v>
      </c>
      <c r="Y52" s="471" t="s">
        <v>912</v>
      </c>
      <c r="Z52" s="630">
        <v>284</v>
      </c>
      <c r="AA52" s="640" t="s">
        <v>911</v>
      </c>
      <c r="AB52" s="630">
        <v>30</v>
      </c>
      <c r="AC52" s="640" t="s">
        <v>912</v>
      </c>
    </row>
    <row r="53" spans="1:29" s="461" customFormat="1" ht="24.9" customHeight="1" x14ac:dyDescent="0.25">
      <c r="A53" s="470" t="s">
        <v>956</v>
      </c>
      <c r="B53" s="15" t="s">
        <v>222</v>
      </c>
      <c r="C53" s="471">
        <v>6</v>
      </c>
      <c r="D53" s="490"/>
      <c r="E53" s="471"/>
      <c r="F53" s="471"/>
      <c r="G53" s="471"/>
      <c r="H53" s="491"/>
      <c r="I53" s="491"/>
      <c r="J53" s="491"/>
      <c r="K53" s="491"/>
      <c r="L53" s="491"/>
      <c r="M53" s="491"/>
      <c r="N53" s="491"/>
      <c r="O53" s="491"/>
      <c r="P53" s="492"/>
      <c r="Q53" s="492"/>
      <c r="R53" s="475"/>
      <c r="S53" s="493"/>
      <c r="T53" s="475"/>
      <c r="U53" s="493"/>
      <c r="V53" s="469">
        <v>308</v>
      </c>
      <c r="W53" s="471" t="s">
        <v>911</v>
      </c>
      <c r="X53" s="469">
        <v>44</v>
      </c>
      <c r="Y53" s="471" t="s">
        <v>910</v>
      </c>
      <c r="Z53" s="630">
        <v>304</v>
      </c>
      <c r="AA53" s="640" t="s">
        <v>911</v>
      </c>
      <c r="AB53" s="630">
        <v>33</v>
      </c>
      <c r="AC53" s="640" t="s">
        <v>912</v>
      </c>
    </row>
    <row r="54" spans="1:29" ht="24.9" customHeight="1" x14ac:dyDescent="0.25">
      <c r="A54" s="188" t="s">
        <v>101</v>
      </c>
      <c r="B54" s="1" t="s">
        <v>222</v>
      </c>
      <c r="C54" s="2">
        <v>1</v>
      </c>
      <c r="D54" s="39">
        <v>256</v>
      </c>
      <c r="E54" s="2"/>
      <c r="F54" s="2">
        <v>260</v>
      </c>
      <c r="G54" s="2"/>
      <c r="H54" s="51">
        <v>271</v>
      </c>
      <c r="I54" s="51">
        <v>39</v>
      </c>
      <c r="J54" s="51">
        <v>270</v>
      </c>
      <c r="K54" s="51">
        <v>37</v>
      </c>
      <c r="L54" s="51">
        <v>275</v>
      </c>
      <c r="M54" s="51">
        <v>37</v>
      </c>
      <c r="N54" s="51">
        <v>270</v>
      </c>
      <c r="O54" s="51">
        <v>37</v>
      </c>
      <c r="P54" s="193">
        <v>266</v>
      </c>
      <c r="Q54" s="193">
        <v>40</v>
      </c>
      <c r="R54" s="349">
        <v>267</v>
      </c>
      <c r="S54" s="348" t="s">
        <v>911</v>
      </c>
      <c r="T54" s="349">
        <v>36</v>
      </c>
      <c r="U54" s="348" t="s">
        <v>910</v>
      </c>
      <c r="V54" s="469">
        <v>269</v>
      </c>
      <c r="W54" s="471" t="s">
        <v>911</v>
      </c>
      <c r="X54" s="469">
        <v>34</v>
      </c>
      <c r="Y54" s="471" t="s">
        <v>912</v>
      </c>
      <c r="Z54" s="630">
        <v>271</v>
      </c>
      <c r="AA54" s="640" t="s">
        <v>911</v>
      </c>
      <c r="AB54" s="630">
        <v>44</v>
      </c>
      <c r="AC54" s="640" t="s">
        <v>910</v>
      </c>
    </row>
    <row r="55" spans="1:29" ht="24.9" customHeight="1" x14ac:dyDescent="0.25">
      <c r="A55" s="188" t="s">
        <v>231</v>
      </c>
      <c r="B55" s="1" t="s">
        <v>222</v>
      </c>
      <c r="C55" s="2">
        <v>1</v>
      </c>
      <c r="D55" s="39"/>
      <c r="E55" s="2"/>
      <c r="F55" s="2"/>
      <c r="G55" s="2"/>
      <c r="H55" s="51" t="s">
        <v>258</v>
      </c>
      <c r="I55" s="51" t="s">
        <v>258</v>
      </c>
      <c r="J55" s="51" t="s">
        <v>258</v>
      </c>
      <c r="K55" s="51" t="s">
        <v>258</v>
      </c>
      <c r="L55" s="51">
        <v>269</v>
      </c>
      <c r="M55" s="51">
        <v>36</v>
      </c>
      <c r="N55" s="51">
        <v>250</v>
      </c>
      <c r="O55" s="51">
        <v>38</v>
      </c>
      <c r="P55" s="193">
        <v>259</v>
      </c>
      <c r="Q55" s="193">
        <v>25</v>
      </c>
      <c r="R55" s="349">
        <v>279</v>
      </c>
      <c r="S55" s="348" t="s">
        <v>911</v>
      </c>
      <c r="T55" s="349">
        <v>8</v>
      </c>
      <c r="U55" s="348" t="s">
        <v>912</v>
      </c>
      <c r="V55" s="469">
        <v>274</v>
      </c>
      <c r="W55" s="471" t="s">
        <v>911</v>
      </c>
      <c r="X55" s="469">
        <v>40</v>
      </c>
      <c r="Y55" s="471" t="s">
        <v>910</v>
      </c>
      <c r="Z55" s="630">
        <v>279</v>
      </c>
      <c r="AA55" s="640" t="s">
        <v>911</v>
      </c>
      <c r="AB55" s="630">
        <v>41</v>
      </c>
      <c r="AC55" s="640" t="s">
        <v>910</v>
      </c>
    </row>
    <row r="56" spans="1:29" ht="24.9" customHeight="1" x14ac:dyDescent="0.25">
      <c r="A56" s="188" t="s">
        <v>116</v>
      </c>
      <c r="B56" s="1" t="s">
        <v>222</v>
      </c>
      <c r="C56" s="2">
        <v>2</v>
      </c>
      <c r="D56" s="39">
        <v>259.35769230769228</v>
      </c>
      <c r="E56" s="2"/>
      <c r="F56" s="2">
        <v>262</v>
      </c>
      <c r="G56" s="2"/>
      <c r="H56" s="51">
        <v>269</v>
      </c>
      <c r="I56" s="51">
        <v>32</v>
      </c>
      <c r="J56" s="51">
        <v>269</v>
      </c>
      <c r="K56" s="51">
        <v>40</v>
      </c>
      <c r="L56" s="51">
        <v>261</v>
      </c>
      <c r="M56" s="51">
        <v>41</v>
      </c>
      <c r="N56" s="51">
        <v>271</v>
      </c>
      <c r="O56" s="51">
        <v>40</v>
      </c>
      <c r="P56" s="193">
        <v>257</v>
      </c>
      <c r="Q56" s="193">
        <v>35</v>
      </c>
      <c r="R56" s="349">
        <v>276</v>
      </c>
      <c r="S56" s="348" t="s">
        <v>911</v>
      </c>
      <c r="T56" s="349">
        <v>37</v>
      </c>
      <c r="U56" s="348" t="s">
        <v>910</v>
      </c>
      <c r="V56" s="469">
        <v>279</v>
      </c>
      <c r="W56" s="471" t="s">
        <v>911</v>
      </c>
      <c r="X56" s="469">
        <v>44</v>
      </c>
      <c r="Y56" s="471" t="s">
        <v>910</v>
      </c>
      <c r="Z56" s="630">
        <v>276</v>
      </c>
      <c r="AA56" s="640" t="s">
        <v>911</v>
      </c>
      <c r="AB56" s="630">
        <v>43</v>
      </c>
      <c r="AC56" s="640" t="s">
        <v>910</v>
      </c>
    </row>
    <row r="57" spans="1:29" ht="24.9" customHeight="1" x14ac:dyDescent="0.25">
      <c r="A57" s="188" t="s">
        <v>151</v>
      </c>
      <c r="B57" s="1" t="s">
        <v>222</v>
      </c>
      <c r="C57" s="2">
        <v>3</v>
      </c>
      <c r="D57" s="39">
        <v>245.42692307692309</v>
      </c>
      <c r="E57" s="2"/>
      <c r="F57" s="2">
        <v>266</v>
      </c>
      <c r="G57" s="2"/>
      <c r="H57" s="51">
        <v>276</v>
      </c>
      <c r="I57" s="51">
        <v>37</v>
      </c>
      <c r="J57" s="51">
        <v>253</v>
      </c>
      <c r="K57" s="51">
        <v>39</v>
      </c>
      <c r="L57" s="51">
        <v>266</v>
      </c>
      <c r="M57" s="51">
        <v>31</v>
      </c>
      <c r="N57" s="51">
        <v>248</v>
      </c>
      <c r="O57" s="51">
        <v>39</v>
      </c>
      <c r="P57" s="193">
        <v>268</v>
      </c>
      <c r="Q57" s="193">
        <v>35</v>
      </c>
      <c r="R57" s="349">
        <v>260</v>
      </c>
      <c r="S57" s="348" t="s">
        <v>910</v>
      </c>
      <c r="T57" s="349">
        <v>40</v>
      </c>
      <c r="U57" s="348" t="s">
        <v>910</v>
      </c>
      <c r="V57" s="469">
        <v>243</v>
      </c>
      <c r="W57" s="471" t="s">
        <v>912</v>
      </c>
      <c r="X57" s="469">
        <v>41</v>
      </c>
      <c r="Y57" s="471" t="s">
        <v>910</v>
      </c>
      <c r="Z57" s="630">
        <v>253</v>
      </c>
      <c r="AA57" s="640" t="s">
        <v>912</v>
      </c>
      <c r="AB57" s="630">
        <v>40</v>
      </c>
      <c r="AC57" s="640" t="s">
        <v>910</v>
      </c>
    </row>
    <row r="58" spans="1:29" s="219" customFormat="1" ht="24.9" customHeight="1" x14ac:dyDescent="0.25">
      <c r="A58" s="188" t="s">
        <v>877</v>
      </c>
      <c r="B58" s="1" t="s">
        <v>222</v>
      </c>
      <c r="C58" s="2">
        <v>4</v>
      </c>
      <c r="D58" s="39">
        <v>211</v>
      </c>
      <c r="E58" s="2"/>
      <c r="F58" s="2">
        <v>222</v>
      </c>
      <c r="G58" s="2"/>
      <c r="H58" s="51"/>
      <c r="I58" s="51"/>
      <c r="J58" s="51"/>
      <c r="K58" s="51"/>
      <c r="L58" s="51"/>
      <c r="M58" s="51"/>
      <c r="N58" s="51"/>
      <c r="O58" s="51"/>
      <c r="P58" s="193"/>
      <c r="Q58" s="193"/>
    </row>
    <row r="59" spans="1:29" ht="24.9" customHeight="1" x14ac:dyDescent="0.25">
      <c r="A59" s="188" t="s">
        <v>200</v>
      </c>
      <c r="B59" s="1" t="s">
        <v>222</v>
      </c>
      <c r="C59" s="2">
        <v>3</v>
      </c>
      <c r="D59" s="39">
        <v>265</v>
      </c>
      <c r="E59" s="2"/>
      <c r="F59" s="2">
        <v>272</v>
      </c>
      <c r="G59" s="2"/>
      <c r="H59" s="51">
        <v>280</v>
      </c>
      <c r="I59" s="51">
        <v>36</v>
      </c>
      <c r="J59" s="51">
        <v>285</v>
      </c>
      <c r="K59" s="51">
        <v>34</v>
      </c>
      <c r="L59" s="51">
        <v>279</v>
      </c>
      <c r="M59" s="51">
        <v>36</v>
      </c>
      <c r="N59" s="51">
        <v>282</v>
      </c>
      <c r="O59" s="51">
        <v>38</v>
      </c>
      <c r="P59" s="193">
        <v>281</v>
      </c>
      <c r="Q59" s="193">
        <v>38</v>
      </c>
      <c r="R59" s="349">
        <v>283</v>
      </c>
      <c r="S59" s="348" t="s">
        <v>911</v>
      </c>
      <c r="T59" s="349">
        <v>41</v>
      </c>
      <c r="U59" s="348" t="s">
        <v>910</v>
      </c>
      <c r="V59" s="469">
        <v>296</v>
      </c>
      <c r="W59" s="471" t="s">
        <v>911</v>
      </c>
      <c r="X59" s="469">
        <v>43</v>
      </c>
      <c r="Y59" s="471" t="s">
        <v>910</v>
      </c>
      <c r="Z59" s="630">
        <v>286</v>
      </c>
      <c r="AA59" s="640" t="s">
        <v>911</v>
      </c>
      <c r="AB59" s="630">
        <v>40</v>
      </c>
      <c r="AC59" s="640" t="s">
        <v>910</v>
      </c>
    </row>
    <row r="60" spans="1:29" ht="24.9" customHeight="1" x14ac:dyDescent="0.25">
      <c r="A60" s="188" t="s">
        <v>175</v>
      </c>
      <c r="B60" s="1" t="s">
        <v>222</v>
      </c>
      <c r="C60" s="2">
        <v>2</v>
      </c>
      <c r="D60" s="39">
        <v>249.47307692307692</v>
      </c>
      <c r="E60" s="2"/>
      <c r="F60" s="2"/>
      <c r="G60" s="2"/>
      <c r="H60" s="51">
        <v>261</v>
      </c>
      <c r="I60" s="51">
        <v>32</v>
      </c>
      <c r="J60" s="51">
        <v>246</v>
      </c>
      <c r="K60" s="51">
        <v>38</v>
      </c>
      <c r="L60" s="51">
        <v>257</v>
      </c>
      <c r="M60" s="51">
        <v>41</v>
      </c>
      <c r="N60" s="51">
        <v>273</v>
      </c>
      <c r="O60" s="51">
        <v>37</v>
      </c>
      <c r="P60" s="193">
        <v>253</v>
      </c>
      <c r="Q60" s="193">
        <v>37</v>
      </c>
      <c r="R60" s="349">
        <v>261</v>
      </c>
      <c r="S60" s="348" t="s">
        <v>911</v>
      </c>
      <c r="T60" s="349">
        <v>41</v>
      </c>
      <c r="U60" s="348" t="s">
        <v>910</v>
      </c>
      <c r="V60" s="469">
        <v>280</v>
      </c>
      <c r="W60" s="471" t="s">
        <v>911</v>
      </c>
      <c r="X60" s="469">
        <v>38</v>
      </c>
      <c r="Y60" s="471" t="s">
        <v>910</v>
      </c>
      <c r="Z60" s="630">
        <v>273</v>
      </c>
      <c r="AA60" s="640" t="s">
        <v>911</v>
      </c>
      <c r="AB60" s="630">
        <v>41</v>
      </c>
      <c r="AC60" s="640" t="s">
        <v>910</v>
      </c>
    </row>
    <row r="61" spans="1:29" ht="24.9" customHeight="1" x14ac:dyDescent="0.25">
      <c r="A61" s="188" t="s">
        <v>84</v>
      </c>
      <c r="B61" s="1" t="s">
        <v>222</v>
      </c>
      <c r="C61" s="2">
        <v>2</v>
      </c>
      <c r="D61" s="39">
        <v>285.52307692307687</v>
      </c>
      <c r="E61" s="2"/>
      <c r="F61" s="2">
        <v>266</v>
      </c>
      <c r="G61" s="2"/>
      <c r="H61" s="51">
        <v>291</v>
      </c>
      <c r="I61" s="51">
        <v>19</v>
      </c>
      <c r="J61" s="51">
        <v>298</v>
      </c>
      <c r="K61" s="51">
        <v>19</v>
      </c>
      <c r="L61" s="51">
        <v>307</v>
      </c>
      <c r="M61" s="51">
        <v>28</v>
      </c>
      <c r="N61" s="51">
        <v>282</v>
      </c>
      <c r="O61" s="51">
        <v>37</v>
      </c>
      <c r="P61" s="193">
        <v>288</v>
      </c>
      <c r="Q61" s="193">
        <v>29</v>
      </c>
      <c r="R61" s="349">
        <v>286</v>
      </c>
      <c r="S61" s="348" t="s">
        <v>911</v>
      </c>
      <c r="T61" s="349">
        <v>35</v>
      </c>
      <c r="U61" s="348" t="s">
        <v>912</v>
      </c>
      <c r="V61" s="469">
        <v>289</v>
      </c>
      <c r="W61" s="471" t="s">
        <v>911</v>
      </c>
      <c r="X61" s="469">
        <v>34</v>
      </c>
      <c r="Y61" s="471" t="s">
        <v>912</v>
      </c>
      <c r="Z61" s="630">
        <v>299</v>
      </c>
      <c r="AA61" s="640" t="s">
        <v>911</v>
      </c>
      <c r="AB61" s="630">
        <v>41</v>
      </c>
      <c r="AC61" s="640" t="s">
        <v>910</v>
      </c>
    </row>
    <row r="62" spans="1:29" ht="24.9" customHeight="1" x14ac:dyDescent="0.25">
      <c r="A62" s="188" t="s">
        <v>186</v>
      </c>
      <c r="B62" s="1" t="s">
        <v>222</v>
      </c>
      <c r="C62" s="2">
        <v>1</v>
      </c>
      <c r="D62" s="39">
        <v>246.70384615384614</v>
      </c>
      <c r="E62" s="2"/>
      <c r="F62" s="2">
        <v>246</v>
      </c>
      <c r="G62" s="2"/>
      <c r="H62" s="51">
        <v>238</v>
      </c>
      <c r="I62" s="51">
        <v>34</v>
      </c>
      <c r="J62" s="51">
        <v>239</v>
      </c>
      <c r="K62" s="51">
        <v>17</v>
      </c>
      <c r="L62" s="51">
        <v>244</v>
      </c>
      <c r="M62" s="51">
        <v>39</v>
      </c>
      <c r="N62" s="51">
        <v>215</v>
      </c>
      <c r="O62" s="51">
        <v>35</v>
      </c>
      <c r="P62" s="193">
        <v>228</v>
      </c>
      <c r="Q62" s="193">
        <v>30</v>
      </c>
      <c r="R62" s="349">
        <v>235</v>
      </c>
      <c r="S62" s="348" t="s">
        <v>912</v>
      </c>
      <c r="T62" s="349">
        <v>25</v>
      </c>
      <c r="U62" s="348" t="s">
        <v>912</v>
      </c>
      <c r="V62" s="469">
        <v>226</v>
      </c>
      <c r="W62" s="471" t="s">
        <v>912</v>
      </c>
      <c r="X62" s="469">
        <v>35</v>
      </c>
      <c r="Y62" s="471" t="s">
        <v>912</v>
      </c>
      <c r="Z62" s="630">
        <v>248</v>
      </c>
      <c r="AA62" s="640" t="s">
        <v>912</v>
      </c>
      <c r="AB62" s="630">
        <v>13</v>
      </c>
      <c r="AC62" s="640" t="s">
        <v>912</v>
      </c>
    </row>
    <row r="63" spans="1:29" ht="24.9" customHeight="1" x14ac:dyDescent="0.25">
      <c r="A63" s="188" t="s">
        <v>162</v>
      </c>
      <c r="B63" s="1" t="s">
        <v>222</v>
      </c>
      <c r="C63" s="2">
        <v>4</v>
      </c>
      <c r="D63" s="39">
        <v>240.85000000000002</v>
      </c>
      <c r="E63" s="2"/>
      <c r="F63" s="2">
        <v>253</v>
      </c>
      <c r="G63" s="2"/>
      <c r="H63" s="51">
        <v>269</v>
      </c>
      <c r="I63" s="51">
        <v>42</v>
      </c>
      <c r="J63" s="51">
        <v>257</v>
      </c>
      <c r="K63" s="51">
        <v>30</v>
      </c>
      <c r="L63" s="51">
        <v>261</v>
      </c>
      <c r="M63" s="51">
        <v>37</v>
      </c>
      <c r="N63" s="51">
        <v>255</v>
      </c>
      <c r="O63" s="51">
        <v>39</v>
      </c>
      <c r="P63" s="193">
        <v>264</v>
      </c>
      <c r="Q63" s="193">
        <v>44</v>
      </c>
      <c r="R63" s="349">
        <v>262</v>
      </c>
      <c r="S63" s="348" t="s">
        <v>911</v>
      </c>
      <c r="T63" s="349">
        <v>40</v>
      </c>
      <c r="U63" s="348" t="s">
        <v>910</v>
      </c>
      <c r="V63" s="469">
        <v>262</v>
      </c>
      <c r="W63" s="471" t="s">
        <v>910</v>
      </c>
      <c r="X63" s="469">
        <v>43</v>
      </c>
      <c r="Y63" s="471" t="s">
        <v>910</v>
      </c>
      <c r="Z63" s="630">
        <v>265</v>
      </c>
      <c r="AA63" s="640" t="s">
        <v>910</v>
      </c>
      <c r="AB63" s="630">
        <v>33</v>
      </c>
      <c r="AC63" s="640" t="s">
        <v>912</v>
      </c>
    </row>
    <row r="64" spans="1:29" ht="24.9" customHeight="1" x14ac:dyDescent="0.25">
      <c r="A64" s="188" t="s">
        <v>114</v>
      </c>
      <c r="B64" s="1" t="s">
        <v>222</v>
      </c>
      <c r="C64" s="2">
        <v>3</v>
      </c>
      <c r="D64" s="39">
        <v>258.7961538461538</v>
      </c>
      <c r="E64" s="2"/>
      <c r="F64" s="2">
        <v>276</v>
      </c>
      <c r="G64" s="2"/>
      <c r="H64" s="51">
        <v>276</v>
      </c>
      <c r="I64" s="51">
        <v>32</v>
      </c>
      <c r="J64" s="51">
        <v>286</v>
      </c>
      <c r="K64" s="51">
        <v>37</v>
      </c>
      <c r="L64" s="51">
        <v>278</v>
      </c>
      <c r="M64" s="51">
        <v>38</v>
      </c>
      <c r="N64" s="51">
        <v>274</v>
      </c>
      <c r="O64" s="51">
        <v>38</v>
      </c>
      <c r="P64" s="193">
        <v>281</v>
      </c>
      <c r="Q64" s="193">
        <v>38</v>
      </c>
      <c r="R64" s="349">
        <v>279</v>
      </c>
      <c r="S64" s="348" t="s">
        <v>911</v>
      </c>
      <c r="T64" s="349">
        <v>46</v>
      </c>
      <c r="U64" s="348" t="s">
        <v>910</v>
      </c>
      <c r="V64" s="469">
        <v>288</v>
      </c>
      <c r="W64" s="471" t="s">
        <v>911</v>
      </c>
      <c r="X64" s="469">
        <v>39</v>
      </c>
      <c r="Y64" s="471" t="s">
        <v>910</v>
      </c>
      <c r="Z64" s="630">
        <v>287</v>
      </c>
      <c r="AA64" s="640" t="s">
        <v>911</v>
      </c>
      <c r="AB64" s="630">
        <v>40</v>
      </c>
      <c r="AC64" s="640" t="s">
        <v>910</v>
      </c>
    </row>
    <row r="65" spans="1:29" ht="24.9" customHeight="1" x14ac:dyDescent="0.25">
      <c r="A65" s="188" t="s">
        <v>128</v>
      </c>
      <c r="B65" s="1" t="s">
        <v>222</v>
      </c>
      <c r="C65" s="2">
        <v>5</v>
      </c>
      <c r="D65" s="39">
        <v>265.18076923076927</v>
      </c>
      <c r="E65" s="2"/>
      <c r="F65" s="2">
        <v>272</v>
      </c>
      <c r="G65" s="2"/>
      <c r="H65" s="51">
        <v>278</v>
      </c>
      <c r="I65" s="51">
        <v>37</v>
      </c>
      <c r="J65" s="51">
        <v>278</v>
      </c>
      <c r="K65" s="51">
        <v>29</v>
      </c>
      <c r="L65" s="51">
        <v>278</v>
      </c>
      <c r="M65" s="51">
        <v>38</v>
      </c>
      <c r="N65" s="51">
        <v>283</v>
      </c>
      <c r="O65" s="51">
        <v>41</v>
      </c>
      <c r="P65" s="193">
        <v>275</v>
      </c>
      <c r="Q65" s="193">
        <v>34</v>
      </c>
      <c r="R65" s="349">
        <v>272</v>
      </c>
      <c r="S65" s="348" t="s">
        <v>911</v>
      </c>
      <c r="T65" s="349">
        <v>49</v>
      </c>
      <c r="U65" s="348" t="s">
        <v>911</v>
      </c>
      <c r="V65" s="469">
        <v>276</v>
      </c>
      <c r="W65" s="471" t="s">
        <v>911</v>
      </c>
      <c r="X65" s="469">
        <v>37</v>
      </c>
      <c r="Y65" s="471" t="s">
        <v>910</v>
      </c>
      <c r="Z65" s="630">
        <v>280</v>
      </c>
      <c r="AA65" s="640" t="s">
        <v>911</v>
      </c>
      <c r="AB65" s="630">
        <v>32</v>
      </c>
      <c r="AC65" s="640" t="s">
        <v>912</v>
      </c>
    </row>
    <row r="66" spans="1:29" ht="24.9" customHeight="1" x14ac:dyDescent="0.25">
      <c r="A66" s="188" t="s">
        <v>160</v>
      </c>
      <c r="B66" s="1" t="s">
        <v>222</v>
      </c>
      <c r="C66" s="2">
        <v>3</v>
      </c>
      <c r="D66" s="39">
        <v>256.37692307692305</v>
      </c>
      <c r="E66" s="2"/>
      <c r="F66" s="2">
        <v>246</v>
      </c>
      <c r="G66" s="2"/>
      <c r="H66" s="51">
        <v>273</v>
      </c>
      <c r="I66" s="51">
        <v>37</v>
      </c>
      <c r="J66" s="51">
        <v>278</v>
      </c>
      <c r="K66" s="51">
        <v>36</v>
      </c>
      <c r="L66" s="51">
        <v>309</v>
      </c>
      <c r="M66" s="51">
        <v>31</v>
      </c>
      <c r="N66" s="51">
        <v>283</v>
      </c>
      <c r="O66" s="51">
        <v>37</v>
      </c>
      <c r="P66" s="193">
        <v>288</v>
      </c>
      <c r="Q66" s="193">
        <v>24</v>
      </c>
      <c r="R66" s="349">
        <v>287</v>
      </c>
      <c r="S66" s="348" t="s">
        <v>911</v>
      </c>
      <c r="T66" s="349">
        <v>42</v>
      </c>
      <c r="U66" s="348" t="s">
        <v>910</v>
      </c>
      <c r="V66" s="469">
        <v>298</v>
      </c>
      <c r="W66" s="471" t="s">
        <v>911</v>
      </c>
      <c r="X66" s="469">
        <v>37</v>
      </c>
      <c r="Y66" s="471" t="s">
        <v>910</v>
      </c>
      <c r="Z66" s="630">
        <v>294</v>
      </c>
      <c r="AA66" s="640" t="s">
        <v>911</v>
      </c>
      <c r="AB66" s="630">
        <v>33</v>
      </c>
      <c r="AC66" s="640" t="s">
        <v>912</v>
      </c>
    </row>
    <row r="67" spans="1:29" ht="24.9" customHeight="1" x14ac:dyDescent="0.25">
      <c r="A67" s="188" t="s">
        <v>59</v>
      </c>
      <c r="B67" s="1" t="s">
        <v>222</v>
      </c>
      <c r="C67" s="2">
        <v>1</v>
      </c>
      <c r="D67" s="39">
        <v>270.34230769230766</v>
      </c>
      <c r="E67" s="2"/>
      <c r="F67" s="2">
        <v>245</v>
      </c>
      <c r="G67" s="2"/>
      <c r="H67" s="51">
        <v>267</v>
      </c>
      <c r="I67" s="51">
        <v>26</v>
      </c>
      <c r="J67" s="51">
        <v>246</v>
      </c>
      <c r="K67" s="51">
        <v>27</v>
      </c>
      <c r="L67" s="51">
        <v>240</v>
      </c>
      <c r="M67" s="51">
        <v>28</v>
      </c>
      <c r="N67" s="51">
        <v>249</v>
      </c>
      <c r="O67" s="51">
        <v>41</v>
      </c>
      <c r="P67" s="193">
        <v>231</v>
      </c>
      <c r="Q67" s="193">
        <v>38</v>
      </c>
      <c r="R67" s="349">
        <v>247</v>
      </c>
      <c r="S67" s="348" t="s">
        <v>912</v>
      </c>
      <c r="T67" s="349">
        <v>48</v>
      </c>
      <c r="U67" s="348" t="s">
        <v>910</v>
      </c>
      <c r="V67" s="469">
        <v>243</v>
      </c>
      <c r="W67" s="471" t="s">
        <v>912</v>
      </c>
      <c r="X67" s="469">
        <v>44</v>
      </c>
      <c r="Y67" s="471" t="s">
        <v>910</v>
      </c>
      <c r="Z67" s="630">
        <v>245</v>
      </c>
      <c r="AA67" s="640" t="s">
        <v>912</v>
      </c>
      <c r="AB67" s="630">
        <v>41</v>
      </c>
      <c r="AC67" s="640" t="s">
        <v>910</v>
      </c>
    </row>
    <row r="68" spans="1:29" ht="24.9" customHeight="1" x14ac:dyDescent="0.25">
      <c r="A68" s="188" t="s">
        <v>132</v>
      </c>
      <c r="B68" s="1" t="s">
        <v>222</v>
      </c>
      <c r="C68" s="2">
        <v>3</v>
      </c>
      <c r="D68" s="39">
        <v>285.78076923076924</v>
      </c>
      <c r="E68" s="2"/>
      <c r="F68" s="2">
        <v>276</v>
      </c>
      <c r="G68" s="2"/>
      <c r="H68" s="51">
        <v>290</v>
      </c>
      <c r="I68" s="51">
        <v>35</v>
      </c>
      <c r="J68" s="51">
        <v>284</v>
      </c>
      <c r="K68" s="51">
        <v>40</v>
      </c>
      <c r="L68" s="51">
        <v>280</v>
      </c>
      <c r="M68" s="51">
        <v>38</v>
      </c>
      <c r="N68" s="51">
        <v>271</v>
      </c>
      <c r="O68" s="51">
        <v>33</v>
      </c>
      <c r="P68" s="193">
        <v>274</v>
      </c>
      <c r="Q68" s="193">
        <v>36</v>
      </c>
      <c r="R68" s="349">
        <v>279</v>
      </c>
      <c r="S68" s="348" t="s">
        <v>911</v>
      </c>
      <c r="T68" s="349">
        <v>41</v>
      </c>
      <c r="U68" s="348" t="s">
        <v>910</v>
      </c>
      <c r="V68" s="469">
        <v>293</v>
      </c>
      <c r="W68" s="471" t="s">
        <v>911</v>
      </c>
      <c r="X68" s="469">
        <v>34</v>
      </c>
      <c r="Y68" s="471" t="s">
        <v>912</v>
      </c>
      <c r="Z68" s="630">
        <v>291</v>
      </c>
      <c r="AA68" s="640" t="s">
        <v>911</v>
      </c>
      <c r="AB68" s="630">
        <v>34</v>
      </c>
      <c r="AC68" s="640" t="s">
        <v>912</v>
      </c>
    </row>
    <row r="69" spans="1:29" ht="24.9" customHeight="1" x14ac:dyDescent="0.25">
      <c r="A69" s="188" t="s">
        <v>179</v>
      </c>
      <c r="B69" s="1" t="s">
        <v>222</v>
      </c>
      <c r="C69" s="2">
        <v>5</v>
      </c>
      <c r="D69" s="39">
        <v>263.38461538461536</v>
      </c>
      <c r="E69" s="2"/>
      <c r="F69" s="2">
        <v>271</v>
      </c>
      <c r="G69" s="2"/>
      <c r="H69" s="51">
        <v>276</v>
      </c>
      <c r="I69" s="51">
        <v>33</v>
      </c>
      <c r="J69" s="51">
        <v>274</v>
      </c>
      <c r="K69" s="51">
        <v>36</v>
      </c>
      <c r="L69" s="51">
        <v>271</v>
      </c>
      <c r="M69" s="51">
        <v>38</v>
      </c>
      <c r="N69" s="51">
        <v>271</v>
      </c>
      <c r="O69" s="51">
        <v>40</v>
      </c>
      <c r="P69" s="193">
        <v>270</v>
      </c>
      <c r="Q69" s="193">
        <v>33</v>
      </c>
      <c r="R69" s="349">
        <v>263</v>
      </c>
      <c r="S69" s="348" t="s">
        <v>911</v>
      </c>
      <c r="T69" s="349">
        <v>44</v>
      </c>
      <c r="U69" s="348" t="s">
        <v>910</v>
      </c>
      <c r="V69" s="469">
        <v>268</v>
      </c>
      <c r="W69" s="471" t="s">
        <v>911</v>
      </c>
      <c r="X69" s="469">
        <v>39</v>
      </c>
      <c r="Y69" s="471" t="s">
        <v>910</v>
      </c>
      <c r="Z69" s="630">
        <v>273</v>
      </c>
      <c r="AA69" s="640" t="s">
        <v>911</v>
      </c>
      <c r="AB69" s="630">
        <v>46</v>
      </c>
      <c r="AC69" s="640" t="s">
        <v>910</v>
      </c>
    </row>
    <row r="70" spans="1:29" ht="24.9" customHeight="1" x14ac:dyDescent="0.25">
      <c r="A70" s="188" t="s">
        <v>75</v>
      </c>
      <c r="B70" s="1" t="s">
        <v>222</v>
      </c>
      <c r="C70" s="2">
        <v>1</v>
      </c>
      <c r="D70" s="39">
        <v>262.03076923076924</v>
      </c>
      <c r="E70" s="2"/>
      <c r="F70" s="2">
        <v>249</v>
      </c>
      <c r="G70" s="2"/>
      <c r="H70" s="51">
        <v>247</v>
      </c>
      <c r="I70" s="51">
        <v>29</v>
      </c>
      <c r="J70" s="51">
        <v>260</v>
      </c>
      <c r="K70" s="51">
        <v>34</v>
      </c>
      <c r="L70" s="51">
        <v>257</v>
      </c>
      <c r="M70" s="51">
        <v>39</v>
      </c>
      <c r="N70" s="51">
        <v>244</v>
      </c>
      <c r="O70" s="51">
        <v>38</v>
      </c>
      <c r="P70" s="193">
        <v>264</v>
      </c>
      <c r="Q70" s="193">
        <v>39</v>
      </c>
      <c r="R70" s="349">
        <v>265</v>
      </c>
      <c r="S70" s="348" t="s">
        <v>911</v>
      </c>
      <c r="T70" s="349">
        <v>40</v>
      </c>
      <c r="U70" s="348" t="s">
        <v>910</v>
      </c>
      <c r="V70" s="469">
        <v>250</v>
      </c>
      <c r="W70" s="471" t="s">
        <v>912</v>
      </c>
      <c r="X70" s="469">
        <v>41</v>
      </c>
      <c r="Y70" s="471" t="s">
        <v>910</v>
      </c>
      <c r="Z70" s="630">
        <v>248</v>
      </c>
      <c r="AA70" s="640" t="s">
        <v>912</v>
      </c>
      <c r="AB70" s="630">
        <v>41</v>
      </c>
      <c r="AC70" s="640" t="s">
        <v>910</v>
      </c>
    </row>
    <row r="71" spans="1:29" ht="24.9" customHeight="1" x14ac:dyDescent="0.25">
      <c r="A71" s="188" t="s">
        <v>25</v>
      </c>
      <c r="B71" s="1" t="s">
        <v>222</v>
      </c>
      <c r="C71" s="2">
        <v>3</v>
      </c>
      <c r="D71" s="39">
        <v>259.69615384615383</v>
      </c>
      <c r="E71" s="2"/>
      <c r="F71" s="2">
        <v>258</v>
      </c>
      <c r="G71" s="2"/>
      <c r="H71" s="51">
        <v>275</v>
      </c>
      <c r="I71" s="51">
        <v>35</v>
      </c>
      <c r="J71" s="51">
        <v>275</v>
      </c>
      <c r="K71" s="51">
        <v>39</v>
      </c>
      <c r="L71" s="51">
        <v>254</v>
      </c>
      <c r="M71" s="51">
        <v>39</v>
      </c>
      <c r="N71" s="51">
        <v>269</v>
      </c>
      <c r="O71" s="51">
        <v>38</v>
      </c>
      <c r="P71" s="193">
        <v>267</v>
      </c>
      <c r="Q71" s="193">
        <v>42</v>
      </c>
      <c r="R71" s="349">
        <v>267</v>
      </c>
      <c r="S71" s="348" t="s">
        <v>911</v>
      </c>
      <c r="T71" s="349">
        <v>35</v>
      </c>
      <c r="U71" s="348" t="s">
        <v>912</v>
      </c>
      <c r="V71" s="469">
        <v>275</v>
      </c>
      <c r="W71" s="471" t="s">
        <v>911</v>
      </c>
      <c r="X71" s="469">
        <v>31</v>
      </c>
      <c r="Y71" s="471" t="s">
        <v>912</v>
      </c>
      <c r="Z71" s="630">
        <v>268</v>
      </c>
      <c r="AA71" s="640" t="s">
        <v>911</v>
      </c>
      <c r="AB71" s="630">
        <v>37</v>
      </c>
      <c r="AC71" s="640" t="s">
        <v>910</v>
      </c>
    </row>
    <row r="72" spans="1:29" s="336" customFormat="1" ht="24.9" customHeight="1" x14ac:dyDescent="0.25">
      <c r="A72" s="361" t="s">
        <v>914</v>
      </c>
      <c r="B72" s="1" t="s">
        <v>222</v>
      </c>
      <c r="C72" s="354">
        <v>6</v>
      </c>
      <c r="D72" s="358"/>
      <c r="E72" s="354"/>
      <c r="F72" s="354"/>
      <c r="G72" s="354"/>
      <c r="H72" s="359"/>
      <c r="I72" s="359"/>
      <c r="J72" s="359"/>
      <c r="K72" s="359"/>
      <c r="L72" s="359"/>
      <c r="M72" s="359"/>
      <c r="N72" s="359"/>
      <c r="O72" s="359"/>
      <c r="P72" s="360"/>
      <c r="Q72" s="360"/>
      <c r="R72" s="349">
        <v>249</v>
      </c>
      <c r="S72" s="348" t="s">
        <v>912</v>
      </c>
      <c r="T72" s="349">
        <v>37</v>
      </c>
      <c r="U72" s="348" t="s">
        <v>910</v>
      </c>
      <c r="V72" s="469">
        <v>242</v>
      </c>
      <c r="W72" s="471" t="s">
        <v>912</v>
      </c>
      <c r="X72" s="469">
        <v>41</v>
      </c>
      <c r="Y72" s="471" t="s">
        <v>910</v>
      </c>
      <c r="Z72" s="630">
        <v>262</v>
      </c>
      <c r="AA72" s="640" t="s">
        <v>910</v>
      </c>
      <c r="AB72" s="630">
        <v>40</v>
      </c>
      <c r="AC72" s="640" t="s">
        <v>910</v>
      </c>
    </row>
    <row r="73" spans="1:29" ht="24.9" customHeight="1" x14ac:dyDescent="0.25">
      <c r="A73" s="188" t="s">
        <v>879</v>
      </c>
      <c r="B73" s="1" t="s">
        <v>222</v>
      </c>
      <c r="C73" s="2">
        <v>6</v>
      </c>
      <c r="D73" s="39">
        <v>233.09615384615384</v>
      </c>
      <c r="E73" s="2"/>
      <c r="F73" s="2">
        <v>238</v>
      </c>
      <c r="G73" s="2"/>
      <c r="H73" s="51">
        <v>269</v>
      </c>
      <c r="I73" s="51">
        <v>14</v>
      </c>
      <c r="J73" s="51">
        <v>257</v>
      </c>
      <c r="K73" s="51">
        <v>40</v>
      </c>
      <c r="L73" s="51" t="s">
        <v>258</v>
      </c>
      <c r="M73" s="51"/>
      <c r="N73" s="51">
        <v>231</v>
      </c>
      <c r="O73" s="51">
        <v>59</v>
      </c>
      <c r="P73" s="193">
        <v>232</v>
      </c>
      <c r="Q73" s="193">
        <v>51</v>
      </c>
      <c r="Z73" s="630">
        <v>277</v>
      </c>
      <c r="AA73" s="640" t="s">
        <v>911</v>
      </c>
      <c r="AB73" s="630">
        <v>51</v>
      </c>
      <c r="AC73" s="640" t="s">
        <v>911</v>
      </c>
    </row>
    <row r="74" spans="1:29" ht="24.9" customHeight="1" x14ac:dyDescent="0.25">
      <c r="A74" s="188" t="s">
        <v>167</v>
      </c>
      <c r="B74" s="1" t="s">
        <v>222</v>
      </c>
      <c r="C74" s="2">
        <v>3</v>
      </c>
      <c r="D74" s="39">
        <v>235.58461538461543</v>
      </c>
      <c r="E74" s="2"/>
      <c r="F74" s="2">
        <v>233</v>
      </c>
      <c r="G74" s="2"/>
      <c r="H74" s="51">
        <v>240</v>
      </c>
      <c r="I74" s="51">
        <v>28</v>
      </c>
      <c r="J74" s="51">
        <v>254</v>
      </c>
      <c r="K74" s="51">
        <v>39</v>
      </c>
      <c r="L74" s="51">
        <v>278</v>
      </c>
      <c r="M74" s="51">
        <v>49</v>
      </c>
      <c r="N74" s="51">
        <v>265</v>
      </c>
      <c r="O74" s="51">
        <v>41</v>
      </c>
      <c r="P74" s="193">
        <v>251</v>
      </c>
      <c r="Q74" s="193">
        <v>36</v>
      </c>
      <c r="R74" s="349">
        <v>237</v>
      </c>
      <c r="S74" s="348" t="s">
        <v>912</v>
      </c>
      <c r="T74" s="349">
        <v>38</v>
      </c>
      <c r="U74" s="348" t="s">
        <v>910</v>
      </c>
      <c r="V74" s="469">
        <v>268</v>
      </c>
      <c r="W74" s="471" t="s">
        <v>911</v>
      </c>
      <c r="X74" s="469">
        <v>45</v>
      </c>
      <c r="Y74" s="471" t="s">
        <v>910</v>
      </c>
      <c r="Z74" s="630">
        <v>289</v>
      </c>
      <c r="AA74" s="640" t="s">
        <v>911</v>
      </c>
      <c r="AB74" s="630">
        <v>44</v>
      </c>
      <c r="AC74" s="640" t="s">
        <v>910</v>
      </c>
    </row>
    <row r="75" spans="1:29" ht="24.9" customHeight="1" x14ac:dyDescent="0.25">
      <c r="A75" s="188" t="s">
        <v>204</v>
      </c>
      <c r="B75" s="1" t="s">
        <v>222</v>
      </c>
      <c r="C75" s="2">
        <v>1</v>
      </c>
      <c r="D75" s="39">
        <v>238.84615384615384</v>
      </c>
      <c r="E75" s="2"/>
      <c r="F75" s="2">
        <v>229</v>
      </c>
      <c r="G75" s="2"/>
      <c r="H75" s="51">
        <v>269</v>
      </c>
      <c r="I75" s="51">
        <v>31</v>
      </c>
      <c r="J75" s="51">
        <v>248</v>
      </c>
      <c r="K75" s="51">
        <v>43</v>
      </c>
      <c r="L75" s="51">
        <v>253</v>
      </c>
      <c r="M75" s="51">
        <v>39</v>
      </c>
      <c r="N75" s="51">
        <v>255</v>
      </c>
      <c r="O75" s="51">
        <v>39</v>
      </c>
      <c r="P75" s="193">
        <v>255</v>
      </c>
      <c r="Q75" s="193">
        <v>39</v>
      </c>
      <c r="R75" s="349">
        <v>268</v>
      </c>
      <c r="S75" s="348" t="s">
        <v>911</v>
      </c>
      <c r="T75" s="349">
        <v>31</v>
      </c>
      <c r="U75" s="348" t="s">
        <v>912</v>
      </c>
      <c r="V75" s="469">
        <v>258</v>
      </c>
      <c r="W75" s="471" t="s">
        <v>912</v>
      </c>
      <c r="X75" s="469">
        <v>44</v>
      </c>
      <c r="Y75" s="471" t="s">
        <v>910</v>
      </c>
      <c r="Z75" s="630">
        <v>264</v>
      </c>
      <c r="AA75" s="640" t="s">
        <v>910</v>
      </c>
      <c r="AB75" s="630">
        <v>37</v>
      </c>
      <c r="AC75" s="640" t="s">
        <v>910</v>
      </c>
    </row>
    <row r="76" spans="1:29" s="461" customFormat="1" ht="24.9" customHeight="1" x14ac:dyDescent="0.25">
      <c r="A76" s="470" t="s">
        <v>958</v>
      </c>
      <c r="B76" s="15" t="s">
        <v>222</v>
      </c>
      <c r="C76" s="471">
        <v>2</v>
      </c>
      <c r="D76" s="490"/>
      <c r="E76" s="471"/>
      <c r="F76" s="471"/>
      <c r="G76" s="471"/>
      <c r="H76" s="491"/>
      <c r="I76" s="491"/>
      <c r="J76" s="491"/>
      <c r="K76" s="491"/>
      <c r="L76" s="491"/>
      <c r="M76" s="491"/>
      <c r="N76" s="491"/>
      <c r="O76" s="491"/>
      <c r="P76" s="492"/>
      <c r="Q76" s="492"/>
      <c r="R76" s="475"/>
      <c r="S76" s="493"/>
      <c r="T76" s="475"/>
      <c r="U76" s="493"/>
      <c r="V76" s="469">
        <v>261</v>
      </c>
      <c r="W76" s="471" t="s">
        <v>910</v>
      </c>
      <c r="X76" s="469">
        <v>33</v>
      </c>
      <c r="Y76" s="471" t="s">
        <v>912</v>
      </c>
      <c r="Z76" s="630">
        <v>256</v>
      </c>
      <c r="AA76" s="640" t="s">
        <v>912</v>
      </c>
      <c r="AB76" s="630">
        <v>36</v>
      </c>
      <c r="AC76" s="640" t="s">
        <v>912</v>
      </c>
    </row>
    <row r="77" spans="1:29" ht="24.9" customHeight="1" x14ac:dyDescent="0.25">
      <c r="A77" s="188" t="s">
        <v>81</v>
      </c>
      <c r="B77" s="1" t="s">
        <v>222</v>
      </c>
      <c r="C77" s="2">
        <v>4</v>
      </c>
      <c r="D77" s="39"/>
      <c r="E77" s="2"/>
      <c r="F77" s="2">
        <v>229</v>
      </c>
      <c r="G77" s="2"/>
      <c r="H77" s="51">
        <v>236</v>
      </c>
      <c r="I77" s="51">
        <v>37</v>
      </c>
      <c r="J77" s="51">
        <v>240</v>
      </c>
      <c r="K77" s="51">
        <v>40</v>
      </c>
      <c r="L77" s="51">
        <v>258</v>
      </c>
      <c r="M77" s="51">
        <v>41</v>
      </c>
      <c r="N77" s="51">
        <v>227</v>
      </c>
      <c r="O77" s="51">
        <v>39</v>
      </c>
      <c r="P77" s="51" t="s">
        <v>258</v>
      </c>
      <c r="Q77" s="51" t="s">
        <v>258</v>
      </c>
      <c r="R77" s="349">
        <v>231</v>
      </c>
      <c r="S77" s="348" t="s">
        <v>912</v>
      </c>
      <c r="T77" s="349">
        <v>0</v>
      </c>
      <c r="U77" s="348" t="s">
        <v>912</v>
      </c>
    </row>
    <row r="78" spans="1:29" ht="24.9" customHeight="1" x14ac:dyDescent="0.25">
      <c r="A78" s="188" t="s">
        <v>169</v>
      </c>
      <c r="B78" s="1" t="s">
        <v>222</v>
      </c>
      <c r="C78" s="2">
        <v>6</v>
      </c>
      <c r="D78" s="39">
        <v>256.1653846153846</v>
      </c>
      <c r="E78" s="2"/>
      <c r="F78" s="2">
        <v>239</v>
      </c>
      <c r="G78" s="2"/>
      <c r="H78" s="51">
        <v>250</v>
      </c>
      <c r="I78" s="51">
        <v>30</v>
      </c>
      <c r="J78" s="51">
        <v>238</v>
      </c>
      <c r="K78" s="51">
        <v>28</v>
      </c>
      <c r="L78" s="51">
        <v>237</v>
      </c>
      <c r="M78" s="51">
        <v>28</v>
      </c>
      <c r="N78" s="51">
        <v>256</v>
      </c>
      <c r="O78" s="51">
        <v>52</v>
      </c>
      <c r="P78" s="193">
        <v>234</v>
      </c>
      <c r="Q78" s="193">
        <v>28</v>
      </c>
      <c r="R78" s="349">
        <v>244</v>
      </c>
      <c r="S78" s="348" t="s">
        <v>912</v>
      </c>
      <c r="T78" s="349">
        <v>42</v>
      </c>
      <c r="U78" s="348" t="s">
        <v>910</v>
      </c>
      <c r="V78" s="469">
        <v>242</v>
      </c>
      <c r="W78" s="471" t="s">
        <v>912</v>
      </c>
      <c r="X78" s="469">
        <v>45</v>
      </c>
      <c r="Y78" s="471" t="s">
        <v>910</v>
      </c>
      <c r="Z78" s="630">
        <v>228</v>
      </c>
      <c r="AA78" s="640" t="s">
        <v>912</v>
      </c>
      <c r="AB78" s="630">
        <v>27</v>
      </c>
      <c r="AC78" s="640" t="s">
        <v>912</v>
      </c>
    </row>
    <row r="79" spans="1:29" ht="24.9" customHeight="1" x14ac:dyDescent="0.25">
      <c r="A79" s="188" t="s">
        <v>232</v>
      </c>
      <c r="B79" s="1" t="s">
        <v>222</v>
      </c>
      <c r="C79" s="2">
        <v>2</v>
      </c>
      <c r="D79" s="39"/>
      <c r="E79" s="2"/>
      <c r="F79" s="2"/>
      <c r="G79" s="2"/>
      <c r="H79" s="51" t="s">
        <v>258</v>
      </c>
      <c r="I79" s="51" t="s">
        <v>258</v>
      </c>
      <c r="J79" s="51">
        <v>291</v>
      </c>
      <c r="K79" s="51">
        <v>37</v>
      </c>
      <c r="L79" s="51">
        <v>286</v>
      </c>
      <c r="M79" s="51">
        <v>43</v>
      </c>
      <c r="N79" s="51">
        <v>289</v>
      </c>
      <c r="O79" s="51">
        <v>42</v>
      </c>
      <c r="P79" s="193">
        <v>312</v>
      </c>
      <c r="Q79" s="193">
        <v>32</v>
      </c>
      <c r="R79" s="349">
        <v>317</v>
      </c>
      <c r="S79" s="348" t="s">
        <v>911</v>
      </c>
      <c r="T79" s="349">
        <v>34</v>
      </c>
      <c r="U79" s="348" t="s">
        <v>912</v>
      </c>
      <c r="V79" s="469">
        <v>308</v>
      </c>
      <c r="W79" s="471" t="s">
        <v>911</v>
      </c>
      <c r="X79" s="469">
        <v>29</v>
      </c>
      <c r="Y79" s="471" t="s">
        <v>912</v>
      </c>
      <c r="Z79" s="630">
        <v>307</v>
      </c>
      <c r="AA79" s="640" t="s">
        <v>911</v>
      </c>
      <c r="AB79" s="630">
        <v>31</v>
      </c>
      <c r="AC79" s="640" t="s">
        <v>912</v>
      </c>
    </row>
    <row r="80" spans="1:29" ht="24.9" customHeight="1" x14ac:dyDescent="0.25">
      <c r="A80" s="188" t="s">
        <v>42</v>
      </c>
      <c r="B80" s="1" t="s">
        <v>222</v>
      </c>
      <c r="C80" s="2">
        <v>6</v>
      </c>
      <c r="D80" s="39">
        <v>258.10769230769233</v>
      </c>
      <c r="E80" s="2"/>
      <c r="F80" s="2">
        <v>276</v>
      </c>
      <c r="G80" s="2"/>
      <c r="H80" s="51">
        <v>287</v>
      </c>
      <c r="I80" s="51">
        <v>30</v>
      </c>
      <c r="J80" s="51">
        <v>273</v>
      </c>
      <c r="K80" s="51">
        <v>44</v>
      </c>
      <c r="L80" s="51">
        <v>278</v>
      </c>
      <c r="M80" s="51">
        <v>43</v>
      </c>
      <c r="N80" s="51">
        <v>281</v>
      </c>
      <c r="O80" s="51">
        <v>39</v>
      </c>
      <c r="P80" s="193">
        <v>281</v>
      </c>
      <c r="Q80" s="193">
        <v>32</v>
      </c>
      <c r="R80" s="349">
        <v>270</v>
      </c>
      <c r="S80" s="348" t="s">
        <v>911</v>
      </c>
      <c r="T80" s="349">
        <v>33</v>
      </c>
      <c r="U80" s="348" t="s">
        <v>912</v>
      </c>
      <c r="V80" s="469">
        <v>299</v>
      </c>
      <c r="W80" s="471" t="s">
        <v>911</v>
      </c>
      <c r="X80" s="469">
        <v>34</v>
      </c>
      <c r="Y80" s="471" t="s">
        <v>912</v>
      </c>
      <c r="Z80" s="630">
        <v>291</v>
      </c>
      <c r="AA80" s="640" t="s">
        <v>911</v>
      </c>
      <c r="AB80" s="630">
        <v>33</v>
      </c>
      <c r="AC80" s="640" t="s">
        <v>912</v>
      </c>
    </row>
    <row r="81" spans="1:29" s="461" customFormat="1" ht="24.9" customHeight="1" x14ac:dyDescent="0.25">
      <c r="A81" s="470" t="s">
        <v>960</v>
      </c>
      <c r="B81" s="15" t="s">
        <v>222</v>
      </c>
      <c r="C81" s="471">
        <v>3</v>
      </c>
      <c r="D81" s="490"/>
      <c r="E81" s="471"/>
      <c r="F81" s="471"/>
      <c r="G81" s="471"/>
      <c r="H81" s="491"/>
      <c r="I81" s="491"/>
      <c r="J81" s="491"/>
      <c r="K81" s="491"/>
      <c r="L81" s="491"/>
      <c r="M81" s="491"/>
      <c r="N81" s="491"/>
      <c r="O81" s="491"/>
      <c r="P81" s="492"/>
      <c r="Q81" s="492"/>
      <c r="R81" s="475"/>
      <c r="S81" s="493"/>
      <c r="T81" s="475"/>
      <c r="U81" s="493"/>
      <c r="V81" s="469">
        <v>281</v>
      </c>
      <c r="W81" s="471" t="s">
        <v>911</v>
      </c>
      <c r="X81" s="469">
        <v>43</v>
      </c>
      <c r="Y81" s="471" t="s">
        <v>910</v>
      </c>
      <c r="Z81" s="630">
        <v>242</v>
      </c>
      <c r="AA81" s="640" t="s">
        <v>912</v>
      </c>
      <c r="AB81" s="630">
        <v>46</v>
      </c>
      <c r="AC81" s="640" t="s">
        <v>910</v>
      </c>
    </row>
    <row r="82" spans="1:29" ht="24.9" customHeight="1" x14ac:dyDescent="0.25">
      <c r="A82" s="188" t="s">
        <v>108</v>
      </c>
      <c r="B82" s="1" t="s">
        <v>222</v>
      </c>
      <c r="C82" s="2">
        <v>6</v>
      </c>
      <c r="D82" s="39">
        <v>277.05384615384617</v>
      </c>
      <c r="E82" s="2"/>
      <c r="F82" s="2">
        <v>261</v>
      </c>
      <c r="G82" s="2"/>
      <c r="H82" s="51">
        <v>281</v>
      </c>
      <c r="I82" s="51">
        <v>25</v>
      </c>
      <c r="J82" s="51">
        <v>250</v>
      </c>
      <c r="K82" s="51">
        <v>31</v>
      </c>
      <c r="L82" s="51">
        <v>263</v>
      </c>
      <c r="M82" s="51">
        <v>31</v>
      </c>
      <c r="N82" s="51">
        <v>276</v>
      </c>
      <c r="O82" s="51">
        <v>39</v>
      </c>
      <c r="P82" s="193">
        <v>259</v>
      </c>
      <c r="Q82" s="193">
        <v>44</v>
      </c>
      <c r="R82" s="349">
        <v>266</v>
      </c>
      <c r="S82" s="348" t="s">
        <v>911</v>
      </c>
      <c r="T82" s="349">
        <v>45</v>
      </c>
      <c r="U82" s="348" t="s">
        <v>910</v>
      </c>
      <c r="V82" s="469">
        <v>249</v>
      </c>
      <c r="W82" s="471" t="s">
        <v>912</v>
      </c>
      <c r="X82" s="469">
        <v>50</v>
      </c>
      <c r="Y82" s="471" t="s">
        <v>911</v>
      </c>
      <c r="Z82" s="630">
        <v>293</v>
      </c>
      <c r="AA82" s="640" t="s">
        <v>911</v>
      </c>
      <c r="AB82" s="630">
        <v>33</v>
      </c>
      <c r="AC82" s="640" t="s">
        <v>912</v>
      </c>
    </row>
    <row r="83" spans="1:29" ht="24.9" customHeight="1" x14ac:dyDescent="0.25">
      <c r="A83" s="188" t="s">
        <v>38</v>
      </c>
      <c r="B83" s="1" t="s">
        <v>222</v>
      </c>
      <c r="C83" s="2">
        <v>6</v>
      </c>
      <c r="D83" s="39">
        <v>270.68846153846152</v>
      </c>
      <c r="E83" s="2"/>
      <c r="F83" s="2">
        <v>270</v>
      </c>
      <c r="G83" s="2"/>
      <c r="H83" s="51">
        <v>285</v>
      </c>
      <c r="I83" s="51">
        <v>35</v>
      </c>
      <c r="J83" s="51">
        <v>251</v>
      </c>
      <c r="K83" s="51">
        <v>47</v>
      </c>
      <c r="L83" s="51">
        <v>261</v>
      </c>
      <c r="M83" s="51">
        <v>40</v>
      </c>
      <c r="N83" s="51">
        <v>266</v>
      </c>
      <c r="O83" s="51">
        <v>46</v>
      </c>
      <c r="P83" s="193">
        <v>253</v>
      </c>
      <c r="Q83" s="193">
        <v>38</v>
      </c>
      <c r="R83" s="349">
        <v>248</v>
      </c>
      <c r="S83" s="348" t="s">
        <v>912</v>
      </c>
      <c r="T83" s="349">
        <v>46</v>
      </c>
      <c r="U83" s="348" t="s">
        <v>910</v>
      </c>
      <c r="V83" s="469">
        <v>257</v>
      </c>
      <c r="W83" s="471" t="s">
        <v>912</v>
      </c>
      <c r="X83" s="469">
        <v>38</v>
      </c>
      <c r="Y83" s="471" t="s">
        <v>910</v>
      </c>
      <c r="Z83" s="630">
        <v>258</v>
      </c>
      <c r="AA83" s="640" t="s">
        <v>912</v>
      </c>
      <c r="AB83" s="630">
        <v>43</v>
      </c>
      <c r="AC83" s="640" t="s">
        <v>910</v>
      </c>
    </row>
    <row r="84" spans="1:29" ht="24.9" customHeight="1" x14ac:dyDescent="0.25">
      <c r="A84" s="188" t="s">
        <v>184</v>
      </c>
      <c r="B84" s="1" t="s">
        <v>222</v>
      </c>
      <c r="C84" s="2">
        <v>3</v>
      </c>
      <c r="D84" s="39">
        <v>272.0846153846154</v>
      </c>
      <c r="E84" s="2"/>
      <c r="F84" s="2">
        <v>252</v>
      </c>
      <c r="G84" s="2"/>
      <c r="H84" s="51">
        <v>265</v>
      </c>
      <c r="I84" s="51">
        <v>43</v>
      </c>
      <c r="J84" s="51">
        <v>257</v>
      </c>
      <c r="K84" s="51">
        <v>43</v>
      </c>
      <c r="L84" s="51">
        <v>260</v>
      </c>
      <c r="M84" s="51">
        <v>41</v>
      </c>
      <c r="N84" s="51">
        <v>248</v>
      </c>
      <c r="O84" s="51">
        <v>38</v>
      </c>
      <c r="P84" s="193">
        <v>282</v>
      </c>
      <c r="Q84" s="193">
        <v>43</v>
      </c>
      <c r="R84" s="349">
        <v>251</v>
      </c>
      <c r="S84" s="348" t="s">
        <v>912</v>
      </c>
      <c r="T84" s="349">
        <v>33</v>
      </c>
      <c r="U84" s="348" t="s">
        <v>912</v>
      </c>
      <c r="V84" s="469">
        <v>251</v>
      </c>
      <c r="W84" s="471" t="s">
        <v>912</v>
      </c>
      <c r="X84" s="469">
        <v>39</v>
      </c>
      <c r="Y84" s="471" t="s">
        <v>910</v>
      </c>
      <c r="Z84" s="630">
        <v>255</v>
      </c>
      <c r="AA84" s="640" t="s">
        <v>912</v>
      </c>
      <c r="AB84" s="630">
        <v>44</v>
      </c>
      <c r="AC84" s="640" t="s">
        <v>910</v>
      </c>
    </row>
    <row r="85" spans="1:29" ht="24.9" customHeight="1" x14ac:dyDescent="0.25">
      <c r="A85" s="188" t="s">
        <v>110</v>
      </c>
      <c r="B85" s="1" t="s">
        <v>222</v>
      </c>
      <c r="C85" s="2">
        <v>2</v>
      </c>
      <c r="D85" s="39">
        <v>289.9615384615384</v>
      </c>
      <c r="E85" s="2"/>
      <c r="F85" s="2">
        <v>296</v>
      </c>
      <c r="G85" s="2"/>
      <c r="H85" s="51">
        <v>298</v>
      </c>
      <c r="I85" s="51">
        <v>31</v>
      </c>
      <c r="J85" s="51">
        <v>291</v>
      </c>
      <c r="K85" s="51">
        <v>30</v>
      </c>
      <c r="L85" s="51">
        <v>294</v>
      </c>
      <c r="M85" s="51">
        <v>33</v>
      </c>
      <c r="N85" s="51">
        <v>300</v>
      </c>
      <c r="O85" s="51">
        <v>28</v>
      </c>
      <c r="P85" s="193">
        <v>305</v>
      </c>
      <c r="Q85" s="193">
        <v>31</v>
      </c>
      <c r="R85" s="349">
        <v>294</v>
      </c>
      <c r="S85" s="348" t="s">
        <v>911</v>
      </c>
      <c r="T85" s="349">
        <v>39</v>
      </c>
      <c r="U85" s="348" t="s">
        <v>910</v>
      </c>
      <c r="V85" s="469">
        <v>314</v>
      </c>
      <c r="W85" s="471" t="s">
        <v>911</v>
      </c>
      <c r="X85" s="469">
        <v>32</v>
      </c>
      <c r="Y85" s="471" t="s">
        <v>912</v>
      </c>
      <c r="Z85" s="630">
        <v>325</v>
      </c>
      <c r="AA85" s="640" t="s">
        <v>911</v>
      </c>
      <c r="AB85" s="630">
        <v>35</v>
      </c>
      <c r="AC85" s="640" t="s">
        <v>912</v>
      </c>
    </row>
    <row r="86" spans="1:29" s="461" customFormat="1" ht="24.9" customHeight="1" x14ac:dyDescent="0.25">
      <c r="A86" s="470" t="s">
        <v>962</v>
      </c>
      <c r="B86" s="15" t="s">
        <v>222</v>
      </c>
      <c r="C86" s="471">
        <v>6</v>
      </c>
      <c r="D86" s="490"/>
      <c r="E86" s="471"/>
      <c r="F86" s="471"/>
      <c r="G86" s="471"/>
      <c r="H86" s="491"/>
      <c r="I86" s="491"/>
      <c r="J86" s="491"/>
      <c r="K86" s="491"/>
      <c r="L86" s="491"/>
      <c r="M86" s="491"/>
      <c r="N86" s="491"/>
      <c r="O86" s="491"/>
      <c r="P86" s="492"/>
      <c r="Q86" s="492"/>
      <c r="R86" s="475"/>
      <c r="S86" s="493"/>
      <c r="T86" s="475"/>
      <c r="U86" s="493"/>
      <c r="V86" s="469">
        <v>221</v>
      </c>
      <c r="W86" s="471" t="s">
        <v>912</v>
      </c>
      <c r="X86" s="469">
        <v>42</v>
      </c>
      <c r="Y86" s="471" t="s">
        <v>910</v>
      </c>
      <c r="Z86" s="630">
        <v>253</v>
      </c>
      <c r="AA86" s="640" t="s">
        <v>912</v>
      </c>
      <c r="AB86" s="630">
        <v>0</v>
      </c>
      <c r="AC86" s="640" t="s">
        <v>912</v>
      </c>
    </row>
    <row r="87" spans="1:29" s="53" customFormat="1" ht="24.9" customHeight="1" x14ac:dyDescent="0.25">
      <c r="A87" s="189" t="s">
        <v>268</v>
      </c>
      <c r="B87" s="1" t="s">
        <v>222</v>
      </c>
      <c r="C87" s="2">
        <v>3</v>
      </c>
      <c r="D87" s="39"/>
      <c r="E87" s="2"/>
      <c r="F87" s="2"/>
      <c r="G87" s="2"/>
      <c r="H87" s="51" t="s">
        <v>258</v>
      </c>
      <c r="I87" s="51" t="s">
        <v>258</v>
      </c>
      <c r="J87" s="51" t="s">
        <v>258</v>
      </c>
      <c r="K87" s="51" t="s">
        <v>258</v>
      </c>
      <c r="L87" s="51" t="s">
        <v>258</v>
      </c>
      <c r="M87" s="51" t="s">
        <v>258</v>
      </c>
      <c r="N87" s="51" t="s">
        <v>258</v>
      </c>
      <c r="O87" s="51" t="s">
        <v>258</v>
      </c>
      <c r="P87" s="193">
        <v>281</v>
      </c>
      <c r="Q87" s="193">
        <v>19</v>
      </c>
      <c r="R87" s="349">
        <v>294</v>
      </c>
      <c r="S87" s="348" t="s">
        <v>911</v>
      </c>
      <c r="T87" s="349">
        <v>27</v>
      </c>
      <c r="U87" s="348" t="s">
        <v>912</v>
      </c>
      <c r="V87" s="469">
        <v>297</v>
      </c>
      <c r="W87" s="471" t="s">
        <v>911</v>
      </c>
      <c r="X87" s="469">
        <v>37</v>
      </c>
      <c r="Y87" s="471" t="s">
        <v>910</v>
      </c>
      <c r="Z87" s="630">
        <v>298</v>
      </c>
      <c r="AA87" s="640" t="s">
        <v>911</v>
      </c>
      <c r="AB87" s="630">
        <v>37</v>
      </c>
      <c r="AC87" s="640" t="s">
        <v>910</v>
      </c>
    </row>
    <row r="88" spans="1:29" ht="24.9" customHeight="1" x14ac:dyDescent="0.25">
      <c r="A88" s="188" t="s">
        <v>234</v>
      </c>
      <c r="B88" s="1" t="s">
        <v>222</v>
      </c>
      <c r="C88" s="2">
        <v>5</v>
      </c>
      <c r="D88" s="39"/>
      <c r="E88" s="2"/>
      <c r="F88" s="2"/>
      <c r="G88" s="2"/>
      <c r="H88" s="51" t="s">
        <v>258</v>
      </c>
      <c r="I88" s="51" t="s">
        <v>258</v>
      </c>
      <c r="J88" s="51" t="s">
        <v>258</v>
      </c>
      <c r="K88" s="51" t="s">
        <v>258</v>
      </c>
      <c r="L88" s="51" t="s">
        <v>258</v>
      </c>
      <c r="M88" s="51" t="s">
        <v>258</v>
      </c>
      <c r="N88" s="51">
        <v>242</v>
      </c>
      <c r="O88" s="51">
        <v>34</v>
      </c>
      <c r="P88" s="51" t="s">
        <v>258</v>
      </c>
      <c r="Q88" s="51" t="s">
        <v>258</v>
      </c>
      <c r="S88" s="62"/>
    </row>
    <row r="89" spans="1:29" ht="24.9" customHeight="1" x14ac:dyDescent="0.25">
      <c r="A89" s="189" t="s">
        <v>153</v>
      </c>
      <c r="B89" s="1" t="s">
        <v>222</v>
      </c>
      <c r="C89" s="2">
        <v>2</v>
      </c>
      <c r="D89" s="39">
        <v>266.23461538461538</v>
      </c>
      <c r="E89" s="2"/>
      <c r="F89" s="39">
        <v>267.30769230769232</v>
      </c>
      <c r="G89" s="2"/>
      <c r="H89" s="51">
        <v>283</v>
      </c>
      <c r="I89" s="51">
        <v>35</v>
      </c>
      <c r="J89" s="51">
        <v>280</v>
      </c>
      <c r="K89" s="51">
        <v>34</v>
      </c>
      <c r="L89" s="51">
        <v>269</v>
      </c>
      <c r="M89" s="51">
        <v>41</v>
      </c>
      <c r="N89" s="51">
        <v>278</v>
      </c>
      <c r="O89" s="51">
        <v>38</v>
      </c>
      <c r="P89" s="193">
        <v>272</v>
      </c>
      <c r="Q89" s="193">
        <v>33</v>
      </c>
      <c r="R89" s="349">
        <v>265</v>
      </c>
      <c r="S89" s="348" t="s">
        <v>911</v>
      </c>
      <c r="T89" s="349">
        <v>37</v>
      </c>
      <c r="U89" s="348" t="s">
        <v>910</v>
      </c>
      <c r="V89" s="469">
        <v>268</v>
      </c>
      <c r="W89" s="471" t="s">
        <v>911</v>
      </c>
      <c r="X89" s="469">
        <v>38</v>
      </c>
      <c r="Y89" s="471" t="s">
        <v>910</v>
      </c>
      <c r="Z89" s="630">
        <v>274</v>
      </c>
      <c r="AA89" s="640" t="s">
        <v>911</v>
      </c>
      <c r="AB89" s="630">
        <v>35</v>
      </c>
      <c r="AC89" s="640" t="s">
        <v>912</v>
      </c>
    </row>
    <row r="90" spans="1:29" ht="24.9" customHeight="1" x14ac:dyDescent="0.25">
      <c r="A90" s="188" t="s">
        <v>136</v>
      </c>
      <c r="B90" s="1" t="s">
        <v>222</v>
      </c>
      <c r="C90" s="2">
        <v>4</v>
      </c>
      <c r="D90" s="39">
        <v>247.21538461538461</v>
      </c>
      <c r="E90" s="2"/>
      <c r="F90" s="39">
        <v>243.2</v>
      </c>
      <c r="G90" s="2"/>
      <c r="H90" s="51">
        <v>248</v>
      </c>
      <c r="I90" s="51">
        <v>24</v>
      </c>
      <c r="J90" s="51">
        <v>268</v>
      </c>
      <c r="K90" s="51">
        <v>39</v>
      </c>
      <c r="L90" s="51">
        <v>255</v>
      </c>
      <c r="M90" s="51">
        <v>35</v>
      </c>
      <c r="N90" s="51">
        <v>249</v>
      </c>
      <c r="O90" s="51">
        <v>43</v>
      </c>
      <c r="P90" s="193">
        <v>267</v>
      </c>
      <c r="Q90" s="193">
        <v>38</v>
      </c>
      <c r="R90" s="349">
        <v>255</v>
      </c>
      <c r="S90" s="348" t="s">
        <v>910</v>
      </c>
      <c r="T90" s="349">
        <v>45</v>
      </c>
      <c r="U90" s="348" t="s">
        <v>910</v>
      </c>
      <c r="V90" s="469">
        <v>268</v>
      </c>
      <c r="W90" s="471" t="s">
        <v>911</v>
      </c>
      <c r="X90" s="469">
        <v>45</v>
      </c>
      <c r="Y90" s="471" t="s">
        <v>910</v>
      </c>
      <c r="Z90" s="630">
        <v>251</v>
      </c>
      <c r="AA90" s="640" t="s">
        <v>912</v>
      </c>
      <c r="AB90" s="630">
        <v>45</v>
      </c>
      <c r="AC90" s="640" t="s">
        <v>910</v>
      </c>
    </row>
    <row r="91" spans="1:29" ht="24.9" customHeight="1" x14ac:dyDescent="0.25">
      <c r="A91" s="188" t="s">
        <v>97</v>
      </c>
      <c r="B91" s="1" t="s">
        <v>222</v>
      </c>
      <c r="C91" s="2">
        <v>2</v>
      </c>
      <c r="D91" s="39">
        <v>257.78846153846155</v>
      </c>
      <c r="E91" s="2"/>
      <c r="F91" s="39">
        <v>266.26153846153846</v>
      </c>
      <c r="G91" s="2"/>
      <c r="H91" s="51">
        <v>301</v>
      </c>
      <c r="I91" s="51">
        <v>30</v>
      </c>
      <c r="J91" s="51">
        <v>226</v>
      </c>
      <c r="K91" s="51">
        <v>34</v>
      </c>
      <c r="L91" s="51">
        <v>222</v>
      </c>
      <c r="M91" s="51">
        <v>34</v>
      </c>
      <c r="N91" s="51">
        <v>238</v>
      </c>
      <c r="O91" s="51">
        <v>38</v>
      </c>
      <c r="P91" s="193">
        <v>229</v>
      </c>
      <c r="Q91" s="193">
        <v>29</v>
      </c>
      <c r="R91" s="349">
        <v>235</v>
      </c>
      <c r="S91" s="348" t="s">
        <v>912</v>
      </c>
      <c r="T91" s="349">
        <v>22</v>
      </c>
      <c r="U91" s="348" t="s">
        <v>912</v>
      </c>
      <c r="V91" s="469">
        <v>247</v>
      </c>
      <c r="W91" s="471" t="s">
        <v>912</v>
      </c>
      <c r="X91" s="469">
        <v>73</v>
      </c>
      <c r="Y91" s="471" t="s">
        <v>911</v>
      </c>
      <c r="Z91" s="630">
        <v>267</v>
      </c>
      <c r="AA91" s="640" t="s">
        <v>911</v>
      </c>
      <c r="AB91" s="630">
        <v>41</v>
      </c>
      <c r="AC91" s="640" t="s">
        <v>910</v>
      </c>
    </row>
    <row r="92" spans="1:29" ht="24.9" customHeight="1" x14ac:dyDescent="0.25">
      <c r="A92" s="188" t="s">
        <v>181</v>
      </c>
      <c r="B92" s="1" t="s">
        <v>222</v>
      </c>
      <c r="C92" s="2">
        <v>3</v>
      </c>
      <c r="D92" s="39">
        <v>283.08076923076919</v>
      </c>
      <c r="E92" s="2"/>
      <c r="F92" s="39">
        <v>274.79615384615386</v>
      </c>
      <c r="G92" s="2"/>
      <c r="H92" s="51">
        <v>288</v>
      </c>
      <c r="I92" s="51">
        <v>24</v>
      </c>
      <c r="J92" s="51">
        <v>293</v>
      </c>
      <c r="K92" s="51">
        <v>38</v>
      </c>
      <c r="L92" s="51">
        <v>283</v>
      </c>
      <c r="M92" s="51">
        <v>40</v>
      </c>
      <c r="N92" s="51">
        <v>265</v>
      </c>
      <c r="O92" s="51">
        <v>42</v>
      </c>
      <c r="P92" s="193">
        <v>272</v>
      </c>
      <c r="Q92" s="193">
        <v>42</v>
      </c>
      <c r="R92" s="349">
        <v>280</v>
      </c>
      <c r="S92" s="348" t="s">
        <v>911</v>
      </c>
      <c r="T92" s="349">
        <v>33</v>
      </c>
      <c r="U92" s="348" t="s">
        <v>912</v>
      </c>
      <c r="V92" s="469">
        <v>274</v>
      </c>
      <c r="W92" s="471" t="s">
        <v>911</v>
      </c>
      <c r="X92" s="469">
        <v>38</v>
      </c>
      <c r="Y92" s="471" t="s">
        <v>910</v>
      </c>
      <c r="Z92" s="630">
        <v>280</v>
      </c>
      <c r="AA92" s="640" t="s">
        <v>911</v>
      </c>
      <c r="AB92" s="630">
        <v>35</v>
      </c>
      <c r="AC92" s="640" t="s">
        <v>912</v>
      </c>
    </row>
    <row r="93" spans="1:29" ht="24.9" customHeight="1" x14ac:dyDescent="0.25">
      <c r="A93" s="188" t="s">
        <v>171</v>
      </c>
      <c r="B93" s="1" t="s">
        <v>222</v>
      </c>
      <c r="C93" s="2">
        <v>2</v>
      </c>
      <c r="D93" s="39">
        <v>267.74230769230769</v>
      </c>
      <c r="E93" s="2"/>
      <c r="F93" s="2">
        <v>269</v>
      </c>
      <c r="G93" s="2"/>
      <c r="H93" s="51">
        <v>280</v>
      </c>
      <c r="I93" s="51">
        <v>32</v>
      </c>
      <c r="J93" s="51">
        <v>274</v>
      </c>
      <c r="K93" s="51">
        <v>37</v>
      </c>
      <c r="L93" s="51">
        <v>266</v>
      </c>
      <c r="M93" s="51">
        <v>32</v>
      </c>
      <c r="N93" s="51">
        <v>262</v>
      </c>
      <c r="O93" s="51">
        <v>42</v>
      </c>
      <c r="P93" s="193">
        <v>268</v>
      </c>
      <c r="Q93" s="193">
        <v>36</v>
      </c>
      <c r="R93" s="349">
        <v>275</v>
      </c>
      <c r="S93" s="348" t="s">
        <v>911</v>
      </c>
      <c r="T93" s="349">
        <v>47</v>
      </c>
      <c r="U93" s="348" t="s">
        <v>910</v>
      </c>
      <c r="V93" s="469">
        <v>281</v>
      </c>
      <c r="W93" s="471" t="s">
        <v>911</v>
      </c>
      <c r="X93" s="469">
        <v>39</v>
      </c>
      <c r="Y93" s="471" t="s">
        <v>910</v>
      </c>
      <c r="Z93" s="630">
        <v>275</v>
      </c>
      <c r="AA93" s="640" t="s">
        <v>911</v>
      </c>
      <c r="AB93" s="630">
        <v>43</v>
      </c>
      <c r="AC93" s="640" t="s">
        <v>910</v>
      </c>
    </row>
    <row r="94" spans="1:29" ht="24.9" customHeight="1" x14ac:dyDescent="0.25">
      <c r="A94" s="188" t="s">
        <v>77</v>
      </c>
      <c r="B94" s="1" t="s">
        <v>222</v>
      </c>
      <c r="C94" s="2">
        <v>2</v>
      </c>
      <c r="D94" s="39">
        <v>248.50769230769231</v>
      </c>
      <c r="E94" s="2"/>
      <c r="F94" s="2">
        <v>242</v>
      </c>
      <c r="G94" s="2"/>
      <c r="H94" s="51">
        <v>260</v>
      </c>
      <c r="I94" s="51">
        <v>47</v>
      </c>
      <c r="J94" s="51">
        <v>230</v>
      </c>
      <c r="K94" s="51">
        <v>37</v>
      </c>
      <c r="L94" s="51">
        <v>250</v>
      </c>
      <c r="M94" s="51">
        <v>41</v>
      </c>
      <c r="N94" s="51">
        <v>247</v>
      </c>
      <c r="O94" s="51">
        <v>35</v>
      </c>
      <c r="P94" s="193">
        <v>265</v>
      </c>
      <c r="Q94" s="193">
        <v>37</v>
      </c>
      <c r="R94" s="349">
        <v>238</v>
      </c>
      <c r="S94" s="348" t="s">
        <v>912</v>
      </c>
      <c r="T94" s="349">
        <v>36</v>
      </c>
      <c r="U94" s="348" t="s">
        <v>910</v>
      </c>
      <c r="V94" s="469">
        <v>260</v>
      </c>
      <c r="W94" s="471" t="s">
        <v>910</v>
      </c>
      <c r="X94" s="469">
        <v>46</v>
      </c>
      <c r="Y94" s="471" t="s">
        <v>910</v>
      </c>
      <c r="Z94" s="630">
        <v>257</v>
      </c>
      <c r="AA94" s="640" t="s">
        <v>912</v>
      </c>
      <c r="AB94" s="630">
        <v>40</v>
      </c>
      <c r="AC94" s="640" t="s">
        <v>910</v>
      </c>
    </row>
    <row r="95" spans="1:29" ht="24.9" customHeight="1" x14ac:dyDescent="0.25">
      <c r="A95" s="188" t="s">
        <v>36</v>
      </c>
      <c r="B95" s="1" t="s">
        <v>220</v>
      </c>
      <c r="C95" s="2" t="s">
        <v>221</v>
      </c>
      <c r="D95" s="39">
        <v>245.58076923076922</v>
      </c>
      <c r="E95" s="2"/>
      <c r="F95" s="2">
        <v>241</v>
      </c>
      <c r="G95" s="2"/>
      <c r="H95" s="51">
        <v>260</v>
      </c>
      <c r="I95" s="51">
        <v>35</v>
      </c>
      <c r="J95" s="51">
        <v>249</v>
      </c>
      <c r="K95" s="51">
        <v>32</v>
      </c>
      <c r="L95" s="51">
        <v>248</v>
      </c>
      <c r="M95" s="51">
        <v>42</v>
      </c>
      <c r="N95" s="51">
        <v>249</v>
      </c>
      <c r="O95" s="51">
        <v>42</v>
      </c>
      <c r="P95" s="193">
        <v>248</v>
      </c>
      <c r="Q95" s="193">
        <v>45</v>
      </c>
      <c r="R95" s="349">
        <v>244</v>
      </c>
      <c r="S95" s="348" t="s">
        <v>912</v>
      </c>
      <c r="T95" s="349">
        <v>39</v>
      </c>
      <c r="U95" s="348" t="s">
        <v>910</v>
      </c>
      <c r="V95" s="469">
        <v>249</v>
      </c>
      <c r="W95" s="471" t="s">
        <v>912</v>
      </c>
      <c r="X95" s="469">
        <v>46</v>
      </c>
      <c r="Y95" s="471" t="s">
        <v>910</v>
      </c>
      <c r="Z95" s="630">
        <v>240</v>
      </c>
      <c r="AA95" s="640" t="s">
        <v>912</v>
      </c>
      <c r="AB95" s="630">
        <v>42</v>
      </c>
      <c r="AC95" s="640" t="s">
        <v>910</v>
      </c>
    </row>
    <row r="96" spans="1:29" ht="24.9" customHeight="1" x14ac:dyDescent="0.25">
      <c r="A96" s="188" t="s">
        <v>227</v>
      </c>
      <c r="B96" s="1" t="s">
        <v>222</v>
      </c>
      <c r="C96" s="2">
        <v>4</v>
      </c>
      <c r="D96" s="39"/>
      <c r="E96" s="2"/>
      <c r="F96" s="2"/>
      <c r="G96" s="2"/>
      <c r="H96" s="51" t="s">
        <v>258</v>
      </c>
      <c r="I96" s="51" t="s">
        <v>258</v>
      </c>
      <c r="J96" s="51">
        <v>314</v>
      </c>
      <c r="K96" s="51">
        <v>0</v>
      </c>
      <c r="L96" s="51" t="s">
        <v>258</v>
      </c>
      <c r="M96" s="51" t="s">
        <v>258</v>
      </c>
      <c r="N96" s="51" t="s">
        <v>258</v>
      </c>
      <c r="O96" s="51" t="s">
        <v>258</v>
      </c>
      <c r="P96" s="51" t="s">
        <v>258</v>
      </c>
      <c r="Q96" s="51" t="s">
        <v>258</v>
      </c>
    </row>
    <row r="97" spans="1:29" ht="24.9" customHeight="1" x14ac:dyDescent="0.25">
      <c r="A97" s="188" t="s">
        <v>92</v>
      </c>
      <c r="B97" s="1" t="s">
        <v>220</v>
      </c>
      <c r="C97" s="2">
        <v>1</v>
      </c>
      <c r="D97" s="39">
        <v>249</v>
      </c>
      <c r="E97" s="2"/>
      <c r="F97" s="2">
        <v>252</v>
      </c>
      <c r="G97" s="2"/>
      <c r="H97" s="51">
        <v>255</v>
      </c>
      <c r="I97" s="51">
        <v>36</v>
      </c>
      <c r="J97" s="51">
        <v>263</v>
      </c>
      <c r="K97" s="51">
        <v>37</v>
      </c>
      <c r="L97" s="51">
        <v>254</v>
      </c>
      <c r="M97" s="51">
        <v>36</v>
      </c>
      <c r="N97" s="51">
        <v>254</v>
      </c>
      <c r="O97" s="51">
        <v>41</v>
      </c>
      <c r="P97" s="193">
        <v>253</v>
      </c>
      <c r="Q97" s="193">
        <v>40</v>
      </c>
      <c r="R97" s="349">
        <v>254</v>
      </c>
      <c r="S97" s="348" t="s">
        <v>910</v>
      </c>
      <c r="T97" s="349">
        <v>37</v>
      </c>
      <c r="U97" s="348" t="s">
        <v>910</v>
      </c>
      <c r="V97" s="469">
        <v>248</v>
      </c>
      <c r="W97" s="471" t="s">
        <v>912</v>
      </c>
      <c r="X97" s="469">
        <v>40</v>
      </c>
      <c r="Y97" s="471" t="s">
        <v>910</v>
      </c>
      <c r="Z97" s="630">
        <v>246</v>
      </c>
      <c r="AA97" s="640" t="s">
        <v>912</v>
      </c>
      <c r="AB97" s="630">
        <v>41</v>
      </c>
      <c r="AC97" s="640" t="s">
        <v>910</v>
      </c>
    </row>
    <row r="98" spans="1:29" ht="24.9" customHeight="1" x14ac:dyDescent="0.25">
      <c r="A98" s="188" t="s">
        <v>27</v>
      </c>
      <c r="B98" s="1" t="s">
        <v>220</v>
      </c>
      <c r="C98" s="2">
        <v>6</v>
      </c>
      <c r="D98" s="39">
        <v>257.52692307692308</v>
      </c>
      <c r="E98" s="2"/>
      <c r="F98" s="2">
        <v>255</v>
      </c>
      <c r="G98" s="2"/>
      <c r="H98" s="51">
        <v>260</v>
      </c>
      <c r="I98" s="51">
        <v>35</v>
      </c>
      <c r="J98" s="51">
        <v>251</v>
      </c>
      <c r="K98" s="51">
        <v>38</v>
      </c>
      <c r="L98" s="51">
        <v>244</v>
      </c>
      <c r="M98" s="51">
        <v>38</v>
      </c>
      <c r="N98" s="51">
        <v>249</v>
      </c>
      <c r="O98" s="51">
        <v>41</v>
      </c>
      <c r="P98" s="193">
        <v>249</v>
      </c>
      <c r="Q98" s="193">
        <v>37</v>
      </c>
      <c r="R98" s="349">
        <v>244</v>
      </c>
      <c r="S98" s="348" t="s">
        <v>912</v>
      </c>
      <c r="T98" s="349">
        <v>39</v>
      </c>
      <c r="U98" s="348" t="s">
        <v>910</v>
      </c>
      <c r="V98" s="469">
        <v>247</v>
      </c>
      <c r="W98" s="471" t="s">
        <v>912</v>
      </c>
      <c r="X98" s="469">
        <v>39</v>
      </c>
      <c r="Y98" s="471" t="s">
        <v>910</v>
      </c>
      <c r="Z98" s="630">
        <v>246</v>
      </c>
      <c r="AA98" s="640" t="s">
        <v>912</v>
      </c>
      <c r="AB98" s="630">
        <v>40</v>
      </c>
      <c r="AC98" s="640" t="s">
        <v>910</v>
      </c>
    </row>
    <row r="99" spans="1:29" ht="24.9" customHeight="1" x14ac:dyDescent="0.25">
      <c r="A99" s="188" t="s">
        <v>147</v>
      </c>
      <c r="B99" s="1" t="s">
        <v>220</v>
      </c>
      <c r="C99" s="2">
        <v>5</v>
      </c>
      <c r="D99" s="39">
        <v>261.96153846153851</v>
      </c>
      <c r="E99" s="2"/>
      <c r="F99" s="2">
        <v>267</v>
      </c>
      <c r="G99" s="2"/>
      <c r="H99" s="51">
        <v>270</v>
      </c>
      <c r="I99" s="51">
        <v>36</v>
      </c>
      <c r="J99" s="51">
        <v>264</v>
      </c>
      <c r="K99" s="51">
        <v>39</v>
      </c>
      <c r="L99" s="51">
        <v>255</v>
      </c>
      <c r="M99" s="51">
        <v>39</v>
      </c>
      <c r="N99" s="51">
        <v>256</v>
      </c>
      <c r="O99" s="51">
        <v>37</v>
      </c>
      <c r="P99" s="193">
        <v>255</v>
      </c>
      <c r="Q99" s="193">
        <v>35</v>
      </c>
      <c r="R99" s="349">
        <v>254</v>
      </c>
      <c r="S99" s="348" t="s">
        <v>910</v>
      </c>
      <c r="T99" s="349">
        <v>43</v>
      </c>
      <c r="U99" s="348" t="s">
        <v>910</v>
      </c>
      <c r="V99" s="469">
        <v>259</v>
      </c>
      <c r="W99" s="471" t="s">
        <v>910</v>
      </c>
      <c r="X99" s="469">
        <v>40</v>
      </c>
      <c r="Y99" s="471" t="s">
        <v>910</v>
      </c>
      <c r="Z99" s="630">
        <v>264</v>
      </c>
      <c r="AA99" s="640" t="s">
        <v>910</v>
      </c>
      <c r="AB99" s="630">
        <v>43</v>
      </c>
      <c r="AC99" s="640" t="s">
        <v>910</v>
      </c>
    </row>
    <row r="100" spans="1:29" ht="24.9" customHeight="1" x14ac:dyDescent="0.25">
      <c r="A100" s="188" t="s">
        <v>112</v>
      </c>
      <c r="B100" s="1" t="s">
        <v>220</v>
      </c>
      <c r="C100" s="2">
        <v>4</v>
      </c>
      <c r="D100" s="39">
        <v>239.65384615384613</v>
      </c>
      <c r="E100" s="2"/>
      <c r="F100" s="39">
        <v>240.77307692307693</v>
      </c>
      <c r="G100" s="2"/>
      <c r="H100" s="51">
        <v>239</v>
      </c>
      <c r="I100" s="51">
        <v>34</v>
      </c>
      <c r="J100" s="51">
        <v>247</v>
      </c>
      <c r="K100" s="51">
        <v>41</v>
      </c>
      <c r="L100" s="51">
        <v>237</v>
      </c>
      <c r="M100" s="51">
        <v>43</v>
      </c>
      <c r="N100" s="51">
        <v>223</v>
      </c>
      <c r="O100" s="51">
        <v>42</v>
      </c>
      <c r="P100" s="193">
        <v>232</v>
      </c>
      <c r="Q100" s="193">
        <v>37</v>
      </c>
      <c r="R100" s="349">
        <v>231</v>
      </c>
      <c r="S100" s="348" t="s">
        <v>912</v>
      </c>
      <c r="T100" s="349">
        <v>39</v>
      </c>
      <c r="U100" s="348" t="s">
        <v>910</v>
      </c>
      <c r="V100" s="469">
        <v>233</v>
      </c>
      <c r="W100" s="471" t="s">
        <v>912</v>
      </c>
      <c r="X100" s="469">
        <v>40</v>
      </c>
      <c r="Y100" s="471" t="s">
        <v>910</v>
      </c>
      <c r="Z100" s="630">
        <v>227</v>
      </c>
      <c r="AA100" s="640" t="s">
        <v>912</v>
      </c>
      <c r="AB100" s="630">
        <v>37</v>
      </c>
      <c r="AC100" s="640" t="s">
        <v>910</v>
      </c>
    </row>
    <row r="101" spans="1:29" ht="24.9" customHeight="1" x14ac:dyDescent="0.25">
      <c r="A101" s="188" t="s">
        <v>48</v>
      </c>
      <c r="B101" s="1" t="s">
        <v>220</v>
      </c>
      <c r="C101" s="2">
        <v>4</v>
      </c>
      <c r="D101" s="39">
        <v>240.46153846153842</v>
      </c>
      <c r="E101" s="2"/>
      <c r="F101" s="39">
        <v>235.61538461538458</v>
      </c>
      <c r="G101" s="2"/>
      <c r="H101" s="51">
        <v>246</v>
      </c>
      <c r="I101" s="51">
        <v>31</v>
      </c>
      <c r="J101" s="51">
        <v>241</v>
      </c>
      <c r="K101" s="51">
        <v>37</v>
      </c>
      <c r="L101" s="51">
        <v>249</v>
      </c>
      <c r="M101" s="51">
        <v>43</v>
      </c>
      <c r="N101" s="51">
        <v>241</v>
      </c>
      <c r="O101" s="51">
        <v>33</v>
      </c>
      <c r="P101" s="193">
        <v>230</v>
      </c>
      <c r="Q101" s="193">
        <v>35</v>
      </c>
      <c r="R101" s="349">
        <v>231</v>
      </c>
      <c r="S101" s="348" t="s">
        <v>912</v>
      </c>
      <c r="T101" s="349">
        <v>32</v>
      </c>
      <c r="U101" s="348" t="s">
        <v>912</v>
      </c>
      <c r="V101" s="469">
        <v>241</v>
      </c>
      <c r="W101" s="471" t="s">
        <v>912</v>
      </c>
      <c r="X101" s="469">
        <v>33</v>
      </c>
      <c r="Y101" s="471" t="s">
        <v>912</v>
      </c>
      <c r="Z101" s="630">
        <v>241</v>
      </c>
      <c r="AA101" s="640" t="s">
        <v>912</v>
      </c>
      <c r="AB101" s="630">
        <v>41</v>
      </c>
      <c r="AC101" s="640" t="s">
        <v>910</v>
      </c>
    </row>
    <row r="102" spans="1:29" s="134" customFormat="1" ht="24.9" customHeight="1" x14ac:dyDescent="0.25">
      <c r="A102" s="188" t="s">
        <v>926</v>
      </c>
      <c r="B102" s="1" t="s">
        <v>220</v>
      </c>
      <c r="C102" s="2">
        <v>3</v>
      </c>
      <c r="D102" s="39"/>
      <c r="E102" s="2"/>
      <c r="G102" s="2"/>
      <c r="H102" s="51">
        <v>262</v>
      </c>
      <c r="I102" s="51">
        <v>34</v>
      </c>
      <c r="J102" s="51">
        <v>265</v>
      </c>
      <c r="K102" s="51">
        <v>39</v>
      </c>
      <c r="L102" s="51">
        <v>260</v>
      </c>
      <c r="M102" s="51">
        <v>37</v>
      </c>
      <c r="N102" s="51">
        <v>254</v>
      </c>
      <c r="O102" s="51">
        <v>42</v>
      </c>
      <c r="P102" s="193">
        <v>262</v>
      </c>
      <c r="Q102" s="193">
        <v>39</v>
      </c>
      <c r="R102" s="349">
        <v>252</v>
      </c>
      <c r="S102" s="348" t="s">
        <v>912</v>
      </c>
      <c r="T102" s="349">
        <v>39</v>
      </c>
      <c r="U102" s="348" t="s">
        <v>910</v>
      </c>
      <c r="V102" s="469">
        <v>264</v>
      </c>
      <c r="W102" s="471" t="s">
        <v>910</v>
      </c>
      <c r="X102" s="469">
        <v>42</v>
      </c>
      <c r="Y102" s="471" t="s">
        <v>910</v>
      </c>
      <c r="Z102" s="630">
        <v>267</v>
      </c>
      <c r="AA102" s="640" t="s">
        <v>911</v>
      </c>
      <c r="AB102" s="630">
        <v>43</v>
      </c>
      <c r="AC102" s="640" t="s">
        <v>910</v>
      </c>
    </row>
    <row r="103" spans="1:29" ht="24.9" customHeight="1" x14ac:dyDescent="0.25">
      <c r="A103" s="188" t="s">
        <v>138</v>
      </c>
      <c r="B103" s="1" t="s">
        <v>220</v>
      </c>
      <c r="C103" s="2">
        <v>1</v>
      </c>
      <c r="D103" s="39">
        <v>253.51923076923075</v>
      </c>
      <c r="E103" s="2"/>
      <c r="F103" s="39">
        <v>244.56153846153848</v>
      </c>
      <c r="G103" s="2"/>
      <c r="H103" s="51">
        <v>263</v>
      </c>
      <c r="I103" s="51">
        <v>38</v>
      </c>
      <c r="J103" s="51">
        <v>259</v>
      </c>
      <c r="K103" s="51">
        <v>34</v>
      </c>
      <c r="L103" s="51">
        <v>247</v>
      </c>
      <c r="M103" s="51">
        <v>37</v>
      </c>
      <c r="N103" s="51">
        <v>249</v>
      </c>
      <c r="O103" s="51">
        <v>38</v>
      </c>
      <c r="P103" s="193">
        <v>254</v>
      </c>
      <c r="Q103" s="193">
        <v>37</v>
      </c>
      <c r="R103" s="349">
        <v>251</v>
      </c>
      <c r="S103" s="348" t="s">
        <v>912</v>
      </c>
      <c r="T103" s="349">
        <v>36</v>
      </c>
      <c r="U103" s="348" t="s">
        <v>910</v>
      </c>
      <c r="V103" s="469">
        <v>252</v>
      </c>
      <c r="W103" s="471" t="s">
        <v>912</v>
      </c>
      <c r="X103" s="469">
        <v>39</v>
      </c>
      <c r="Y103" s="471" t="s">
        <v>910</v>
      </c>
      <c r="Z103" s="630">
        <v>250</v>
      </c>
      <c r="AA103" s="640" t="s">
        <v>912</v>
      </c>
      <c r="AB103" s="630">
        <v>40</v>
      </c>
      <c r="AC103" s="640" t="s">
        <v>910</v>
      </c>
    </row>
    <row r="104" spans="1:29" ht="24.9" customHeight="1" x14ac:dyDescent="0.25">
      <c r="A104" s="189" t="s">
        <v>291</v>
      </c>
      <c r="B104" s="69" t="s">
        <v>220</v>
      </c>
      <c r="C104" s="71">
        <v>3</v>
      </c>
      <c r="D104" s="39"/>
      <c r="E104" s="71"/>
      <c r="F104" s="71"/>
      <c r="G104" s="71"/>
      <c r="H104" s="194">
        <v>255</v>
      </c>
      <c r="I104" s="194">
        <v>37</v>
      </c>
      <c r="J104" s="194">
        <v>259</v>
      </c>
      <c r="K104" s="194">
        <v>37</v>
      </c>
      <c r="L104" s="194">
        <v>260</v>
      </c>
      <c r="M104" s="194">
        <v>40</v>
      </c>
      <c r="N104" s="194">
        <v>252</v>
      </c>
      <c r="O104" s="194">
        <v>38</v>
      </c>
      <c r="P104" s="193">
        <v>264</v>
      </c>
      <c r="Q104" s="193">
        <v>37</v>
      </c>
      <c r="R104" s="349">
        <v>260</v>
      </c>
      <c r="S104" s="348" t="s">
        <v>910</v>
      </c>
      <c r="T104" s="349">
        <v>39</v>
      </c>
      <c r="U104" s="348" t="s">
        <v>910</v>
      </c>
      <c r="V104" s="469">
        <v>265</v>
      </c>
      <c r="W104" s="471" t="s">
        <v>910</v>
      </c>
      <c r="X104" s="469">
        <v>41</v>
      </c>
      <c r="Y104" s="471" t="s">
        <v>910</v>
      </c>
      <c r="Z104" s="630">
        <v>265</v>
      </c>
      <c r="AA104" s="640" t="s">
        <v>910</v>
      </c>
      <c r="AB104" s="630">
        <v>42</v>
      </c>
      <c r="AC104" s="640" t="s">
        <v>910</v>
      </c>
    </row>
    <row r="105" spans="1:29" ht="24.9" customHeight="1" x14ac:dyDescent="0.25">
      <c r="A105" s="188" t="s">
        <v>103</v>
      </c>
      <c r="B105" s="1" t="s">
        <v>220</v>
      </c>
      <c r="C105" s="2">
        <v>4</v>
      </c>
      <c r="D105" s="39">
        <v>238.13846153846154</v>
      </c>
      <c r="E105" s="2"/>
      <c r="F105" s="2">
        <v>238</v>
      </c>
      <c r="G105" s="2"/>
      <c r="H105" s="51">
        <v>245</v>
      </c>
      <c r="I105" s="51">
        <v>36</v>
      </c>
      <c r="J105" s="51">
        <v>240</v>
      </c>
      <c r="K105" s="51">
        <v>36</v>
      </c>
      <c r="L105" s="51">
        <v>236</v>
      </c>
      <c r="M105" s="51">
        <v>39</v>
      </c>
      <c r="N105" s="51">
        <v>226</v>
      </c>
      <c r="O105" s="51">
        <v>38</v>
      </c>
      <c r="P105" s="193">
        <v>238</v>
      </c>
      <c r="Q105" s="193">
        <v>36</v>
      </c>
      <c r="R105" s="349">
        <v>227</v>
      </c>
      <c r="S105" s="348" t="s">
        <v>912</v>
      </c>
      <c r="T105" s="349">
        <v>41</v>
      </c>
      <c r="U105" s="348" t="s">
        <v>910</v>
      </c>
      <c r="V105" s="469">
        <v>237</v>
      </c>
      <c r="W105" s="471" t="s">
        <v>912</v>
      </c>
      <c r="X105" s="469">
        <v>41</v>
      </c>
      <c r="Y105" s="471" t="s">
        <v>910</v>
      </c>
      <c r="Z105" s="630">
        <v>231</v>
      </c>
      <c r="AA105" s="640" t="s">
        <v>912</v>
      </c>
      <c r="AB105" s="630">
        <v>42</v>
      </c>
      <c r="AC105" s="640" t="s">
        <v>910</v>
      </c>
    </row>
    <row r="106" spans="1:29" ht="24.9" customHeight="1" x14ac:dyDescent="0.25">
      <c r="A106" s="188" t="s">
        <v>86</v>
      </c>
      <c r="B106" s="1" t="s">
        <v>220</v>
      </c>
      <c r="C106" s="2">
        <v>1</v>
      </c>
      <c r="D106" s="39">
        <v>252</v>
      </c>
      <c r="E106" s="2"/>
      <c r="F106" s="2">
        <v>254</v>
      </c>
      <c r="G106" s="2"/>
      <c r="H106" s="51">
        <v>260</v>
      </c>
      <c r="I106" s="51">
        <v>35</v>
      </c>
      <c r="J106" s="51">
        <v>251</v>
      </c>
      <c r="K106" s="51">
        <v>36</v>
      </c>
      <c r="L106" s="51">
        <v>253</v>
      </c>
      <c r="M106" s="51">
        <v>40</v>
      </c>
      <c r="N106" s="51">
        <v>248</v>
      </c>
      <c r="O106" s="51">
        <v>41</v>
      </c>
      <c r="P106" s="193">
        <v>246</v>
      </c>
      <c r="Q106" s="193">
        <v>36</v>
      </c>
      <c r="R106" s="349">
        <v>245</v>
      </c>
      <c r="S106" s="348" t="s">
        <v>912</v>
      </c>
      <c r="T106" s="349">
        <v>42</v>
      </c>
      <c r="U106" s="348" t="s">
        <v>910</v>
      </c>
      <c r="V106" s="469">
        <v>255</v>
      </c>
      <c r="W106" s="471" t="s">
        <v>912</v>
      </c>
      <c r="X106" s="469">
        <v>41</v>
      </c>
      <c r="Y106" s="471" t="s">
        <v>910</v>
      </c>
      <c r="Z106" s="630">
        <v>253</v>
      </c>
      <c r="AA106" s="640" t="s">
        <v>912</v>
      </c>
      <c r="AB106" s="630">
        <v>40</v>
      </c>
      <c r="AC106" s="640" t="s">
        <v>910</v>
      </c>
    </row>
    <row r="107" spans="1:29" ht="24.9" customHeight="1" x14ac:dyDescent="0.25">
      <c r="A107" s="188" t="s">
        <v>46</v>
      </c>
      <c r="B107" s="1" t="s">
        <v>222</v>
      </c>
      <c r="C107" s="2">
        <v>5</v>
      </c>
      <c r="D107" s="39">
        <v>265.23846153846154</v>
      </c>
      <c r="E107" s="2"/>
      <c r="F107" s="2">
        <v>258</v>
      </c>
      <c r="G107" s="2"/>
      <c r="H107" s="51">
        <v>279</v>
      </c>
      <c r="I107" s="51">
        <v>36</v>
      </c>
      <c r="J107" s="51">
        <v>256</v>
      </c>
      <c r="K107" s="51">
        <v>34</v>
      </c>
      <c r="L107" s="51">
        <v>249</v>
      </c>
      <c r="M107" s="51">
        <v>47</v>
      </c>
      <c r="N107" s="51">
        <v>263</v>
      </c>
      <c r="O107" s="51">
        <v>36</v>
      </c>
      <c r="P107" s="193">
        <v>259</v>
      </c>
      <c r="Q107" s="193">
        <v>36</v>
      </c>
      <c r="R107" s="349">
        <v>271</v>
      </c>
      <c r="S107" s="348" t="s">
        <v>911</v>
      </c>
      <c r="T107" s="349">
        <v>38</v>
      </c>
      <c r="U107" s="348" t="s">
        <v>910</v>
      </c>
    </row>
    <row r="108" spans="1:29" ht="24.9" customHeight="1" x14ac:dyDescent="0.25">
      <c r="A108" s="188" t="s">
        <v>61</v>
      </c>
      <c r="B108" s="1" t="s">
        <v>220</v>
      </c>
      <c r="C108" s="2">
        <v>6</v>
      </c>
      <c r="D108" s="39">
        <v>245.02307692307696</v>
      </c>
      <c r="E108" s="2"/>
      <c r="F108" s="2">
        <v>247</v>
      </c>
      <c r="G108" s="2"/>
      <c r="H108" s="51">
        <v>261</v>
      </c>
      <c r="I108" s="51">
        <v>35</v>
      </c>
      <c r="J108" s="51">
        <v>258</v>
      </c>
      <c r="K108" s="51">
        <v>36</v>
      </c>
      <c r="L108" s="51">
        <v>248</v>
      </c>
      <c r="M108" s="51">
        <v>41</v>
      </c>
      <c r="N108" s="51">
        <v>250</v>
      </c>
      <c r="O108" s="51">
        <v>36</v>
      </c>
      <c r="P108" s="193">
        <v>250</v>
      </c>
      <c r="Q108" s="193">
        <v>40</v>
      </c>
      <c r="R108" s="349">
        <v>250</v>
      </c>
      <c r="S108" s="348" t="s">
        <v>912</v>
      </c>
      <c r="T108" s="349">
        <v>41</v>
      </c>
      <c r="U108" s="348" t="s">
        <v>910</v>
      </c>
      <c r="V108" s="469">
        <v>256</v>
      </c>
      <c r="W108" s="471" t="s">
        <v>912</v>
      </c>
      <c r="X108" s="469">
        <v>42</v>
      </c>
      <c r="Y108" s="471" t="s">
        <v>910</v>
      </c>
      <c r="Z108" s="630">
        <v>253</v>
      </c>
      <c r="AA108" s="640" t="s">
        <v>912</v>
      </c>
      <c r="AB108" s="630">
        <v>36</v>
      </c>
      <c r="AC108" s="640" t="s">
        <v>912</v>
      </c>
    </row>
    <row r="109" spans="1:29" ht="24.9" customHeight="1" x14ac:dyDescent="0.25">
      <c r="A109" s="188" t="s">
        <v>21</v>
      </c>
      <c r="B109" s="1" t="s">
        <v>220</v>
      </c>
      <c r="C109" s="2">
        <v>5</v>
      </c>
      <c r="D109" s="39">
        <v>253.62307692307695</v>
      </c>
      <c r="E109" s="2"/>
      <c r="F109" s="2">
        <v>248</v>
      </c>
      <c r="G109" s="2"/>
      <c r="H109" s="51">
        <v>259</v>
      </c>
      <c r="I109" s="51">
        <v>32</v>
      </c>
      <c r="J109" s="51">
        <v>251</v>
      </c>
      <c r="K109" s="51">
        <v>37</v>
      </c>
      <c r="L109" s="51">
        <v>247</v>
      </c>
      <c r="M109" s="51">
        <v>35</v>
      </c>
      <c r="N109" s="51">
        <v>249</v>
      </c>
      <c r="O109" s="51">
        <v>38</v>
      </c>
      <c r="P109" s="193">
        <v>250</v>
      </c>
      <c r="Q109" s="193">
        <v>37</v>
      </c>
      <c r="R109" s="349">
        <v>248</v>
      </c>
      <c r="S109" s="348" t="s">
        <v>912</v>
      </c>
      <c r="T109" s="349">
        <v>39</v>
      </c>
      <c r="U109" s="348" t="s">
        <v>910</v>
      </c>
      <c r="V109" s="469">
        <v>260</v>
      </c>
      <c r="W109" s="471" t="s">
        <v>910</v>
      </c>
      <c r="X109" s="469">
        <v>40</v>
      </c>
      <c r="Y109" s="471" t="s">
        <v>910</v>
      </c>
      <c r="Z109" s="630">
        <v>249</v>
      </c>
      <c r="AA109" s="640" t="s">
        <v>912</v>
      </c>
      <c r="AB109" s="630">
        <v>40</v>
      </c>
      <c r="AC109" s="640" t="s">
        <v>910</v>
      </c>
    </row>
    <row r="110" spans="1:29" ht="24.9" customHeight="1" x14ac:dyDescent="0.25">
      <c r="A110" s="188" t="s">
        <v>124</v>
      </c>
      <c r="B110" s="1" t="s">
        <v>220</v>
      </c>
      <c r="C110" s="2">
        <v>4</v>
      </c>
      <c r="D110" s="39">
        <v>250.57692307692307</v>
      </c>
      <c r="E110" s="2"/>
      <c r="F110" s="2">
        <v>241</v>
      </c>
      <c r="G110" s="2"/>
      <c r="H110" s="51">
        <v>228</v>
      </c>
      <c r="I110" s="51">
        <v>33</v>
      </c>
      <c r="J110" s="51">
        <v>229</v>
      </c>
      <c r="K110" s="51">
        <v>29</v>
      </c>
      <c r="L110" s="51">
        <v>224</v>
      </c>
      <c r="M110" s="51">
        <v>38</v>
      </c>
      <c r="N110" s="51">
        <v>224</v>
      </c>
      <c r="O110" s="51">
        <v>41</v>
      </c>
      <c r="P110" s="193">
        <v>229</v>
      </c>
      <c r="Q110" s="193">
        <v>34</v>
      </c>
      <c r="R110" s="349">
        <v>231</v>
      </c>
      <c r="S110" s="348" t="s">
        <v>912</v>
      </c>
      <c r="T110" s="349">
        <v>30</v>
      </c>
      <c r="U110" s="348" t="s">
        <v>912</v>
      </c>
      <c r="V110" s="469">
        <v>235</v>
      </c>
      <c r="W110" s="471" t="s">
        <v>912</v>
      </c>
      <c r="X110" s="469">
        <v>45</v>
      </c>
      <c r="Y110" s="471" t="s">
        <v>910</v>
      </c>
      <c r="Z110" s="630">
        <v>236</v>
      </c>
      <c r="AA110" s="640" t="s">
        <v>912</v>
      </c>
      <c r="AB110" s="630">
        <v>42</v>
      </c>
      <c r="AC110" s="640" t="s">
        <v>910</v>
      </c>
    </row>
    <row r="111" spans="1:29" ht="24.9" customHeight="1" x14ac:dyDescent="0.25">
      <c r="A111" s="188" t="s">
        <v>23</v>
      </c>
      <c r="B111" s="1" t="s">
        <v>220</v>
      </c>
      <c r="C111" s="2">
        <v>2</v>
      </c>
      <c r="D111" s="39">
        <v>256</v>
      </c>
      <c r="E111" s="2"/>
      <c r="F111" s="2">
        <v>258</v>
      </c>
      <c r="G111" s="2"/>
      <c r="H111" s="51">
        <v>269</v>
      </c>
      <c r="I111" s="51">
        <v>38</v>
      </c>
      <c r="J111" s="51">
        <v>264</v>
      </c>
      <c r="K111" s="51">
        <v>39</v>
      </c>
      <c r="L111" s="51">
        <v>260</v>
      </c>
      <c r="M111" s="51">
        <v>40</v>
      </c>
      <c r="N111" s="51">
        <v>254</v>
      </c>
      <c r="O111" s="51">
        <v>40</v>
      </c>
      <c r="P111" s="193">
        <v>257</v>
      </c>
      <c r="Q111" s="193">
        <v>39</v>
      </c>
      <c r="R111" s="349">
        <v>253</v>
      </c>
      <c r="S111" s="348" t="s">
        <v>912</v>
      </c>
      <c r="T111" s="349">
        <v>41</v>
      </c>
      <c r="U111" s="348" t="s">
        <v>910</v>
      </c>
      <c r="V111" s="469">
        <v>261</v>
      </c>
      <c r="W111" s="471" t="s">
        <v>910</v>
      </c>
      <c r="X111" s="469">
        <v>41</v>
      </c>
      <c r="Y111" s="471" t="s">
        <v>910</v>
      </c>
      <c r="Z111" s="630">
        <v>261</v>
      </c>
      <c r="AA111" s="640" t="s">
        <v>910</v>
      </c>
      <c r="AB111" s="630">
        <v>41</v>
      </c>
      <c r="AC111" s="640" t="s">
        <v>910</v>
      </c>
    </row>
    <row r="112" spans="1:29" ht="24.9" customHeight="1" x14ac:dyDescent="0.25">
      <c r="A112" s="188" t="s">
        <v>224</v>
      </c>
      <c r="B112" s="1" t="s">
        <v>222</v>
      </c>
      <c r="C112" s="2">
        <v>1</v>
      </c>
      <c r="D112" s="39">
        <v>247.17307692307696</v>
      </c>
      <c r="F112" s="2">
        <v>253</v>
      </c>
      <c r="G112" s="2"/>
      <c r="H112" s="51">
        <v>253</v>
      </c>
      <c r="I112" s="51">
        <v>33</v>
      </c>
      <c r="J112" s="51">
        <v>274</v>
      </c>
      <c r="K112" s="51">
        <v>35</v>
      </c>
      <c r="L112" s="51">
        <v>271</v>
      </c>
      <c r="M112" s="51">
        <v>35</v>
      </c>
      <c r="N112" s="51">
        <v>271</v>
      </c>
      <c r="O112" s="51">
        <v>36</v>
      </c>
      <c r="P112" s="193">
        <v>274</v>
      </c>
      <c r="Q112" s="193">
        <v>38</v>
      </c>
      <c r="R112" s="349">
        <v>274</v>
      </c>
      <c r="S112" s="348" t="s">
        <v>911</v>
      </c>
      <c r="T112" s="349">
        <v>37</v>
      </c>
      <c r="U112" s="348" t="s">
        <v>910</v>
      </c>
      <c r="V112" s="469">
        <v>266</v>
      </c>
      <c r="W112" s="471" t="s">
        <v>911</v>
      </c>
      <c r="X112" s="469">
        <v>44</v>
      </c>
      <c r="Y112" s="471" t="s">
        <v>910</v>
      </c>
      <c r="Z112" s="630">
        <v>283</v>
      </c>
      <c r="AA112" s="640" t="s">
        <v>911</v>
      </c>
      <c r="AB112" s="630">
        <v>43</v>
      </c>
      <c r="AC112" s="640" t="s">
        <v>910</v>
      </c>
    </row>
    <row r="113" spans="1:29" ht="24.9" customHeight="1" x14ac:dyDescent="0.25">
      <c r="A113" s="188" t="s">
        <v>88</v>
      </c>
      <c r="B113" s="1" t="s">
        <v>220</v>
      </c>
      <c r="C113" s="2">
        <v>2</v>
      </c>
      <c r="D113" s="39">
        <v>255</v>
      </c>
      <c r="E113" s="2"/>
      <c r="F113" s="2">
        <v>246</v>
      </c>
      <c r="G113" s="2"/>
      <c r="H113" s="51">
        <v>260</v>
      </c>
      <c r="I113" s="51">
        <v>32</v>
      </c>
      <c r="J113" s="51">
        <v>259</v>
      </c>
      <c r="K113" s="51">
        <v>39</v>
      </c>
      <c r="L113" s="51">
        <v>255</v>
      </c>
      <c r="M113" s="51">
        <v>41</v>
      </c>
      <c r="N113" s="51">
        <v>253</v>
      </c>
      <c r="O113" s="51">
        <v>41</v>
      </c>
      <c r="P113" s="193">
        <v>254</v>
      </c>
      <c r="Q113" s="193">
        <v>36</v>
      </c>
      <c r="R113" s="349">
        <v>248</v>
      </c>
      <c r="S113" s="348" t="s">
        <v>912</v>
      </c>
      <c r="T113" s="349">
        <v>37</v>
      </c>
      <c r="U113" s="348" t="s">
        <v>910</v>
      </c>
      <c r="V113" s="469">
        <v>246</v>
      </c>
      <c r="W113" s="471" t="s">
        <v>912</v>
      </c>
      <c r="X113" s="469">
        <v>41</v>
      </c>
      <c r="Y113" s="471" t="s">
        <v>910</v>
      </c>
      <c r="Z113" s="630">
        <v>256</v>
      </c>
      <c r="AA113" s="640" t="s">
        <v>912</v>
      </c>
      <c r="AB113" s="630">
        <v>37</v>
      </c>
      <c r="AC113" s="640" t="s">
        <v>910</v>
      </c>
    </row>
    <row r="114" spans="1:29" ht="24.9" customHeight="1" x14ac:dyDescent="0.25">
      <c r="A114" s="188" t="s">
        <v>281</v>
      </c>
      <c r="B114" s="1" t="s">
        <v>220</v>
      </c>
      <c r="C114" s="2">
        <v>4</v>
      </c>
      <c r="D114" s="39">
        <v>257.81153846153848</v>
      </c>
      <c r="E114" s="2"/>
      <c r="F114" s="39">
        <v>257.31153846153848</v>
      </c>
      <c r="G114" s="2"/>
      <c r="H114" s="51">
        <v>266</v>
      </c>
      <c r="I114" s="51">
        <v>39</v>
      </c>
      <c r="J114" s="51">
        <v>269</v>
      </c>
      <c r="K114" s="51">
        <v>43</v>
      </c>
      <c r="L114" s="51">
        <v>248</v>
      </c>
      <c r="M114" s="51">
        <v>36</v>
      </c>
      <c r="N114" s="51">
        <v>247</v>
      </c>
      <c r="O114" s="51">
        <v>40</v>
      </c>
      <c r="P114" s="193">
        <v>248</v>
      </c>
      <c r="Q114" s="193">
        <v>36</v>
      </c>
      <c r="R114" s="349">
        <v>243</v>
      </c>
      <c r="S114" s="348" t="s">
        <v>912</v>
      </c>
      <c r="T114" s="349">
        <v>39</v>
      </c>
      <c r="U114" s="348" t="s">
        <v>910</v>
      </c>
      <c r="V114" s="469">
        <v>245</v>
      </c>
      <c r="W114" s="471" t="s">
        <v>912</v>
      </c>
      <c r="X114" s="469">
        <v>39</v>
      </c>
      <c r="Y114" s="471" t="s">
        <v>910</v>
      </c>
      <c r="Z114" s="630">
        <v>252</v>
      </c>
      <c r="AA114" s="640" t="s">
        <v>912</v>
      </c>
      <c r="AB114" s="630">
        <v>42</v>
      </c>
      <c r="AC114" s="640" t="s">
        <v>910</v>
      </c>
    </row>
    <row r="115" spans="1:29" ht="24.9" customHeight="1" x14ac:dyDescent="0.25">
      <c r="A115" s="189" t="s">
        <v>292</v>
      </c>
      <c r="B115" s="1" t="s">
        <v>222</v>
      </c>
      <c r="C115" s="2">
        <v>1</v>
      </c>
      <c r="D115" s="39">
        <v>238.6615384615385</v>
      </c>
      <c r="E115" s="2"/>
      <c r="F115" s="39">
        <v>240.52692307692308</v>
      </c>
      <c r="G115" s="2"/>
      <c r="H115" s="51">
        <v>243</v>
      </c>
      <c r="I115" s="51">
        <v>37</v>
      </c>
      <c r="J115" s="51">
        <v>235</v>
      </c>
      <c r="K115" s="51">
        <v>44</v>
      </c>
      <c r="L115" s="51">
        <v>229</v>
      </c>
      <c r="M115" s="51">
        <v>32</v>
      </c>
      <c r="N115" s="51">
        <v>236</v>
      </c>
      <c r="O115" s="51">
        <v>38</v>
      </c>
      <c r="P115" s="193">
        <v>255</v>
      </c>
      <c r="Q115" s="193">
        <v>34</v>
      </c>
      <c r="R115" s="349">
        <v>253</v>
      </c>
      <c r="S115" s="348" t="s">
        <v>912</v>
      </c>
      <c r="T115" s="349">
        <v>45</v>
      </c>
      <c r="U115" s="348" t="s">
        <v>910</v>
      </c>
      <c r="V115" s="469">
        <v>258</v>
      </c>
      <c r="W115" s="471" t="s">
        <v>912</v>
      </c>
      <c r="X115" s="469">
        <v>42</v>
      </c>
      <c r="Y115" s="471" t="s">
        <v>910</v>
      </c>
      <c r="Z115" s="630">
        <v>260</v>
      </c>
      <c r="AA115" s="640" t="s">
        <v>910</v>
      </c>
      <c r="AB115" s="630">
        <v>36</v>
      </c>
      <c r="AC115" s="640" t="s">
        <v>912</v>
      </c>
    </row>
    <row r="116" spans="1:29" ht="24.9" customHeight="1" x14ac:dyDescent="0.25">
      <c r="A116" s="188" t="s">
        <v>173</v>
      </c>
      <c r="B116" s="1" t="s">
        <v>220</v>
      </c>
      <c r="C116" s="2">
        <v>3</v>
      </c>
      <c r="D116" s="39">
        <v>251</v>
      </c>
      <c r="E116" s="2"/>
      <c r="F116" s="2">
        <v>243</v>
      </c>
      <c r="G116" s="2"/>
      <c r="H116" s="51">
        <v>255</v>
      </c>
      <c r="I116" s="51">
        <v>38</v>
      </c>
      <c r="J116" s="51">
        <v>254</v>
      </c>
      <c r="K116" s="51">
        <v>36</v>
      </c>
      <c r="L116" s="51">
        <v>256</v>
      </c>
      <c r="M116" s="51">
        <v>40</v>
      </c>
      <c r="N116" s="51">
        <v>249</v>
      </c>
      <c r="O116" s="51">
        <v>37</v>
      </c>
      <c r="P116" s="193">
        <v>243</v>
      </c>
      <c r="Q116" s="193">
        <v>36</v>
      </c>
      <c r="R116" s="349">
        <v>245</v>
      </c>
      <c r="S116" s="348" t="s">
        <v>912</v>
      </c>
      <c r="T116" s="349">
        <v>35</v>
      </c>
      <c r="U116" s="348" t="s">
        <v>912</v>
      </c>
      <c r="V116" s="469">
        <v>251</v>
      </c>
      <c r="W116" s="471" t="s">
        <v>912</v>
      </c>
      <c r="X116" s="469">
        <v>39</v>
      </c>
      <c r="Y116" s="471" t="s">
        <v>910</v>
      </c>
      <c r="Z116" s="630">
        <v>247</v>
      </c>
      <c r="AA116" s="640" t="s">
        <v>912</v>
      </c>
      <c r="AB116" s="630">
        <v>37</v>
      </c>
      <c r="AC116" s="640" t="s">
        <v>910</v>
      </c>
    </row>
    <row r="117" spans="1:29" ht="24.9" customHeight="1" x14ac:dyDescent="0.25">
      <c r="A117" s="188" t="s">
        <v>33</v>
      </c>
      <c r="B117" s="1" t="s">
        <v>220</v>
      </c>
      <c r="C117" s="2">
        <v>6</v>
      </c>
      <c r="D117" s="39">
        <v>247</v>
      </c>
      <c r="E117" s="2"/>
      <c r="F117" s="2">
        <v>245</v>
      </c>
      <c r="G117" s="2"/>
      <c r="H117" s="51">
        <v>257</v>
      </c>
      <c r="I117" s="51">
        <v>34</v>
      </c>
      <c r="J117" s="51">
        <v>262</v>
      </c>
      <c r="K117" s="51">
        <v>37</v>
      </c>
      <c r="L117" s="51">
        <v>265</v>
      </c>
      <c r="M117" s="51">
        <v>42</v>
      </c>
      <c r="N117" s="51">
        <v>251</v>
      </c>
      <c r="O117" s="51">
        <v>41</v>
      </c>
      <c r="P117" s="193">
        <v>255</v>
      </c>
      <c r="Q117" s="193">
        <v>36</v>
      </c>
      <c r="R117" s="349">
        <v>245</v>
      </c>
      <c r="S117" s="348" t="s">
        <v>912</v>
      </c>
      <c r="T117" s="349">
        <v>37</v>
      </c>
      <c r="U117" s="348" t="s">
        <v>910</v>
      </c>
      <c r="V117" s="469">
        <v>250</v>
      </c>
      <c r="W117" s="471" t="s">
        <v>912</v>
      </c>
      <c r="X117" s="469">
        <v>41</v>
      </c>
      <c r="Y117" s="471" t="s">
        <v>910</v>
      </c>
      <c r="Z117" s="630">
        <v>249</v>
      </c>
      <c r="AA117" s="640" t="s">
        <v>912</v>
      </c>
      <c r="AB117" s="630">
        <v>44</v>
      </c>
      <c r="AC117" s="640" t="s">
        <v>910</v>
      </c>
    </row>
    <row r="118" spans="1:29" ht="24.9" customHeight="1" x14ac:dyDescent="0.25">
      <c r="A118" s="188" t="s">
        <v>65</v>
      </c>
      <c r="B118" s="1" t="s">
        <v>220</v>
      </c>
      <c r="C118" s="2">
        <v>3</v>
      </c>
      <c r="D118" s="39">
        <v>256</v>
      </c>
      <c r="E118" s="2"/>
      <c r="F118" s="2">
        <v>248</v>
      </c>
      <c r="G118" s="2"/>
      <c r="H118" s="51">
        <v>262</v>
      </c>
      <c r="I118" s="51">
        <v>34</v>
      </c>
      <c r="J118" s="51">
        <v>258</v>
      </c>
      <c r="K118" s="51">
        <v>38</v>
      </c>
      <c r="L118" s="51">
        <v>255</v>
      </c>
      <c r="M118" s="51">
        <v>38</v>
      </c>
      <c r="N118" s="51">
        <v>253</v>
      </c>
      <c r="O118" s="51">
        <v>40</v>
      </c>
      <c r="P118" s="193">
        <v>257</v>
      </c>
      <c r="Q118" s="193">
        <v>39</v>
      </c>
      <c r="R118" s="349">
        <v>245</v>
      </c>
      <c r="S118" s="348" t="s">
        <v>912</v>
      </c>
      <c r="T118" s="349">
        <v>38</v>
      </c>
      <c r="U118" s="348" t="s">
        <v>910</v>
      </c>
      <c r="V118" s="469">
        <v>247</v>
      </c>
      <c r="W118" s="471" t="s">
        <v>912</v>
      </c>
      <c r="X118" s="469">
        <v>37</v>
      </c>
      <c r="Y118" s="471" t="s">
        <v>910</v>
      </c>
      <c r="Z118" s="630">
        <v>245</v>
      </c>
      <c r="AA118" s="640" t="s">
        <v>912</v>
      </c>
      <c r="AB118" s="630">
        <v>39</v>
      </c>
      <c r="AC118" s="640" t="s">
        <v>910</v>
      </c>
    </row>
    <row r="119" spans="1:29" ht="24.9" customHeight="1" x14ac:dyDescent="0.25">
      <c r="A119" s="188" t="s">
        <v>106</v>
      </c>
      <c r="B119" s="1" t="s">
        <v>222</v>
      </c>
      <c r="C119" s="2">
        <v>1</v>
      </c>
      <c r="D119" s="39">
        <v>266.73461538461538</v>
      </c>
      <c r="E119" s="2"/>
      <c r="F119" s="39">
        <v>269.34999999999997</v>
      </c>
      <c r="G119" s="2"/>
      <c r="H119" s="51">
        <v>282</v>
      </c>
      <c r="I119" s="51">
        <v>37</v>
      </c>
      <c r="J119" s="51">
        <v>278</v>
      </c>
      <c r="K119" s="51">
        <v>38</v>
      </c>
      <c r="L119" s="51">
        <v>263</v>
      </c>
      <c r="M119" s="51">
        <v>43</v>
      </c>
      <c r="N119" s="51">
        <v>248</v>
      </c>
      <c r="O119" s="51">
        <v>44</v>
      </c>
      <c r="P119" s="193">
        <v>261</v>
      </c>
      <c r="Q119" s="193">
        <v>37</v>
      </c>
      <c r="R119" s="349">
        <v>253</v>
      </c>
      <c r="S119" s="348" t="s">
        <v>912</v>
      </c>
      <c r="T119" s="349">
        <v>39</v>
      </c>
      <c r="U119" s="348" t="s">
        <v>910</v>
      </c>
      <c r="V119" s="469">
        <v>280</v>
      </c>
      <c r="W119" s="471" t="s">
        <v>911</v>
      </c>
      <c r="X119" s="469">
        <v>35</v>
      </c>
      <c r="Y119" s="471" t="s">
        <v>912</v>
      </c>
      <c r="Z119" s="630">
        <v>280</v>
      </c>
      <c r="AA119" s="640" t="s">
        <v>911</v>
      </c>
      <c r="AB119" s="630">
        <v>41</v>
      </c>
      <c r="AC119" s="640" t="s">
        <v>910</v>
      </c>
    </row>
    <row r="120" spans="1:29" ht="24.9" customHeight="1" x14ac:dyDescent="0.25">
      <c r="A120" s="188" t="s">
        <v>188</v>
      </c>
      <c r="B120" s="1" t="s">
        <v>220</v>
      </c>
      <c r="C120" s="2">
        <v>4</v>
      </c>
      <c r="D120" s="39">
        <v>237.58076923076925</v>
      </c>
      <c r="E120" s="2"/>
      <c r="F120" s="39">
        <v>239.06538461538463</v>
      </c>
      <c r="G120" s="2"/>
      <c r="H120" s="51">
        <v>239</v>
      </c>
      <c r="I120" s="51">
        <v>37</v>
      </c>
      <c r="J120" s="51">
        <v>240</v>
      </c>
      <c r="K120" s="51">
        <v>38</v>
      </c>
      <c r="L120" s="51">
        <v>228</v>
      </c>
      <c r="M120" s="51">
        <v>34</v>
      </c>
      <c r="N120" s="51">
        <v>234</v>
      </c>
      <c r="O120" s="51">
        <v>42</v>
      </c>
      <c r="P120" s="193">
        <v>230</v>
      </c>
      <c r="Q120" s="193">
        <v>35</v>
      </c>
      <c r="R120" s="349">
        <v>239</v>
      </c>
      <c r="S120" s="348" t="s">
        <v>912</v>
      </c>
      <c r="T120" s="349">
        <v>43</v>
      </c>
      <c r="U120" s="348" t="s">
        <v>910</v>
      </c>
      <c r="V120" s="469">
        <v>239</v>
      </c>
      <c r="W120" s="471" t="s">
        <v>912</v>
      </c>
      <c r="X120" s="469">
        <v>40</v>
      </c>
      <c r="Y120" s="471" t="s">
        <v>910</v>
      </c>
      <c r="Z120" s="630">
        <v>239</v>
      </c>
      <c r="AA120" s="640" t="s">
        <v>912</v>
      </c>
      <c r="AB120" s="630">
        <v>43</v>
      </c>
      <c r="AC120" s="640" t="s">
        <v>910</v>
      </c>
    </row>
    <row r="121" spans="1:29" s="461" customFormat="1" ht="24.9" customHeight="1" x14ac:dyDescent="0.25">
      <c r="A121" s="470" t="s">
        <v>964</v>
      </c>
      <c r="B121" s="1" t="s">
        <v>220</v>
      </c>
      <c r="C121" s="471">
        <v>2</v>
      </c>
      <c r="D121" s="490"/>
      <c r="E121" s="471"/>
      <c r="F121" s="490"/>
      <c r="G121" s="471"/>
      <c r="H121" s="491"/>
      <c r="I121" s="491"/>
      <c r="J121" s="491"/>
      <c r="K121" s="491"/>
      <c r="L121" s="491"/>
      <c r="M121" s="491"/>
      <c r="N121" s="491"/>
      <c r="O121" s="491"/>
      <c r="P121" s="492"/>
      <c r="Q121" s="492"/>
      <c r="R121" s="475"/>
      <c r="S121" s="493"/>
      <c r="T121" s="475"/>
      <c r="U121" s="493"/>
      <c r="V121" s="469">
        <v>260</v>
      </c>
      <c r="W121" s="471" t="s">
        <v>910</v>
      </c>
      <c r="X121" s="469">
        <v>36</v>
      </c>
      <c r="Y121" s="471" t="s">
        <v>912</v>
      </c>
      <c r="Z121" s="630">
        <v>253</v>
      </c>
      <c r="AA121" s="640" t="s">
        <v>912</v>
      </c>
      <c r="AB121" s="630">
        <v>41</v>
      </c>
      <c r="AC121" s="640" t="s">
        <v>910</v>
      </c>
    </row>
    <row r="122" spans="1:29" ht="24.9" customHeight="1" x14ac:dyDescent="0.25">
      <c r="A122" s="188" t="s">
        <v>130</v>
      </c>
      <c r="B122" s="1" t="s">
        <v>220</v>
      </c>
      <c r="C122" s="2">
        <v>3</v>
      </c>
      <c r="D122" s="39">
        <v>248.00769230769225</v>
      </c>
      <c r="E122" s="2"/>
      <c r="F122" s="39">
        <v>246.76923076923077</v>
      </c>
      <c r="G122" s="2"/>
      <c r="H122" s="51">
        <v>263</v>
      </c>
      <c r="I122" s="51">
        <v>40</v>
      </c>
      <c r="J122" s="51">
        <v>258</v>
      </c>
      <c r="K122" s="51">
        <v>38</v>
      </c>
      <c r="L122" s="51">
        <v>257</v>
      </c>
      <c r="M122" s="51">
        <v>40</v>
      </c>
      <c r="N122" s="51">
        <v>244</v>
      </c>
      <c r="O122" s="51">
        <v>37</v>
      </c>
      <c r="P122" s="193">
        <v>247</v>
      </c>
      <c r="Q122" s="193">
        <v>36</v>
      </c>
      <c r="R122" s="349">
        <v>250</v>
      </c>
      <c r="S122" s="348" t="s">
        <v>912</v>
      </c>
      <c r="T122" s="349">
        <v>40</v>
      </c>
      <c r="U122" s="348" t="s">
        <v>910</v>
      </c>
      <c r="V122" s="469">
        <v>258</v>
      </c>
      <c r="W122" s="471" t="s">
        <v>912</v>
      </c>
      <c r="X122" s="469">
        <v>43</v>
      </c>
      <c r="Y122" s="471" t="s">
        <v>910</v>
      </c>
      <c r="Z122" s="630">
        <v>256</v>
      </c>
      <c r="AA122" s="640" t="s">
        <v>912</v>
      </c>
      <c r="AB122" s="630">
        <v>39</v>
      </c>
      <c r="AC122" s="640" t="s">
        <v>910</v>
      </c>
    </row>
    <row r="123" spans="1:29" s="461" customFormat="1" ht="24.9" customHeight="1" x14ac:dyDescent="0.25">
      <c r="A123" s="470" t="s">
        <v>966</v>
      </c>
      <c r="B123" s="1" t="s">
        <v>220</v>
      </c>
      <c r="C123" s="471">
        <v>1</v>
      </c>
      <c r="D123" s="490"/>
      <c r="E123" s="471"/>
      <c r="F123" s="490"/>
      <c r="G123" s="471"/>
      <c r="H123" s="491"/>
      <c r="I123" s="491"/>
      <c r="J123" s="491"/>
      <c r="K123" s="491"/>
      <c r="L123" s="491"/>
      <c r="M123" s="491"/>
      <c r="N123" s="491"/>
      <c r="O123" s="491"/>
      <c r="P123" s="492"/>
      <c r="Q123" s="492"/>
      <c r="R123" s="475"/>
      <c r="S123" s="493"/>
      <c r="T123" s="475"/>
      <c r="U123" s="493"/>
      <c r="V123" s="469">
        <v>252</v>
      </c>
      <c r="W123" s="471" t="s">
        <v>912</v>
      </c>
      <c r="X123" s="469">
        <v>38</v>
      </c>
      <c r="Y123" s="471" t="s">
        <v>910</v>
      </c>
      <c r="Z123" s="630">
        <v>260</v>
      </c>
      <c r="AA123" s="640" t="s">
        <v>910</v>
      </c>
      <c r="AB123" s="630">
        <v>35</v>
      </c>
      <c r="AC123" s="640" t="s">
        <v>912</v>
      </c>
    </row>
    <row r="124" spans="1:29" ht="24.9" customHeight="1" x14ac:dyDescent="0.25">
      <c r="A124" s="188" t="s">
        <v>90</v>
      </c>
      <c r="B124" s="1" t="s">
        <v>220</v>
      </c>
      <c r="C124" s="2">
        <v>1</v>
      </c>
      <c r="D124" s="39">
        <v>263.78461538461534</v>
      </c>
      <c r="E124" s="2"/>
      <c r="F124" s="2">
        <v>261</v>
      </c>
      <c r="G124" s="2"/>
      <c r="H124" s="51">
        <v>272</v>
      </c>
      <c r="I124" s="51">
        <v>34</v>
      </c>
      <c r="J124" s="51">
        <v>279</v>
      </c>
      <c r="K124" s="51">
        <v>32</v>
      </c>
      <c r="L124" s="51">
        <v>269</v>
      </c>
      <c r="M124" s="51">
        <v>34</v>
      </c>
      <c r="N124" s="51">
        <v>264</v>
      </c>
      <c r="O124" s="51">
        <v>41</v>
      </c>
      <c r="P124" s="193">
        <v>269</v>
      </c>
      <c r="Q124" s="193">
        <v>37</v>
      </c>
      <c r="R124" s="349">
        <v>256</v>
      </c>
      <c r="S124" s="348" t="s">
        <v>910</v>
      </c>
      <c r="T124" s="349">
        <v>42</v>
      </c>
      <c r="U124" s="348" t="s">
        <v>910</v>
      </c>
      <c r="V124" s="469">
        <v>257</v>
      </c>
      <c r="W124" s="471" t="s">
        <v>912</v>
      </c>
      <c r="X124" s="469">
        <v>37</v>
      </c>
      <c r="Y124" s="471" t="s">
        <v>910</v>
      </c>
      <c r="Z124" s="630">
        <v>259</v>
      </c>
      <c r="AA124" s="640" t="s">
        <v>910</v>
      </c>
      <c r="AB124" s="630">
        <v>37</v>
      </c>
      <c r="AC124" s="640" t="s">
        <v>910</v>
      </c>
    </row>
    <row r="125" spans="1:29" ht="24.9" customHeight="1" x14ac:dyDescent="0.25">
      <c r="A125" s="188" t="s">
        <v>50</v>
      </c>
      <c r="B125" s="1" t="s">
        <v>222</v>
      </c>
      <c r="C125" s="2">
        <v>1</v>
      </c>
      <c r="D125" s="39">
        <v>258.75</v>
      </c>
      <c r="E125" s="2"/>
      <c r="F125" s="2">
        <v>253</v>
      </c>
      <c r="G125" s="2"/>
      <c r="H125" s="51">
        <v>266</v>
      </c>
      <c r="I125" s="51">
        <v>37</v>
      </c>
      <c r="J125" s="51">
        <v>258</v>
      </c>
      <c r="K125" s="51">
        <v>39</v>
      </c>
      <c r="L125" s="51">
        <v>264</v>
      </c>
      <c r="M125" s="51">
        <v>41</v>
      </c>
      <c r="N125" s="51">
        <v>254</v>
      </c>
      <c r="O125" s="51">
        <v>31</v>
      </c>
      <c r="P125" s="193">
        <v>261</v>
      </c>
      <c r="Q125" s="193">
        <v>34</v>
      </c>
      <c r="R125" s="349">
        <v>252</v>
      </c>
      <c r="S125" s="348" t="s">
        <v>912</v>
      </c>
      <c r="T125" s="349">
        <v>48</v>
      </c>
      <c r="U125" s="348" t="s">
        <v>910</v>
      </c>
      <c r="V125" s="469">
        <v>261</v>
      </c>
      <c r="W125" s="471" t="s">
        <v>910</v>
      </c>
      <c r="X125" s="469">
        <v>40</v>
      </c>
      <c r="Y125" s="471" t="s">
        <v>910</v>
      </c>
    </row>
    <row r="126" spans="1:29" s="461" customFormat="1" ht="24.9" customHeight="1" x14ac:dyDescent="0.25">
      <c r="A126" s="470" t="s">
        <v>968</v>
      </c>
      <c r="B126" s="1" t="s">
        <v>220</v>
      </c>
      <c r="C126" s="471">
        <v>3</v>
      </c>
      <c r="D126" s="490"/>
      <c r="E126" s="471"/>
      <c r="F126" s="471"/>
      <c r="G126" s="471"/>
      <c r="H126" s="491"/>
      <c r="I126" s="491"/>
      <c r="J126" s="491"/>
      <c r="K126" s="491"/>
      <c r="L126" s="491"/>
      <c r="M126" s="491"/>
      <c r="N126" s="491"/>
      <c r="O126" s="491"/>
      <c r="P126" s="492"/>
      <c r="Q126" s="492"/>
      <c r="R126" s="475"/>
      <c r="S126" s="493"/>
      <c r="T126" s="475"/>
      <c r="U126" s="493"/>
      <c r="V126" s="469">
        <v>257</v>
      </c>
      <c r="W126" s="471" t="s">
        <v>912</v>
      </c>
      <c r="X126" s="469">
        <v>42</v>
      </c>
      <c r="Y126" s="471" t="s">
        <v>910</v>
      </c>
      <c r="Z126" s="630">
        <v>262</v>
      </c>
      <c r="AA126" s="640" t="s">
        <v>910</v>
      </c>
      <c r="AB126" s="630">
        <v>41</v>
      </c>
      <c r="AC126" s="640" t="s">
        <v>910</v>
      </c>
    </row>
    <row r="127" spans="1:29" ht="24.9" customHeight="1" x14ac:dyDescent="0.25">
      <c r="A127" s="188" t="s">
        <v>290</v>
      </c>
      <c r="B127" s="1" t="s">
        <v>222</v>
      </c>
      <c r="C127" s="2">
        <v>6</v>
      </c>
      <c r="D127" s="39">
        <v>252.77307692307693</v>
      </c>
      <c r="E127" s="2"/>
      <c r="F127" s="39">
        <v>252.7269230769231</v>
      </c>
      <c r="G127" s="2"/>
      <c r="H127" s="51">
        <v>259</v>
      </c>
      <c r="I127" s="51">
        <v>37</v>
      </c>
      <c r="J127" s="51">
        <v>256</v>
      </c>
      <c r="K127" s="51">
        <v>40</v>
      </c>
      <c r="L127" s="51">
        <v>251</v>
      </c>
      <c r="M127" s="51">
        <v>35</v>
      </c>
      <c r="N127" s="51">
        <v>247</v>
      </c>
      <c r="O127" s="51">
        <v>34</v>
      </c>
      <c r="P127" s="193">
        <v>251</v>
      </c>
      <c r="Q127" s="193">
        <v>37</v>
      </c>
      <c r="R127" s="349">
        <v>244</v>
      </c>
      <c r="S127" s="348" t="s">
        <v>912</v>
      </c>
      <c r="T127" s="349">
        <v>38</v>
      </c>
      <c r="U127" s="348" t="s">
        <v>910</v>
      </c>
      <c r="V127" s="469">
        <v>240</v>
      </c>
      <c r="W127" s="471" t="s">
        <v>912</v>
      </c>
      <c r="X127" s="469">
        <v>42</v>
      </c>
      <c r="Y127" s="471" t="s">
        <v>910</v>
      </c>
      <c r="Z127" s="630">
        <v>249</v>
      </c>
      <c r="AA127" s="640" t="s">
        <v>912</v>
      </c>
      <c r="AB127" s="630">
        <v>40</v>
      </c>
      <c r="AC127" s="640" t="s">
        <v>910</v>
      </c>
    </row>
    <row r="128" spans="1:29" s="461" customFormat="1" ht="24.9" customHeight="1" x14ac:dyDescent="0.25">
      <c r="A128" s="470" t="s">
        <v>970</v>
      </c>
      <c r="B128" s="1" t="s">
        <v>220</v>
      </c>
      <c r="C128" s="471">
        <v>2</v>
      </c>
      <c r="D128" s="490"/>
      <c r="E128" s="471"/>
      <c r="F128" s="490"/>
      <c r="G128" s="471"/>
      <c r="H128" s="491"/>
      <c r="I128" s="491"/>
      <c r="J128" s="491"/>
      <c r="K128" s="491"/>
      <c r="L128" s="491"/>
      <c r="M128" s="491"/>
      <c r="N128" s="491"/>
      <c r="O128" s="491"/>
      <c r="P128" s="492"/>
      <c r="Q128" s="492"/>
      <c r="R128" s="475"/>
      <c r="S128" s="493"/>
      <c r="T128" s="475"/>
      <c r="U128" s="493"/>
      <c r="V128" s="469">
        <v>246</v>
      </c>
      <c r="W128" s="471" t="s">
        <v>912</v>
      </c>
      <c r="X128" s="469">
        <v>38</v>
      </c>
      <c r="Y128" s="471" t="s">
        <v>910</v>
      </c>
      <c r="Z128" s="630">
        <v>252</v>
      </c>
      <c r="AA128" s="640" t="s">
        <v>912</v>
      </c>
      <c r="AB128" s="630">
        <v>39</v>
      </c>
      <c r="AC128" s="640" t="s">
        <v>910</v>
      </c>
    </row>
    <row r="129" spans="1:29" ht="24.9" customHeight="1" x14ac:dyDescent="0.25">
      <c r="A129" s="188" t="s">
        <v>193</v>
      </c>
      <c r="B129" s="1" t="s">
        <v>222</v>
      </c>
      <c r="C129" s="2">
        <v>2</v>
      </c>
      <c r="D129" s="39"/>
      <c r="E129" s="2"/>
      <c r="F129" s="2"/>
      <c r="G129" s="2"/>
      <c r="H129" s="51">
        <v>241</v>
      </c>
      <c r="I129" s="51">
        <v>37</v>
      </c>
      <c r="J129" s="51" t="s">
        <v>258</v>
      </c>
      <c r="K129" s="51" t="s">
        <v>258</v>
      </c>
      <c r="L129" s="51" t="s">
        <v>258</v>
      </c>
      <c r="M129" s="51" t="s">
        <v>258</v>
      </c>
      <c r="N129" s="51" t="s">
        <v>258</v>
      </c>
      <c r="O129" s="51" t="s">
        <v>258</v>
      </c>
      <c r="P129" s="193">
        <v>235</v>
      </c>
      <c r="Q129" s="193">
        <v>36</v>
      </c>
      <c r="R129" s="349">
        <v>185</v>
      </c>
      <c r="S129" s="348" t="s">
        <v>912</v>
      </c>
      <c r="T129" s="349">
        <v>16</v>
      </c>
      <c r="U129" s="348" t="s">
        <v>912</v>
      </c>
    </row>
    <row r="130" spans="1:29" ht="24.9" customHeight="1" x14ac:dyDescent="0.25">
      <c r="A130" s="188" t="s">
        <v>233</v>
      </c>
      <c r="B130" s="1" t="s">
        <v>222</v>
      </c>
      <c r="C130" s="2">
        <v>4</v>
      </c>
      <c r="D130" s="39">
        <v>229.35</v>
      </c>
      <c r="E130" s="2"/>
      <c r="F130" s="2">
        <v>227</v>
      </c>
      <c r="G130" s="2"/>
      <c r="H130" s="51" t="s">
        <v>258</v>
      </c>
      <c r="I130" s="51" t="s">
        <v>258</v>
      </c>
      <c r="J130" s="51" t="s">
        <v>258</v>
      </c>
      <c r="K130" s="51" t="s">
        <v>258</v>
      </c>
      <c r="L130" s="51">
        <v>283</v>
      </c>
      <c r="M130" s="51">
        <v>15</v>
      </c>
      <c r="N130" s="51" t="s">
        <v>258</v>
      </c>
      <c r="O130" s="51" t="s">
        <v>258</v>
      </c>
      <c r="P130" s="51" t="s">
        <v>258</v>
      </c>
      <c r="Q130" s="51" t="s">
        <v>258</v>
      </c>
    </row>
    <row r="131" spans="1:29" ht="24.9" customHeight="1" x14ac:dyDescent="0.25">
      <c r="A131" s="188" t="s">
        <v>158</v>
      </c>
      <c r="B131" s="1" t="s">
        <v>222</v>
      </c>
      <c r="C131" s="2">
        <v>5</v>
      </c>
      <c r="D131" s="39">
        <v>272.06153846153842</v>
      </c>
      <c r="E131" s="2"/>
      <c r="F131" s="39">
        <v>269.34615384615381</v>
      </c>
      <c r="G131" s="2"/>
      <c r="H131" s="51">
        <v>272</v>
      </c>
      <c r="I131" s="51">
        <v>39</v>
      </c>
      <c r="J131" s="51">
        <v>275</v>
      </c>
      <c r="K131" s="51">
        <v>36</v>
      </c>
      <c r="L131" s="51">
        <v>261</v>
      </c>
      <c r="M131" s="51">
        <v>37</v>
      </c>
      <c r="N131" s="51">
        <v>257</v>
      </c>
      <c r="O131" s="51">
        <v>34</v>
      </c>
      <c r="P131" s="193">
        <v>274</v>
      </c>
      <c r="Q131" s="193">
        <v>43</v>
      </c>
      <c r="R131" s="349">
        <v>258</v>
      </c>
      <c r="S131" s="348" t="s">
        <v>910</v>
      </c>
      <c r="T131" s="349">
        <v>43</v>
      </c>
      <c r="U131" s="348" t="s">
        <v>910</v>
      </c>
      <c r="V131" s="469">
        <v>262</v>
      </c>
      <c r="W131" s="471" t="s">
        <v>910</v>
      </c>
      <c r="X131" s="469">
        <v>43</v>
      </c>
      <c r="Y131" s="471" t="s">
        <v>910</v>
      </c>
      <c r="Z131" s="630">
        <v>274</v>
      </c>
      <c r="AA131" s="640" t="s">
        <v>911</v>
      </c>
      <c r="AB131" s="630">
        <v>43</v>
      </c>
      <c r="AC131" s="640" t="s">
        <v>910</v>
      </c>
    </row>
    <row r="132" spans="1:29" ht="24.9" customHeight="1" x14ac:dyDescent="0.25">
      <c r="A132" s="188" t="s">
        <v>216</v>
      </c>
      <c r="B132" s="1" t="s">
        <v>222</v>
      </c>
      <c r="C132" s="2">
        <v>6</v>
      </c>
      <c r="D132" s="39"/>
      <c r="E132" s="2"/>
      <c r="G132" s="2"/>
      <c r="H132" s="51">
        <v>205</v>
      </c>
      <c r="I132" s="51">
        <v>0</v>
      </c>
      <c r="J132" s="51" t="s">
        <v>228</v>
      </c>
      <c r="K132" s="51" t="s">
        <v>228</v>
      </c>
      <c r="L132" s="51" t="s">
        <v>258</v>
      </c>
      <c r="M132" s="51" t="s">
        <v>258</v>
      </c>
      <c r="N132" s="51" t="s">
        <v>258</v>
      </c>
      <c r="O132" s="51" t="s">
        <v>258</v>
      </c>
      <c r="P132" s="51" t="s">
        <v>258</v>
      </c>
      <c r="Q132" s="51" t="s">
        <v>258</v>
      </c>
      <c r="R132" s="349">
        <v>235</v>
      </c>
      <c r="S132" s="348" t="s">
        <v>912</v>
      </c>
      <c r="T132" s="349">
        <v>0</v>
      </c>
      <c r="U132" s="348" t="s">
        <v>912</v>
      </c>
    </row>
    <row r="133" spans="1:29" ht="24.9" customHeight="1" x14ac:dyDescent="0.25">
      <c r="A133" s="188" t="s">
        <v>120</v>
      </c>
      <c r="B133" s="1" t="s">
        <v>222</v>
      </c>
      <c r="C133" s="2">
        <v>4</v>
      </c>
      <c r="D133" s="39">
        <v>250.71153846153848</v>
      </c>
      <c r="E133" s="2"/>
      <c r="F133" s="39">
        <v>236.06923076923081</v>
      </c>
      <c r="G133" s="2"/>
      <c r="H133" s="51">
        <v>278</v>
      </c>
      <c r="I133" s="51">
        <v>31</v>
      </c>
      <c r="J133" s="51">
        <v>274</v>
      </c>
      <c r="K133" s="51">
        <v>29</v>
      </c>
      <c r="L133" s="51">
        <v>293</v>
      </c>
      <c r="M133" s="51">
        <v>23</v>
      </c>
      <c r="N133" s="51">
        <v>271</v>
      </c>
      <c r="O133" s="51">
        <v>33</v>
      </c>
      <c r="P133" s="193">
        <v>275</v>
      </c>
      <c r="Q133" s="193">
        <v>33</v>
      </c>
      <c r="R133" s="349">
        <v>256</v>
      </c>
      <c r="S133" s="348" t="s">
        <v>910</v>
      </c>
      <c r="T133" s="349">
        <v>42</v>
      </c>
      <c r="U133" s="348" t="s">
        <v>910</v>
      </c>
      <c r="V133" s="469">
        <v>295</v>
      </c>
      <c r="W133" s="471" t="s">
        <v>911</v>
      </c>
      <c r="X133" s="469">
        <v>38</v>
      </c>
      <c r="Y133" s="471" t="s">
        <v>910</v>
      </c>
      <c r="Z133" s="630">
        <v>256</v>
      </c>
      <c r="AA133" s="640" t="s">
        <v>912</v>
      </c>
      <c r="AB133" s="630">
        <v>36</v>
      </c>
      <c r="AC133" s="640" t="s">
        <v>912</v>
      </c>
    </row>
    <row r="134" spans="1:29" ht="24.9" customHeight="1" x14ac:dyDescent="0.25">
      <c r="A134" s="188" t="s">
        <v>52</v>
      </c>
      <c r="B134" s="1" t="s">
        <v>222</v>
      </c>
      <c r="C134" s="2">
        <v>6</v>
      </c>
      <c r="D134" s="39">
        <v>251.51538461538465</v>
      </c>
      <c r="E134" s="2"/>
      <c r="F134" s="39">
        <v>252.41153846153847</v>
      </c>
      <c r="G134" s="2"/>
      <c r="H134" s="51">
        <v>272</v>
      </c>
      <c r="I134" s="51">
        <v>36</v>
      </c>
      <c r="J134" s="51">
        <v>271</v>
      </c>
      <c r="K134" s="51">
        <v>39</v>
      </c>
      <c r="L134" s="51">
        <v>268</v>
      </c>
      <c r="M134" s="51">
        <v>39</v>
      </c>
      <c r="N134" s="51">
        <v>266</v>
      </c>
      <c r="O134" s="51">
        <v>47</v>
      </c>
      <c r="P134" s="193">
        <v>267</v>
      </c>
      <c r="Q134" s="193">
        <v>38</v>
      </c>
      <c r="R134" s="349">
        <v>263</v>
      </c>
      <c r="S134" s="348" t="s">
        <v>911</v>
      </c>
      <c r="T134" s="349">
        <v>40</v>
      </c>
      <c r="U134" s="348" t="s">
        <v>910</v>
      </c>
      <c r="V134" s="469">
        <v>279</v>
      </c>
      <c r="W134" s="471" t="s">
        <v>911</v>
      </c>
      <c r="X134" s="469">
        <v>38</v>
      </c>
      <c r="Y134" s="471" t="s">
        <v>910</v>
      </c>
      <c r="Z134" s="630">
        <v>272</v>
      </c>
      <c r="AA134" s="640" t="s">
        <v>911</v>
      </c>
      <c r="AB134" s="630">
        <v>40</v>
      </c>
      <c r="AC134" s="640" t="s">
        <v>910</v>
      </c>
    </row>
    <row r="135" spans="1:29" ht="24.9" customHeight="1" x14ac:dyDescent="0.25">
      <c r="A135" s="188" t="s">
        <v>40</v>
      </c>
      <c r="B135" s="1" t="s">
        <v>222</v>
      </c>
      <c r="C135" s="2">
        <v>2</v>
      </c>
      <c r="D135" s="39">
        <v>240.51923076923075</v>
      </c>
      <c r="E135" s="2"/>
      <c r="F135" s="39">
        <v>245.94230769230768</v>
      </c>
      <c r="G135" s="2"/>
      <c r="H135" s="51">
        <v>258</v>
      </c>
      <c r="I135" s="51">
        <v>32</v>
      </c>
      <c r="J135" s="51">
        <v>257</v>
      </c>
      <c r="K135" s="51">
        <v>37</v>
      </c>
      <c r="L135" s="51">
        <v>249</v>
      </c>
      <c r="M135" s="51">
        <v>35</v>
      </c>
      <c r="N135" s="51">
        <v>254</v>
      </c>
      <c r="O135" s="51">
        <v>42</v>
      </c>
      <c r="P135" s="193">
        <v>256</v>
      </c>
      <c r="Q135" s="193">
        <v>41</v>
      </c>
      <c r="R135" s="349">
        <v>252</v>
      </c>
      <c r="S135" s="348" t="s">
        <v>912</v>
      </c>
      <c r="T135" s="349">
        <v>40</v>
      </c>
      <c r="U135" s="348" t="s">
        <v>910</v>
      </c>
      <c r="V135" s="469">
        <v>248</v>
      </c>
      <c r="W135" s="471" t="s">
        <v>912</v>
      </c>
      <c r="X135" s="469">
        <v>40</v>
      </c>
      <c r="Y135" s="471" t="s">
        <v>910</v>
      </c>
      <c r="Z135" s="630">
        <v>262</v>
      </c>
      <c r="AA135" s="640" t="s">
        <v>910</v>
      </c>
      <c r="AB135" s="630">
        <v>40</v>
      </c>
      <c r="AC135" s="640" t="s">
        <v>910</v>
      </c>
    </row>
    <row r="136" spans="1:29" ht="24.9" customHeight="1" x14ac:dyDescent="0.25">
      <c r="A136" s="188" t="s">
        <v>229</v>
      </c>
      <c r="B136" s="1" t="s">
        <v>222</v>
      </c>
      <c r="C136" s="2">
        <v>2</v>
      </c>
      <c r="D136" s="39"/>
      <c r="E136" s="2"/>
      <c r="F136" s="2"/>
      <c r="G136" s="2"/>
      <c r="H136" s="51" t="s">
        <v>258</v>
      </c>
      <c r="I136" s="51" t="s">
        <v>258</v>
      </c>
      <c r="J136" s="51">
        <v>220</v>
      </c>
      <c r="K136" s="51">
        <v>45</v>
      </c>
      <c r="L136" s="51" t="s">
        <v>258</v>
      </c>
      <c r="M136" s="51" t="s">
        <v>258</v>
      </c>
      <c r="N136" s="51" t="s">
        <v>258</v>
      </c>
      <c r="O136" s="51" t="s">
        <v>258</v>
      </c>
      <c r="P136" s="51" t="s">
        <v>258</v>
      </c>
      <c r="Q136" s="51" t="s">
        <v>258</v>
      </c>
      <c r="V136" s="469">
        <v>267</v>
      </c>
      <c r="W136" s="471" t="s">
        <v>911</v>
      </c>
      <c r="X136" s="469">
        <v>0</v>
      </c>
      <c r="Y136" s="471" t="s">
        <v>912</v>
      </c>
      <c r="Z136" s="630">
        <v>211</v>
      </c>
      <c r="AA136" s="640" t="s">
        <v>912</v>
      </c>
      <c r="AB136" s="630">
        <v>33</v>
      </c>
      <c r="AC136" s="640" t="s">
        <v>912</v>
      </c>
    </row>
    <row r="137" spans="1:29" s="461" customFormat="1" ht="24.9" customHeight="1" x14ac:dyDescent="0.25">
      <c r="A137" s="470" t="s">
        <v>972</v>
      </c>
      <c r="B137" s="1" t="s">
        <v>222</v>
      </c>
      <c r="C137" s="471">
        <v>4</v>
      </c>
      <c r="D137" s="490"/>
      <c r="E137" s="471"/>
      <c r="F137" s="471"/>
      <c r="G137" s="471"/>
      <c r="H137" s="491"/>
      <c r="I137" s="491"/>
      <c r="J137" s="491"/>
      <c r="K137" s="491"/>
      <c r="L137" s="491"/>
      <c r="M137" s="491"/>
      <c r="N137" s="491"/>
      <c r="O137" s="491"/>
      <c r="P137" s="491"/>
      <c r="Q137" s="491"/>
      <c r="V137" s="469">
        <v>229</v>
      </c>
      <c r="W137" s="471" t="s">
        <v>912</v>
      </c>
      <c r="X137" s="469">
        <v>37</v>
      </c>
      <c r="Y137" s="471" t="s">
        <v>910</v>
      </c>
      <c r="Z137" s="630">
        <v>207</v>
      </c>
      <c r="AA137" s="640" t="s">
        <v>912</v>
      </c>
      <c r="AB137" s="630">
        <v>28</v>
      </c>
      <c r="AC137" s="640" t="s">
        <v>912</v>
      </c>
    </row>
    <row r="138" spans="1:29" ht="24.9" customHeight="1" x14ac:dyDescent="0.25">
      <c r="A138" s="188" t="s">
        <v>155</v>
      </c>
      <c r="B138" s="1" t="s">
        <v>222</v>
      </c>
      <c r="C138" s="2">
        <v>5</v>
      </c>
      <c r="D138" s="39">
        <v>255.32307692307694</v>
      </c>
      <c r="E138" s="2"/>
      <c r="F138" s="2">
        <v>295</v>
      </c>
      <c r="G138" s="2"/>
      <c r="H138" s="51">
        <v>260</v>
      </c>
      <c r="I138" s="51">
        <v>28</v>
      </c>
      <c r="J138" s="51">
        <v>267</v>
      </c>
      <c r="K138" s="51">
        <v>46</v>
      </c>
      <c r="L138" s="51">
        <v>251</v>
      </c>
      <c r="M138" s="51">
        <v>29</v>
      </c>
      <c r="N138" s="51">
        <v>236</v>
      </c>
      <c r="O138" s="51">
        <v>38</v>
      </c>
      <c r="P138" s="193">
        <v>268</v>
      </c>
      <c r="Q138" s="193">
        <v>24</v>
      </c>
      <c r="R138" s="349">
        <v>272</v>
      </c>
      <c r="S138" s="348" t="s">
        <v>911</v>
      </c>
      <c r="T138" s="349">
        <v>15</v>
      </c>
      <c r="U138" s="348" t="s">
        <v>912</v>
      </c>
      <c r="V138" s="469">
        <v>256</v>
      </c>
      <c r="W138" s="471" t="s">
        <v>912</v>
      </c>
      <c r="X138" s="469">
        <v>26</v>
      </c>
      <c r="Y138" s="471" t="s">
        <v>912</v>
      </c>
      <c r="Z138" s="630">
        <v>271</v>
      </c>
      <c r="AA138" s="640" t="s">
        <v>911</v>
      </c>
      <c r="AB138" s="630">
        <v>37</v>
      </c>
      <c r="AC138" s="640" t="s">
        <v>910</v>
      </c>
    </row>
    <row r="139" spans="1:29" ht="24.9" customHeight="1" x14ac:dyDescent="0.25">
      <c r="A139" s="188" t="s">
        <v>235</v>
      </c>
      <c r="B139" s="1" t="s">
        <v>222</v>
      </c>
      <c r="C139" s="2">
        <v>2</v>
      </c>
      <c r="D139" s="39"/>
      <c r="E139" s="2"/>
      <c r="F139" s="2"/>
      <c r="G139" s="2"/>
      <c r="H139" s="51" t="s">
        <v>258</v>
      </c>
      <c r="I139" s="51" t="s">
        <v>258</v>
      </c>
      <c r="J139" s="51" t="s">
        <v>258</v>
      </c>
      <c r="K139" s="51" t="s">
        <v>258</v>
      </c>
      <c r="L139" s="51" t="s">
        <v>258</v>
      </c>
      <c r="M139" s="51" t="s">
        <v>258</v>
      </c>
      <c r="N139" s="51">
        <v>258</v>
      </c>
      <c r="O139" s="51">
        <v>34</v>
      </c>
      <c r="P139" s="193">
        <v>253</v>
      </c>
      <c r="Q139" s="193">
        <v>32</v>
      </c>
      <c r="R139" s="349">
        <v>244</v>
      </c>
      <c r="S139" s="348" t="s">
        <v>912</v>
      </c>
      <c r="T139" s="349">
        <v>52</v>
      </c>
      <c r="U139" s="348" t="s">
        <v>911</v>
      </c>
      <c r="V139" s="469">
        <v>251</v>
      </c>
      <c r="W139" s="471" t="s">
        <v>912</v>
      </c>
      <c r="X139" s="469">
        <v>33</v>
      </c>
      <c r="Y139" s="471" t="s">
        <v>912</v>
      </c>
      <c r="Z139" s="630">
        <v>235</v>
      </c>
      <c r="AA139" s="640" t="s">
        <v>912</v>
      </c>
      <c r="AB139" s="630">
        <v>45</v>
      </c>
      <c r="AC139" s="640" t="s">
        <v>910</v>
      </c>
    </row>
    <row r="140" spans="1:29" ht="24.9" customHeight="1" x14ac:dyDescent="0.25">
      <c r="A140" s="188" t="s">
        <v>144</v>
      </c>
      <c r="B140" s="1" t="s">
        <v>222</v>
      </c>
      <c r="C140" s="2">
        <v>2</v>
      </c>
      <c r="D140" s="39">
        <v>277.83076923076925</v>
      </c>
      <c r="E140" s="2"/>
      <c r="F140" s="2">
        <v>257</v>
      </c>
      <c r="G140" s="2"/>
      <c r="H140" s="51">
        <v>256</v>
      </c>
      <c r="I140" s="51">
        <v>40</v>
      </c>
      <c r="J140" s="51">
        <v>280</v>
      </c>
      <c r="K140" s="51">
        <v>36</v>
      </c>
      <c r="L140" s="51">
        <v>267</v>
      </c>
      <c r="M140" s="51">
        <v>47</v>
      </c>
      <c r="N140" s="51">
        <v>268</v>
      </c>
      <c r="O140" s="51">
        <v>35</v>
      </c>
      <c r="P140" s="193">
        <v>278</v>
      </c>
      <c r="Q140" s="193">
        <v>45</v>
      </c>
      <c r="R140" s="349">
        <v>272</v>
      </c>
      <c r="S140" s="348" t="s">
        <v>911</v>
      </c>
      <c r="T140" s="349">
        <v>38</v>
      </c>
      <c r="U140" s="348" t="s">
        <v>910</v>
      </c>
      <c r="V140" s="469">
        <v>264</v>
      </c>
      <c r="W140" s="471" t="s">
        <v>910</v>
      </c>
      <c r="X140" s="469">
        <v>41</v>
      </c>
      <c r="Y140" s="471" t="s">
        <v>910</v>
      </c>
      <c r="Z140" s="630">
        <v>267</v>
      </c>
      <c r="AA140" s="640" t="s">
        <v>911</v>
      </c>
      <c r="AB140" s="630">
        <v>41</v>
      </c>
      <c r="AC140" s="640" t="s">
        <v>910</v>
      </c>
    </row>
    <row r="141" spans="1:29" ht="24.9" customHeight="1" x14ac:dyDescent="0.25">
      <c r="A141" s="188" t="s">
        <v>210</v>
      </c>
      <c r="B141" s="1" t="s">
        <v>222</v>
      </c>
      <c r="C141" s="2">
        <v>1</v>
      </c>
      <c r="D141" s="39"/>
      <c r="E141" s="2"/>
      <c r="F141" s="2"/>
      <c r="G141" s="2"/>
      <c r="H141" s="51">
        <v>268</v>
      </c>
      <c r="I141" s="51">
        <v>19</v>
      </c>
      <c r="J141" s="51">
        <v>269</v>
      </c>
      <c r="K141" s="51">
        <v>33</v>
      </c>
      <c r="L141" s="51">
        <v>268</v>
      </c>
      <c r="M141" s="51">
        <v>43</v>
      </c>
      <c r="N141" s="51">
        <v>267</v>
      </c>
      <c r="O141" s="51">
        <v>26</v>
      </c>
      <c r="P141" s="193">
        <v>273</v>
      </c>
      <c r="Q141" s="193">
        <v>41</v>
      </c>
      <c r="R141" s="349">
        <v>256</v>
      </c>
      <c r="S141" s="348" t="s">
        <v>910</v>
      </c>
      <c r="T141" s="349">
        <v>37</v>
      </c>
      <c r="U141" s="348" t="s">
        <v>910</v>
      </c>
      <c r="V141" s="469">
        <v>273</v>
      </c>
      <c r="W141" s="471" t="s">
        <v>911</v>
      </c>
      <c r="X141" s="469">
        <v>44</v>
      </c>
      <c r="Y141" s="471" t="s">
        <v>910</v>
      </c>
      <c r="Z141" s="630">
        <v>269</v>
      </c>
      <c r="AA141" s="640" t="s">
        <v>911</v>
      </c>
      <c r="AB141" s="630">
        <v>38</v>
      </c>
      <c r="AC141" s="640" t="s">
        <v>910</v>
      </c>
    </row>
    <row r="142" spans="1:29" ht="24.9" customHeight="1" x14ac:dyDescent="0.25">
      <c r="A142" s="188" t="s">
        <v>67</v>
      </c>
      <c r="B142" s="1" t="s">
        <v>222</v>
      </c>
      <c r="C142" s="2">
        <v>1</v>
      </c>
      <c r="D142" s="39">
        <v>271.53076923076918</v>
      </c>
      <c r="E142" s="2"/>
      <c r="F142" s="2">
        <v>265</v>
      </c>
      <c r="G142" s="2"/>
      <c r="H142" s="51">
        <v>269</v>
      </c>
      <c r="I142" s="51">
        <v>34</v>
      </c>
      <c r="J142" s="51">
        <v>280</v>
      </c>
      <c r="K142" s="51">
        <v>39</v>
      </c>
      <c r="L142" s="51">
        <v>266</v>
      </c>
      <c r="M142" s="51">
        <v>36</v>
      </c>
      <c r="N142" s="51">
        <v>268</v>
      </c>
      <c r="O142" s="51">
        <v>38</v>
      </c>
      <c r="P142" s="193">
        <v>276</v>
      </c>
      <c r="Q142" s="193">
        <v>38</v>
      </c>
      <c r="R142" s="349">
        <v>274</v>
      </c>
      <c r="S142" s="348" t="s">
        <v>911</v>
      </c>
      <c r="T142" s="349">
        <v>44</v>
      </c>
      <c r="U142" s="348" t="s">
        <v>910</v>
      </c>
      <c r="V142" s="469">
        <v>282</v>
      </c>
      <c r="W142" s="471" t="s">
        <v>911</v>
      </c>
      <c r="X142" s="469">
        <v>42</v>
      </c>
      <c r="Y142" s="471" t="s">
        <v>910</v>
      </c>
      <c r="Z142" s="630">
        <v>286</v>
      </c>
      <c r="AA142" s="640" t="s">
        <v>911</v>
      </c>
      <c r="AB142" s="630">
        <v>41</v>
      </c>
      <c r="AC142" s="640" t="s">
        <v>910</v>
      </c>
    </row>
    <row r="143" spans="1:29" s="461" customFormat="1" ht="24.9" customHeight="1" x14ac:dyDescent="0.25">
      <c r="A143" s="470" t="s">
        <v>928</v>
      </c>
      <c r="B143" s="1" t="s">
        <v>222</v>
      </c>
      <c r="C143" s="471">
        <v>6</v>
      </c>
      <c r="D143" s="490"/>
      <c r="E143" s="471"/>
      <c r="F143" s="471"/>
      <c r="G143" s="471"/>
      <c r="H143" s="491"/>
      <c r="I143" s="491"/>
      <c r="J143" s="491"/>
      <c r="K143" s="491"/>
      <c r="L143" s="491"/>
      <c r="M143" s="491"/>
      <c r="N143" s="491"/>
      <c r="O143" s="491"/>
      <c r="P143" s="492"/>
      <c r="Q143" s="492"/>
      <c r="R143" s="475"/>
      <c r="S143" s="493"/>
      <c r="T143" s="475"/>
      <c r="U143" s="493"/>
      <c r="V143" s="469">
        <v>235</v>
      </c>
      <c r="W143" s="471" t="s">
        <v>912</v>
      </c>
      <c r="X143" s="469">
        <v>38</v>
      </c>
      <c r="Y143" s="471" t="s">
        <v>910</v>
      </c>
      <c r="Z143" s="630">
        <v>209</v>
      </c>
      <c r="AA143" s="640" t="s">
        <v>912</v>
      </c>
      <c r="AB143" s="630">
        <v>34</v>
      </c>
      <c r="AC143" s="640" t="s">
        <v>912</v>
      </c>
    </row>
    <row r="144" spans="1:29" ht="24.9" customHeight="1" x14ac:dyDescent="0.25">
      <c r="A144" s="188" t="s">
        <v>31</v>
      </c>
      <c r="B144" s="1" t="s">
        <v>222</v>
      </c>
      <c r="C144" s="2">
        <v>6</v>
      </c>
      <c r="D144" s="39">
        <v>259.62307692307695</v>
      </c>
      <c r="E144" s="2"/>
      <c r="F144" s="2">
        <v>255</v>
      </c>
      <c r="G144" s="2"/>
      <c r="H144" s="51">
        <v>276</v>
      </c>
      <c r="I144" s="51">
        <v>42</v>
      </c>
      <c r="J144" s="51">
        <v>232</v>
      </c>
      <c r="K144" s="51">
        <v>36</v>
      </c>
      <c r="L144" s="51">
        <v>257</v>
      </c>
      <c r="M144" s="51">
        <v>57</v>
      </c>
      <c r="N144" s="51">
        <v>246</v>
      </c>
      <c r="O144" s="51">
        <v>24</v>
      </c>
      <c r="P144" s="193">
        <v>256</v>
      </c>
      <c r="Q144" s="193">
        <v>21</v>
      </c>
      <c r="R144" s="349">
        <v>273</v>
      </c>
      <c r="S144" s="348" t="s">
        <v>911</v>
      </c>
      <c r="T144" s="349">
        <v>36</v>
      </c>
      <c r="U144" s="348" t="s">
        <v>910</v>
      </c>
      <c r="V144" s="469">
        <v>248</v>
      </c>
      <c r="W144" s="471" t="s">
        <v>912</v>
      </c>
      <c r="X144" s="469">
        <v>34</v>
      </c>
      <c r="Y144" s="471" t="s">
        <v>912</v>
      </c>
      <c r="Z144" s="630">
        <v>266</v>
      </c>
      <c r="AA144" s="640" t="s">
        <v>911</v>
      </c>
      <c r="AB144" s="630">
        <v>28</v>
      </c>
      <c r="AC144" s="640" t="s">
        <v>912</v>
      </c>
    </row>
    <row r="145" spans="1:29" ht="24.9" customHeight="1" x14ac:dyDescent="0.25">
      <c r="A145" s="188" t="s">
        <v>54</v>
      </c>
      <c r="B145" s="1" t="s">
        <v>222</v>
      </c>
      <c r="C145" s="2">
        <v>6</v>
      </c>
      <c r="D145" s="39">
        <v>278.14615384615388</v>
      </c>
      <c r="E145" s="2"/>
      <c r="F145" s="2">
        <v>274</v>
      </c>
      <c r="G145" s="2"/>
      <c r="H145" s="51">
        <v>293</v>
      </c>
      <c r="I145" s="51">
        <v>30</v>
      </c>
      <c r="J145" s="51">
        <v>296</v>
      </c>
      <c r="K145" s="51">
        <v>38</v>
      </c>
      <c r="L145" s="51">
        <v>285</v>
      </c>
      <c r="M145" s="51">
        <v>29</v>
      </c>
      <c r="N145" s="51">
        <v>291</v>
      </c>
      <c r="O145" s="51">
        <v>41</v>
      </c>
      <c r="P145" s="193">
        <v>280</v>
      </c>
      <c r="Q145" s="193">
        <v>42</v>
      </c>
      <c r="R145" s="349">
        <v>287</v>
      </c>
      <c r="S145" s="348" t="s">
        <v>911</v>
      </c>
      <c r="T145" s="349">
        <v>29</v>
      </c>
      <c r="U145" s="348" t="s">
        <v>912</v>
      </c>
      <c r="V145" s="469">
        <v>293</v>
      </c>
      <c r="W145" s="471" t="s">
        <v>911</v>
      </c>
      <c r="X145" s="469">
        <v>34</v>
      </c>
      <c r="Y145" s="471" t="s">
        <v>912</v>
      </c>
      <c r="Z145" s="630">
        <v>307</v>
      </c>
      <c r="AA145" s="640" t="s">
        <v>911</v>
      </c>
      <c r="AB145" s="630">
        <v>36</v>
      </c>
      <c r="AC145" s="640" t="s">
        <v>912</v>
      </c>
    </row>
    <row r="146" spans="1:29" s="219" customFormat="1" ht="24.9" customHeight="1" x14ac:dyDescent="0.25">
      <c r="A146" s="188" t="s">
        <v>878</v>
      </c>
      <c r="B146" s="1" t="s">
        <v>222</v>
      </c>
      <c r="C146" s="2">
        <v>4</v>
      </c>
      <c r="D146" s="39">
        <v>219</v>
      </c>
      <c r="E146" s="2"/>
      <c r="F146" s="2">
        <v>241</v>
      </c>
      <c r="G146" s="2"/>
      <c r="H146" s="51"/>
      <c r="I146" s="51"/>
      <c r="J146" s="51"/>
      <c r="K146" s="51"/>
      <c r="L146" s="51"/>
      <c r="M146" s="51"/>
      <c r="N146" s="51"/>
      <c r="O146" s="51"/>
      <c r="P146" s="193"/>
      <c r="Q146" s="193"/>
      <c r="Z146" s="630">
        <v>264</v>
      </c>
      <c r="AA146" s="640" t="s">
        <v>910</v>
      </c>
      <c r="AB146" s="630">
        <v>24</v>
      </c>
      <c r="AC146" s="640" t="s">
        <v>912</v>
      </c>
    </row>
    <row r="147" spans="1:29" ht="24.9" customHeight="1" x14ac:dyDescent="0.25">
      <c r="A147" s="188" t="s">
        <v>142</v>
      </c>
      <c r="B147" s="1" t="s">
        <v>222</v>
      </c>
      <c r="C147" s="2">
        <v>2</v>
      </c>
      <c r="D147" s="39">
        <v>238</v>
      </c>
      <c r="E147" s="2"/>
      <c r="F147" s="2">
        <v>247</v>
      </c>
      <c r="G147" s="2"/>
      <c r="H147" s="51">
        <v>234</v>
      </c>
      <c r="I147" s="51">
        <v>37</v>
      </c>
      <c r="J147" s="51">
        <v>268</v>
      </c>
      <c r="K147" s="51">
        <v>40</v>
      </c>
      <c r="L147" s="51">
        <v>254</v>
      </c>
      <c r="M147" s="51">
        <v>34</v>
      </c>
      <c r="N147" s="51">
        <v>212</v>
      </c>
      <c r="O147" s="51">
        <v>46</v>
      </c>
      <c r="P147" s="193">
        <v>240</v>
      </c>
      <c r="Q147" s="193">
        <v>43</v>
      </c>
      <c r="R147" s="349">
        <v>259</v>
      </c>
      <c r="S147" s="348" t="s">
        <v>910</v>
      </c>
      <c r="T147" s="349">
        <v>31</v>
      </c>
      <c r="U147" s="348" t="s">
        <v>912</v>
      </c>
      <c r="V147" s="469">
        <v>272</v>
      </c>
      <c r="W147" s="471" t="s">
        <v>911</v>
      </c>
      <c r="X147" s="469">
        <v>19</v>
      </c>
      <c r="Y147" s="471" t="s">
        <v>912</v>
      </c>
      <c r="Z147" s="630">
        <v>269</v>
      </c>
      <c r="AA147" s="640" t="s">
        <v>911</v>
      </c>
      <c r="AB147" s="630">
        <v>35</v>
      </c>
      <c r="AC147" s="640" t="s">
        <v>912</v>
      </c>
    </row>
    <row r="148" spans="1:29" ht="24.9" customHeight="1" x14ac:dyDescent="0.25">
      <c r="A148" s="188" t="s">
        <v>149</v>
      </c>
      <c r="B148" s="1" t="s">
        <v>222</v>
      </c>
      <c r="C148" s="2">
        <v>5</v>
      </c>
      <c r="D148" s="39">
        <v>241.33076923076919</v>
      </c>
      <c r="E148" s="2"/>
      <c r="F148" s="2">
        <v>229</v>
      </c>
      <c r="G148" s="2"/>
      <c r="H148" s="51">
        <v>257</v>
      </c>
      <c r="I148" s="51">
        <v>37</v>
      </c>
      <c r="J148" s="51">
        <v>243</v>
      </c>
      <c r="K148" s="51">
        <v>44</v>
      </c>
      <c r="L148" s="51">
        <v>235</v>
      </c>
      <c r="M148" s="51">
        <v>36</v>
      </c>
      <c r="N148" s="51">
        <v>252</v>
      </c>
      <c r="O148" s="51">
        <v>37</v>
      </c>
      <c r="P148" s="193">
        <v>237</v>
      </c>
      <c r="Q148" s="193">
        <v>41</v>
      </c>
      <c r="R148" s="349">
        <v>236</v>
      </c>
      <c r="S148" s="348" t="s">
        <v>912</v>
      </c>
      <c r="T148" s="349">
        <v>35</v>
      </c>
      <c r="U148" s="348" t="s">
        <v>912</v>
      </c>
      <c r="V148" s="469">
        <v>243</v>
      </c>
      <c r="W148" s="471" t="s">
        <v>912</v>
      </c>
      <c r="X148" s="469">
        <v>39</v>
      </c>
      <c r="Y148" s="471" t="s">
        <v>910</v>
      </c>
      <c r="Z148" s="630">
        <v>248</v>
      </c>
      <c r="AA148" s="640" t="s">
        <v>912</v>
      </c>
      <c r="AB148" s="630">
        <v>38</v>
      </c>
      <c r="AC148" s="640" t="s">
        <v>910</v>
      </c>
    </row>
    <row r="149" spans="1:29" ht="24.9" customHeight="1" x14ac:dyDescent="0.25">
      <c r="A149" s="188" t="s">
        <v>140</v>
      </c>
      <c r="B149" s="1" t="s">
        <v>222</v>
      </c>
      <c r="C149" s="2">
        <v>2</v>
      </c>
      <c r="D149" s="39">
        <v>258.21923076923076</v>
      </c>
      <c r="E149" s="2"/>
      <c r="F149" s="2">
        <v>251</v>
      </c>
      <c r="G149" s="2"/>
      <c r="H149" s="51">
        <v>251</v>
      </c>
      <c r="I149" s="51">
        <v>45</v>
      </c>
      <c r="J149" s="51">
        <v>278</v>
      </c>
      <c r="K149" s="51">
        <v>32</v>
      </c>
      <c r="L149" s="51">
        <v>271</v>
      </c>
      <c r="M149" s="51">
        <v>36</v>
      </c>
      <c r="N149" s="51">
        <v>262</v>
      </c>
      <c r="O149" s="51">
        <v>35</v>
      </c>
      <c r="P149" s="193">
        <v>255</v>
      </c>
      <c r="Q149" s="193">
        <v>32</v>
      </c>
      <c r="R149" s="349">
        <v>246</v>
      </c>
      <c r="S149" s="348" t="s">
        <v>912</v>
      </c>
      <c r="T149" s="349">
        <v>34</v>
      </c>
      <c r="U149" s="348" t="s">
        <v>912</v>
      </c>
      <c r="V149" s="469">
        <v>256</v>
      </c>
      <c r="W149" s="471" t="s">
        <v>912</v>
      </c>
      <c r="X149" s="469">
        <v>40</v>
      </c>
      <c r="Y149" s="471" t="s">
        <v>910</v>
      </c>
      <c r="Z149" s="630">
        <v>258</v>
      </c>
      <c r="AA149" s="640" t="s">
        <v>912</v>
      </c>
      <c r="AB149" s="630">
        <v>46</v>
      </c>
      <c r="AC149" s="640" t="s">
        <v>910</v>
      </c>
    </row>
    <row r="150" spans="1:29" ht="24.9" customHeight="1" x14ac:dyDescent="0.25">
      <c r="A150" s="188" t="s">
        <v>122</v>
      </c>
      <c r="B150" s="1" t="s">
        <v>222</v>
      </c>
      <c r="C150" s="2">
        <v>6</v>
      </c>
      <c r="D150" s="39">
        <v>261.97307692307692</v>
      </c>
      <c r="E150" s="2"/>
      <c r="F150" s="2">
        <v>277</v>
      </c>
      <c r="G150" s="2"/>
      <c r="H150" s="51">
        <v>278</v>
      </c>
      <c r="I150" s="51">
        <v>33</v>
      </c>
      <c r="J150" s="51">
        <v>273</v>
      </c>
      <c r="K150" s="51">
        <v>35</v>
      </c>
      <c r="L150" s="51">
        <v>272</v>
      </c>
      <c r="M150" s="51">
        <v>39</v>
      </c>
      <c r="N150" s="51">
        <v>264</v>
      </c>
      <c r="O150" s="51">
        <v>42</v>
      </c>
      <c r="P150" s="193">
        <v>254</v>
      </c>
      <c r="Q150" s="193">
        <v>40</v>
      </c>
      <c r="R150" s="349">
        <v>258</v>
      </c>
      <c r="S150" s="348" t="s">
        <v>910</v>
      </c>
      <c r="T150" s="349">
        <v>44</v>
      </c>
      <c r="U150" s="348" t="s">
        <v>910</v>
      </c>
      <c r="V150" s="469">
        <v>266</v>
      </c>
      <c r="W150" s="471" t="s">
        <v>911</v>
      </c>
      <c r="X150" s="469">
        <v>46</v>
      </c>
      <c r="Y150" s="471" t="s">
        <v>910</v>
      </c>
      <c r="Z150" s="630">
        <v>270</v>
      </c>
      <c r="AA150" s="640" t="s">
        <v>911</v>
      </c>
      <c r="AB150" s="630">
        <v>47</v>
      </c>
      <c r="AC150" s="640" t="s">
        <v>910</v>
      </c>
    </row>
    <row r="151" spans="1:29" ht="24.9" customHeight="1" x14ac:dyDescent="0.25">
      <c r="A151" s="188" t="s">
        <v>198</v>
      </c>
      <c r="B151" s="1" t="s">
        <v>222</v>
      </c>
      <c r="C151" s="2">
        <v>5</v>
      </c>
      <c r="D151" s="39">
        <v>273.59615384615387</v>
      </c>
      <c r="E151" s="2"/>
      <c r="F151" s="2">
        <v>279</v>
      </c>
      <c r="G151" s="2"/>
      <c r="H151" s="51">
        <v>305</v>
      </c>
      <c r="I151" s="51">
        <v>36</v>
      </c>
      <c r="J151" s="51">
        <v>297</v>
      </c>
      <c r="K151" s="51">
        <v>30</v>
      </c>
      <c r="L151" s="51">
        <v>301</v>
      </c>
      <c r="M151" s="51">
        <v>43</v>
      </c>
      <c r="N151" s="51">
        <v>280</v>
      </c>
      <c r="O151" s="51">
        <v>44</v>
      </c>
      <c r="P151" s="193">
        <v>278</v>
      </c>
      <c r="Q151" s="193">
        <v>37</v>
      </c>
      <c r="R151" s="349">
        <v>280</v>
      </c>
      <c r="S151" s="348" t="s">
        <v>911</v>
      </c>
      <c r="T151" s="349">
        <v>42</v>
      </c>
      <c r="U151" s="348" t="s">
        <v>910</v>
      </c>
      <c r="V151" s="469">
        <v>294</v>
      </c>
      <c r="W151" s="471" t="s">
        <v>911</v>
      </c>
      <c r="X151" s="469">
        <v>39</v>
      </c>
      <c r="Y151" s="471" t="s">
        <v>910</v>
      </c>
      <c r="Z151" s="630">
        <v>296</v>
      </c>
      <c r="AA151" s="640" t="s">
        <v>911</v>
      </c>
      <c r="AB151" s="630">
        <v>40</v>
      </c>
      <c r="AC151" s="640" t="s">
        <v>910</v>
      </c>
    </row>
    <row r="152" spans="1:29" ht="24.9" customHeight="1" x14ac:dyDescent="0.25">
      <c r="A152" s="188" t="s">
        <v>165</v>
      </c>
      <c r="B152" s="1" t="s">
        <v>222</v>
      </c>
      <c r="C152" s="2">
        <v>1</v>
      </c>
      <c r="D152" s="39">
        <v>260.4115384615385</v>
      </c>
      <c r="E152" s="2"/>
      <c r="F152" s="2">
        <v>240</v>
      </c>
      <c r="G152" s="2"/>
      <c r="H152" s="51">
        <v>263</v>
      </c>
      <c r="I152" s="51">
        <v>40</v>
      </c>
      <c r="J152" s="51">
        <v>257</v>
      </c>
      <c r="K152" s="51">
        <v>36</v>
      </c>
      <c r="L152" s="51">
        <v>250</v>
      </c>
      <c r="M152" s="51">
        <v>38</v>
      </c>
      <c r="N152" s="51">
        <v>256</v>
      </c>
      <c r="O152" s="51">
        <v>40</v>
      </c>
      <c r="P152" s="193">
        <v>249</v>
      </c>
      <c r="Q152" s="193">
        <v>41</v>
      </c>
      <c r="R152" s="349">
        <v>245</v>
      </c>
      <c r="S152" s="348" t="s">
        <v>912</v>
      </c>
      <c r="T152" s="349">
        <v>43</v>
      </c>
      <c r="U152" s="348" t="s">
        <v>910</v>
      </c>
      <c r="V152" s="469">
        <v>255</v>
      </c>
      <c r="W152" s="471" t="s">
        <v>912</v>
      </c>
      <c r="X152" s="469">
        <v>43</v>
      </c>
      <c r="Y152" s="471" t="s">
        <v>910</v>
      </c>
      <c r="Z152" s="630">
        <v>258</v>
      </c>
      <c r="AA152" s="640" t="s">
        <v>912</v>
      </c>
      <c r="AB152" s="630">
        <v>40</v>
      </c>
      <c r="AC152" s="640" t="s">
        <v>910</v>
      </c>
    </row>
    <row r="153" spans="1:29" ht="24.9" customHeight="1" x14ac:dyDescent="0.25">
      <c r="A153" s="188" t="s">
        <v>230</v>
      </c>
      <c r="B153" s="1" t="s">
        <v>222</v>
      </c>
      <c r="C153" s="2">
        <v>6</v>
      </c>
      <c r="D153" s="39">
        <v>275.76923076923077</v>
      </c>
      <c r="E153" s="2"/>
      <c r="F153" s="2">
        <v>271</v>
      </c>
      <c r="G153" s="2"/>
      <c r="H153" s="51" t="s">
        <v>258</v>
      </c>
      <c r="I153" s="51" t="s">
        <v>258</v>
      </c>
      <c r="J153" s="51">
        <v>243</v>
      </c>
      <c r="K153" s="51">
        <v>61</v>
      </c>
      <c r="L153" s="51">
        <v>238</v>
      </c>
      <c r="M153" s="51">
        <v>40</v>
      </c>
      <c r="N153" s="51">
        <v>241</v>
      </c>
      <c r="O153" s="51">
        <v>33</v>
      </c>
      <c r="P153" s="193">
        <v>184</v>
      </c>
      <c r="Q153" s="193">
        <v>13</v>
      </c>
    </row>
    <row r="154" spans="1:29" ht="24.9" customHeight="1" x14ac:dyDescent="0.25">
      <c r="A154" s="188" t="s">
        <v>212</v>
      </c>
      <c r="B154" s="1" t="s">
        <v>222</v>
      </c>
      <c r="C154" s="2">
        <v>3</v>
      </c>
      <c r="D154" s="39"/>
      <c r="E154" s="2"/>
      <c r="F154" s="2"/>
      <c r="G154" s="2"/>
      <c r="H154" s="51">
        <v>279</v>
      </c>
      <c r="I154" s="51">
        <v>43</v>
      </c>
      <c r="J154" s="51">
        <v>251</v>
      </c>
      <c r="K154" s="51">
        <v>19</v>
      </c>
      <c r="L154" s="51">
        <v>256</v>
      </c>
      <c r="M154" s="51">
        <v>41</v>
      </c>
      <c r="N154" s="51">
        <v>259</v>
      </c>
      <c r="O154" s="51">
        <v>41</v>
      </c>
      <c r="P154" s="193">
        <v>258</v>
      </c>
      <c r="Q154" s="193">
        <v>38</v>
      </c>
      <c r="R154" s="349">
        <v>255</v>
      </c>
      <c r="S154" s="348" t="s">
        <v>910</v>
      </c>
      <c r="T154" s="349">
        <v>39</v>
      </c>
      <c r="U154" s="348" t="s">
        <v>910</v>
      </c>
      <c r="V154" s="469">
        <v>241</v>
      </c>
      <c r="W154" s="471" t="s">
        <v>912</v>
      </c>
      <c r="X154" s="469">
        <v>46</v>
      </c>
      <c r="Y154" s="471" t="s">
        <v>910</v>
      </c>
      <c r="Z154" s="630">
        <v>257</v>
      </c>
      <c r="AA154" s="640" t="s">
        <v>912</v>
      </c>
      <c r="AB154" s="630">
        <v>35</v>
      </c>
      <c r="AC154" s="640" t="s">
        <v>912</v>
      </c>
    </row>
    <row r="155" spans="1:29" ht="24.9" customHeight="1" x14ac:dyDescent="0.25">
      <c r="A155" s="188" t="s">
        <v>57</v>
      </c>
      <c r="B155" s="1" t="s">
        <v>222</v>
      </c>
      <c r="C155" s="2">
        <v>3</v>
      </c>
      <c r="D155" s="39">
        <v>257.47307692307692</v>
      </c>
      <c r="E155" s="2"/>
      <c r="F155" s="2">
        <v>244</v>
      </c>
      <c r="G155" s="2"/>
      <c r="H155" s="51">
        <v>253</v>
      </c>
      <c r="I155" s="51">
        <v>39</v>
      </c>
      <c r="J155" s="51">
        <v>259</v>
      </c>
      <c r="K155" s="51">
        <v>40</v>
      </c>
      <c r="L155" s="51">
        <v>246</v>
      </c>
      <c r="M155" s="51">
        <v>41</v>
      </c>
      <c r="N155" s="51">
        <v>247</v>
      </c>
      <c r="O155" s="51">
        <v>47</v>
      </c>
      <c r="P155" s="193">
        <v>251</v>
      </c>
      <c r="Q155" s="193">
        <v>28</v>
      </c>
      <c r="R155" s="349">
        <v>241</v>
      </c>
      <c r="S155" s="348" t="s">
        <v>912</v>
      </c>
      <c r="T155" s="349">
        <v>42</v>
      </c>
      <c r="U155" s="348" t="s">
        <v>910</v>
      </c>
      <c r="V155" s="469">
        <v>261</v>
      </c>
      <c r="W155" s="471" t="s">
        <v>910</v>
      </c>
      <c r="X155" s="469">
        <v>37</v>
      </c>
      <c r="Y155" s="471" t="s">
        <v>910</v>
      </c>
      <c r="Z155" s="630">
        <v>257</v>
      </c>
      <c r="AA155" s="640" t="s">
        <v>912</v>
      </c>
      <c r="AB155" s="630">
        <v>41</v>
      </c>
      <c r="AC155" s="640" t="s">
        <v>910</v>
      </c>
    </row>
    <row r="156" spans="1:29" ht="24.9" customHeight="1" x14ac:dyDescent="0.25">
      <c r="A156" s="188" t="s">
        <v>196</v>
      </c>
      <c r="B156" s="1" t="s">
        <v>222</v>
      </c>
      <c r="C156" s="2">
        <v>5</v>
      </c>
      <c r="D156" s="39">
        <v>290.36153846153843</v>
      </c>
      <c r="E156" s="2"/>
      <c r="F156" s="2">
        <v>277</v>
      </c>
      <c r="G156" s="2"/>
      <c r="H156" s="51">
        <v>294</v>
      </c>
      <c r="I156" s="51">
        <v>31</v>
      </c>
      <c r="J156" s="51">
        <v>294</v>
      </c>
      <c r="K156" s="51">
        <v>32</v>
      </c>
      <c r="L156" s="51">
        <v>307</v>
      </c>
      <c r="M156" s="51">
        <v>38</v>
      </c>
      <c r="N156" s="51">
        <v>299</v>
      </c>
      <c r="O156" s="51">
        <v>34</v>
      </c>
      <c r="P156" s="193">
        <v>292</v>
      </c>
      <c r="Q156" s="193">
        <v>26</v>
      </c>
      <c r="R156" s="349">
        <v>302</v>
      </c>
      <c r="S156" s="348" t="s">
        <v>911</v>
      </c>
      <c r="T156" s="349">
        <v>36</v>
      </c>
      <c r="U156" s="348" t="s">
        <v>910</v>
      </c>
      <c r="V156" s="469">
        <v>292</v>
      </c>
      <c r="W156" s="471" t="s">
        <v>911</v>
      </c>
      <c r="X156" s="469">
        <v>49</v>
      </c>
      <c r="Y156" s="471" t="s">
        <v>910</v>
      </c>
      <c r="Z156" s="630">
        <v>317</v>
      </c>
      <c r="AA156" s="640" t="s">
        <v>911</v>
      </c>
      <c r="AB156" s="630">
        <v>31</v>
      </c>
      <c r="AC156" s="640" t="s">
        <v>912</v>
      </c>
    </row>
    <row r="157" spans="1:29" ht="24.9" customHeight="1" x14ac:dyDescent="0.25">
      <c r="A157" s="188" t="s">
        <v>19</v>
      </c>
      <c r="B157" s="1" t="s">
        <v>222</v>
      </c>
      <c r="C157" s="2">
        <v>5</v>
      </c>
      <c r="D157" s="39">
        <v>285.77307692307687</v>
      </c>
      <c r="E157" s="2"/>
      <c r="F157" s="2">
        <v>284</v>
      </c>
      <c r="G157" s="2"/>
      <c r="H157" s="51">
        <v>289</v>
      </c>
      <c r="I157" s="51">
        <v>30</v>
      </c>
      <c r="J157" s="51">
        <v>293</v>
      </c>
      <c r="K157" s="51">
        <v>37</v>
      </c>
      <c r="L157" s="51">
        <v>289</v>
      </c>
      <c r="M157" s="51">
        <v>38</v>
      </c>
      <c r="N157" s="51">
        <v>288</v>
      </c>
      <c r="O157" s="51">
        <v>33</v>
      </c>
      <c r="P157" s="193">
        <v>283</v>
      </c>
      <c r="Q157" s="193">
        <v>34</v>
      </c>
      <c r="R157" s="349">
        <v>285</v>
      </c>
      <c r="S157" s="348" t="s">
        <v>911</v>
      </c>
      <c r="T157" s="349">
        <v>40</v>
      </c>
      <c r="U157" s="348" t="s">
        <v>910</v>
      </c>
      <c r="V157" s="469">
        <v>280</v>
      </c>
      <c r="W157" s="471" t="s">
        <v>911</v>
      </c>
      <c r="X157" s="469">
        <v>41</v>
      </c>
      <c r="Y157" s="471" t="s">
        <v>910</v>
      </c>
      <c r="Z157" s="630">
        <v>289</v>
      </c>
      <c r="AA157" s="640" t="s">
        <v>911</v>
      </c>
      <c r="AB157" s="630">
        <v>42</v>
      </c>
      <c r="AC157" s="640" t="s">
        <v>910</v>
      </c>
    </row>
    <row r="158" spans="1:29" ht="24.9" customHeight="1" x14ac:dyDescent="0.25">
      <c r="A158" s="188" t="s">
        <v>118</v>
      </c>
      <c r="B158" s="1" t="s">
        <v>222</v>
      </c>
      <c r="C158" s="2">
        <v>3</v>
      </c>
      <c r="D158" s="39">
        <v>258.5884615384615</v>
      </c>
      <c r="E158" s="2"/>
      <c r="F158" s="2">
        <v>262</v>
      </c>
      <c r="G158" s="2"/>
      <c r="H158" s="51">
        <v>273</v>
      </c>
      <c r="I158" s="51">
        <v>42</v>
      </c>
      <c r="J158" s="51">
        <v>259</v>
      </c>
      <c r="K158" s="51">
        <v>30</v>
      </c>
      <c r="L158" s="51">
        <v>260</v>
      </c>
      <c r="M158" s="51">
        <v>33</v>
      </c>
      <c r="N158" s="51">
        <v>265</v>
      </c>
      <c r="O158" s="51">
        <v>39</v>
      </c>
      <c r="P158" s="193">
        <v>240</v>
      </c>
      <c r="Q158" s="193">
        <v>37</v>
      </c>
      <c r="R158" s="349">
        <v>267</v>
      </c>
      <c r="S158" s="348" t="s">
        <v>911</v>
      </c>
      <c r="T158" s="349">
        <v>37</v>
      </c>
      <c r="U158" s="348" t="s">
        <v>910</v>
      </c>
      <c r="V158" s="469">
        <v>271</v>
      </c>
      <c r="W158" s="471" t="s">
        <v>911</v>
      </c>
      <c r="X158" s="469">
        <v>44</v>
      </c>
      <c r="Y158" s="471" t="s">
        <v>910</v>
      </c>
      <c r="Z158" s="630">
        <v>262</v>
      </c>
      <c r="AA158" s="640" t="s">
        <v>910</v>
      </c>
      <c r="AB158" s="630">
        <v>36</v>
      </c>
      <c r="AC158" s="640" t="s">
        <v>912</v>
      </c>
    </row>
    <row r="159" spans="1:29" ht="24.9" customHeight="1" x14ac:dyDescent="0.25">
      <c r="A159" s="188" t="s">
        <v>206</v>
      </c>
      <c r="B159" s="1" t="s">
        <v>222</v>
      </c>
      <c r="C159" s="2">
        <v>5</v>
      </c>
      <c r="D159" s="39"/>
      <c r="E159" s="2"/>
      <c r="F159" s="2">
        <v>255</v>
      </c>
      <c r="G159" s="2"/>
      <c r="H159" s="51">
        <v>259</v>
      </c>
      <c r="I159" s="51">
        <v>40</v>
      </c>
      <c r="J159" s="51">
        <v>277</v>
      </c>
      <c r="K159" s="51">
        <v>41</v>
      </c>
      <c r="L159" s="51">
        <v>271</v>
      </c>
      <c r="M159" s="51">
        <v>40</v>
      </c>
      <c r="N159" s="51">
        <v>270</v>
      </c>
      <c r="O159" s="51">
        <v>40</v>
      </c>
      <c r="P159" s="193">
        <v>281</v>
      </c>
      <c r="Q159" s="193">
        <v>32</v>
      </c>
      <c r="R159" s="349">
        <v>269</v>
      </c>
      <c r="S159" s="348" t="s">
        <v>911</v>
      </c>
      <c r="T159" s="349">
        <v>37</v>
      </c>
      <c r="U159" s="348" t="s">
        <v>910</v>
      </c>
      <c r="V159" s="469">
        <v>286</v>
      </c>
      <c r="W159" s="471" t="s">
        <v>911</v>
      </c>
      <c r="X159" s="469">
        <v>40</v>
      </c>
      <c r="Y159" s="471" t="s">
        <v>910</v>
      </c>
      <c r="Z159" s="630">
        <v>277</v>
      </c>
      <c r="AA159" s="640" t="s">
        <v>911</v>
      </c>
      <c r="AB159" s="630">
        <v>38</v>
      </c>
      <c r="AC159" s="640" t="s">
        <v>910</v>
      </c>
    </row>
    <row r="160" spans="1:29" ht="24.9" customHeight="1" x14ac:dyDescent="0.25">
      <c r="A160" s="188" t="s">
        <v>202</v>
      </c>
      <c r="B160" s="1" t="s">
        <v>222</v>
      </c>
      <c r="C160" s="2">
        <v>5</v>
      </c>
      <c r="D160" s="39">
        <v>262.74615384615379</v>
      </c>
      <c r="E160" s="2"/>
      <c r="F160" s="2">
        <v>262</v>
      </c>
      <c r="G160" s="2"/>
      <c r="H160" s="51">
        <v>271</v>
      </c>
      <c r="I160" s="51">
        <v>35</v>
      </c>
      <c r="J160" s="51">
        <v>284</v>
      </c>
      <c r="K160" s="51">
        <v>35</v>
      </c>
      <c r="L160" s="51">
        <v>276</v>
      </c>
      <c r="M160" s="51">
        <v>37</v>
      </c>
      <c r="N160" s="51">
        <v>283</v>
      </c>
      <c r="O160" s="51">
        <v>33</v>
      </c>
      <c r="P160" s="193">
        <v>290</v>
      </c>
      <c r="Q160" s="193">
        <v>34</v>
      </c>
      <c r="R160" s="349">
        <v>280</v>
      </c>
      <c r="S160" s="348" t="s">
        <v>911</v>
      </c>
      <c r="T160" s="349">
        <v>35</v>
      </c>
      <c r="U160" s="348" t="s">
        <v>912</v>
      </c>
      <c r="V160" s="469">
        <v>292</v>
      </c>
      <c r="W160" s="471" t="s">
        <v>911</v>
      </c>
      <c r="X160" s="469">
        <v>37</v>
      </c>
      <c r="Y160" s="471" t="s">
        <v>910</v>
      </c>
      <c r="Z160" s="630">
        <v>282</v>
      </c>
      <c r="AA160" s="640" t="s">
        <v>911</v>
      </c>
      <c r="AB160" s="630">
        <v>37</v>
      </c>
      <c r="AC160" s="640" t="s">
        <v>910</v>
      </c>
    </row>
    <row r="161" spans="1:34" ht="24.9" customHeight="1" x14ac:dyDescent="0.25">
      <c r="A161" s="188" t="s">
        <v>880</v>
      </c>
      <c r="B161" s="1" t="s">
        <v>222</v>
      </c>
      <c r="C161" s="2">
        <v>5</v>
      </c>
      <c r="D161" s="39"/>
      <c r="E161" s="2"/>
      <c r="F161" s="2"/>
      <c r="G161" s="2"/>
      <c r="H161" s="51">
        <v>290</v>
      </c>
      <c r="I161" s="51">
        <v>25</v>
      </c>
      <c r="J161" s="51">
        <v>298</v>
      </c>
      <c r="K161" s="51">
        <v>28</v>
      </c>
      <c r="L161" s="51">
        <v>297</v>
      </c>
      <c r="M161" s="51">
        <v>39</v>
      </c>
      <c r="N161" s="51">
        <v>285</v>
      </c>
      <c r="O161" s="51">
        <v>30</v>
      </c>
      <c r="P161" s="193">
        <v>282</v>
      </c>
      <c r="Q161" s="193">
        <v>28</v>
      </c>
      <c r="R161" s="349">
        <v>281</v>
      </c>
      <c r="S161" s="348" t="s">
        <v>911</v>
      </c>
      <c r="T161" s="349">
        <v>43</v>
      </c>
      <c r="U161" s="348" t="s">
        <v>910</v>
      </c>
      <c r="V161" s="469">
        <v>289</v>
      </c>
      <c r="W161" s="471" t="s">
        <v>911</v>
      </c>
      <c r="X161" s="469">
        <v>43</v>
      </c>
      <c r="Y161" s="471" t="s">
        <v>910</v>
      </c>
      <c r="Z161" s="630">
        <v>294</v>
      </c>
      <c r="AA161" s="640" t="s">
        <v>911</v>
      </c>
      <c r="AB161" s="630">
        <v>37</v>
      </c>
      <c r="AC161" s="640" t="s">
        <v>910</v>
      </c>
    </row>
    <row r="162" spans="1:34" ht="24.9" customHeight="1" x14ac:dyDescent="0.25">
      <c r="A162" s="188" t="s">
        <v>177</v>
      </c>
      <c r="B162" s="1" t="s">
        <v>222</v>
      </c>
      <c r="C162" s="2">
        <v>5</v>
      </c>
      <c r="D162" s="39">
        <v>274.79230769230765</v>
      </c>
      <c r="E162" s="2"/>
      <c r="F162" s="2">
        <v>284</v>
      </c>
      <c r="G162" s="2"/>
      <c r="H162" s="51">
        <v>276</v>
      </c>
      <c r="I162" s="51">
        <v>31</v>
      </c>
      <c r="J162" s="51">
        <v>279</v>
      </c>
      <c r="K162" s="51">
        <v>33</v>
      </c>
      <c r="L162" s="51">
        <v>292</v>
      </c>
      <c r="M162" s="51">
        <v>22</v>
      </c>
      <c r="N162" s="51">
        <v>281</v>
      </c>
      <c r="O162" s="51">
        <v>37</v>
      </c>
      <c r="P162" s="193">
        <v>286</v>
      </c>
      <c r="Q162" s="193">
        <v>23</v>
      </c>
      <c r="R162" s="349">
        <v>279</v>
      </c>
      <c r="S162" s="348" t="s">
        <v>911</v>
      </c>
      <c r="T162" s="349">
        <v>39</v>
      </c>
      <c r="U162" s="348" t="s">
        <v>910</v>
      </c>
      <c r="V162" s="469">
        <v>299</v>
      </c>
      <c r="W162" s="471" t="s">
        <v>911</v>
      </c>
      <c r="X162" s="469">
        <v>26</v>
      </c>
      <c r="Y162" s="471" t="s">
        <v>912</v>
      </c>
      <c r="Z162" s="630">
        <v>281</v>
      </c>
      <c r="AA162" s="640" t="s">
        <v>911</v>
      </c>
      <c r="AB162" s="630">
        <v>40</v>
      </c>
      <c r="AC162" s="640" t="s">
        <v>910</v>
      </c>
    </row>
    <row r="163" spans="1:34" ht="24.9" customHeight="1" x14ac:dyDescent="0.25">
      <c r="A163" s="188" t="s">
        <v>289</v>
      </c>
      <c r="B163" s="1" t="s">
        <v>222</v>
      </c>
      <c r="C163" s="2">
        <v>4</v>
      </c>
      <c r="D163" s="39">
        <v>225</v>
      </c>
      <c r="E163" s="2"/>
      <c r="F163" s="2">
        <v>250</v>
      </c>
      <c r="G163" s="2"/>
      <c r="H163" s="51">
        <v>209</v>
      </c>
      <c r="I163" s="51">
        <v>23</v>
      </c>
      <c r="J163" s="51">
        <v>217</v>
      </c>
      <c r="K163" s="51">
        <v>26</v>
      </c>
      <c r="L163" s="51">
        <v>223</v>
      </c>
      <c r="M163" s="51">
        <v>22</v>
      </c>
      <c r="N163" s="51">
        <v>221</v>
      </c>
      <c r="O163" s="51">
        <v>27</v>
      </c>
      <c r="P163" s="193">
        <v>201</v>
      </c>
      <c r="Q163" s="193">
        <v>28</v>
      </c>
      <c r="R163" s="349">
        <v>231</v>
      </c>
      <c r="S163" s="348" t="s">
        <v>912</v>
      </c>
      <c r="T163" s="349">
        <v>36</v>
      </c>
      <c r="U163" s="348" t="s">
        <v>910</v>
      </c>
      <c r="V163" s="469">
        <v>244</v>
      </c>
      <c r="W163" s="471" t="s">
        <v>912</v>
      </c>
      <c r="X163" s="469">
        <v>30</v>
      </c>
      <c r="Y163" s="471" t="s">
        <v>912</v>
      </c>
      <c r="Z163" s="630">
        <v>232</v>
      </c>
      <c r="AA163" s="640" t="s">
        <v>912</v>
      </c>
      <c r="AB163" s="630">
        <v>37</v>
      </c>
      <c r="AC163" s="640" t="s">
        <v>910</v>
      </c>
    </row>
    <row r="164" spans="1:34" ht="24.9" customHeight="1" x14ac:dyDescent="0.25">
      <c r="A164" s="188" t="s">
        <v>71</v>
      </c>
      <c r="B164" s="1" t="s">
        <v>222</v>
      </c>
      <c r="C164" s="2">
        <v>6</v>
      </c>
      <c r="D164" s="39">
        <v>266.21153846153845</v>
      </c>
      <c r="E164" s="2"/>
      <c r="F164" s="2">
        <v>259</v>
      </c>
      <c r="G164" s="2"/>
      <c r="H164" s="51">
        <v>274</v>
      </c>
      <c r="I164" s="51">
        <v>31</v>
      </c>
      <c r="J164" s="51">
        <v>272</v>
      </c>
      <c r="K164" s="51">
        <v>35</v>
      </c>
      <c r="L164" s="51">
        <v>274</v>
      </c>
      <c r="M164" s="51">
        <v>41</v>
      </c>
      <c r="N164" s="51">
        <v>270</v>
      </c>
      <c r="O164" s="51">
        <v>39</v>
      </c>
      <c r="P164" s="193">
        <v>268</v>
      </c>
      <c r="Q164" s="193">
        <v>36</v>
      </c>
      <c r="R164" s="349">
        <v>270</v>
      </c>
      <c r="S164" s="348" t="s">
        <v>911</v>
      </c>
      <c r="T164" s="349">
        <v>36</v>
      </c>
      <c r="U164" s="348" t="s">
        <v>910</v>
      </c>
      <c r="V164" s="469">
        <v>274</v>
      </c>
      <c r="W164" s="471" t="s">
        <v>911</v>
      </c>
      <c r="X164" s="469">
        <v>36</v>
      </c>
      <c r="Y164" s="471" t="s">
        <v>912</v>
      </c>
      <c r="Z164" s="630">
        <v>275</v>
      </c>
      <c r="AA164" s="640" t="s">
        <v>911</v>
      </c>
      <c r="AB164" s="630">
        <v>43</v>
      </c>
      <c r="AC164" s="640" t="s">
        <v>910</v>
      </c>
    </row>
    <row r="165" spans="1:34" ht="24.9" customHeight="1" x14ac:dyDescent="0.25">
      <c r="A165" s="188" t="s">
        <v>208</v>
      </c>
      <c r="B165" s="1" t="s">
        <v>222</v>
      </c>
      <c r="C165" s="2">
        <v>4</v>
      </c>
      <c r="D165" s="39"/>
      <c r="E165" s="2"/>
      <c r="F165" s="2">
        <v>270</v>
      </c>
      <c r="G165" s="2"/>
      <c r="H165" s="51">
        <v>281</v>
      </c>
      <c r="I165" s="51">
        <v>31</v>
      </c>
      <c r="J165" s="51">
        <v>288</v>
      </c>
      <c r="K165" s="51">
        <v>32</v>
      </c>
      <c r="L165" s="51">
        <v>273</v>
      </c>
      <c r="M165" s="51">
        <v>20</v>
      </c>
      <c r="N165" s="51">
        <v>283</v>
      </c>
      <c r="O165" s="51">
        <v>36</v>
      </c>
      <c r="P165" s="193">
        <v>255</v>
      </c>
      <c r="Q165" s="193">
        <v>48</v>
      </c>
      <c r="R165" s="349">
        <v>276</v>
      </c>
      <c r="S165" s="348" t="s">
        <v>911</v>
      </c>
      <c r="T165" s="349">
        <v>35</v>
      </c>
      <c r="U165" s="348" t="s">
        <v>912</v>
      </c>
      <c r="V165" s="469">
        <v>276</v>
      </c>
      <c r="W165" s="471" t="s">
        <v>911</v>
      </c>
      <c r="X165" s="469">
        <v>39</v>
      </c>
      <c r="Y165" s="471" t="s">
        <v>910</v>
      </c>
      <c r="Z165" s="630">
        <v>273</v>
      </c>
      <c r="AA165" s="640" t="s">
        <v>911</v>
      </c>
      <c r="AB165" s="630">
        <v>48</v>
      </c>
      <c r="AC165" s="640" t="s">
        <v>910</v>
      </c>
    </row>
    <row r="166" spans="1:34" ht="24.9" customHeight="1" x14ac:dyDescent="0.25">
      <c r="A166" s="188" t="s">
        <v>99</v>
      </c>
      <c r="B166" s="1" t="s">
        <v>222</v>
      </c>
      <c r="C166" s="2">
        <v>5</v>
      </c>
      <c r="D166" s="39">
        <v>278.63461538461542</v>
      </c>
      <c r="E166" s="2"/>
      <c r="F166" s="2">
        <v>266</v>
      </c>
      <c r="G166" s="2"/>
      <c r="H166" s="51">
        <v>287</v>
      </c>
      <c r="I166" s="51">
        <v>43</v>
      </c>
      <c r="J166" s="51">
        <v>277</v>
      </c>
      <c r="K166" s="51">
        <v>38</v>
      </c>
      <c r="L166" s="51">
        <v>274</v>
      </c>
      <c r="M166" s="51">
        <v>27</v>
      </c>
      <c r="N166" s="51">
        <v>278</v>
      </c>
      <c r="O166" s="51">
        <v>45</v>
      </c>
      <c r="P166" s="193">
        <v>287</v>
      </c>
      <c r="Q166" s="193">
        <v>39</v>
      </c>
      <c r="R166" s="349">
        <v>264</v>
      </c>
      <c r="S166" s="348" t="s">
        <v>911</v>
      </c>
      <c r="T166" s="349">
        <v>32</v>
      </c>
      <c r="U166" s="348" t="s">
        <v>912</v>
      </c>
      <c r="V166" s="469">
        <v>290</v>
      </c>
      <c r="W166" s="471" t="s">
        <v>911</v>
      </c>
      <c r="X166" s="469">
        <v>26</v>
      </c>
      <c r="Y166" s="471" t="s">
        <v>912</v>
      </c>
      <c r="Z166" s="630">
        <v>282</v>
      </c>
      <c r="AA166" s="640" t="s">
        <v>911</v>
      </c>
      <c r="AB166" s="630">
        <v>47</v>
      </c>
      <c r="AC166" s="640" t="s">
        <v>910</v>
      </c>
    </row>
    <row r="167" spans="1:34" ht="21.75" customHeight="1" x14ac:dyDescent="0.25">
      <c r="A167" s="188" t="s">
        <v>73</v>
      </c>
      <c r="B167" s="70" t="s">
        <v>222</v>
      </c>
      <c r="C167" s="72">
        <v>2</v>
      </c>
      <c r="D167" s="39">
        <v>247.71153846153845</v>
      </c>
      <c r="E167" s="72"/>
      <c r="F167" s="72">
        <v>249</v>
      </c>
      <c r="G167" s="72"/>
      <c r="H167" s="195">
        <v>256</v>
      </c>
      <c r="I167" s="195">
        <v>36</v>
      </c>
      <c r="J167" s="195">
        <v>262</v>
      </c>
      <c r="K167" s="195">
        <v>38</v>
      </c>
      <c r="L167" s="195">
        <v>256</v>
      </c>
      <c r="M167" s="195">
        <v>40</v>
      </c>
      <c r="N167" s="195">
        <v>253</v>
      </c>
      <c r="O167" s="195">
        <v>43</v>
      </c>
      <c r="P167" s="193">
        <v>244</v>
      </c>
      <c r="Q167" s="193">
        <v>29</v>
      </c>
      <c r="R167" s="349">
        <v>253</v>
      </c>
      <c r="S167" s="348" t="s">
        <v>912</v>
      </c>
      <c r="T167" s="349">
        <v>41</v>
      </c>
      <c r="U167" s="348" t="s">
        <v>910</v>
      </c>
      <c r="V167" s="469">
        <v>272</v>
      </c>
      <c r="W167" s="471" t="s">
        <v>911</v>
      </c>
      <c r="X167" s="469">
        <v>39</v>
      </c>
      <c r="Y167" s="471" t="s">
        <v>910</v>
      </c>
      <c r="Z167" s="630">
        <v>276</v>
      </c>
      <c r="AA167" s="640" t="s">
        <v>911</v>
      </c>
      <c r="AB167" s="630">
        <v>44</v>
      </c>
      <c r="AC167" s="640" t="s">
        <v>910</v>
      </c>
    </row>
    <row r="168" spans="1:34" ht="21.6" customHeight="1" x14ac:dyDescent="0.25">
      <c r="A168" s="333" t="s">
        <v>1026</v>
      </c>
    </row>
    <row r="169" spans="1:34" ht="12.75" customHeight="1" x14ac:dyDescent="0.25">
      <c r="D169" s="113"/>
      <c r="E169" s="113"/>
      <c r="F169" s="113"/>
      <c r="G169" s="736" t="s">
        <v>252</v>
      </c>
      <c r="H169" s="737"/>
      <c r="I169" s="737"/>
      <c r="J169" s="737"/>
      <c r="K169" s="737"/>
      <c r="L169" s="737"/>
      <c r="M169" s="737"/>
      <c r="N169" s="737"/>
      <c r="O169" s="737"/>
      <c r="P169" s="737"/>
      <c r="Q169" s="737"/>
      <c r="Z169" s="737" t="s">
        <v>252</v>
      </c>
      <c r="AA169" s="737"/>
      <c r="AB169" s="737"/>
      <c r="AC169" s="737"/>
      <c r="AD169" s="737"/>
      <c r="AE169" s="737"/>
      <c r="AF169" s="737"/>
    </row>
    <row r="170" spans="1:34" x14ac:dyDescent="0.25">
      <c r="C170" s="738"/>
      <c r="D170" s="267"/>
      <c r="E170" s="112"/>
      <c r="F170" s="289">
        <v>2014</v>
      </c>
      <c r="G170" s="290">
        <v>2015</v>
      </c>
      <c r="H170" s="736">
        <v>2016</v>
      </c>
      <c r="I170" s="737"/>
      <c r="J170" s="736">
        <v>2017</v>
      </c>
      <c r="K170" s="737"/>
      <c r="L170" s="736">
        <v>2018</v>
      </c>
      <c r="M170" s="737"/>
      <c r="N170" s="736">
        <v>2019</v>
      </c>
      <c r="O170" s="737"/>
      <c r="P170" s="736">
        <v>2020</v>
      </c>
      <c r="Q170" s="737"/>
      <c r="R170" s="736">
        <v>2021</v>
      </c>
      <c r="S170" s="737"/>
      <c r="T170" s="736">
        <v>2022</v>
      </c>
      <c r="U170" s="737"/>
      <c r="V170" s="736">
        <v>2023</v>
      </c>
      <c r="W170" s="737"/>
      <c r="Z170" s="49"/>
      <c r="AA170" s="49">
        <v>2016</v>
      </c>
      <c r="AB170" s="50">
        <v>2017</v>
      </c>
      <c r="AC170" s="49">
        <v>2018</v>
      </c>
      <c r="AD170" s="49">
        <v>2019</v>
      </c>
      <c r="AE170" s="55">
        <v>2020</v>
      </c>
      <c r="AF170" s="351">
        <v>2021</v>
      </c>
      <c r="AG170" s="648">
        <v>2022</v>
      </c>
      <c r="AH170" s="648">
        <v>2023</v>
      </c>
    </row>
    <row r="171" spans="1:34" x14ac:dyDescent="0.25">
      <c r="C171" s="738"/>
      <c r="D171" s="267"/>
      <c r="E171" s="112"/>
      <c r="F171" s="266" t="s">
        <v>219</v>
      </c>
      <c r="G171" s="266" t="s">
        <v>219</v>
      </c>
      <c r="H171" s="7" t="s">
        <v>219</v>
      </c>
      <c r="I171" s="7" t="s">
        <v>253</v>
      </c>
      <c r="J171" s="7" t="s">
        <v>219</v>
      </c>
      <c r="K171" s="7" t="s">
        <v>253</v>
      </c>
      <c r="L171" s="7" t="s">
        <v>219</v>
      </c>
      <c r="M171" s="7" t="s">
        <v>253</v>
      </c>
      <c r="N171" s="7" t="s">
        <v>219</v>
      </c>
      <c r="O171" s="7" t="s">
        <v>253</v>
      </c>
      <c r="P171" s="52" t="s">
        <v>219</v>
      </c>
      <c r="Q171" s="52" t="s">
        <v>253</v>
      </c>
      <c r="R171" s="352" t="s">
        <v>219</v>
      </c>
      <c r="S171" s="352" t="s">
        <v>253</v>
      </c>
      <c r="T171" s="652" t="s">
        <v>219</v>
      </c>
      <c r="U171" s="652" t="s">
        <v>253</v>
      </c>
      <c r="V171" s="652" t="s">
        <v>219</v>
      </c>
      <c r="W171" s="652" t="s">
        <v>253</v>
      </c>
      <c r="Y171" s="380"/>
      <c r="Z171" s="51" t="s">
        <v>256</v>
      </c>
      <c r="AA171" s="39">
        <v>266</v>
      </c>
      <c r="AB171" s="39">
        <v>263</v>
      </c>
      <c r="AC171" s="39">
        <v>260</v>
      </c>
      <c r="AD171" s="39">
        <v>257</v>
      </c>
      <c r="AE171" s="39" t="s">
        <v>266</v>
      </c>
      <c r="AF171" s="380">
        <v>257</v>
      </c>
      <c r="AG171" s="380">
        <v>262</v>
      </c>
      <c r="AH171" s="380">
        <v>262</v>
      </c>
    </row>
    <row r="172" spans="1:34" x14ac:dyDescent="0.25">
      <c r="D172" s="267"/>
      <c r="E172" s="19" t="s">
        <v>0</v>
      </c>
      <c r="F172" s="19">
        <v>253</v>
      </c>
      <c r="G172" s="19">
        <v>255</v>
      </c>
      <c r="H172" s="19">
        <v>266</v>
      </c>
      <c r="I172" s="19">
        <v>37</v>
      </c>
      <c r="J172" s="19">
        <v>263</v>
      </c>
      <c r="K172" s="19">
        <v>39</v>
      </c>
      <c r="L172" s="10">
        <v>260</v>
      </c>
      <c r="M172" s="19">
        <v>41</v>
      </c>
      <c r="N172" s="19">
        <v>257</v>
      </c>
      <c r="O172" s="19">
        <v>42</v>
      </c>
      <c r="P172" s="19" t="s">
        <v>266</v>
      </c>
      <c r="Q172" s="19" t="s">
        <v>163</v>
      </c>
      <c r="R172" s="379">
        <v>257</v>
      </c>
      <c r="S172" s="379">
        <v>42</v>
      </c>
      <c r="T172" s="379">
        <v>262</v>
      </c>
      <c r="U172" s="379">
        <v>43</v>
      </c>
      <c r="V172" s="721">
        <v>262</v>
      </c>
      <c r="W172" s="721">
        <v>43</v>
      </c>
      <c r="Z172" s="39" t="s">
        <v>246</v>
      </c>
      <c r="AA172" s="39">
        <v>260.94117647058823</v>
      </c>
      <c r="AB172" s="39">
        <v>260.375</v>
      </c>
      <c r="AC172" s="39">
        <v>257.1764705882353</v>
      </c>
      <c r="AD172" s="39">
        <v>252.8235294117647</v>
      </c>
      <c r="AE172" s="39">
        <v>257.29411764705884</v>
      </c>
      <c r="AF172" s="39">
        <v>257.29411764705884</v>
      </c>
      <c r="AG172" s="39">
        <v>258.83333333333331</v>
      </c>
      <c r="AH172" s="39">
        <v>262.29411764705884</v>
      </c>
    </row>
    <row r="173" spans="1:34" x14ac:dyDescent="0.25">
      <c r="D173" s="267"/>
      <c r="E173" s="39" t="s">
        <v>246</v>
      </c>
      <c r="F173" s="39">
        <f>AVERAGEIF($C$36:$C$167,"=1",$D$36:$D$167)</f>
        <v>255.1122596153846</v>
      </c>
      <c r="G173" s="39">
        <f>AVERAGEIF($C$36:$C$167,"=1",$F$36:$F$167)</f>
        <v>250.52740384615385</v>
      </c>
      <c r="H173" s="39">
        <f>AVERAGEIF(C36:C167,"=1",H36:H167)</f>
        <v>260.94117647058823</v>
      </c>
      <c r="I173" s="39">
        <f>AVERAGEIF(C36:C167,"=1",I36:I167)</f>
        <v>33.823529411764703</v>
      </c>
      <c r="J173" s="39">
        <f>AVERAGEIF(C36:C167,"=1",J36:J167)</f>
        <v>260.375</v>
      </c>
      <c r="K173" s="39">
        <f>AVERAGEIF(C36:C167,"=1",K36:K167)</f>
        <v>35.0625</v>
      </c>
      <c r="L173" s="39">
        <f>AVERAGEIF(C36:C167,"=1",L36:L167)</f>
        <v>257.1764705882353</v>
      </c>
      <c r="M173" s="39">
        <f>AVERAGEIF(C36:C167,"=1",M36:M167)</f>
        <v>37.235294117647058</v>
      </c>
      <c r="N173" s="39">
        <f>AVERAGEIF(C36:C167,"=1",N36:N167)</f>
        <v>252.8235294117647</v>
      </c>
      <c r="O173" s="39">
        <f>AVERAGEIF(C36:C167,"=1",O36:O167)</f>
        <v>37.764705882352942</v>
      </c>
      <c r="P173" s="39">
        <f>AVERAGEIF($C$36:$C$167,"=1",$P$36:$P$167)</f>
        <v>257.29411764705884</v>
      </c>
      <c r="Q173" s="39">
        <f>AVERAGEIF($C$36:$C$167,"=1",$Q$36:$Q$167)</f>
        <v>36.705882352941174</v>
      </c>
      <c r="R173" s="39">
        <f>AVERAGEIF($C$36:$C$167,"=1",$R$36:$R$167)</f>
        <v>257.29411764705884</v>
      </c>
      <c r="S173" s="39">
        <f>AVERAGEIF($C$36:$C$167,"=1",$T$36:$T$167)</f>
        <v>37.529411764705884</v>
      </c>
      <c r="T173" s="39">
        <v>258.83333333333331</v>
      </c>
      <c r="U173" s="39">
        <v>40.166666666666664</v>
      </c>
      <c r="V173" s="39">
        <v>262.29411764705884</v>
      </c>
      <c r="W173" s="39">
        <v>38.176470588235297</v>
      </c>
      <c r="Z173" s="39" t="s">
        <v>247</v>
      </c>
      <c r="AA173" s="39">
        <v>268.45</v>
      </c>
      <c r="AB173" s="39">
        <v>265.63157894736844</v>
      </c>
      <c r="AC173" s="39">
        <v>262.89473684210526</v>
      </c>
      <c r="AD173" s="39">
        <v>262.64999999999998</v>
      </c>
      <c r="AE173" s="39">
        <v>259.125</v>
      </c>
      <c r="AF173" s="39">
        <v>257.45454545454544</v>
      </c>
      <c r="AG173" s="39">
        <v>266.72000000000003</v>
      </c>
      <c r="AH173" s="39">
        <v>265.03846153846155</v>
      </c>
    </row>
    <row r="174" spans="1:34" x14ac:dyDescent="0.25">
      <c r="A174" s="38">
        <f>MAX(D10:D167)</f>
        <v>290.36153846153843</v>
      </c>
      <c r="D174" s="267"/>
      <c r="E174" s="39" t="s">
        <v>247</v>
      </c>
      <c r="F174" s="39">
        <f>AVERAGEIF($C$36:$C$167,"=2",$D$36:$D$167)</f>
        <v>259.49979757085015</v>
      </c>
      <c r="G174" s="39">
        <f>AVERAGEIF($C$36:$C$167,"=2",$F$36:$F$167)</f>
        <v>256.02692307692308</v>
      </c>
      <c r="H174" s="39">
        <f>AVERAGEIF(C36:C167,"=2",H36:H167)</f>
        <v>268.45</v>
      </c>
      <c r="I174" s="39">
        <f>AVERAGEIF(C36:C167,"=2",I36:I167)</f>
        <v>33.1</v>
      </c>
      <c r="J174" s="39">
        <f>AVERAGEIF(C36:C167,"=2",J36:J167)</f>
        <v>265.63157894736844</v>
      </c>
      <c r="K174" s="39">
        <f>AVERAGEIF(C36:C167,"=2",K36:K167)</f>
        <v>36</v>
      </c>
      <c r="L174" s="39">
        <f>AVERAGEIF(C36:C167,"=2",L36:L167)</f>
        <v>262.89473684210526</v>
      </c>
      <c r="M174" s="39">
        <f>AVERAGEIF(C36:C167,"=2",M36:M167)</f>
        <v>37.421052631578945</v>
      </c>
      <c r="N174" s="39">
        <f>AVERAGEIF(C36:C167,"=2",N36:N167)</f>
        <v>262.64999999999998</v>
      </c>
      <c r="O174" s="39">
        <f>AVERAGEIF(C36:C167,"=2",O36:O167)</f>
        <v>38.25</v>
      </c>
      <c r="P174" s="39">
        <f>AVERAGEIF($C$36:$C$167,"=2",$P$36:$P$167)</f>
        <v>259.125</v>
      </c>
      <c r="Q174" s="39">
        <f>AVERAGEIF($C$36:$C$167,"=2",$Q$36:$Q$167)</f>
        <v>32.083333333333336</v>
      </c>
      <c r="R174" s="39">
        <f>AVERAGEIF($C$36:$C$167,"=2",$R$36:$R$167)</f>
        <v>257.45454545454544</v>
      </c>
      <c r="S174" s="39">
        <f>AVERAGEIF($C$36:$C$167,"=2",$T$36:$T$167)</f>
        <v>35.863636363636367</v>
      </c>
      <c r="T174" s="39">
        <v>266.72000000000003</v>
      </c>
      <c r="U174" s="39">
        <v>37.880000000000003</v>
      </c>
      <c r="V174" s="39">
        <v>265.03846153846155</v>
      </c>
      <c r="W174" s="39">
        <v>37.730769230769234</v>
      </c>
      <c r="Z174" s="39" t="s">
        <v>248</v>
      </c>
      <c r="AA174" s="39">
        <v>269.4375</v>
      </c>
      <c r="AB174" s="39">
        <v>265.64705882352939</v>
      </c>
      <c r="AC174" s="39">
        <v>265.11764705882354</v>
      </c>
      <c r="AD174" s="39">
        <v>259.41176470588238</v>
      </c>
      <c r="AE174" s="39">
        <v>262.78947368421052</v>
      </c>
      <c r="AF174" s="39">
        <v>261.60000000000002</v>
      </c>
      <c r="AG174" s="39">
        <v>267.13636363636363</v>
      </c>
      <c r="AH174" s="39">
        <v>267.09090909090907</v>
      </c>
    </row>
    <row r="175" spans="1:34" x14ac:dyDescent="0.25">
      <c r="A175" s="219">
        <f>MAX(F10:F167)</f>
        <v>296</v>
      </c>
      <c r="D175" s="112"/>
      <c r="E175" s="39" t="s">
        <v>248</v>
      </c>
      <c r="F175" s="39">
        <f>AVERAGEIF($C$36:$C$167,"=3",$D$36:$D$167)</f>
        <v>259.16615384615386</v>
      </c>
      <c r="G175" s="39">
        <f>AVERAGEIF($C$36:$C$167,"=3",$F$36:$F$167)</f>
        <v>256.83769230769235</v>
      </c>
      <c r="H175" s="39">
        <f>AVERAGEIF(C36:C167,"=3",H36:H167)</f>
        <v>268.22222222222223</v>
      </c>
      <c r="I175" s="39">
        <f>AVERAGEIF(C36:C167,"=3",I36:I167)</f>
        <v>35.5</v>
      </c>
      <c r="J175" s="39">
        <f>AVERAGEIF(C36:C167,"=3",J36:J167)</f>
        <v>265.26315789473682</v>
      </c>
      <c r="K175" s="39">
        <f>AVERAGEIF(C36:C167,"=3",K36:K167)</f>
        <v>36.789473684210527</v>
      </c>
      <c r="L175" s="39">
        <f>AVERAGEIF(C36:C167,"=3",L36:L167)</f>
        <v>264.57894736842104</v>
      </c>
      <c r="M175" s="39">
        <f>AVERAGEIF(C36:C167,"=3",M36:M167)</f>
        <v>38.10526315789474</v>
      </c>
      <c r="N175" s="39">
        <f>AVERAGEIF(C36:C167,"=3",N36:N167)</f>
        <v>258.73684210526318</v>
      </c>
      <c r="O175" s="39">
        <f>AVERAGEIF(C36:C167,"=3",O36:O167)</f>
        <v>38.736842105263158</v>
      </c>
      <c r="P175" s="39">
        <f>AVERAGEIF($C$36:$C$167,"=3",$P$36:$P$167)</f>
        <v>262.75</v>
      </c>
      <c r="Q175" s="39">
        <f>AVERAGEIF($C$36:$C$167,"=3",$Q$36:$Q$167)</f>
        <v>36.1</v>
      </c>
      <c r="R175" s="39">
        <f>AVERAGEIF($C$36:$C$167,"=3",$R$36:$R$167)</f>
        <v>261.60000000000002</v>
      </c>
      <c r="S175" s="39">
        <f>AVERAGEIF($C$36:$C$167,"=3",$T$36:$T$167)</f>
        <v>38.200000000000003</v>
      </c>
      <c r="T175" s="39">
        <v>267.13636363636363</v>
      </c>
      <c r="U175" s="39">
        <v>39.636363636363633</v>
      </c>
      <c r="V175" s="39">
        <v>267.09090909090907</v>
      </c>
      <c r="W175" s="39">
        <v>39.227272727272727</v>
      </c>
      <c r="Z175" s="39" t="s">
        <v>249</v>
      </c>
      <c r="AA175" s="39">
        <v>248.28571428571428</v>
      </c>
      <c r="AB175" s="39">
        <v>255.13333333333333</v>
      </c>
      <c r="AC175" s="39">
        <v>251.46666666666667</v>
      </c>
      <c r="AD175" s="39">
        <v>244.78571428571428</v>
      </c>
      <c r="AE175" s="39">
        <v>241.84615384615384</v>
      </c>
      <c r="AF175" s="39">
        <v>243.85714285714286</v>
      </c>
      <c r="AG175" s="39">
        <v>249.64285714285714</v>
      </c>
      <c r="AH175" s="39">
        <v>245.2</v>
      </c>
    </row>
    <row r="176" spans="1:34" x14ac:dyDescent="0.25">
      <c r="A176" s="38">
        <f>MAX(H10:H167)</f>
        <v>308</v>
      </c>
      <c r="D176" s="112"/>
      <c r="E176" s="39" t="s">
        <v>249</v>
      </c>
      <c r="F176" s="39">
        <f>AVERAGEIF($C$36:$C$167,"=4",$D$36:$D$167)</f>
        <v>237.49589743589743</v>
      </c>
      <c r="G176" s="39">
        <f>AVERAGEIF($C$36:$C$167,"=4",$F$36:$F$167)</f>
        <v>241.06085972850676</v>
      </c>
      <c r="H176" s="39">
        <f>AVERAGEIF(C36:C167,"=4",H36:H167)</f>
        <v>248.28571428571428</v>
      </c>
      <c r="I176" s="39">
        <f>AVERAGEIF(C36:C167,"=4",I36:I167)</f>
        <v>34</v>
      </c>
      <c r="J176" s="39">
        <f>AVERAGEIF(C36:C167,"=4",J36:J167)</f>
        <v>255.13333333333333</v>
      </c>
      <c r="K176" s="39">
        <f>AVERAGEIF(C36:C167,"=4",K36:K167)</f>
        <v>33.133333333333333</v>
      </c>
      <c r="L176" s="39">
        <f>AVERAGEIF(C36:C167,"=4",L36:L167)</f>
        <v>251.46666666666667</v>
      </c>
      <c r="M176" s="39">
        <f>AVERAGEIF(C36:C167,"=4",M36:M167)</f>
        <v>34.06666666666667</v>
      </c>
      <c r="N176" s="39">
        <f>AVERAGEIF(C36:C167,"=4",N36:N167)</f>
        <v>244.78571428571428</v>
      </c>
      <c r="O176" s="39">
        <f>AVERAGEIF(C36:C167,"=4",O36:O167)</f>
        <v>37.642857142857146</v>
      </c>
      <c r="P176" s="39">
        <f>AVERAGEIF($C$36:$C$167,"=4",$P$36:$P$167)</f>
        <v>241.84615384615384</v>
      </c>
      <c r="Q176" s="39">
        <f>AVERAGEIF($C$36:$C$167,"=4",$Q$36:$Q$167)</f>
        <v>36.46153846153846</v>
      </c>
      <c r="R176" s="39">
        <f>AVERAGEIF($C$36:$C$167,"=4",$R$36:$R$167)</f>
        <v>243.85714285714286</v>
      </c>
      <c r="S176" s="39">
        <f>AVERAGEIF($C$36:$C$167,"=4",$T$36:$T$167)</f>
        <v>36.142857142857146</v>
      </c>
      <c r="T176" s="39">
        <v>249.64285714285714</v>
      </c>
      <c r="U176" s="39">
        <v>39</v>
      </c>
      <c r="V176" s="39">
        <v>245.2</v>
      </c>
      <c r="W176" s="39">
        <v>38.133333333333333</v>
      </c>
      <c r="Z176" s="39" t="s">
        <v>250</v>
      </c>
      <c r="AA176" s="39">
        <v>276.1764705882353</v>
      </c>
      <c r="AB176" s="39">
        <v>275.47058823529414</v>
      </c>
      <c r="AC176" s="39">
        <v>271.5</v>
      </c>
      <c r="AD176" s="39">
        <v>268.31578947368422</v>
      </c>
      <c r="AE176" s="39">
        <v>272</v>
      </c>
      <c r="AF176" s="39">
        <v>270.44444444444446</v>
      </c>
      <c r="AG176" s="39">
        <v>276.64705882352939</v>
      </c>
      <c r="AH176" s="39">
        <v>278.11764705882354</v>
      </c>
    </row>
    <row r="177" spans="1:39" x14ac:dyDescent="0.25">
      <c r="A177" s="38">
        <f>MAX(J10:J167)</f>
        <v>314</v>
      </c>
      <c r="D177" s="112"/>
      <c r="E177" s="39" t="s">
        <v>250</v>
      </c>
      <c r="F177" s="39">
        <f>AVERAGEIF($C$36:$C$167,"=5",$D$36:$D$167)</f>
        <v>267.17564102564103</v>
      </c>
      <c r="G177" s="39">
        <f>AVERAGEIF($C$36:$C$167,"=5",$F$36:$F$167)</f>
        <v>267.14663461538464</v>
      </c>
      <c r="H177" s="39">
        <f>AVERAGEIF(C36:C167,"=5",H36:H167)</f>
        <v>276.1764705882353</v>
      </c>
      <c r="I177" s="39">
        <f>AVERAGEIF(C36:C167,"=5",I36:I167)</f>
        <v>33.941176470588232</v>
      </c>
      <c r="J177" s="39">
        <f>AVERAGEIF(C36:C167,"=5",J36:J167)</f>
        <v>275.47058823529414</v>
      </c>
      <c r="K177" s="39">
        <f>AVERAGEIF(C36:C167,"=5",K36:K167)</f>
        <v>35.705882352941174</v>
      </c>
      <c r="L177" s="39">
        <f>AVERAGEIF(C36:C167,"=5",L36:L167)</f>
        <v>271.5</v>
      </c>
      <c r="M177" s="39">
        <f>AVERAGEIF(C36:C167,"=5",M36:M167)</f>
        <v>36.277777777777779</v>
      </c>
      <c r="N177" s="39">
        <f>AVERAGEIF(C36:C167,"=5",N36:N167)</f>
        <v>268.31578947368422</v>
      </c>
      <c r="O177" s="39">
        <f>AVERAGEIF(C36:C167,"=5",O36:O167)</f>
        <v>37.05263157894737</v>
      </c>
      <c r="P177" s="39">
        <f>AVERAGEIF($C$36:$C$167,"=5",$P$36:$P$167)</f>
        <v>272</v>
      </c>
      <c r="Q177" s="39">
        <f>AVERAGEIF($C$36:$C$167,"=5",$Q$36:$Q$167)</f>
        <v>34.444444444444443</v>
      </c>
      <c r="R177" s="39">
        <f>AVERAGEIF($C$36:$C$167,"=5",$R$36:$R$167)</f>
        <v>270.44444444444446</v>
      </c>
      <c r="S177" s="39">
        <f>AVERAGEIF($C$36:$C$167,"=5",$T$36:$T$167)</f>
        <v>38.611111111111114</v>
      </c>
      <c r="T177" s="39">
        <v>276.64705882352939</v>
      </c>
      <c r="U177" s="39">
        <v>37.294117647058826</v>
      </c>
      <c r="V177" s="39">
        <v>278.11764705882354</v>
      </c>
      <c r="W177" s="39">
        <v>38.941176470588232</v>
      </c>
      <c r="Z177" s="39" t="s">
        <v>251</v>
      </c>
      <c r="AA177" s="39">
        <v>267.13333333333333</v>
      </c>
      <c r="AB177" s="39">
        <v>258.86666666666667</v>
      </c>
      <c r="AC177" s="39">
        <v>260.07142857142856</v>
      </c>
      <c r="AD177" s="39">
        <v>259</v>
      </c>
      <c r="AE177" s="39">
        <v>252.94117647058823</v>
      </c>
      <c r="AF177" s="39">
        <v>255.58823529411765</v>
      </c>
      <c r="AG177" s="39">
        <v>258.31578947368422</v>
      </c>
      <c r="AH177" s="39">
        <v>264.3</v>
      </c>
    </row>
    <row r="178" spans="1:39" x14ac:dyDescent="0.25">
      <c r="A178" s="38">
        <f>MAX(L10:L167)</f>
        <v>309</v>
      </c>
      <c r="D178" s="112"/>
      <c r="E178" s="39" t="s">
        <v>251</v>
      </c>
      <c r="F178" s="39">
        <f>AVERAGEIF($C$36:$C$167,"=6",$D$36:$D$167)</f>
        <v>256.91706730769238</v>
      </c>
      <c r="G178" s="39">
        <f>AVERAGEIF($C$36:$C$167,"=6",$F$36:$F$167)</f>
        <v>256.44615384615383</v>
      </c>
      <c r="H178" s="39">
        <f>AVERAGEIF(C36:C167,"=6",H36:H167)</f>
        <v>267.13333333333333</v>
      </c>
      <c r="I178" s="39">
        <f>AVERAGEIF(C36:C167,"=6",I36:I167)</f>
        <v>29.8</v>
      </c>
      <c r="J178" s="39">
        <f>AVERAGEIF(C36:C167,"=6",J36:J167)</f>
        <v>258.86666666666667</v>
      </c>
      <c r="K178" s="39">
        <f>AVERAGEIF(C36:C167,"=6",K36:K167)</f>
        <v>39</v>
      </c>
      <c r="L178" s="39">
        <f>AVERAGEIF(C36:C167,"=6",L36:L167)</f>
        <v>260.07142857142856</v>
      </c>
      <c r="M178" s="39">
        <f>AVERAGEIF(C36:C167,"=6",M36:M167)</f>
        <v>38.785714285714285</v>
      </c>
      <c r="N178" s="39">
        <f>AVERAGEIF(C36:C167,"=6",N36:N167)</f>
        <v>259</v>
      </c>
      <c r="O178" s="39">
        <f>AVERAGEIF(C36:C167,"=6",O36:O167)</f>
        <v>40.866666666666667</v>
      </c>
      <c r="P178" s="39">
        <f>AVERAGEIF($C$36:$C$167,"=6",$P$36:$P$167)</f>
        <v>252.94117647058823</v>
      </c>
      <c r="Q178" s="39">
        <f>AVERAGEIF($C$36:$C$167,"=6",$Q$36:$Q$167)</f>
        <v>35.117647058823529</v>
      </c>
      <c r="R178" s="39">
        <f>AVERAGEIF($C$36:$C$167,"=6",$R$36:$R$167)</f>
        <v>255.58823529411765</v>
      </c>
      <c r="S178" s="39">
        <f>AVERAGEIF($C$36:$C$167,"=6",$T$36:$T$167)</f>
        <v>34.411764705882355</v>
      </c>
      <c r="T178" s="39">
        <v>258.31578947368422</v>
      </c>
      <c r="U178" s="39">
        <v>41.368421052631582</v>
      </c>
      <c r="V178" s="39">
        <v>264.3</v>
      </c>
      <c r="W178" s="39">
        <v>36.15</v>
      </c>
    </row>
    <row r="179" spans="1:39" x14ac:dyDescent="0.25">
      <c r="A179" s="38">
        <f>MAX(N10:N167)</f>
        <v>300</v>
      </c>
      <c r="G179" s="39"/>
    </row>
    <row r="180" spans="1:39" x14ac:dyDescent="0.25">
      <c r="A180" s="38">
        <f>MAX(P10:P167)</f>
        <v>312</v>
      </c>
    </row>
    <row r="181" spans="1:39" x14ac:dyDescent="0.25">
      <c r="D181" s="733">
        <v>2014</v>
      </c>
      <c r="E181" s="734"/>
      <c r="F181" s="733">
        <v>2015</v>
      </c>
      <c r="G181" s="734"/>
      <c r="H181" s="733">
        <v>2016</v>
      </c>
      <c r="I181" s="735"/>
      <c r="J181" s="735"/>
      <c r="K181" s="734"/>
      <c r="L181" s="733">
        <v>2017</v>
      </c>
      <c r="M181" s="735"/>
      <c r="N181" s="735"/>
      <c r="O181" s="734"/>
      <c r="P181" s="733">
        <v>2018</v>
      </c>
      <c r="Q181" s="735"/>
      <c r="R181" s="735"/>
      <c r="S181" s="734"/>
      <c r="T181" s="733">
        <v>2019</v>
      </c>
      <c r="U181" s="735"/>
      <c r="V181" s="735"/>
      <c r="W181" s="734"/>
      <c r="X181" s="733">
        <v>2020</v>
      </c>
      <c r="Y181" s="735"/>
      <c r="Z181" s="735"/>
      <c r="AA181" s="734"/>
      <c r="AB181" s="733">
        <v>2021</v>
      </c>
      <c r="AC181" s="735"/>
      <c r="AD181" s="735"/>
      <c r="AE181" s="734"/>
      <c r="AF181" s="733">
        <v>2022</v>
      </c>
      <c r="AG181" s="735"/>
      <c r="AH181" s="735"/>
      <c r="AI181" s="734"/>
      <c r="AJ181" s="733">
        <v>2023</v>
      </c>
      <c r="AK181" s="735"/>
      <c r="AL181" s="735"/>
      <c r="AM181" s="734"/>
    </row>
    <row r="182" spans="1:39" x14ac:dyDescent="0.25">
      <c r="D182" s="742" t="s">
        <v>254</v>
      </c>
      <c r="E182" s="742" t="s">
        <v>255</v>
      </c>
      <c r="F182" s="742" t="s">
        <v>254</v>
      </c>
      <c r="G182" s="742" t="s">
        <v>255</v>
      </c>
      <c r="H182" s="733" t="s">
        <v>254</v>
      </c>
      <c r="I182" s="734"/>
      <c r="J182" s="733" t="s">
        <v>255</v>
      </c>
      <c r="K182" s="734"/>
      <c r="L182" s="733" t="s">
        <v>254</v>
      </c>
      <c r="M182" s="734"/>
      <c r="N182" s="733" t="s">
        <v>255</v>
      </c>
      <c r="O182" s="734"/>
      <c r="P182" s="733" t="s">
        <v>254</v>
      </c>
      <c r="Q182" s="734"/>
      <c r="R182" s="733" t="s">
        <v>255</v>
      </c>
      <c r="S182" s="734"/>
      <c r="T182" s="733" t="s">
        <v>254</v>
      </c>
      <c r="U182" s="734"/>
      <c r="V182" s="733" t="s">
        <v>255</v>
      </c>
      <c r="W182" s="734"/>
      <c r="X182" s="733" t="s">
        <v>254</v>
      </c>
      <c r="Y182" s="734"/>
      <c r="Z182" s="733" t="s">
        <v>255</v>
      </c>
      <c r="AA182" s="734"/>
      <c r="AB182" s="733" t="s">
        <v>254</v>
      </c>
      <c r="AC182" s="734"/>
      <c r="AD182" s="733" t="s">
        <v>255</v>
      </c>
      <c r="AE182" s="734"/>
      <c r="AF182" s="733" t="s">
        <v>254</v>
      </c>
      <c r="AG182" s="734"/>
      <c r="AH182" s="733" t="s">
        <v>255</v>
      </c>
      <c r="AI182" s="734"/>
      <c r="AJ182" s="733" t="s">
        <v>254</v>
      </c>
      <c r="AK182" s="734"/>
      <c r="AL182" s="733" t="s">
        <v>255</v>
      </c>
      <c r="AM182" s="734"/>
    </row>
    <row r="183" spans="1:39" ht="26.4" x14ac:dyDescent="0.25">
      <c r="D183" s="743"/>
      <c r="E183" s="743"/>
      <c r="F183" s="743"/>
      <c r="G183" s="743"/>
      <c r="H183" s="7" t="s">
        <v>219</v>
      </c>
      <c r="I183" s="7" t="s">
        <v>253</v>
      </c>
      <c r="J183" s="7" t="s">
        <v>219</v>
      </c>
      <c r="K183" s="7" t="s">
        <v>253</v>
      </c>
      <c r="L183" s="7" t="s">
        <v>219</v>
      </c>
      <c r="M183" s="7" t="s">
        <v>253</v>
      </c>
      <c r="N183" s="7" t="s">
        <v>219</v>
      </c>
      <c r="O183" s="7" t="s">
        <v>253</v>
      </c>
      <c r="P183" s="7" t="s">
        <v>219</v>
      </c>
      <c r="Q183" s="7" t="s">
        <v>253</v>
      </c>
      <c r="R183" s="7" t="s">
        <v>219</v>
      </c>
      <c r="S183" s="7" t="s">
        <v>253</v>
      </c>
      <c r="T183" s="7" t="s">
        <v>219</v>
      </c>
      <c r="U183" s="7" t="s">
        <v>253</v>
      </c>
      <c r="V183" s="7" t="s">
        <v>219</v>
      </c>
      <c r="W183" s="7" t="s">
        <v>253</v>
      </c>
      <c r="X183" s="52" t="s">
        <v>219</v>
      </c>
      <c r="Y183" s="52" t="s">
        <v>253</v>
      </c>
      <c r="Z183" s="52" t="s">
        <v>219</v>
      </c>
      <c r="AA183" s="52" t="s">
        <v>253</v>
      </c>
      <c r="AB183" s="352" t="s">
        <v>219</v>
      </c>
      <c r="AC183" s="352" t="s">
        <v>253</v>
      </c>
      <c r="AD183" s="352" t="s">
        <v>219</v>
      </c>
      <c r="AE183" s="352" t="s">
        <v>253</v>
      </c>
      <c r="AF183" s="652" t="s">
        <v>219</v>
      </c>
      <c r="AG183" s="652" t="s">
        <v>253</v>
      </c>
      <c r="AH183" s="652" t="s">
        <v>219</v>
      </c>
      <c r="AI183" s="652" t="s">
        <v>253</v>
      </c>
      <c r="AJ183" s="652" t="s">
        <v>219</v>
      </c>
      <c r="AK183" s="652" t="s">
        <v>253</v>
      </c>
      <c r="AL183" s="652" t="s">
        <v>219</v>
      </c>
      <c r="AM183" s="652" t="s">
        <v>253</v>
      </c>
    </row>
    <row r="184" spans="1:39" x14ac:dyDescent="0.25">
      <c r="C184" s="5" t="s">
        <v>0</v>
      </c>
      <c r="D184" s="288">
        <f>AVERAGEIF($B$36:$B$167,"=OFICIAL",$D$36:$D$167)</f>
        <v>250.4404761904762</v>
      </c>
      <c r="E184" s="288">
        <f>AVERAGEIF($B$36:$B$167,"=NO OFICIAL",$D$36:$D$167)</f>
        <v>257.45870445344133</v>
      </c>
      <c r="F184" s="288">
        <f>AVERAGEIF($B$36:$B$167,"=OFICIAL",$F$36:$F$167)</f>
        <v>248.00457875457874</v>
      </c>
      <c r="G184" s="288">
        <f>AVERAGEIF($B$36:$B$167,"=NO OFICIAL",$F$36:$F$167)</f>
        <v>256.12580331061343</v>
      </c>
      <c r="H184" s="19">
        <v>260</v>
      </c>
      <c r="I184" s="19">
        <v>36</v>
      </c>
      <c r="J184" s="19">
        <v>272</v>
      </c>
      <c r="K184" s="19">
        <v>38</v>
      </c>
      <c r="L184" s="10">
        <v>253</v>
      </c>
      <c r="M184" s="19">
        <v>35</v>
      </c>
      <c r="N184" s="19">
        <v>270</v>
      </c>
      <c r="O184" s="19">
        <v>40</v>
      </c>
      <c r="P184" s="42">
        <v>250</v>
      </c>
      <c r="Q184" s="42">
        <v>40</v>
      </c>
      <c r="R184" s="42">
        <v>269</v>
      </c>
      <c r="S184" s="42">
        <v>41</v>
      </c>
      <c r="T184" s="42">
        <v>249</v>
      </c>
      <c r="U184" s="42">
        <v>41</v>
      </c>
      <c r="V184" s="42">
        <v>266</v>
      </c>
      <c r="W184" s="42">
        <v>41</v>
      </c>
      <c r="X184" s="42" t="s">
        <v>267</v>
      </c>
      <c r="Y184" s="42" t="s">
        <v>145</v>
      </c>
      <c r="Z184" s="42">
        <v>265</v>
      </c>
      <c r="AA184" s="42">
        <v>41</v>
      </c>
      <c r="AB184" s="42">
        <v>248</v>
      </c>
      <c r="AC184" s="42"/>
      <c r="AD184" s="42">
        <v>266</v>
      </c>
      <c r="AE184" s="42"/>
      <c r="AF184" s="379">
        <v>252</v>
      </c>
      <c r="AG184" s="42"/>
      <c r="AH184" s="379">
        <v>272</v>
      </c>
      <c r="AI184" s="42"/>
      <c r="AJ184" s="379">
        <v>253</v>
      </c>
      <c r="AK184" s="42"/>
      <c r="AL184" s="379">
        <v>273</v>
      </c>
      <c r="AM184" s="42"/>
    </row>
    <row r="185" spans="1:39" x14ac:dyDescent="0.25">
      <c r="C185" s="39" t="s">
        <v>246</v>
      </c>
      <c r="D185" s="39">
        <f>AVERAGEIFS($D$36:$D$167,$C$36:$C$167,"=1", $B$36:$B$167,"OFICIAL")</f>
        <v>254.57596153846151</v>
      </c>
      <c r="E185" s="39">
        <f>AVERAGEIFS($D$36:$D$167,$C$36:$C$167,"=1", $B$36:$B$167,"NO OFICIAL")</f>
        <v>255.29102564102564</v>
      </c>
      <c r="F185" s="39">
        <f>AVERAGEIFS($F$36:$F$167,$C$36:$C$167,"=1", $B$36:$B$167,"OFICIAL")</f>
        <v>252.89038461538462</v>
      </c>
      <c r="G185" s="39">
        <f>AVERAGEIFS($F$36:$F$167,$C$36:$C$167,"=1", $B$36:$B$167,"NO OFICIAL")</f>
        <v>249.7397435897436</v>
      </c>
      <c r="H185" s="39">
        <f>AVERAGEIFS($H$36:$H$167,$C$36:$C$167,"=1", $B$36:$B$167,"OFICIAL")</f>
        <v>262.5</v>
      </c>
      <c r="I185" s="39">
        <f>AVERAGEIFS(I36:I167,$C$36:$C$167,"=1", $B$36:$B$167,"OFICIAL")</f>
        <v>35.75</v>
      </c>
      <c r="J185" s="39">
        <f>AVERAGEIFS(H36:H167,$C$36:$C$167,"=1", $B$36:$B$167,"NO OFICIAL")</f>
        <v>260.46153846153845</v>
      </c>
      <c r="K185" s="39">
        <f>AVERAGEIFS($I$36:$I$167,$C$36:$C$167,"=1", $B$36:$B$167,"NO OFICIAL")</f>
        <v>33.230769230769234</v>
      </c>
      <c r="L185" s="39">
        <f>AVERAGEIFS($J$36:$J$167,$C$36:$C$167,"=1", $B$36:$B$167,"OFICIAL")</f>
        <v>263</v>
      </c>
      <c r="M185" s="39">
        <f>AVERAGEIFS($K$36:$K$167,$C$36:$C$167,"=1", $B$36:$B$167,"OFICIAL")</f>
        <v>34.75</v>
      </c>
      <c r="N185" s="39">
        <f>AVERAGEIFS($J$36:$J$167,$C$36:$C$167,"=1", $B$36:$B$167,"NO OFICIAL")</f>
        <v>259.5</v>
      </c>
      <c r="O185" s="39">
        <f>AVERAGEIFS($K$36:$K$167,$C$36:$C$167,"=1", $B$36:$B$167,"NO OFICIAL")</f>
        <v>35.166666666666664</v>
      </c>
      <c r="P185" s="39">
        <f>AVERAGEIFS($L$36:$L$167,$C$36:$C$167,"=1", $B$36:$B$167,"OFICIAL")</f>
        <v>255.75</v>
      </c>
      <c r="Q185" s="39">
        <f>AVERAGEIFS($M$36:$M$167,$C$36:$C$167,"=1", $B$36:$B$167,"OFICIAL")</f>
        <v>36.75</v>
      </c>
      <c r="R185" s="39">
        <f>AVERAGEIFS($L$36:$L$167,$C$36:$C$167,"=1", $B$36:$B$167,"NO OFICIAL")</f>
        <v>257.61538461538464</v>
      </c>
      <c r="S185" s="39">
        <f>AVERAGEIFS($M$36:$M$167,$C$36:$C$167,"=1", $B$36:$B$167,"NO OFICIAL")</f>
        <v>37.384615384615387</v>
      </c>
      <c r="T185" s="39">
        <f>AVERAGEIFS($N$36:$N$167,$C$36:$C$167,"=1", $B$36:$B$167,"OFICIAL")</f>
        <v>253.75</v>
      </c>
      <c r="U185" s="39">
        <f>AVERAGEIFS($O$36:$O$167,$C$36:$C$167,"=1", $B$36:$B$167,"OFICIAL")</f>
        <v>40.25</v>
      </c>
      <c r="V185" s="39">
        <f>AVERAGEIFS($N$36:$N$167,$C$36:$C$167,"=1", $B$36:$B$167,"NO OFICIAL")</f>
        <v>252.53846153846155</v>
      </c>
      <c r="W185" s="39">
        <f>AVERAGEIFS($O$36:$O$167,$C$36:$C$167,"=1", $B$36:$B$167,"NO OFICIAL")</f>
        <v>37</v>
      </c>
      <c r="X185" s="39">
        <f>AVERAGEIFS($P$36:$P$167,$C$36:$C$167,"=1", $B$36:$B$167,"OFICIAL")</f>
        <v>255.5</v>
      </c>
      <c r="Y185" s="39">
        <f>AVERAGEIFS($Q$36:$Q$167,$C$36:$C$167,"=1", $B$36:$B$167,"OFICIAL")</f>
        <v>37.5</v>
      </c>
      <c r="Z185" s="39">
        <f>AVERAGEIFS($P$36:$P$167,$C$36:$C$167,"=1", $B$36:$B$167,"NO OFICIAL")</f>
        <v>257.84615384615387</v>
      </c>
      <c r="AA185" s="39">
        <f>AVERAGEIFS($Q$36:$Q$167,$C$36:$C$167,"=1", $B$36:$B$167,"NO OFICIAL")</f>
        <v>36.46153846153846</v>
      </c>
      <c r="AB185" s="39">
        <f>AVERAGEIFS($R$36:$R$167,$C$36:$C$167,"=1", $B$36:$B$167,"OFICIAL")</f>
        <v>251.5</v>
      </c>
      <c r="AC185" s="39">
        <f>AVERAGEIFS($T$36:$T$167,$C$36:$C$167,"=1", $B$36:$B$167,"OFICIAL")</f>
        <v>39.25</v>
      </c>
      <c r="AD185" s="39">
        <f>AVERAGEIFS($R$36:$R$167,$C$36:$C$167,"=1", $B$36:$B$167,"NO OFICIAL")</f>
        <v>259.07692307692309</v>
      </c>
      <c r="AE185" s="39">
        <f>AVERAGEIFS($T$36:$T$167,$C$36:$C$167,"=1", $B$36:$B$167,"NO OFICIAL")</f>
        <v>37</v>
      </c>
      <c r="AF185" s="39">
        <f>AVERAGEIFS($V$36:$V$167,$C$36:$C$167,"=1", $B$36:$B$167,"OFICIAL")</f>
        <v>252.8</v>
      </c>
      <c r="AG185" s="39">
        <f>AVERAGEIFS($X$36:$X$167,$C$36:$C$167,"=1", $B$36:$B$167,"OFICIAL")</f>
        <v>39</v>
      </c>
      <c r="AH185" s="39">
        <f>AVERAGEIFS($V$36:$V$167,$C$36:$C$167,"=1", $B$36:$B$167,"NO OFICIAL")</f>
        <v>261.15384615384613</v>
      </c>
      <c r="AI185" s="39">
        <f>AVERAGEIFS($X$36:$X$167,$C$36:$C$167,"=1", $B$36:$B$167,"NO OFICIAL")</f>
        <v>40.615384615384613</v>
      </c>
      <c r="AJ185" s="39">
        <f>AVERAGEIFS($Z$36:$Z$167,$C$36:$C$167,"=1", $B$36:$B$167,"OFICIAL")</f>
        <v>253.6</v>
      </c>
      <c r="AK185" s="39">
        <f>AVERAGEIFS($AB$36:$AB$167,$C$36:$C$167,"=1", $B$36:$B$167,"OFICIAL")</f>
        <v>38.6</v>
      </c>
      <c r="AL185" s="39">
        <f>AVERAGEIFS($Z$36:$Z$167,$C$36:$C$167,"=1", $B$36:$B$167,"NO OFICIAL")</f>
        <v>265.91666666666669</v>
      </c>
      <c r="AM185" s="39">
        <f>AVERAGEIFS($AB$36:$AB$167,$C$36:$C$167,"=1", $B$36:$B$167,"NO OFICIAL")</f>
        <v>38</v>
      </c>
    </row>
    <row r="186" spans="1:39" x14ac:dyDescent="0.25">
      <c r="C186" s="39" t="s">
        <v>247</v>
      </c>
      <c r="D186" s="39">
        <f>AVERAGEIFS($D$36:$D$167,$C$36:$C$167,"=2", $B$36:$B$167,"OFICIAL")</f>
        <v>255.5</v>
      </c>
      <c r="E186" s="39">
        <f>AVERAGEIFS($D$36:$D$167,$C$36:$C$167,"=2", $B$36:$B$167,"NO OFICIAL")</f>
        <v>259.97036199095021</v>
      </c>
      <c r="F186" s="39">
        <f>AVERAGEIFS($F$36:$F$167,$C$36:$C$167,"=2", $B$36:$B$167,"OFICIAL")</f>
        <v>252</v>
      </c>
      <c r="G186" s="39">
        <f>AVERAGEIFS($F$36:$F$167,$C$36:$C$167,"=2", $B$36:$B$167,"NO OFICIAL")</f>
        <v>256.50067873303169</v>
      </c>
      <c r="H186" s="39">
        <f>AVERAGEIFS($H$36:$H$167,$C$36:$C$167,"=2", $B$36:$B$167,"OFICIAL")</f>
        <v>264.5</v>
      </c>
      <c r="I186" s="39">
        <f>AVERAGEIFS($I$36:$I$167,$C$36:$C$167,"=2", $B$36:$B$167,"OFICIAL")</f>
        <v>35</v>
      </c>
      <c r="J186" s="39">
        <f>AVERAGEIFS(H36:H167,C36:C167,"=2", B36:B167,"NO OFICIAL")</f>
        <v>268.88888888888891</v>
      </c>
      <c r="K186" s="39">
        <f>AVERAGEIFS($I$36:$I$167,$C$36:$C$167,"=2", $B$36:$B$167,"NO OFICIAL")</f>
        <v>32.888888888888886</v>
      </c>
      <c r="L186" s="39">
        <f>AVERAGEIFS($J$36:$J$167,$C$36:$C$167,"=2", $B$36:$B$167,"OFICIAL")</f>
        <v>261.5</v>
      </c>
      <c r="M186" s="39">
        <f>AVERAGEIFS($K$36:$K$167,$C$36:$C$167,"=2", $B$36:$B$167,"OFICIAL")</f>
        <v>39</v>
      </c>
      <c r="N186" s="39">
        <f>AVERAGEIFS($J$36:$J$167,$C$36:$C$167,"=2", $B$36:$B$167,"NO OFICIAL")</f>
        <v>266.11764705882354</v>
      </c>
      <c r="O186" s="39">
        <f>AVERAGEIFS($K$36:$K$167,$C$36:$C$167,"=2", $B$36:$B$167,"NO OFICIAL")</f>
        <v>35.647058823529413</v>
      </c>
      <c r="P186" s="39">
        <f>AVERAGEIFS($L$36:$L$167,$C$36:$C$167,"=2", $B$36:$B$167,"OFICIAL")</f>
        <v>257.5</v>
      </c>
      <c r="Q186" s="39">
        <f>AVERAGEIFS($M$36:$M$167,$C$36:$C$167,"=2", $B$36:$B$167,"OFICIAL")</f>
        <v>40.5</v>
      </c>
      <c r="R186" s="39">
        <f>AVERAGEIFS($L$36:$L$167,$C$36:$C$167,"=2", $B$36:$B$167,"NO OFICIAL")</f>
        <v>263.52941176470586</v>
      </c>
      <c r="S186" s="39">
        <f>AVERAGEIFS($M$36:$M$167,$C$36:$C$167,"=2", $B$36:$B$167,"NO OFICIAL")</f>
        <v>37.058823529411768</v>
      </c>
      <c r="T186" s="39">
        <f>AVERAGEIFS($N$36:$N$167,$C$36:$C$167,"=2", $B$36:$B$167,"OFICIAL")</f>
        <v>253.5</v>
      </c>
      <c r="U186" s="39">
        <f>AVERAGEIFS($O$36:$O$167,$C$36:$C$167,"=2", $B$36:$B$167,"OFICIAL")</f>
        <v>40.5</v>
      </c>
      <c r="V186" s="39">
        <f>AVERAGEIFS($N$36:$N$167,$C$36:$C$167,"=2", $B$36:$B$167,"NO OFICIAL")</f>
        <v>263.66666666666669</v>
      </c>
      <c r="W186" s="39">
        <f>AVERAGEIFS($O$36:$O$167,$C$36:$C$167,"=2", $B$36:$B$167,"NO OFICIAL")</f>
        <v>38</v>
      </c>
      <c r="X186" s="39">
        <f>AVERAGEIFS($P$36:$P$167,$C$36:$C$167,"=2", $B$36:$B$167,"OFICIAL")</f>
        <v>255.5</v>
      </c>
      <c r="Y186" s="39">
        <f>AVERAGEIFS($Q$36:$Q$167,$C$36:$C$167,"=2", $B$36:$B$167,"OFICIAL")</f>
        <v>37.5</v>
      </c>
      <c r="Z186" s="39">
        <f>AVERAGEIFS($P$36:$P$167,$C$36:$C$167,"=2", $B$36:$B$167,"NO OFICIAL")</f>
        <v>259.45454545454544</v>
      </c>
      <c r="AA186" s="39">
        <f>AVERAGEIFS($Q$36:$Q$167,$C$36:$C$167,"=2", $B$36:$B$167,"NO OFICIAL")</f>
        <v>31.59090909090909</v>
      </c>
      <c r="AB186" s="39">
        <f>AVERAGEIFS($R$36:$R$167,$C$36:$C$167,"=2", $B$36:$B$167,"OFICIAL")</f>
        <v>250.5</v>
      </c>
      <c r="AC186" s="39">
        <f>AVERAGEIFS($T$36:$T$167,$C$36:$C$167,"=2", $B$36:$B$167,"OFICIAL")</f>
        <v>39</v>
      </c>
      <c r="AD186" s="39">
        <f>AVERAGEIFS($R$36:$R$167,$C$36:$C$167,"=2", $B$36:$B$167,"NO OFICIAL")</f>
        <v>258.14999999999998</v>
      </c>
      <c r="AE186" s="39">
        <f>AVERAGEIFS($T$36:$T$167,$C$36:$C$167,"=2", $B$36:$B$167,"NO OFICIAL")</f>
        <v>35.549999999999997</v>
      </c>
      <c r="AF186" s="39">
        <f>AVERAGEIFS($V$36:$V$167,$C$36:$C$167,"=2", $B$36:$B$167,"OFICIAL")</f>
        <v>253.25</v>
      </c>
      <c r="AG186" s="39">
        <f>AVERAGEIFS($X$36:$X$167,$C$36:$C$167,"=2", $B$36:$B$167,"OFICIAL")</f>
        <v>39</v>
      </c>
      <c r="AH186" s="39">
        <f>AVERAGEIFS($V$36:$V$167,$C$36:$C$167,"=2", $B$36:$B$167,"NO OFICIAL")</f>
        <v>269.28571428571428</v>
      </c>
      <c r="AI186" s="39">
        <f>AVERAGEIFS($X$36:$X$167,$C$36:$C$167,"=2", $B$36:$B$167,"NO OFICIAL")</f>
        <v>37.666666666666664</v>
      </c>
      <c r="AJ186" s="39">
        <f>AVERAGEIFS($Z$36:$Z$167,$C$36:$C$167,"=2", $B$36:$B$167,"OFICIAL")</f>
        <v>255.5</v>
      </c>
      <c r="AK186" s="39">
        <f>AVERAGEIFS($AB$36:$AB$167,$C$36:$C$167,"=2", $B$36:$B$167,"OFICIAL")</f>
        <v>39.5</v>
      </c>
      <c r="AL186" s="39">
        <f>AVERAGEIFS($Z$36:$Z$167,$C$36:$C$167,"=2", $B$36:$B$167,"NO OFICIAL")</f>
        <v>266.77272727272725</v>
      </c>
      <c r="AM186" s="39">
        <f>AVERAGEIFS($AB$36:$AB$167,$C$36:$C$167,"=2", $B$36:$B$167,"NO OFICIAL")</f>
        <v>37.409090909090907</v>
      </c>
    </row>
    <row r="187" spans="1:39" x14ac:dyDescent="0.25">
      <c r="C187" s="39" t="s">
        <v>248</v>
      </c>
      <c r="D187" s="39">
        <f>AVERAGEIFS($D$36:$D$167,$C$36:$C$167,"=3", $B$36:$B$167,"OFICIAL")</f>
        <v>251.66923076923072</v>
      </c>
      <c r="E187" s="39">
        <f>AVERAGEIFS($D$36:$D$167,$C$36:$C$167,"=3", $B$36:$B$167,"NO OFICIAL")</f>
        <v>261.04038461538465</v>
      </c>
      <c r="F187" s="39">
        <f>AVERAGEIFS($F$36:$F$167,$C$36:$C$167,"=3", $B$36:$B$167,"OFICIAL")</f>
        <v>245.92307692307691</v>
      </c>
      <c r="G187" s="39">
        <f>AVERAGEIFS($F$36:$F$167,$C$36:$C$167,"=3", $B$36:$B$167,"NO OFICIAL")</f>
        <v>259.56634615384615</v>
      </c>
      <c r="H187" s="39">
        <f>AVERAGEIFS($H$36:$H$167,$C$36:$C$167,"=3", $B$36:$B$167,"OFICIAL")</f>
        <v>259.39999999999998</v>
      </c>
      <c r="I187" s="39">
        <f>AVERAGEIFS($I$36:$I$167,$C$36:$C$167,"=3", $B$36:$B$167,"OFICIAL")</f>
        <v>36.6</v>
      </c>
      <c r="J187" s="39">
        <f>AVERAGEIFS(H36:H167,C36:C167,"=3", B36:B167,"NO OFICIAL")</f>
        <v>271.61538461538464</v>
      </c>
      <c r="K187" s="39">
        <f>AVERAGEIFS($I$36:$I$167,$C$36:$C$167,"=3", $B$36:$B$167,"NO OFICIAL")</f>
        <v>35.07692307692308</v>
      </c>
      <c r="L187" s="39">
        <f>AVERAGEIFS($J$36:$J$167,$C$36:$C$167,"=3", $B$36:$B$167,"OFICIAL")</f>
        <v>258.8</v>
      </c>
      <c r="M187" s="39">
        <f>AVERAGEIFS($K$36:$K$167,$C$36:$C$167,"=3", $B$36:$B$167,"OFICIAL")</f>
        <v>37.6</v>
      </c>
      <c r="N187" s="39">
        <f>AVERAGEIFS($J$36:$J$167,$C$36:$C$167,"=3", $B$36:$B$167,"NO OFICIAL")</f>
        <v>267.57142857142856</v>
      </c>
      <c r="O187" s="39">
        <f>AVERAGEIFS($K$36:$K$167,$C$36:$C$167,"=3", $B$36:$B$167,"NO OFICIAL")</f>
        <v>36.5</v>
      </c>
      <c r="P187" s="39">
        <f>AVERAGEIFS($L$36:$L$167,$C$36:$C$167,"=3", $B$36:$B$167,"OFICIAL")</f>
        <v>257.60000000000002</v>
      </c>
      <c r="Q187" s="39">
        <f>AVERAGEIFS($M$36:$M$167,$C$36:$C$167,"=3", $B$36:$B$167,"OFICIAL")</f>
        <v>39</v>
      </c>
      <c r="R187" s="39">
        <f>AVERAGEIFS($L$36:$L$167,$C$36:$C$167,"=3", $B$36:$B$167,"NO OFICIAL")</f>
        <v>267.07142857142856</v>
      </c>
      <c r="S187" s="39">
        <f>AVERAGEIFS($M$36:$M$167,$C$36:$C$167,"=3", $B$36:$B$167,"NO OFICIAL")</f>
        <v>37.785714285714285</v>
      </c>
      <c r="T187" s="39">
        <f>AVERAGEIFS($N$36:$N$167,$C$36:$C$167,"=3", $B$36:$B$167,"OFICIAL")</f>
        <v>250.4</v>
      </c>
      <c r="U187" s="39">
        <f>AVERAGEIFS($O$36:$O$167,$C$36:$C$167,"=3", $B$36:$B$167,"OFICIAL")</f>
        <v>38.799999999999997</v>
      </c>
      <c r="V187" s="39">
        <f>AVERAGEIFS($N$36:$N$167,$C$36:$C$167,"=3", $B$36:$B$167,"NO OFICIAL")</f>
        <v>261.71428571428572</v>
      </c>
      <c r="W187" s="39">
        <f>AVERAGEIFS($O$36:$O$167,$C$36:$C$167,"=3", $B$36:$B$167,"NO OFICIAL")</f>
        <v>38.714285714285715</v>
      </c>
      <c r="X187" s="39">
        <f>AVERAGEIFS($P$36:$P$167,$C$36:$C$167,"=3", $B$36:$B$167,"OFICIAL")</f>
        <v>254.6</v>
      </c>
      <c r="Y187" s="39">
        <f>AVERAGEIFS($Q$36:$Q$167,$C$36:$C$167,"=3", $B$36:$B$167,"OFICIAL")</f>
        <v>37.4</v>
      </c>
      <c r="Z187" s="39">
        <f>AVERAGEIFS($P$36:$P$167,$C$36:$C$167,"=3", $B$36:$B$167,"NO OFICIAL")</f>
        <v>265.46666666666664</v>
      </c>
      <c r="AA187" s="39">
        <f>AVERAGEIFS($Q$36:$Q$167,$C$36:$C$167,"=3", $B$36:$B$167,"NO OFICIAL")</f>
        <v>35.666666666666664</v>
      </c>
      <c r="AB187" s="39">
        <f>AVERAGEIFS($R$36:$R$167,$C$36:$C$167,"=3", $B$36:$B$167,"OFICIAL")</f>
        <v>250.4</v>
      </c>
      <c r="AC187" s="39">
        <f>AVERAGEIFS($T$36:$T$167,$C$36:$C$167,"=3", $B$36:$B$167,"OFICIAL")</f>
        <v>38.200000000000003</v>
      </c>
      <c r="AD187" s="39">
        <f>AVERAGEIFS($R$36:$R$167,$C$36:$C$167,"=3", $B$36:$B$167,"NO OFICIAL")</f>
        <v>265.33333333333331</v>
      </c>
      <c r="AE187" s="39">
        <f>AVERAGEIFS($T$36:$T$167,$C$36:$C$167,"=3", $B$36:$B$167,"NO OFICIAL")</f>
        <v>38.200000000000003</v>
      </c>
      <c r="AF187" s="39">
        <f>AVERAGEIFS($V$36:$V$167,$C$36:$C$167,"=3", $B$36:$B$167,"OFICIAL")</f>
        <v>257</v>
      </c>
      <c r="AG187" s="39">
        <f>AVERAGEIFS($X$36:$X$167,$C$36:$C$167,"=3", $B$36:$B$167,"OFICIAL")</f>
        <v>40.666666666666664</v>
      </c>
      <c r="AH187" s="39">
        <f>AVERAGEIFS($V$36:$V$167,$C$36:$C$167,"=3", $B$36:$B$167,"NO OFICIAL")</f>
        <v>270.9375</v>
      </c>
      <c r="AI187" s="39">
        <f>AVERAGEIFS($X$36:$X$167,$C$36:$C$167,"=3", $B$36:$B$167,"NO OFICIAL")</f>
        <v>39.25</v>
      </c>
      <c r="AJ187" s="39">
        <f>AVERAGEIFS($Z$36:$Z$167,$C$36:$C$167,"=3", $B$36:$B$167,"OFICIAL")</f>
        <v>257</v>
      </c>
      <c r="AK187" s="39">
        <f>AVERAGEIFS($AB$36:$AB$167,$C$36:$C$167,"=3", $B$36:$B$167,"OFICIAL")</f>
        <v>40.166666666666664</v>
      </c>
      <c r="AL187" s="39">
        <f>AVERAGEIFS($Z$36:$Z$167,$C$36:$C$167,"=3", $B$36:$B$167,"NO OFICIAL")</f>
        <v>270.875</v>
      </c>
      <c r="AM187" s="39">
        <f>AVERAGEIFS($AB$36:$AB$167,$C$36:$C$167,"=3", $B$36:$B$167,"NO OFICIAL")</f>
        <v>38.875</v>
      </c>
    </row>
    <row r="188" spans="1:39" x14ac:dyDescent="0.25">
      <c r="C188" s="39" t="s">
        <v>249</v>
      </c>
      <c r="D188" s="39">
        <f>AVERAGEIFS($D$36:$D$167,$C$36:$C$167,"=4", $B$36:$B$167,"OFICIAL")</f>
        <v>244.03717948717949</v>
      </c>
      <c r="E188" s="39">
        <f>AVERAGEIFS($D$36:$D$167,$C$36:$C$167,"=4", $B$36:$B$167,"NO OFICIAL")</f>
        <v>233.13504273504273</v>
      </c>
      <c r="F188" s="39">
        <f>AVERAGEIFS($F$36:$F$167,$C$36:$C$167,"=4", $B$36:$B$167,"OFICIAL")</f>
        <v>241.96089743589744</v>
      </c>
      <c r="G188" s="39">
        <f>AVERAGEIFS($F$36:$F$167,$C$36:$C$167,"=4", $B$36:$B$167,"NO OFICIAL")</f>
        <v>240.56993006993008</v>
      </c>
      <c r="H188" s="39">
        <f>AVERAGEIFS($H$36:$H$167,$C$36:$C$167,"=4", $B$36:$B$167,"OFICIAL")</f>
        <v>243.83333333333334</v>
      </c>
      <c r="I188" s="39">
        <f>AVERAGEIFS($I$36:$I$167,$C$36:$C$167,"=4", $B$36:$B$167,"OFICIAL")</f>
        <v>35</v>
      </c>
      <c r="J188" s="39">
        <f>AVERAGEIFS(H36:H167,C36:C167,"=4", B36:B167,"NO OFICIAL")</f>
        <v>251.625</v>
      </c>
      <c r="K188" s="39">
        <f>AVERAGEIFS($I$36:$I$167,$C$36:$C$167,"=4", $B$36:$B$167,"NO OFICIAL")</f>
        <v>33.25</v>
      </c>
      <c r="L188" s="39">
        <f>AVERAGEIFS($J$36:$J$167,$C$36:$C$167,"=4", $B$36:$B$167,"OFICIAL")</f>
        <v>244.33333333333334</v>
      </c>
      <c r="M188" s="39">
        <f>AVERAGEIFS($K$36:$K$167,$C$36:$C$167,"=4", $B$36:$B$167,"OFICIAL")</f>
        <v>37.333333333333336</v>
      </c>
      <c r="N188" s="39">
        <f>AVERAGEIFS($J$36:$J$167,$C$36:$C$167,"=4", $B$36:$B$167,"NO OFICIAL")</f>
        <v>262.33333333333331</v>
      </c>
      <c r="O188" s="39">
        <f>AVERAGEIFS($K$36:$K$167,$C$36:$C$167,"=4", $B$36:$B$167,"NO OFICIAL")</f>
        <v>30.333333333333332</v>
      </c>
      <c r="P188" s="39">
        <f>AVERAGEIFS($L$36:$L$167,$C$36:$C$167,"=4", $B$36:$B$167,"OFICIAL")</f>
        <v>237</v>
      </c>
      <c r="Q188" s="39">
        <f>AVERAGEIFS($M$36:$M$167,$C$36:$C$167,"=4", $B$36:$B$167,"OFICIAL")</f>
        <v>38.833333333333336</v>
      </c>
      <c r="R188" s="39">
        <f>AVERAGEIFS($L$36:$L$167,$C$36:$C$167,"=4", $B$36:$B$167,"NO OFICIAL")</f>
        <v>261.11111111111109</v>
      </c>
      <c r="S188" s="39">
        <f>AVERAGEIFS($M$36:$M$167,$C$36:$C$167,"=4", $B$36:$B$167,"NO OFICIAL")</f>
        <v>30.888888888888889</v>
      </c>
      <c r="T188" s="39">
        <f>AVERAGEIFS($N$36:$N$167,$C$36:$C$167,"=4", $B$36:$B$167,"OFICIAL")</f>
        <v>232.5</v>
      </c>
      <c r="U188" s="39">
        <f>AVERAGEIFS($O$36:$O$167,$C$36:$C$167,"=4", $B$36:$B$167,"OFICIAL")</f>
        <v>39.333333333333336</v>
      </c>
      <c r="V188" s="39">
        <f>AVERAGEIFS($N$36:$N$167,$C$36:$C$167,"=4", $B$36:$B$167,"NO OFICIAL")</f>
        <v>254</v>
      </c>
      <c r="W188" s="39">
        <f>AVERAGEIFS($O$36:$O$167,$C$36:$C$167,"=4", $B$36:$B$167,"NO OFICIAL")</f>
        <v>36.375</v>
      </c>
      <c r="X188" s="39">
        <f>AVERAGEIFS($P$36:$P$167,$C$36:$C$167,"=4", $B$36:$B$167,"OFICIAL")</f>
        <v>234.5</v>
      </c>
      <c r="Y188" s="39">
        <f>AVERAGEIFS($Q$36:$Q$167,$C$36:$C$167,"=4", $B$36:$B$167,"OFICIAL")</f>
        <v>35.5</v>
      </c>
      <c r="Z188" s="39">
        <f>AVERAGEIFS($P$36:$P$167,$C$36:$C$167,"=4", $B$36:$B$167,"NO OFICIAL")</f>
        <v>248.14285714285714</v>
      </c>
      <c r="AA188" s="39">
        <f>AVERAGEIFS($Q$36:$Q$167,$C$36:$C$167,"=4", $B$36:$B$167,"NO OFICIAL")</f>
        <v>37.285714285714285</v>
      </c>
      <c r="AB188" s="39">
        <f>AVERAGEIFS($R$36:$R$167,$C$36:$C$167,"=4", $B$36:$B$167,"OFICIAL")</f>
        <v>233.66666666666666</v>
      </c>
      <c r="AC188" s="39">
        <f>AVERAGEIFS($T$36:$T$167,$C$36:$C$167,"=4", $B$36:$B$167,"OFICIAL")</f>
        <v>37.333333333333336</v>
      </c>
      <c r="AD188" s="39">
        <f>AVERAGEIFS($R$36:$R$167,$C$36:$C$167,"=4", $B$36:$B$167,"NO OFICIAL")</f>
        <v>251.5</v>
      </c>
      <c r="AE188" s="39">
        <f>AVERAGEIFS($T$36:$T$167,$C$36:$C$167,"=4", $B$36:$B$167,"NO OFICIAL")</f>
        <v>35.25</v>
      </c>
      <c r="AF188" s="39">
        <f>AVERAGEIFS($V$36:$V$167,$C$36:$C$167,"=4", $B$36:$B$167,"OFICIAL")</f>
        <v>238.33333333333334</v>
      </c>
      <c r="AG188" s="39">
        <f>AVERAGEIFS($X$36:$X$167,$C$36:$C$167,"=4", $B$36:$B$167,"OFICIAL")</f>
        <v>39.666666666666664</v>
      </c>
      <c r="AH188" s="39">
        <f>AVERAGEIFS($V$36:$V$167,$C$36:$C$167,"=4", $B$36:$B$167,"NO OFICIAL")</f>
        <v>258.125</v>
      </c>
      <c r="AI188" s="39">
        <f>AVERAGEIFS($X$36:$X$167,$C$36:$C$167,"=4", $B$36:$B$167,"NO OFICIAL")</f>
        <v>38.5</v>
      </c>
      <c r="AJ188" s="39">
        <f>AVERAGEIFS($Z$36:$Z$167,$C$36:$C$167,"=4", $B$36:$B$167,"OFICIAL")</f>
        <v>237.66666666666666</v>
      </c>
      <c r="AK188" s="39">
        <f>AVERAGEIFS($AB$36:$AB$167,$C$36:$C$167,"=4", $B$36:$B$167,"OFICIAL")</f>
        <v>41.166666666666664</v>
      </c>
      <c r="AL188" s="39">
        <f>AVERAGEIFS($Z$36:$Z$167,$C$36:$C$167,"=4", $B$36:$B$167,"NO OFICIAL")</f>
        <v>250.22222222222223</v>
      </c>
      <c r="AM188" s="39">
        <f>AVERAGEIFS($AB$36:$AB$167,$C$36:$C$167,"=4", $B$36:$B$167,"NO OFICIAL")</f>
        <v>36.111111111111114</v>
      </c>
    </row>
    <row r="189" spans="1:39" x14ac:dyDescent="0.25">
      <c r="C189" s="39" t="s">
        <v>250</v>
      </c>
      <c r="D189" s="39">
        <f>AVERAGEIFS($D$36:$D$167,$C$36:$C$167,"=5", $B$36:$B$167,"OFICIAL")</f>
        <v>257.79230769230776</v>
      </c>
      <c r="E189" s="39">
        <f>AVERAGEIFS($D$36:$D$167,$C$36:$C$167,"=5", $B$36:$B$167,"NO OFICIAL")</f>
        <v>268.6192307692308</v>
      </c>
      <c r="F189" s="39">
        <f>AVERAGEIFS($F$36:$F$167,$C$36:$C$167,"=5", $B$36:$B$167,"OFICIAL")</f>
        <v>257.5</v>
      </c>
      <c r="G189" s="39">
        <f>AVERAGEIFS($F$36:$F$167,$C$36:$C$167,"=5", $B$36:$B$167,"NO OFICIAL")</f>
        <v>268.52472527472526</v>
      </c>
      <c r="H189" s="39">
        <f>AVERAGEIFS($H$36:$H$167,$C$36:$C$167,"=5", $B$36:$B$167,"OFICIAL")</f>
        <v>264.5</v>
      </c>
      <c r="I189" s="39">
        <f>AVERAGEIFS($I$36:$I$167,$C$36:$C$167,"=5", $B$36:$B$167,"OFICIAL")</f>
        <v>34</v>
      </c>
      <c r="J189" s="39">
        <f>AVERAGEIFS(H36:H167,C36:C167,"=5", B36:B167,"NO OFICIAL")</f>
        <v>277.73333333333335</v>
      </c>
      <c r="K189" s="39">
        <f>AVERAGEIFS($I$36:$I$167,$C$36:$C$167,"=5", $B$36:$B$167,"NO OFICIAL")</f>
        <v>33.93333333333333</v>
      </c>
      <c r="L189" s="39">
        <f>AVERAGEIFS($J$36:$J$167,$C$36:$C$167,"=5", $B$36:$B$167,"OFICIAL")</f>
        <v>257.5</v>
      </c>
      <c r="M189" s="39">
        <f>AVERAGEIFS($K$36:$K$167,$C$36:$C$167,"=5", $B$36:$B$167,"OFICIAL")</f>
        <v>38</v>
      </c>
      <c r="N189" s="39">
        <f>AVERAGEIFS($J$36:$J$167,$C$36:$C$167,"=5", $B$36:$B$167,"NO OFICIAL")</f>
        <v>277.86666666666667</v>
      </c>
      <c r="O189" s="39">
        <f>AVERAGEIFS($K$36:$K$167,$C$36:$C$167,"=5", $B$36:$B$167,"NO OFICIAL")</f>
        <v>35.4</v>
      </c>
      <c r="P189" s="39">
        <f>AVERAGEIFS($L$36:$L$167,$C$36:$C$167,"=5", $B$36:$B$167,"OFICIAL")</f>
        <v>251</v>
      </c>
      <c r="Q189" s="39">
        <f>AVERAGEIFS($M$36:$M$167,$C$36:$C$167,"=5", $B$36:$B$167,"OFICIAL")</f>
        <v>37</v>
      </c>
      <c r="R189" s="39">
        <f>AVERAGEIFS($L$36:$L$167,$C$36:$C$167,"=5", $B$36:$B$167,"NO OFICIAL")</f>
        <v>274.0625</v>
      </c>
      <c r="S189" s="39">
        <f>AVERAGEIFS($M$36:$M$167,$C$36:$C$167,"=5", $B$36:$B$167,"NO OFICIAL")</f>
        <v>36.1875</v>
      </c>
      <c r="T189" s="39">
        <f>AVERAGEIFS($N$36:$N$167,$C$36:$C$167,"=5", $B$36:$B$167,"OFICIAL")</f>
        <v>252.5</v>
      </c>
      <c r="U189" s="39">
        <f>AVERAGEIFS($O$36:$O$167,$C$36:$C$167,"=5", $B$36:$B$167,"OFICIAL")</f>
        <v>37.5</v>
      </c>
      <c r="V189" s="39">
        <f>AVERAGEIFS($N$36:$N$167,$C$36:$C$167,"=5", $B$36:$B$167,"NO OFICIAL")</f>
        <v>270.1764705882353</v>
      </c>
      <c r="W189" s="39">
        <f>AVERAGEIFS($O$36:$O$167,$C$36:$C$167,"=5", $B$36:$B$167,"NO OFICIAL")</f>
        <v>37</v>
      </c>
      <c r="X189" s="39">
        <f>AVERAGEIFS($P$36:$P$167,$C$36:$C$167,"=5", $B$36:$B$167,"OFICIAL")</f>
        <v>252.5</v>
      </c>
      <c r="Y189" s="39">
        <f>AVERAGEIFS($Q$36:$Q$167,$C$36:$C$167,"=5", $B$36:$B$167,"OFICIAL")</f>
        <v>36</v>
      </c>
      <c r="Z189" s="39">
        <f>AVERAGEIFS($P$36:$P$167,$C$36:$C$167,"=5", $B$36:$B$167,"NO OFICIAL")</f>
        <v>274.4375</v>
      </c>
      <c r="AA189" s="39">
        <f>AVERAGEIFS($Q$36:$Q$167,$C$36:$C$167,"=5", $B$36:$B$167,"NO OFICIAL")</f>
        <v>34.25</v>
      </c>
      <c r="AB189" s="39">
        <f>AVERAGEIFS($R$36:$R$167,$C$36:$C$167,"=5", $B$36:$B$167,"OFICIAL")</f>
        <v>251</v>
      </c>
      <c r="AC189" s="39">
        <f>AVERAGEIFS($T$36:$T$167,$C$36:$C$167,"=5", $B$36:$B$167,"OFICIAL")</f>
        <v>41</v>
      </c>
      <c r="AD189" s="39">
        <f>AVERAGEIFS($R$36:$R$167,$C$36:$C$167,"=5", $B$36:$B$167,"NO OFICIAL")</f>
        <v>272.875</v>
      </c>
      <c r="AE189" s="39">
        <f>AVERAGEIFS($T$36:$T$167,$C$36:$C$167,"=5", $B$36:$B$167,"NO OFICIAL")</f>
        <v>38.3125</v>
      </c>
      <c r="AF189" s="39">
        <f>AVERAGEIFS($V$36:$V$167,$C$36:$C$167,"=5", $B$36:$B$167,"OFICIAL")</f>
        <v>259.5</v>
      </c>
      <c r="AG189" s="39">
        <f>AVERAGEIFS($X$36:$X$167,$C$36:$C$167,"=5", $B$36:$B$167,"OFICIAL")</f>
        <v>40</v>
      </c>
      <c r="AH189" s="39">
        <f>AVERAGEIFS($V$36:$V$167,$C$36:$C$167,"=5", $B$36:$B$167,"NO OFICIAL")</f>
        <v>278.93333333333334</v>
      </c>
      <c r="AI189" s="39">
        <f>AVERAGEIFS($X$36:$X$167,$C$36:$C$167,"=5", $B$36:$B$167,"NO OFICIAL")</f>
        <v>36.93333333333333</v>
      </c>
      <c r="AJ189" s="39">
        <f>AVERAGEIFS($Z$36:$Z$167,$C$36:$C$167,"=5", $B$36:$B$167,"OFICIAL")</f>
        <v>256.5</v>
      </c>
      <c r="AK189" s="39">
        <f>AVERAGEIFS($AB$36:$AB$167,$C$36:$C$167,"=5", $B$36:$B$167,"OFICIAL")</f>
        <v>41.5</v>
      </c>
      <c r="AL189" s="39">
        <f>AVERAGEIFS($Z$36:$Z$167,$C$36:$C$167,"=5", $B$36:$B$167,"NO OFICIAL")</f>
        <v>281</v>
      </c>
      <c r="AM189" s="39">
        <f>AVERAGEIFS($AB$36:$AB$167,$C$36:$C$167,"=5", $B$36:$B$167,"NO OFICIAL")</f>
        <v>38.6</v>
      </c>
    </row>
    <row r="190" spans="1:39" x14ac:dyDescent="0.25">
      <c r="C190" s="39" t="s">
        <v>251</v>
      </c>
      <c r="D190" s="39">
        <f>AVERAGEIFS($D$36:$D$167,$C$36:$C$167,"=6", $B$36:$B$167,"OFICIAL")</f>
        <v>249.85000000000002</v>
      </c>
      <c r="E190" s="39">
        <f>AVERAGEIFS($D$36:$D$167,$C$36:$C$167,"=6", $B$36:$B$167,"NO OFICIAL")</f>
        <v>258.54792899408284</v>
      </c>
      <c r="F190" s="39">
        <f>AVERAGEIFS($F$36:$F$167,$C$36:$C$167,"=6", $B$36:$B$167,"OFICIAL")</f>
        <v>249</v>
      </c>
      <c r="G190" s="39">
        <f>AVERAGEIFS($F$36:$F$167,$C$36:$C$167,"=6", $B$36:$B$167,"NO OFICIAL")</f>
        <v>258.16449704142008</v>
      </c>
      <c r="H190" s="39">
        <f>AVERAGEIFS($H$36:$H$167,$C$36:$C$167,"=6", $B$36:$B$167,"OFICIAL")</f>
        <v>259.33333333333331</v>
      </c>
      <c r="I190" s="39">
        <f>AVERAGEIFS($I$36:$I$167,$C$36:$C$167,"=6", $B$36:$B$167,"OFICIAL")</f>
        <v>34.666666666666664</v>
      </c>
      <c r="J190" s="39">
        <f>AVERAGEIFS(H36:H167,C36:C167,"=6", B36:B167,"NO OFICIAL")</f>
        <v>269.08333333333331</v>
      </c>
      <c r="K190" s="39">
        <f>AVERAGEIFS($I$36:$I$167,$C$36:$C$167,"=6", $B$36:$B$167,"NO OFICIAL")</f>
        <v>28.583333333333332</v>
      </c>
      <c r="L190" s="39">
        <f>AVERAGEIFS($J$36:$J$167,$C$36:$C$167,"=6", $B$36:$B$167,"OFICIAL")</f>
        <v>257</v>
      </c>
      <c r="M190" s="39">
        <f>AVERAGEIFS($K$36:$K$167,$C$36:$C$167,"=6", $B$36:$B$167,"OFICIAL")</f>
        <v>37</v>
      </c>
      <c r="N190" s="39">
        <f>AVERAGEIFS($J$36:$J$167,$C$36:$C$167,"=6", $B$36:$B$167,"NO OFICIAL")</f>
        <v>259.33333333333331</v>
      </c>
      <c r="O190" s="39">
        <f>AVERAGEIFS($K$36:$K$167,$C$36:$C$167,"=6", $B$36:$B$167,"NO OFICIAL")</f>
        <v>39.5</v>
      </c>
      <c r="P190" s="39">
        <f>AVERAGEIFS($L$36:$L$167,$C$36:$C$167,"=6", $B$36:$B$167,"OFICIAL")</f>
        <v>252.33333333333334</v>
      </c>
      <c r="Q190" s="39">
        <f>AVERAGEIFS($M$36:$M$167,$C$36:$C$167,"=6", $B$36:$B$167,"OFICIAL")</f>
        <v>40.333333333333336</v>
      </c>
      <c r="R190" s="39">
        <f>AVERAGEIFS($L$36:$L$167,$C$36:$C$167,"=6", $B$36:$B$167,"NO OFICIAL")</f>
        <v>262.18181818181819</v>
      </c>
      <c r="S190" s="39">
        <f>AVERAGEIFS($M$36:$M$167,$C$36:$C$167,"=6", $B$36:$B$167,"NO OFICIAL")</f>
        <v>38.363636363636367</v>
      </c>
      <c r="T190" s="39">
        <f>AVERAGEIFS($N$36:$N$167,$C$36:$C$167,"=6", $B$36:$B$167,"OFICIAL")</f>
        <v>250</v>
      </c>
      <c r="U190" s="39">
        <f>AVERAGEIFS($O$36:$O$167,$C$36:$C$167,"=6", $B$36:$B$167,"OFICIAL")</f>
        <v>39.333333333333336</v>
      </c>
      <c r="V190" s="39">
        <f>AVERAGEIFS($N$36:$N$167,$C$36:$C$167,"6", $B$36:$B$167,"NO OFICIAL")</f>
        <v>261.25</v>
      </c>
      <c r="W190" s="39">
        <f>AVERAGEIFS($O$36:$O$167,$C$36:$C$167,"=6", $B$36:$B$167,"NO OFICIAL")</f>
        <v>41.25</v>
      </c>
      <c r="X190" s="39">
        <f>AVERAGEIFS($P$36:$P$167,$C$36:$C$167,"=6", $B$36:$B$167,"OFICIAL")</f>
        <v>251.33333333333334</v>
      </c>
      <c r="Y190" s="39">
        <f>AVERAGEIFS($Q$36:$Q$167,$C$36:$C$167,"=6", $B$36:$B$167,"OFICIAL")</f>
        <v>37.666666666666664</v>
      </c>
      <c r="Z190" s="39">
        <f>AVERAGEIFS($P$36:$P$167,$C$36:$C$167,"=6", $B$36:$B$167,"NO OFICIAL")</f>
        <v>253.28571428571428</v>
      </c>
      <c r="AA190" s="39">
        <f>AVERAGEIFS($Q$36:$Q$167,$C$36:$C$167,"=6", $B$36:$B$167,"NO OFICIAL")</f>
        <v>34.571428571428569</v>
      </c>
      <c r="AB190" s="39">
        <f>AVERAGEIFS($R$36:$R$167,$C$36:$C$167,"=6", $B$36:$B$167,"OFICIAL")</f>
        <v>246.33333333333334</v>
      </c>
      <c r="AC190" s="39">
        <f>AVERAGEIFS($T$36:$T$167,$C$36:$C$167,"=6", $B$36:$B$167,"OFICIAL")</f>
        <v>39</v>
      </c>
      <c r="AD190" s="39">
        <f>AVERAGEIFS($R$36:$R$167,$C$36:$C$167,"=6", $B$36:$B$167,"NO OFICIAL")</f>
        <v>257.57142857142856</v>
      </c>
      <c r="AE190" s="39">
        <f>AVERAGEIFS($T$36:$T$167,$C$36:$C$167,"=6", $B$36:$B$167,"NO OFICIAL")</f>
        <v>33.428571428571431</v>
      </c>
      <c r="AF190" s="39">
        <f>AVERAGEIFS($V$36:$V$167,$C$36:$C$167,"=6", $B$36:$B$167,"OFICIAL")</f>
        <v>251</v>
      </c>
      <c r="AG190" s="39">
        <f>AVERAGEIFS($X$36:$X$167,$C$36:$C$167,"=6", $B$36:$B$167,"OFICIAL")</f>
        <v>40.666666666666664</v>
      </c>
      <c r="AH190" s="39">
        <f>AVERAGEIFS($V$36:$V$167,$C$36:$C$167,"=6", $B$36:$B$167,"NO OFICIAL")</f>
        <v>259.6875</v>
      </c>
      <c r="AI190" s="39">
        <f>AVERAGEIFS($X$36:$X$167,$C$36:$C$167,"=6", $B$36:$B$167,"NO OFICIAL")</f>
        <v>41.5</v>
      </c>
      <c r="AJ190" s="39">
        <f>AVERAGEIFS($R$36:$R$167,$C$36:$C$167,"=6", $B$36:$B$167,"OFICIAL")</f>
        <v>246.33333333333334</v>
      </c>
      <c r="AK190" s="39">
        <f>AVERAGEIFS($AB$36:$AB$167,$C$36:$C$167,"=6", $B$36:$B$167,"OFICIAL")</f>
        <v>40</v>
      </c>
      <c r="AL190" s="39">
        <f>AVERAGEIFS($R$36:$R$167,$C$36:$C$167,"=6", $B$36:$B$167,"NO OFICIAL")</f>
        <v>257.57142857142856</v>
      </c>
      <c r="AM190" s="39">
        <f>AVERAGEIFS($AB$36:$AB$167,$C$36:$C$167,"=6", $B$36:$B$167,"NO OFICIAL")</f>
        <v>35.470588235294116</v>
      </c>
    </row>
    <row r="195" spans="8:30" ht="12.75" customHeight="1" x14ac:dyDescent="0.25">
      <c r="H195" s="733" t="s">
        <v>254</v>
      </c>
      <c r="I195" s="735"/>
      <c r="J195" s="735"/>
      <c r="K195" s="735"/>
      <c r="L195" s="735"/>
      <c r="M195" s="734"/>
      <c r="V195" s="733" t="s">
        <v>255</v>
      </c>
      <c r="W195" s="735"/>
      <c r="X195" s="735"/>
      <c r="Y195" s="735"/>
      <c r="Z195" s="735"/>
      <c r="AA195" s="734"/>
    </row>
    <row r="196" spans="8:30" x14ac:dyDescent="0.25">
      <c r="I196" s="103">
        <v>2016</v>
      </c>
      <c r="J196" s="103">
        <v>2017</v>
      </c>
      <c r="K196" s="103">
        <v>2018</v>
      </c>
      <c r="L196" s="103">
        <v>2019</v>
      </c>
      <c r="M196" s="103">
        <v>2020</v>
      </c>
      <c r="N196" s="353">
        <v>2021</v>
      </c>
      <c r="O196" s="720">
        <v>2022</v>
      </c>
      <c r="P196" s="720">
        <v>2023</v>
      </c>
      <c r="V196" s="104"/>
      <c r="W196" s="103">
        <v>2016</v>
      </c>
      <c r="X196" s="103">
        <v>2017</v>
      </c>
      <c r="Y196" s="103">
        <v>2018</v>
      </c>
      <c r="Z196" s="103">
        <v>2019</v>
      </c>
      <c r="AA196" s="103">
        <v>2020</v>
      </c>
      <c r="AB196" s="353">
        <v>2021</v>
      </c>
      <c r="AC196" s="720">
        <v>2022</v>
      </c>
      <c r="AD196" s="720">
        <v>2023</v>
      </c>
    </row>
    <row r="197" spans="8:30" x14ac:dyDescent="0.25">
      <c r="H197" s="5" t="s">
        <v>1122</v>
      </c>
      <c r="I197" s="19">
        <v>260</v>
      </c>
      <c r="J197" s="19">
        <v>253</v>
      </c>
      <c r="K197" s="19">
        <v>250</v>
      </c>
      <c r="L197" s="19">
        <v>249</v>
      </c>
      <c r="M197" s="19">
        <v>251</v>
      </c>
      <c r="N197" s="379">
        <v>248</v>
      </c>
      <c r="O197" s="379">
        <v>252</v>
      </c>
      <c r="P197" s="379">
        <v>253</v>
      </c>
      <c r="V197" s="5" t="s">
        <v>1123</v>
      </c>
      <c r="W197" s="19">
        <v>272</v>
      </c>
      <c r="X197" s="19">
        <v>270</v>
      </c>
      <c r="Y197" s="19">
        <v>269</v>
      </c>
      <c r="Z197" s="19">
        <v>266</v>
      </c>
      <c r="AA197" s="19">
        <v>265</v>
      </c>
      <c r="AB197" s="379">
        <v>266</v>
      </c>
      <c r="AC197" s="379">
        <v>272</v>
      </c>
      <c r="AD197" s="379">
        <v>273</v>
      </c>
    </row>
    <row r="198" spans="8:30" x14ac:dyDescent="0.25">
      <c r="H198" s="39" t="s">
        <v>246</v>
      </c>
      <c r="I198" s="39">
        <v>262.5</v>
      </c>
      <c r="J198" s="39">
        <v>263</v>
      </c>
      <c r="K198" s="39">
        <v>255.75</v>
      </c>
      <c r="L198" s="39">
        <v>253.75</v>
      </c>
      <c r="M198" s="39">
        <v>255.5</v>
      </c>
      <c r="N198" s="39">
        <v>251.5</v>
      </c>
      <c r="O198" s="39">
        <v>252.8</v>
      </c>
      <c r="P198" s="39">
        <v>253.6</v>
      </c>
      <c r="V198" s="39" t="s">
        <v>246</v>
      </c>
      <c r="W198" s="39">
        <v>260.46153846153845</v>
      </c>
      <c r="X198" s="39">
        <v>259.5</v>
      </c>
      <c r="Y198" s="39">
        <v>257.61538461538464</v>
      </c>
      <c r="Z198" s="39">
        <v>252.53846153846155</v>
      </c>
      <c r="AA198" s="39">
        <v>257.84615384615387</v>
      </c>
      <c r="AB198" s="39">
        <v>259.07692307692309</v>
      </c>
      <c r="AC198" s="39">
        <v>261.15384615384613</v>
      </c>
      <c r="AD198" s="39">
        <v>265.91666666666669</v>
      </c>
    </row>
    <row r="199" spans="8:30" x14ac:dyDescent="0.25">
      <c r="H199" s="39" t="s">
        <v>247</v>
      </c>
      <c r="I199" s="39">
        <v>264.5</v>
      </c>
      <c r="J199" s="39">
        <v>261.5</v>
      </c>
      <c r="K199" s="39">
        <v>257.5</v>
      </c>
      <c r="L199" s="39">
        <v>253.5</v>
      </c>
      <c r="M199" s="39">
        <v>255.5</v>
      </c>
      <c r="N199" s="39">
        <v>250.5</v>
      </c>
      <c r="O199" s="39">
        <v>253.25</v>
      </c>
      <c r="P199" s="39">
        <v>255.5</v>
      </c>
      <c r="V199" s="39" t="s">
        <v>247</v>
      </c>
      <c r="W199" s="39">
        <v>268.88888888888891</v>
      </c>
      <c r="X199" s="39">
        <v>266.11764705882354</v>
      </c>
      <c r="Y199" s="39">
        <v>263.52941176470586</v>
      </c>
      <c r="Z199" s="39">
        <v>263.66666666666669</v>
      </c>
      <c r="AA199" s="39">
        <v>259.45454545454544</v>
      </c>
      <c r="AB199" s="39">
        <v>258.14999999999998</v>
      </c>
      <c r="AC199" s="39">
        <v>269.28571428571428</v>
      </c>
      <c r="AD199" s="39">
        <v>266.77272727272725</v>
      </c>
    </row>
    <row r="200" spans="8:30" x14ac:dyDescent="0.25">
      <c r="H200" s="39" t="s">
        <v>248</v>
      </c>
      <c r="I200" s="39">
        <v>259</v>
      </c>
      <c r="J200" s="39">
        <v>256.66666666666669</v>
      </c>
      <c r="K200" s="39">
        <v>257</v>
      </c>
      <c r="L200" s="39">
        <v>250</v>
      </c>
      <c r="M200" s="39">
        <v>252.75</v>
      </c>
      <c r="N200" s="39">
        <v>250.4</v>
      </c>
      <c r="O200" s="39">
        <v>257</v>
      </c>
      <c r="P200" s="39">
        <v>257</v>
      </c>
      <c r="V200" s="39" t="s">
        <v>248</v>
      </c>
      <c r="W200" s="39">
        <v>271.61538461538464</v>
      </c>
      <c r="X200" s="39">
        <v>267.57142857142856</v>
      </c>
      <c r="Y200" s="39">
        <v>267.07142857142856</v>
      </c>
      <c r="Z200" s="39">
        <v>261.71428571428572</v>
      </c>
      <c r="AA200" s="39">
        <v>265.46666666666664</v>
      </c>
      <c r="AB200" s="39">
        <v>265.33333333333331</v>
      </c>
      <c r="AC200" s="39">
        <v>270.9375</v>
      </c>
      <c r="AD200" s="39">
        <v>270.875</v>
      </c>
    </row>
    <row r="201" spans="8:30" x14ac:dyDescent="0.25">
      <c r="H201" s="39" t="s">
        <v>249</v>
      </c>
      <c r="I201" s="39">
        <v>243.83333333333334</v>
      </c>
      <c r="J201" s="39">
        <v>244.33333333333334</v>
      </c>
      <c r="K201" s="39">
        <v>237</v>
      </c>
      <c r="L201" s="39">
        <v>232.5</v>
      </c>
      <c r="M201" s="39">
        <v>234.5</v>
      </c>
      <c r="N201" s="39">
        <v>233.66666666666666</v>
      </c>
      <c r="O201" s="39">
        <v>238.33333333333334</v>
      </c>
      <c r="P201" s="39">
        <v>237.66666666666666</v>
      </c>
      <c r="V201" s="39" t="s">
        <v>249</v>
      </c>
      <c r="W201" s="39">
        <v>251.625</v>
      </c>
      <c r="X201" s="39">
        <v>262.33333333333331</v>
      </c>
      <c r="Y201" s="39">
        <v>261.11111111111109</v>
      </c>
      <c r="Z201" s="39">
        <v>254</v>
      </c>
      <c r="AA201" s="39">
        <v>248.14285714285714</v>
      </c>
      <c r="AB201" s="39">
        <v>251.5</v>
      </c>
      <c r="AC201" s="39">
        <v>258.125</v>
      </c>
      <c r="AD201" s="39">
        <v>250.22222222222223</v>
      </c>
    </row>
    <row r="202" spans="8:30" x14ac:dyDescent="0.25">
      <c r="H202" s="39" t="s">
        <v>250</v>
      </c>
      <c r="I202" s="39">
        <v>264.5</v>
      </c>
      <c r="J202" s="39">
        <v>257.5</v>
      </c>
      <c r="K202" s="39">
        <v>251</v>
      </c>
      <c r="L202" s="39">
        <v>252.5</v>
      </c>
      <c r="M202" s="39">
        <v>252.5</v>
      </c>
      <c r="N202" s="39">
        <v>251</v>
      </c>
      <c r="O202" s="39">
        <v>259.5</v>
      </c>
      <c r="P202" s="39">
        <v>256.5</v>
      </c>
      <c r="V202" s="39" t="s">
        <v>250</v>
      </c>
      <c r="W202" s="39">
        <v>277.73333333333335</v>
      </c>
      <c r="X202" s="39">
        <v>277.86666666666667</v>
      </c>
      <c r="Y202" s="39">
        <v>274.0625</v>
      </c>
      <c r="Z202" s="39">
        <v>270.1764705882353</v>
      </c>
      <c r="AA202" s="39">
        <v>274.4375</v>
      </c>
      <c r="AB202" s="39">
        <v>272.875</v>
      </c>
      <c r="AC202" s="39">
        <v>278.93333333333334</v>
      </c>
      <c r="AD202" s="39">
        <v>281</v>
      </c>
    </row>
    <row r="203" spans="8:30" x14ac:dyDescent="0.25">
      <c r="H203" s="39" t="s">
        <v>251</v>
      </c>
      <c r="I203" s="39">
        <v>259.33333333333331</v>
      </c>
      <c r="J203" s="39">
        <v>257</v>
      </c>
      <c r="K203" s="39">
        <v>252.33333333333334</v>
      </c>
      <c r="L203" s="39">
        <v>250</v>
      </c>
      <c r="M203" s="39">
        <v>251.33333333333334</v>
      </c>
      <c r="N203" s="39">
        <v>246.33333333333334</v>
      </c>
      <c r="O203" s="39">
        <v>251</v>
      </c>
      <c r="P203" s="39">
        <v>249.33333333333334</v>
      </c>
      <c r="V203" s="39" t="s">
        <v>251</v>
      </c>
      <c r="W203" s="39">
        <v>269.08333333333331</v>
      </c>
      <c r="X203" s="39">
        <v>259.33333333333331</v>
      </c>
      <c r="Y203" s="39">
        <v>262.18181818181819</v>
      </c>
      <c r="Z203" s="39">
        <v>261.25</v>
      </c>
      <c r="AA203" s="39">
        <v>253.28571428571428</v>
      </c>
      <c r="AB203" s="39">
        <v>257.57142857142856</v>
      </c>
      <c r="AC203" s="39">
        <v>259.6875</v>
      </c>
      <c r="AD203" s="39">
        <v>266.94117647058823</v>
      </c>
    </row>
    <row r="204" spans="8:30" x14ac:dyDescent="0.25">
      <c r="I204" s="38"/>
      <c r="J204" s="38"/>
      <c r="K204" s="38"/>
      <c r="L204" s="38"/>
      <c r="M204" s="38"/>
      <c r="N204" s="38"/>
      <c r="O204" s="38"/>
      <c r="P204" s="38"/>
      <c r="T204" s="38"/>
      <c r="U204" s="38"/>
      <c r="V204" s="38"/>
      <c r="W204" s="38"/>
      <c r="X204" s="38"/>
      <c r="Y204" s="38"/>
      <c r="Z204" s="38"/>
    </row>
    <row r="205" spans="8:30" x14ac:dyDescent="0.25">
      <c r="T205" s="38"/>
      <c r="U205" s="38"/>
      <c r="V205" s="38"/>
      <c r="W205" s="38"/>
      <c r="X205" s="38"/>
      <c r="Y205" s="38"/>
      <c r="Z205" s="38"/>
    </row>
    <row r="241" spans="18:27" ht="12.75" customHeight="1" x14ac:dyDescent="0.25">
      <c r="R241" s="733" t="s">
        <v>1121</v>
      </c>
      <c r="S241" s="735"/>
      <c r="T241" s="735"/>
      <c r="U241" s="735"/>
      <c r="V241" s="735"/>
      <c r="W241" s="735"/>
      <c r="X241" s="735"/>
      <c r="Y241" s="735"/>
      <c r="Z241" s="734"/>
    </row>
    <row r="242" spans="18:27" x14ac:dyDescent="0.25">
      <c r="R242" s="47"/>
      <c r="S242" s="718">
        <v>2016</v>
      </c>
      <c r="T242" s="719">
        <v>2017</v>
      </c>
      <c r="U242" s="718">
        <v>2018</v>
      </c>
      <c r="V242" s="719">
        <v>2019</v>
      </c>
      <c r="W242" s="719">
        <v>2020</v>
      </c>
      <c r="X242" s="719">
        <v>2021</v>
      </c>
      <c r="Y242" s="647">
        <v>2022</v>
      </c>
      <c r="Z242" s="648">
        <v>2023</v>
      </c>
      <c r="AA242" s="290"/>
    </row>
    <row r="243" spans="18:27" x14ac:dyDescent="0.25">
      <c r="R243" s="5" t="s">
        <v>242</v>
      </c>
      <c r="S243" s="32">
        <v>54</v>
      </c>
      <c r="T243" s="33">
        <v>55</v>
      </c>
      <c r="U243" s="33">
        <v>54</v>
      </c>
      <c r="V243" s="33">
        <v>54</v>
      </c>
      <c r="W243" s="33">
        <v>54</v>
      </c>
      <c r="X243" s="33">
        <v>55</v>
      </c>
      <c r="Y243" s="33">
        <v>55</v>
      </c>
      <c r="Z243" s="33">
        <v>55</v>
      </c>
    </row>
    <row r="244" spans="18:27" x14ac:dyDescent="0.25">
      <c r="R244" s="5" t="s">
        <v>263</v>
      </c>
      <c r="S244" s="32">
        <v>52</v>
      </c>
      <c r="T244" s="32">
        <v>52</v>
      </c>
      <c r="U244" s="32">
        <v>52</v>
      </c>
      <c r="V244" s="32">
        <v>53</v>
      </c>
      <c r="W244" s="32">
        <v>53</v>
      </c>
      <c r="X244" s="33">
        <v>52</v>
      </c>
      <c r="Y244" s="32">
        <v>53</v>
      </c>
      <c r="Z244" s="32">
        <v>53</v>
      </c>
    </row>
    <row r="245" spans="18:27" x14ac:dyDescent="0.25">
      <c r="R245" s="5" t="s">
        <v>264</v>
      </c>
      <c r="S245" s="32">
        <v>52</v>
      </c>
      <c r="T245" s="32">
        <v>52</v>
      </c>
      <c r="U245" s="32">
        <v>50</v>
      </c>
      <c r="V245" s="32">
        <v>48</v>
      </c>
      <c r="W245" s="32">
        <v>50</v>
      </c>
      <c r="X245" s="32">
        <v>49</v>
      </c>
      <c r="Y245" s="32">
        <v>50</v>
      </c>
      <c r="Z245" s="32">
        <v>50</v>
      </c>
    </row>
    <row r="246" spans="18:27" x14ac:dyDescent="0.25">
      <c r="R246" s="5" t="s">
        <v>243</v>
      </c>
      <c r="S246" s="32">
        <v>54</v>
      </c>
      <c r="T246" s="32">
        <v>53</v>
      </c>
      <c r="U246" s="32">
        <v>51</v>
      </c>
      <c r="V246" s="32">
        <v>50</v>
      </c>
      <c r="W246" s="32">
        <v>50</v>
      </c>
      <c r="X246" s="32">
        <v>50</v>
      </c>
      <c r="Y246" s="32">
        <v>51</v>
      </c>
      <c r="Z246" s="32">
        <v>51</v>
      </c>
    </row>
    <row r="247" spans="18:27" x14ac:dyDescent="0.25">
      <c r="R247" s="5" t="s">
        <v>265</v>
      </c>
      <c r="S247" s="32">
        <v>54</v>
      </c>
      <c r="T247" s="32">
        <v>53</v>
      </c>
      <c r="U247" s="32">
        <v>51</v>
      </c>
      <c r="V247" s="32">
        <v>50</v>
      </c>
      <c r="W247" s="32">
        <v>48</v>
      </c>
      <c r="X247" s="32">
        <v>52</v>
      </c>
      <c r="Y247" s="32">
        <v>53</v>
      </c>
      <c r="Z247" s="32">
        <v>53</v>
      </c>
    </row>
    <row r="280" spans="3:18" x14ac:dyDescent="0.25">
      <c r="H280" s="142"/>
      <c r="I280" s="143"/>
      <c r="J280" s="142"/>
      <c r="K280" s="143"/>
      <c r="L280" s="142"/>
      <c r="M280" s="113"/>
      <c r="N280" s="113"/>
      <c r="O280" s="113"/>
      <c r="P280" s="113"/>
      <c r="Q280" s="113"/>
      <c r="R280" s="110"/>
    </row>
    <row r="281" spans="3:18" x14ac:dyDescent="0.25">
      <c r="H281" s="142">
        <v>2016</v>
      </c>
      <c r="I281" s="143">
        <v>2017</v>
      </c>
      <c r="J281" s="142">
        <v>2018</v>
      </c>
      <c r="K281" s="143">
        <v>2019</v>
      </c>
      <c r="L281" s="142">
        <v>2020</v>
      </c>
      <c r="M281" s="385">
        <v>2021</v>
      </c>
      <c r="N281" s="290">
        <v>2022</v>
      </c>
      <c r="O281" s="290">
        <v>2023</v>
      </c>
      <c r="P281" s="110"/>
      <c r="Q281" s="133"/>
      <c r="R281" s="110"/>
    </row>
    <row r="282" spans="3:18" x14ac:dyDescent="0.25">
      <c r="C282" s="3" t="s">
        <v>10</v>
      </c>
      <c r="D282" s="3"/>
      <c r="E282" s="3"/>
      <c r="F282" s="3"/>
      <c r="G282" s="3"/>
      <c r="H282" s="25">
        <v>264</v>
      </c>
      <c r="I282" s="25">
        <v>262</v>
      </c>
      <c r="J282" s="25">
        <v>258</v>
      </c>
      <c r="K282" s="25">
        <v>253</v>
      </c>
      <c r="L282" s="144">
        <v>252</v>
      </c>
      <c r="M282" s="417">
        <v>250</v>
      </c>
      <c r="N282" s="478">
        <v>254</v>
      </c>
      <c r="O282" s="626">
        <v>257</v>
      </c>
      <c r="P282" s="110"/>
      <c r="Q282" s="148"/>
      <c r="R282" s="110"/>
    </row>
    <row r="283" spans="3:18" x14ac:dyDescent="0.25">
      <c r="C283" s="4" t="s">
        <v>0</v>
      </c>
      <c r="D283" s="4"/>
      <c r="E283" s="4"/>
      <c r="F283" s="4"/>
      <c r="G283" s="4"/>
      <c r="H283" s="28">
        <v>266</v>
      </c>
      <c r="I283" s="28">
        <v>263</v>
      </c>
      <c r="J283" s="28">
        <v>260</v>
      </c>
      <c r="K283" s="28">
        <v>257</v>
      </c>
      <c r="L283" s="145">
        <v>258</v>
      </c>
      <c r="M283" s="418">
        <v>257</v>
      </c>
      <c r="N283" s="479">
        <v>262</v>
      </c>
      <c r="O283" s="627">
        <v>262</v>
      </c>
      <c r="P283" s="110"/>
      <c r="Q283" s="111"/>
      <c r="R283" s="110"/>
    </row>
    <row r="284" spans="3:18" x14ac:dyDescent="0.25">
      <c r="C284" s="6" t="s">
        <v>12</v>
      </c>
      <c r="D284" s="6"/>
      <c r="E284" s="6"/>
      <c r="F284" s="6"/>
      <c r="G284" s="6"/>
      <c r="H284" s="30">
        <v>260</v>
      </c>
      <c r="I284" s="30">
        <v>257</v>
      </c>
      <c r="J284" s="30">
        <v>252</v>
      </c>
      <c r="K284" s="30">
        <v>249</v>
      </c>
      <c r="L284" s="146">
        <v>251</v>
      </c>
      <c r="M284" s="419">
        <v>248</v>
      </c>
      <c r="N284" s="480">
        <v>252</v>
      </c>
      <c r="O284" s="628">
        <v>253</v>
      </c>
      <c r="P284" s="110"/>
      <c r="Q284" s="111"/>
      <c r="R284" s="110"/>
    </row>
    <row r="285" spans="3:18" x14ac:dyDescent="0.25">
      <c r="C285" s="6" t="s">
        <v>13</v>
      </c>
      <c r="D285" s="6"/>
      <c r="E285" s="6"/>
      <c r="F285" s="6"/>
      <c r="G285" s="6"/>
      <c r="H285" s="30">
        <v>260</v>
      </c>
      <c r="I285" s="30">
        <v>249</v>
      </c>
      <c r="J285" s="30">
        <v>248</v>
      </c>
      <c r="K285" s="30">
        <v>249</v>
      </c>
      <c r="L285" s="146">
        <v>248</v>
      </c>
      <c r="M285" s="419">
        <v>244</v>
      </c>
      <c r="N285" s="480">
        <v>249</v>
      </c>
      <c r="O285" s="628">
        <v>240</v>
      </c>
      <c r="P285" s="110"/>
      <c r="Q285" s="111"/>
      <c r="R285" s="110"/>
    </row>
    <row r="286" spans="3:18" x14ac:dyDescent="0.25">
      <c r="C286" s="6" t="s">
        <v>14</v>
      </c>
      <c r="D286" s="6"/>
      <c r="E286" s="6"/>
      <c r="F286" s="6"/>
      <c r="G286" s="6"/>
      <c r="H286" s="30">
        <v>272</v>
      </c>
      <c r="I286" s="30">
        <v>270</v>
      </c>
      <c r="J286" s="30">
        <v>269</v>
      </c>
      <c r="K286" s="30">
        <v>266</v>
      </c>
      <c r="L286" s="146">
        <v>265</v>
      </c>
      <c r="M286" s="419">
        <v>266</v>
      </c>
      <c r="N286" s="480">
        <v>272</v>
      </c>
      <c r="O286" s="628">
        <v>273</v>
      </c>
      <c r="P286" s="110"/>
      <c r="Q286" s="111"/>
      <c r="R286" s="110"/>
    </row>
    <row r="287" spans="3:18" x14ac:dyDescent="0.25">
      <c r="C287" s="6" t="s">
        <v>15</v>
      </c>
      <c r="D287" s="6"/>
      <c r="E287" s="6"/>
      <c r="F287" s="6"/>
      <c r="G287" s="6"/>
      <c r="H287" s="30">
        <v>256</v>
      </c>
      <c r="I287" s="30">
        <v>256</v>
      </c>
      <c r="J287" s="30">
        <v>251</v>
      </c>
      <c r="K287" s="30">
        <v>248</v>
      </c>
      <c r="L287" s="146">
        <v>247</v>
      </c>
      <c r="M287" s="419">
        <v>244</v>
      </c>
      <c r="N287" s="650"/>
      <c r="O287" s="628">
        <v>250</v>
      </c>
      <c r="P287" s="110"/>
      <c r="Q287" s="111"/>
      <c r="R287" s="110"/>
    </row>
    <row r="288" spans="3:18" x14ac:dyDescent="0.25">
      <c r="C288" s="6" t="s">
        <v>16</v>
      </c>
      <c r="D288" s="6"/>
      <c r="E288" s="6"/>
      <c r="F288" s="6"/>
      <c r="G288" s="6"/>
      <c r="H288" s="30">
        <v>270</v>
      </c>
      <c r="I288" s="30">
        <v>269</v>
      </c>
      <c r="J288" s="30">
        <v>265</v>
      </c>
      <c r="K288" s="30">
        <v>262</v>
      </c>
      <c r="L288" s="146">
        <v>262</v>
      </c>
      <c r="M288" s="419">
        <v>261</v>
      </c>
      <c r="N288" s="650"/>
      <c r="O288" s="628">
        <v>269</v>
      </c>
      <c r="P288" s="110"/>
      <c r="Q288" s="111"/>
      <c r="R288" s="110"/>
    </row>
    <row r="289" spans="3:18" x14ac:dyDescent="0.25">
      <c r="C289" s="6" t="s">
        <v>17</v>
      </c>
      <c r="D289" s="6"/>
      <c r="E289" s="6"/>
      <c r="F289" s="6"/>
      <c r="G289" s="6"/>
      <c r="H289" s="30">
        <v>281</v>
      </c>
      <c r="I289" s="12" t="s">
        <v>223</v>
      </c>
      <c r="J289" s="12" t="s">
        <v>223</v>
      </c>
      <c r="K289" s="12" t="s">
        <v>223</v>
      </c>
      <c r="L289" s="147" t="s">
        <v>223</v>
      </c>
      <c r="M289" s="149"/>
      <c r="N289" s="110"/>
      <c r="O289" s="149"/>
      <c r="P289" s="110"/>
      <c r="Q289" s="149"/>
      <c r="R289" s="110"/>
    </row>
    <row r="314" spans="3:15" x14ac:dyDescent="0.25">
      <c r="C314" s="129"/>
      <c r="H314" s="142"/>
      <c r="I314" s="143"/>
      <c r="J314" s="142"/>
      <c r="K314" s="143"/>
      <c r="L314" s="142"/>
    </row>
    <row r="315" spans="3:15" x14ac:dyDescent="0.25">
      <c r="C315" s="129"/>
      <c r="H315" s="142">
        <v>2016</v>
      </c>
      <c r="I315" s="143">
        <v>2017</v>
      </c>
      <c r="J315" s="142">
        <v>2018</v>
      </c>
      <c r="K315" s="143">
        <v>2019</v>
      </c>
      <c r="L315" s="142">
        <v>2020</v>
      </c>
      <c r="M315" s="290">
        <v>2021</v>
      </c>
      <c r="N315" s="290">
        <v>2022</v>
      </c>
      <c r="O315" s="290">
        <v>2023</v>
      </c>
    </row>
    <row r="316" spans="3:15" x14ac:dyDescent="0.25">
      <c r="C316" s="3" t="s">
        <v>10</v>
      </c>
      <c r="D316" s="3"/>
      <c r="E316" s="3"/>
      <c r="F316" s="3"/>
      <c r="G316" s="3"/>
      <c r="H316" s="25">
        <v>264</v>
      </c>
      <c r="I316" s="25">
        <v>262</v>
      </c>
      <c r="J316" s="25">
        <v>258</v>
      </c>
      <c r="K316" s="25">
        <v>253</v>
      </c>
      <c r="L316" s="144">
        <v>252</v>
      </c>
      <c r="M316" s="417">
        <v>250</v>
      </c>
      <c r="N316" s="478">
        <v>254</v>
      </c>
      <c r="O316" s="626">
        <v>257</v>
      </c>
    </row>
    <row r="317" spans="3:15" x14ac:dyDescent="0.25">
      <c r="C317" s="4" t="s">
        <v>0</v>
      </c>
      <c r="D317" s="4"/>
      <c r="E317" s="4"/>
      <c r="F317" s="4"/>
      <c r="G317" s="4"/>
      <c r="H317" s="28">
        <v>266</v>
      </c>
      <c r="I317" s="28">
        <v>263</v>
      </c>
      <c r="J317" s="28">
        <v>260</v>
      </c>
      <c r="K317" s="28">
        <v>257</v>
      </c>
      <c r="L317" s="145">
        <v>258</v>
      </c>
      <c r="M317" s="418">
        <v>257</v>
      </c>
      <c r="N317" s="479">
        <v>262</v>
      </c>
      <c r="O317" s="627">
        <v>262</v>
      </c>
    </row>
    <row r="318" spans="3:15" x14ac:dyDescent="0.25">
      <c r="C318" s="6" t="s">
        <v>12</v>
      </c>
      <c r="D318" s="6"/>
      <c r="E318" s="6"/>
      <c r="F318" s="6"/>
      <c r="G318" s="6"/>
      <c r="H318" s="30">
        <v>260</v>
      </c>
      <c r="I318" s="30">
        <v>257</v>
      </c>
      <c r="J318" s="30">
        <v>252</v>
      </c>
      <c r="K318" s="30">
        <v>249</v>
      </c>
      <c r="L318" s="146">
        <v>251</v>
      </c>
      <c r="M318" s="419">
        <v>248</v>
      </c>
      <c r="N318" s="480">
        <v>252</v>
      </c>
      <c r="O318" s="628">
        <v>253</v>
      </c>
    </row>
    <row r="319" spans="3:15" x14ac:dyDescent="0.25">
      <c r="C319" s="6" t="s">
        <v>13</v>
      </c>
      <c r="D319" s="6"/>
      <c r="E319" s="6"/>
      <c r="F319" s="6"/>
      <c r="G319" s="6"/>
      <c r="H319" s="30">
        <v>260</v>
      </c>
      <c r="I319" s="30">
        <v>249</v>
      </c>
      <c r="J319" s="30">
        <v>248</v>
      </c>
      <c r="K319" s="30">
        <v>249</v>
      </c>
      <c r="L319" s="146">
        <v>248</v>
      </c>
      <c r="M319" s="419">
        <v>244</v>
      </c>
      <c r="N319" s="480">
        <v>249</v>
      </c>
      <c r="O319" s="628">
        <v>240</v>
      </c>
    </row>
    <row r="320" spans="3:15" x14ac:dyDescent="0.25">
      <c r="C320" s="6" t="s">
        <v>14</v>
      </c>
      <c r="D320" s="6"/>
      <c r="E320" s="6"/>
      <c r="F320" s="6"/>
      <c r="G320" s="6"/>
      <c r="H320" s="30">
        <v>272</v>
      </c>
      <c r="I320" s="30">
        <v>270</v>
      </c>
      <c r="J320" s="30">
        <v>269</v>
      </c>
      <c r="K320" s="30">
        <v>266</v>
      </c>
      <c r="L320" s="146">
        <v>265</v>
      </c>
      <c r="M320" s="419">
        <v>266</v>
      </c>
      <c r="N320" s="480">
        <v>272</v>
      </c>
      <c r="O320" s="628">
        <v>273</v>
      </c>
    </row>
    <row r="321" spans="3:15" x14ac:dyDescent="0.25">
      <c r="C321" s="6" t="s">
        <v>15</v>
      </c>
      <c r="D321" s="6"/>
      <c r="E321" s="6"/>
      <c r="F321" s="6"/>
      <c r="G321" s="6"/>
      <c r="H321" s="30">
        <v>256</v>
      </c>
      <c r="I321" s="30">
        <v>256</v>
      </c>
      <c r="J321" s="30">
        <v>251</v>
      </c>
      <c r="K321" s="30">
        <v>248</v>
      </c>
      <c r="L321" s="146">
        <v>247</v>
      </c>
      <c r="M321" s="419">
        <v>244</v>
      </c>
      <c r="O321" s="628">
        <v>250</v>
      </c>
    </row>
    <row r="322" spans="3:15" x14ac:dyDescent="0.25">
      <c r="C322" s="6" t="s">
        <v>16</v>
      </c>
      <c r="D322" s="6"/>
      <c r="E322" s="6"/>
      <c r="F322" s="6"/>
      <c r="G322" s="6"/>
      <c r="H322" s="30">
        <v>270</v>
      </c>
      <c r="I322" s="30">
        <v>269</v>
      </c>
      <c r="J322" s="30">
        <v>265</v>
      </c>
      <c r="K322" s="30">
        <v>262</v>
      </c>
      <c r="L322" s="146">
        <v>262</v>
      </c>
      <c r="M322" s="419">
        <v>261</v>
      </c>
      <c r="O322" s="628">
        <v>269</v>
      </c>
    </row>
    <row r="359" spans="6:22" x14ac:dyDescent="0.25">
      <c r="G359" s="219" t="s">
        <v>254</v>
      </c>
      <c r="O359" t="s">
        <v>255</v>
      </c>
    </row>
    <row r="360" spans="6:22" x14ac:dyDescent="0.25">
      <c r="F360" s="524" t="s">
        <v>258</v>
      </c>
      <c r="G360" s="524" t="s">
        <v>1007</v>
      </c>
      <c r="H360" s="524" t="s">
        <v>1008</v>
      </c>
      <c r="I360" s="524" t="s">
        <v>1009</v>
      </c>
      <c r="J360" s="524" t="s">
        <v>1010</v>
      </c>
      <c r="K360" s="524" t="s">
        <v>1011</v>
      </c>
      <c r="L360" s="524" t="s">
        <v>1012</v>
      </c>
      <c r="M360" s="524" t="s">
        <v>1013</v>
      </c>
      <c r="O360" s="524" t="s">
        <v>258</v>
      </c>
      <c r="P360" s="524" t="s">
        <v>1007</v>
      </c>
      <c r="Q360" s="524" t="s">
        <v>1008</v>
      </c>
      <c r="R360" s="524" t="s">
        <v>1009</v>
      </c>
      <c r="S360" s="524" t="s">
        <v>1010</v>
      </c>
      <c r="T360" s="524" t="s">
        <v>1011</v>
      </c>
      <c r="U360" s="524" t="s">
        <v>1012</v>
      </c>
      <c r="V360" s="524" t="s">
        <v>1013</v>
      </c>
    </row>
    <row r="361" spans="6:22" x14ac:dyDescent="0.25">
      <c r="F361" s="568" t="s">
        <v>242</v>
      </c>
      <c r="G361" s="524">
        <v>53</v>
      </c>
      <c r="H361" s="524">
        <v>54</v>
      </c>
      <c r="I361" s="524">
        <v>53</v>
      </c>
      <c r="J361" s="524">
        <v>53</v>
      </c>
      <c r="K361" s="524">
        <v>53</v>
      </c>
      <c r="L361" s="524">
        <v>53</v>
      </c>
      <c r="M361" s="524">
        <v>53</v>
      </c>
      <c r="O361" s="568" t="s">
        <v>242</v>
      </c>
      <c r="P361" s="38">
        <v>55</v>
      </c>
      <c r="Q361" s="38">
        <v>56</v>
      </c>
      <c r="R361" s="38">
        <v>56</v>
      </c>
      <c r="S361" s="38">
        <v>56</v>
      </c>
      <c r="T361" s="38">
        <v>55</v>
      </c>
      <c r="U361" s="38">
        <v>56</v>
      </c>
      <c r="V361" s="38">
        <v>57</v>
      </c>
    </row>
    <row r="362" spans="6:22" x14ac:dyDescent="0.25">
      <c r="F362" s="568" t="s">
        <v>1014</v>
      </c>
      <c r="G362" s="524">
        <v>51</v>
      </c>
      <c r="H362" s="524">
        <v>51</v>
      </c>
      <c r="I362" s="524">
        <v>51</v>
      </c>
      <c r="J362" s="524">
        <v>51</v>
      </c>
      <c r="K362" s="524">
        <v>52</v>
      </c>
      <c r="L362" s="524">
        <v>50</v>
      </c>
      <c r="M362" s="524">
        <v>51</v>
      </c>
      <c r="O362" s="568" t="s">
        <v>1014</v>
      </c>
      <c r="P362" s="38">
        <v>54</v>
      </c>
      <c r="Q362" s="38">
        <v>53</v>
      </c>
      <c r="R362" s="38">
        <v>54</v>
      </c>
      <c r="S362" s="38">
        <v>55</v>
      </c>
      <c r="T362" s="38">
        <v>55</v>
      </c>
      <c r="U362" s="38">
        <v>54</v>
      </c>
      <c r="V362" s="38">
        <v>55</v>
      </c>
    </row>
    <row r="363" spans="6:22" x14ac:dyDescent="0.25">
      <c r="F363" s="568" t="s">
        <v>1015</v>
      </c>
      <c r="G363" s="524">
        <v>51</v>
      </c>
      <c r="H363" s="524">
        <v>50</v>
      </c>
      <c r="I363" s="524">
        <v>48</v>
      </c>
      <c r="J363" s="524">
        <v>47</v>
      </c>
      <c r="K363" s="524">
        <v>49</v>
      </c>
      <c r="L363" s="524">
        <v>47</v>
      </c>
      <c r="M363" s="524">
        <v>48</v>
      </c>
      <c r="O363" s="568" t="s">
        <v>1015</v>
      </c>
      <c r="P363" s="38">
        <v>53</v>
      </c>
      <c r="Q363" s="38">
        <v>53</v>
      </c>
      <c r="R363" s="38">
        <v>52</v>
      </c>
      <c r="S363" s="38">
        <v>50</v>
      </c>
      <c r="T363" s="38">
        <v>52</v>
      </c>
      <c r="U363" s="38">
        <v>51</v>
      </c>
      <c r="V363" s="38">
        <v>52</v>
      </c>
    </row>
    <row r="364" spans="6:22" x14ac:dyDescent="0.25">
      <c r="F364" s="568" t="s">
        <v>243</v>
      </c>
      <c r="G364" s="524">
        <v>53</v>
      </c>
      <c r="H364" s="524">
        <v>52</v>
      </c>
      <c r="I364" s="524">
        <v>50</v>
      </c>
      <c r="J364" s="524">
        <v>49</v>
      </c>
      <c r="K364" s="524">
        <v>49</v>
      </c>
      <c r="L364" s="524">
        <v>48</v>
      </c>
      <c r="M364" s="524">
        <v>49</v>
      </c>
      <c r="O364" s="568" t="s">
        <v>243</v>
      </c>
      <c r="P364" s="38">
        <v>55</v>
      </c>
      <c r="Q364" s="38">
        <v>54</v>
      </c>
      <c r="R364" s="38">
        <v>53</v>
      </c>
      <c r="S364" s="38">
        <v>52</v>
      </c>
      <c r="T364" s="38">
        <v>51</v>
      </c>
      <c r="U364" s="38">
        <v>51</v>
      </c>
      <c r="V364" s="38">
        <v>52</v>
      </c>
    </row>
    <row r="365" spans="6:22" x14ac:dyDescent="0.25">
      <c r="F365" s="568" t="s">
        <v>1016</v>
      </c>
      <c r="G365" s="524">
        <v>52</v>
      </c>
      <c r="H365" s="524">
        <v>49</v>
      </c>
      <c r="I365" s="524">
        <v>50</v>
      </c>
      <c r="J365" s="524">
        <v>49</v>
      </c>
      <c r="K365" s="524">
        <v>46</v>
      </c>
      <c r="L365" s="524">
        <v>49</v>
      </c>
      <c r="M365" s="524">
        <v>51</v>
      </c>
      <c r="O365" s="568" t="s">
        <v>265</v>
      </c>
      <c r="P365" s="38">
        <v>56</v>
      </c>
      <c r="Q365" s="38">
        <v>53</v>
      </c>
      <c r="R365" s="38">
        <v>55</v>
      </c>
      <c r="S365" s="38">
        <v>54</v>
      </c>
      <c r="T365" s="38">
        <v>50</v>
      </c>
      <c r="U365" s="38">
        <v>55</v>
      </c>
      <c r="V365" s="38">
        <v>56</v>
      </c>
    </row>
  </sheetData>
  <sheetProtection algorithmName="SHA-512" hashValue="2+DOYLFVioQ9rsX1T7qQ/By8xobm4odcxpklSAemrIrIUdFO1NLambNE8/lOgDHuITAMrQY5kpQ9i0n7UFHP1g==" saltValue="H8ljDHu2/BnqDapROIaI6A==" spinCount="100000" sheet="1" objects="1" scenarios="1"/>
  <sortState ref="A37:Q167">
    <sortCondition ref="A37:A167"/>
  </sortState>
  <mergeCells count="56">
    <mergeCell ref="D181:E181"/>
    <mergeCell ref="F181:G181"/>
    <mergeCell ref="D182:D183"/>
    <mergeCell ref="E182:E183"/>
    <mergeCell ref="F182:F183"/>
    <mergeCell ref="G182:G183"/>
    <mergeCell ref="P8:Q8"/>
    <mergeCell ref="P170:Q170"/>
    <mergeCell ref="X181:AA181"/>
    <mergeCell ref="X182:Y182"/>
    <mergeCell ref="Z182:AA182"/>
    <mergeCell ref="T181:W181"/>
    <mergeCell ref="T182:U182"/>
    <mergeCell ref="V182:W182"/>
    <mergeCell ref="R8:U8"/>
    <mergeCell ref="V8:Y8"/>
    <mergeCell ref="Z8:AC8"/>
    <mergeCell ref="AB181:AE181"/>
    <mergeCell ref="AB182:AC182"/>
    <mergeCell ref="AD182:AE182"/>
    <mergeCell ref="Z169:AF169"/>
    <mergeCell ref="AF181:AI181"/>
    <mergeCell ref="C170:C171"/>
    <mergeCell ref="H181:K181"/>
    <mergeCell ref="L181:O181"/>
    <mergeCell ref="A1:K1"/>
    <mergeCell ref="A3:K3"/>
    <mergeCell ref="H8:I8"/>
    <mergeCell ref="J8:K8"/>
    <mergeCell ref="L8:M8"/>
    <mergeCell ref="N8:O8"/>
    <mergeCell ref="H170:I170"/>
    <mergeCell ref="J170:K170"/>
    <mergeCell ref="L170:M170"/>
    <mergeCell ref="G169:Q169"/>
    <mergeCell ref="D8:E8"/>
    <mergeCell ref="F8:G8"/>
    <mergeCell ref="P181:S181"/>
    <mergeCell ref="N170:O170"/>
    <mergeCell ref="H195:M195"/>
    <mergeCell ref="V195:AA195"/>
    <mergeCell ref="R241:Z241"/>
    <mergeCell ref="H182:I182"/>
    <mergeCell ref="J182:K182"/>
    <mergeCell ref="L182:M182"/>
    <mergeCell ref="N182:O182"/>
    <mergeCell ref="P182:Q182"/>
    <mergeCell ref="R182:S182"/>
    <mergeCell ref="R170:S170"/>
    <mergeCell ref="T170:U170"/>
    <mergeCell ref="V170:W170"/>
    <mergeCell ref="AF182:AG182"/>
    <mergeCell ref="AH182:AI182"/>
    <mergeCell ref="AJ181:AM181"/>
    <mergeCell ref="AJ182:AK182"/>
    <mergeCell ref="AL182:AM182"/>
  </mergeCells>
  <pageMargins left="0.75" right="0.75" top="1" bottom="1" header="0.5" footer="0.5"/>
  <pageSetup orientation="portrait" horizontalDpi="300" verticalDpi="300" r:id="rId1"/>
  <headerFooter alignWithMargins="0"/>
  <drawing r:id="rId2"/>
  <tableParts count="2">
    <tablePart r:id="rId3"/>
    <tablePart r:id="rId4"/>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A1:AS167"/>
  <sheetViews>
    <sheetView zoomScale="59" zoomScaleNormal="59" workbookViewId="0">
      <pane xSplit="3" ySplit="16" topLeftCell="R161" activePane="bottomRight" state="frozen"/>
      <selection activeCell="R29" sqref="R29"/>
      <selection pane="topRight" activeCell="R29" sqref="R29"/>
      <selection pane="bottomLeft" activeCell="R29" sqref="R29"/>
      <selection pane="bottomRight" activeCell="AC36" sqref="AC36"/>
    </sheetView>
  </sheetViews>
  <sheetFormatPr baseColWidth="10" defaultColWidth="9.109375" defaultRowHeight="13.2" x14ac:dyDescent="0.25"/>
  <cols>
    <col min="1" max="1" width="17" customWidth="1"/>
    <col min="2" max="2" width="30.5546875" customWidth="1"/>
    <col min="3" max="3" width="65.6640625" customWidth="1"/>
    <col min="4" max="4" width="12" customWidth="1"/>
    <col min="5" max="5" width="11.109375" customWidth="1"/>
    <col min="6" max="6" width="9.33203125" customWidth="1"/>
    <col min="7" max="7" width="10.109375" customWidth="1"/>
  </cols>
  <sheetData>
    <row r="1" spans="1:37" ht="24.6" x14ac:dyDescent="0.25">
      <c r="A1" s="746" t="s">
        <v>1</v>
      </c>
      <c r="B1" s="739"/>
      <c r="C1" s="739"/>
      <c r="D1" s="739"/>
      <c r="E1" s="739"/>
      <c r="F1" s="739"/>
      <c r="G1" s="739"/>
      <c r="H1" s="739"/>
      <c r="I1" s="739"/>
    </row>
    <row r="3" spans="1:37" ht="21" x14ac:dyDescent="0.25">
      <c r="A3" s="747" t="s">
        <v>2</v>
      </c>
      <c r="B3" s="739"/>
      <c r="C3" s="739"/>
      <c r="D3" s="739"/>
      <c r="E3" s="739"/>
      <c r="F3" s="739"/>
      <c r="G3" s="739"/>
      <c r="H3" s="739"/>
      <c r="I3" s="739"/>
    </row>
    <row r="7" spans="1:37" x14ac:dyDescent="0.25">
      <c r="F7" s="744">
        <v>2016</v>
      </c>
      <c r="G7" s="745"/>
      <c r="H7" s="745"/>
      <c r="I7" s="745"/>
      <c r="J7" s="744">
        <v>2017</v>
      </c>
      <c r="K7" s="745"/>
      <c r="L7" s="745"/>
      <c r="M7" s="745"/>
      <c r="N7" s="744">
        <v>2018</v>
      </c>
      <c r="O7" s="745"/>
      <c r="P7" s="745"/>
      <c r="Q7" s="745"/>
      <c r="R7" s="744">
        <v>2019</v>
      </c>
      <c r="S7" s="745"/>
      <c r="T7" s="745"/>
      <c r="U7" s="745"/>
      <c r="V7" s="744">
        <v>2020</v>
      </c>
      <c r="W7" s="745"/>
      <c r="X7" s="745"/>
      <c r="Y7" s="745"/>
      <c r="Z7" s="744">
        <v>2021</v>
      </c>
      <c r="AA7" s="745"/>
      <c r="AB7" s="745"/>
      <c r="AC7" s="745"/>
      <c r="AD7" s="744">
        <v>2022</v>
      </c>
      <c r="AE7" s="745"/>
      <c r="AF7" s="745"/>
      <c r="AG7" s="745"/>
      <c r="AH7" s="744">
        <v>2023</v>
      </c>
      <c r="AI7" s="745"/>
      <c r="AJ7" s="745"/>
      <c r="AK7" s="745"/>
    </row>
    <row r="8" spans="1:37" ht="24.9" customHeight="1" x14ac:dyDescent="0.25">
      <c r="A8" s="52" t="s">
        <v>3</v>
      </c>
      <c r="B8" s="52" t="s">
        <v>4</v>
      </c>
      <c r="C8" s="52" t="s">
        <v>5</v>
      </c>
      <c r="D8" s="52" t="s">
        <v>244</v>
      </c>
      <c r="E8" s="52" t="s">
        <v>245</v>
      </c>
      <c r="F8" s="52" t="s">
        <v>6</v>
      </c>
      <c r="G8" s="52" t="s">
        <v>7</v>
      </c>
      <c r="H8" s="52" t="s">
        <v>8</v>
      </c>
      <c r="I8" s="52" t="s">
        <v>9</v>
      </c>
      <c r="J8" s="52" t="s">
        <v>6</v>
      </c>
      <c r="K8" s="52" t="s">
        <v>7</v>
      </c>
      <c r="L8" s="52" t="s">
        <v>8</v>
      </c>
      <c r="M8" s="52" t="s">
        <v>9</v>
      </c>
      <c r="N8" s="52" t="s">
        <v>6</v>
      </c>
      <c r="O8" s="52" t="s">
        <v>7</v>
      </c>
      <c r="P8" s="52" t="s">
        <v>8</v>
      </c>
      <c r="Q8" s="52" t="s">
        <v>9</v>
      </c>
      <c r="R8" s="52" t="s">
        <v>6</v>
      </c>
      <c r="S8" s="52" t="s">
        <v>7</v>
      </c>
      <c r="T8" s="52" t="s">
        <v>8</v>
      </c>
      <c r="U8" s="52" t="s">
        <v>9</v>
      </c>
      <c r="V8" s="22" t="s">
        <v>6</v>
      </c>
      <c r="W8" s="22" t="s">
        <v>7</v>
      </c>
      <c r="X8" s="22" t="s">
        <v>8</v>
      </c>
      <c r="Y8" s="22" t="s">
        <v>9</v>
      </c>
      <c r="Z8" s="335" t="s">
        <v>6</v>
      </c>
      <c r="AA8" s="335" t="s">
        <v>7</v>
      </c>
      <c r="AB8" s="335" t="s">
        <v>8</v>
      </c>
      <c r="AC8" s="335" t="s">
        <v>9</v>
      </c>
      <c r="AD8" s="464" t="s">
        <v>6</v>
      </c>
      <c r="AE8" s="464" t="s">
        <v>7</v>
      </c>
      <c r="AF8" s="464" t="s">
        <v>8</v>
      </c>
      <c r="AG8" s="464" t="s">
        <v>9</v>
      </c>
      <c r="AH8" s="600" t="s">
        <v>6</v>
      </c>
      <c r="AI8" s="600" t="s">
        <v>7</v>
      </c>
      <c r="AJ8" s="600" t="s">
        <v>8</v>
      </c>
      <c r="AK8" s="600" t="s">
        <v>9</v>
      </c>
    </row>
    <row r="9" spans="1:37" ht="24.9" customHeight="1" x14ac:dyDescent="0.25">
      <c r="A9" s="3"/>
      <c r="B9" s="3" t="s">
        <v>10</v>
      </c>
      <c r="C9" s="3" t="s">
        <v>10</v>
      </c>
      <c r="D9" s="3"/>
      <c r="E9" s="3"/>
      <c r="F9" s="20">
        <v>488416</v>
      </c>
      <c r="G9" s="20">
        <v>479614</v>
      </c>
      <c r="H9" s="20">
        <v>474527</v>
      </c>
      <c r="I9" s="20">
        <v>469080</v>
      </c>
      <c r="J9" s="76">
        <v>488678</v>
      </c>
      <c r="K9" s="76">
        <v>474456</v>
      </c>
      <c r="L9" s="76">
        <v>469835</v>
      </c>
      <c r="M9" s="76">
        <v>464871</v>
      </c>
      <c r="N9" s="8">
        <v>495382</v>
      </c>
      <c r="O9" s="8">
        <v>471061</v>
      </c>
      <c r="P9" s="8">
        <v>467490</v>
      </c>
      <c r="Q9" s="8">
        <v>463047</v>
      </c>
      <c r="R9" s="20">
        <v>494071</v>
      </c>
      <c r="S9" s="20">
        <v>471174</v>
      </c>
      <c r="T9" s="20">
        <v>467413</v>
      </c>
      <c r="U9" s="20">
        <v>459812</v>
      </c>
      <c r="V9" s="76">
        <v>505243</v>
      </c>
      <c r="W9" s="76">
        <v>467657</v>
      </c>
      <c r="X9" s="76">
        <v>457214</v>
      </c>
      <c r="Y9" s="76">
        <v>457194</v>
      </c>
      <c r="Z9" s="345">
        <v>529919</v>
      </c>
      <c r="AA9" s="345">
        <v>499565</v>
      </c>
      <c r="AB9" s="345">
        <v>486271</v>
      </c>
      <c r="AC9" s="345">
        <v>486268</v>
      </c>
      <c r="AD9" s="478">
        <v>516769</v>
      </c>
      <c r="AE9" s="478">
        <v>497526</v>
      </c>
      <c r="AF9" s="478">
        <v>488193</v>
      </c>
      <c r="AG9" s="478">
        <v>488184</v>
      </c>
      <c r="AH9" s="626">
        <v>531702</v>
      </c>
      <c r="AI9" s="626">
        <v>516836</v>
      </c>
      <c r="AJ9" s="626">
        <v>507409</v>
      </c>
      <c r="AK9" s="626">
        <v>507409</v>
      </c>
    </row>
    <row r="10" spans="1:37" ht="24.9" customHeight="1" x14ac:dyDescent="0.25">
      <c r="A10" s="4"/>
      <c r="B10" s="4" t="s">
        <v>0</v>
      </c>
      <c r="C10" s="4" t="s">
        <v>0</v>
      </c>
      <c r="D10" s="4"/>
      <c r="E10" s="4"/>
      <c r="F10" s="17">
        <v>5480</v>
      </c>
      <c r="G10" s="17">
        <v>6428</v>
      </c>
      <c r="H10" s="17">
        <v>6368</v>
      </c>
      <c r="I10" s="17">
        <v>6284</v>
      </c>
      <c r="J10" s="77">
        <v>6499</v>
      </c>
      <c r="K10" s="77">
        <v>6574</v>
      </c>
      <c r="L10" s="77">
        <v>6520</v>
      </c>
      <c r="M10" s="77">
        <v>6437</v>
      </c>
      <c r="N10" s="9">
        <v>6755</v>
      </c>
      <c r="O10" s="9">
        <v>6674</v>
      </c>
      <c r="P10" s="9">
        <v>6634</v>
      </c>
      <c r="Q10" s="9">
        <v>6558</v>
      </c>
      <c r="R10" s="17">
        <v>6767</v>
      </c>
      <c r="S10" s="17">
        <v>6742</v>
      </c>
      <c r="T10" s="17">
        <v>6710</v>
      </c>
      <c r="U10" s="17">
        <v>6573</v>
      </c>
      <c r="V10" s="77">
        <v>6968</v>
      </c>
      <c r="W10" s="77">
        <v>6906</v>
      </c>
      <c r="X10" s="77">
        <v>6828</v>
      </c>
      <c r="Y10" s="77">
        <v>6828</v>
      </c>
      <c r="Z10" s="346">
        <v>7245</v>
      </c>
      <c r="AA10" s="346">
        <v>7177</v>
      </c>
      <c r="AB10" s="346">
        <v>7048</v>
      </c>
      <c r="AC10" s="346">
        <v>7048</v>
      </c>
      <c r="AD10" s="479">
        <v>7362</v>
      </c>
      <c r="AE10" s="479">
        <v>7476</v>
      </c>
      <c r="AF10" s="479">
        <v>7394</v>
      </c>
      <c r="AG10" s="479">
        <v>7394</v>
      </c>
      <c r="AH10" s="627">
        <v>8012</v>
      </c>
      <c r="AI10" s="627">
        <v>7973</v>
      </c>
      <c r="AJ10" s="627">
        <v>7828</v>
      </c>
      <c r="AK10" s="627">
        <v>7828</v>
      </c>
    </row>
    <row r="11" spans="1:37" ht="24.9" customHeight="1" x14ac:dyDescent="0.25">
      <c r="A11" s="6"/>
      <c r="B11" s="6" t="s">
        <v>12</v>
      </c>
      <c r="C11" s="6" t="s">
        <v>12</v>
      </c>
      <c r="D11" s="6"/>
      <c r="E11" s="6"/>
      <c r="F11" s="18">
        <v>2554</v>
      </c>
      <c r="G11" s="18">
        <v>3229</v>
      </c>
      <c r="H11" s="18">
        <v>3192</v>
      </c>
      <c r="I11" s="18">
        <v>3144</v>
      </c>
      <c r="J11" s="78">
        <v>3506</v>
      </c>
      <c r="K11" s="78">
        <v>3454</v>
      </c>
      <c r="L11" s="78">
        <v>3421</v>
      </c>
      <c r="M11" s="78">
        <v>3418</v>
      </c>
      <c r="N11" s="11">
        <v>3663</v>
      </c>
      <c r="O11" s="11">
        <v>3596</v>
      </c>
      <c r="P11" s="11">
        <v>3563</v>
      </c>
      <c r="Q11" s="11">
        <v>3563</v>
      </c>
      <c r="R11" s="18">
        <v>3661</v>
      </c>
      <c r="S11" s="18">
        <v>3570</v>
      </c>
      <c r="T11" s="18">
        <v>3550</v>
      </c>
      <c r="U11" s="18">
        <v>3545</v>
      </c>
      <c r="V11" s="78">
        <v>3672</v>
      </c>
      <c r="W11" s="78">
        <v>3434</v>
      </c>
      <c r="X11" s="78">
        <v>3394</v>
      </c>
      <c r="Y11" s="78">
        <v>3394</v>
      </c>
      <c r="Z11" s="347">
        <v>3886</v>
      </c>
      <c r="AA11" s="347">
        <v>3634</v>
      </c>
      <c r="AB11" s="347">
        <v>3541</v>
      </c>
      <c r="AC11" s="347">
        <v>3541</v>
      </c>
      <c r="AD11" s="480">
        <v>3972</v>
      </c>
      <c r="AE11" s="480">
        <v>3747</v>
      </c>
      <c r="AF11" s="480">
        <v>3691</v>
      </c>
      <c r="AG11" s="480">
        <v>3691</v>
      </c>
      <c r="AH11" s="628">
        <v>4330</v>
      </c>
      <c r="AI11" s="628">
        <v>4251</v>
      </c>
      <c r="AJ11" s="628">
        <v>4142</v>
      </c>
      <c r="AK11" s="628">
        <v>4142</v>
      </c>
    </row>
    <row r="12" spans="1:37" ht="24.9" customHeight="1" x14ac:dyDescent="0.25">
      <c r="A12" s="6"/>
      <c r="B12" s="6" t="s">
        <v>13</v>
      </c>
      <c r="C12" s="6" t="s">
        <v>13</v>
      </c>
      <c r="D12" s="6"/>
      <c r="E12" s="6"/>
      <c r="F12" s="18">
        <v>0</v>
      </c>
      <c r="G12" s="18">
        <v>43</v>
      </c>
      <c r="H12" s="18">
        <v>43</v>
      </c>
      <c r="I12" s="18">
        <v>41</v>
      </c>
      <c r="J12" s="78">
        <v>44</v>
      </c>
      <c r="K12" s="78">
        <v>43</v>
      </c>
      <c r="L12" s="78">
        <v>42</v>
      </c>
      <c r="M12" s="78">
        <v>42</v>
      </c>
      <c r="N12" s="11">
        <v>36</v>
      </c>
      <c r="O12" s="11">
        <v>36</v>
      </c>
      <c r="P12" s="11">
        <v>36</v>
      </c>
      <c r="Q12" s="11">
        <v>36</v>
      </c>
      <c r="R12" s="18">
        <v>53</v>
      </c>
      <c r="S12" s="18">
        <v>53</v>
      </c>
      <c r="T12" s="18">
        <v>52</v>
      </c>
      <c r="U12" s="18">
        <v>52</v>
      </c>
      <c r="V12" s="78">
        <v>40</v>
      </c>
      <c r="W12" s="78">
        <v>40</v>
      </c>
      <c r="X12" s="78">
        <v>38</v>
      </c>
      <c r="Y12" s="78">
        <v>38</v>
      </c>
      <c r="Z12" s="347">
        <v>46</v>
      </c>
      <c r="AA12" s="347">
        <v>46</v>
      </c>
      <c r="AB12" s="347">
        <v>45</v>
      </c>
      <c r="AC12" s="347">
        <v>45</v>
      </c>
      <c r="AD12" s="480">
        <v>43</v>
      </c>
      <c r="AE12" s="480">
        <v>40</v>
      </c>
      <c r="AF12" s="480">
        <v>40</v>
      </c>
      <c r="AG12" s="480">
        <v>40</v>
      </c>
      <c r="AH12" s="628">
        <v>52</v>
      </c>
      <c r="AI12" s="628">
        <v>52</v>
      </c>
      <c r="AJ12" s="628">
        <v>50</v>
      </c>
      <c r="AK12" s="628">
        <v>50</v>
      </c>
    </row>
    <row r="13" spans="1:37" ht="24.9" customHeight="1" x14ac:dyDescent="0.25">
      <c r="A13" s="6"/>
      <c r="B13" s="6" t="s">
        <v>14</v>
      </c>
      <c r="C13" s="6" t="s">
        <v>14</v>
      </c>
      <c r="D13" s="6"/>
      <c r="E13" s="6"/>
      <c r="F13" s="18">
        <v>2926</v>
      </c>
      <c r="G13" s="18">
        <v>3156</v>
      </c>
      <c r="H13" s="18">
        <v>3133</v>
      </c>
      <c r="I13" s="18">
        <v>3099</v>
      </c>
      <c r="J13" s="78">
        <v>2949</v>
      </c>
      <c r="K13" s="78">
        <v>3077</v>
      </c>
      <c r="L13" s="78">
        <v>3057</v>
      </c>
      <c r="M13" s="78">
        <v>3056</v>
      </c>
      <c r="N13" s="11">
        <v>3056</v>
      </c>
      <c r="O13" s="11">
        <v>3042</v>
      </c>
      <c r="P13" s="11">
        <v>3035</v>
      </c>
      <c r="Q13" s="11">
        <v>3035</v>
      </c>
      <c r="R13" s="18">
        <v>3053</v>
      </c>
      <c r="S13" s="18">
        <v>3119</v>
      </c>
      <c r="T13" s="18">
        <v>3108</v>
      </c>
      <c r="U13" s="18">
        <v>3105</v>
      </c>
      <c r="V13" s="78">
        <v>3256</v>
      </c>
      <c r="W13" s="78">
        <v>3432</v>
      </c>
      <c r="X13" s="78">
        <v>3396</v>
      </c>
      <c r="Y13" s="78">
        <v>3396</v>
      </c>
      <c r="Z13" s="347">
        <v>3313</v>
      </c>
      <c r="AA13" s="347">
        <v>3497</v>
      </c>
      <c r="AB13" s="347">
        <v>3462</v>
      </c>
      <c r="AC13" s="347">
        <v>3462</v>
      </c>
      <c r="AD13" s="480">
        <v>3347</v>
      </c>
      <c r="AE13" s="480">
        <v>3689</v>
      </c>
      <c r="AF13" s="480">
        <v>3663</v>
      </c>
      <c r="AG13" s="480">
        <v>3663</v>
      </c>
      <c r="AH13" s="628">
        <v>3630</v>
      </c>
      <c r="AI13" s="628">
        <v>3670</v>
      </c>
      <c r="AJ13" s="628">
        <v>3636</v>
      </c>
      <c r="AK13" s="628">
        <v>3636</v>
      </c>
    </row>
    <row r="14" spans="1:37" ht="24.9" customHeight="1" x14ac:dyDescent="0.25">
      <c r="A14" s="6"/>
      <c r="B14" s="6" t="s">
        <v>15</v>
      </c>
      <c r="C14" s="6" t="s">
        <v>15</v>
      </c>
      <c r="D14" s="6"/>
      <c r="E14" s="6"/>
      <c r="F14" s="18">
        <v>1592</v>
      </c>
      <c r="G14" s="18">
        <v>2032</v>
      </c>
      <c r="H14" s="18">
        <v>2001</v>
      </c>
      <c r="I14" s="18">
        <v>1963</v>
      </c>
      <c r="J14" s="78">
        <v>2837</v>
      </c>
      <c r="K14" s="78">
        <v>2830</v>
      </c>
      <c r="L14" s="78">
        <v>2793</v>
      </c>
      <c r="M14" s="78">
        <v>2792</v>
      </c>
      <c r="N14" s="11">
        <v>2572</v>
      </c>
      <c r="O14" s="11">
        <v>2534</v>
      </c>
      <c r="P14" s="11">
        <v>2512</v>
      </c>
      <c r="Q14" s="11">
        <v>2512</v>
      </c>
      <c r="R14" s="18">
        <v>2706</v>
      </c>
      <c r="S14" s="18">
        <v>2662</v>
      </c>
      <c r="T14" s="18">
        <v>2647</v>
      </c>
      <c r="U14" s="18">
        <v>2643</v>
      </c>
      <c r="V14" s="78">
        <v>2083</v>
      </c>
      <c r="W14" s="78">
        <v>1965</v>
      </c>
      <c r="X14" s="78">
        <v>1934</v>
      </c>
      <c r="Y14" s="78">
        <v>1934</v>
      </c>
      <c r="Z14" s="347">
        <v>1975</v>
      </c>
      <c r="AA14" s="347">
        <v>1873</v>
      </c>
      <c r="AB14" s="347">
        <v>1810</v>
      </c>
      <c r="AC14" s="347">
        <v>1810</v>
      </c>
      <c r="AD14" s="480">
        <v>2320</v>
      </c>
      <c r="AE14" s="480">
        <v>2300</v>
      </c>
      <c r="AF14" s="480">
        <v>2258</v>
      </c>
      <c r="AG14" s="480">
        <v>2258</v>
      </c>
      <c r="AH14" s="628">
        <v>2824</v>
      </c>
      <c r="AI14" s="628">
        <v>2829</v>
      </c>
      <c r="AJ14" s="628">
        <v>2758</v>
      </c>
      <c r="AK14" s="628">
        <v>2758</v>
      </c>
    </row>
    <row r="15" spans="1:37" ht="24.9" customHeight="1" x14ac:dyDescent="0.25">
      <c r="A15" s="6"/>
      <c r="B15" s="6" t="s">
        <v>16</v>
      </c>
      <c r="C15" s="6" t="s">
        <v>16</v>
      </c>
      <c r="D15" s="6"/>
      <c r="E15" s="6"/>
      <c r="F15" s="18">
        <v>3876</v>
      </c>
      <c r="G15" s="18">
        <v>4383</v>
      </c>
      <c r="H15" s="18">
        <v>4354</v>
      </c>
      <c r="I15" s="18">
        <v>4309</v>
      </c>
      <c r="J15" s="78">
        <v>3649</v>
      </c>
      <c r="K15" s="78">
        <v>3740</v>
      </c>
      <c r="L15" s="78">
        <v>3723</v>
      </c>
      <c r="M15" s="78">
        <v>3720</v>
      </c>
      <c r="N15" s="11">
        <v>4183</v>
      </c>
      <c r="O15" s="11">
        <v>4138</v>
      </c>
      <c r="P15" s="11">
        <v>4120</v>
      </c>
      <c r="Q15" s="11">
        <v>4120</v>
      </c>
      <c r="R15" s="18">
        <v>4061</v>
      </c>
      <c r="S15" s="18">
        <v>4080</v>
      </c>
      <c r="T15" s="18">
        <v>4063</v>
      </c>
      <c r="U15" s="18">
        <v>4059</v>
      </c>
      <c r="V15" s="78">
        <v>4885</v>
      </c>
      <c r="W15" s="78">
        <v>4941</v>
      </c>
      <c r="X15" s="78">
        <v>4894</v>
      </c>
      <c r="Y15" s="78">
        <v>4894</v>
      </c>
      <c r="Z15" s="347">
        <v>5270</v>
      </c>
      <c r="AA15" s="347">
        <v>5304</v>
      </c>
      <c r="AB15" s="347">
        <v>5238</v>
      </c>
      <c r="AC15" s="347">
        <v>5238</v>
      </c>
      <c r="AD15" s="480">
        <v>5039</v>
      </c>
      <c r="AE15" s="480">
        <v>5173</v>
      </c>
      <c r="AF15" s="480">
        <v>5133</v>
      </c>
      <c r="AG15" s="480">
        <v>5133</v>
      </c>
      <c r="AH15" s="628">
        <v>5188</v>
      </c>
      <c r="AI15" s="628">
        <v>5144</v>
      </c>
      <c r="AJ15" s="628">
        <v>5070</v>
      </c>
      <c r="AK15" s="628">
        <v>5070</v>
      </c>
    </row>
    <row r="16" spans="1:37" ht="24.9" customHeight="1" x14ac:dyDescent="0.25">
      <c r="A16" s="6"/>
      <c r="B16" s="6" t="s">
        <v>17</v>
      </c>
      <c r="C16" s="6" t="s">
        <v>17</v>
      </c>
      <c r="D16" s="6"/>
      <c r="E16" s="6"/>
      <c r="F16" s="18">
        <v>12</v>
      </c>
      <c r="G16" s="18">
        <v>12</v>
      </c>
      <c r="H16" s="18">
        <v>12</v>
      </c>
      <c r="I16" s="18">
        <v>12</v>
      </c>
      <c r="J16" s="78"/>
      <c r="K16" s="78"/>
      <c r="L16" s="78"/>
      <c r="M16" s="78"/>
      <c r="N16" s="11"/>
      <c r="O16" s="11"/>
      <c r="P16" s="11"/>
      <c r="Q16" s="11"/>
      <c r="R16" s="11"/>
      <c r="S16" s="11"/>
      <c r="T16" s="11"/>
      <c r="U16" s="11"/>
      <c r="V16" s="11"/>
      <c r="W16" s="11"/>
      <c r="X16" s="11"/>
      <c r="Y16" s="11"/>
      <c r="Z16" s="11"/>
      <c r="AA16" s="11"/>
      <c r="AB16" s="11"/>
      <c r="AC16" s="11"/>
      <c r="AD16" s="480">
        <v>3</v>
      </c>
      <c r="AE16" s="480">
        <v>3</v>
      </c>
      <c r="AF16" s="480">
        <v>3</v>
      </c>
      <c r="AG16" s="480">
        <v>3</v>
      </c>
      <c r="AH16" s="629"/>
      <c r="AI16" s="629"/>
      <c r="AJ16" s="629"/>
      <c r="AK16" s="629"/>
    </row>
    <row r="17" spans="1:37" s="468" customFormat="1" ht="24.9" customHeight="1" x14ac:dyDescent="0.25">
      <c r="A17" s="427"/>
      <c r="B17" s="427"/>
      <c r="C17" s="427"/>
      <c r="D17" s="427"/>
      <c r="E17" s="427"/>
      <c r="F17" s="480"/>
      <c r="G17" s="480"/>
      <c r="H17" s="480"/>
      <c r="I17" s="480"/>
      <c r="J17" s="511"/>
      <c r="K17" s="511"/>
      <c r="L17" s="511"/>
      <c r="M17" s="511"/>
      <c r="N17" s="483"/>
      <c r="O17" s="483"/>
      <c r="P17" s="483"/>
      <c r="Q17" s="483"/>
      <c r="R17" s="483"/>
      <c r="S17" s="483"/>
      <c r="T17" s="483"/>
      <c r="U17" s="483"/>
      <c r="V17" s="483"/>
      <c r="W17" s="483"/>
      <c r="X17" s="483"/>
      <c r="Y17" s="483"/>
      <c r="Z17" s="483"/>
      <c r="AA17" s="483"/>
      <c r="AB17" s="483"/>
      <c r="AC17" s="483"/>
      <c r="AD17" s="520"/>
      <c r="AE17" s="520"/>
      <c r="AF17" s="520"/>
      <c r="AG17" s="520"/>
    </row>
    <row r="18" spans="1:37" s="468" customFormat="1" ht="24.9" customHeight="1" x14ac:dyDescent="0.25">
      <c r="A18" s="427"/>
      <c r="B18" s="283" t="s">
        <v>246</v>
      </c>
      <c r="C18" s="427"/>
      <c r="D18" s="427"/>
      <c r="E18" s="427"/>
      <c r="F18" s="192">
        <f>SUMIF($E$36:$E$170,"=1",F$36:F$170)</f>
        <v>1208</v>
      </c>
      <c r="G18" s="192">
        <f>SUMIF($E$36:$E$170,"=1",G$36:G$170)</f>
        <v>1218</v>
      </c>
      <c r="H18" s="192">
        <f t="shared" ref="H18:AK18" si="0">SUMIF($E$36:$E$170,"=1",H$36:H$170)</f>
        <v>1183</v>
      </c>
      <c r="I18" s="192">
        <f t="shared" si="0"/>
        <v>1183</v>
      </c>
      <c r="J18" s="192">
        <f>SUMIF($E$36:$E$170,"=1",J$36:J$170)</f>
        <v>1120</v>
      </c>
      <c r="K18" s="192">
        <f t="shared" si="0"/>
        <v>1114</v>
      </c>
      <c r="L18" s="192">
        <f t="shared" si="0"/>
        <v>1108</v>
      </c>
      <c r="M18" s="192">
        <f t="shared" si="0"/>
        <v>1097</v>
      </c>
      <c r="N18" s="192">
        <f t="shared" si="0"/>
        <v>1192</v>
      </c>
      <c r="O18" s="192">
        <f t="shared" si="0"/>
        <v>1181</v>
      </c>
      <c r="P18" s="192">
        <f t="shared" si="0"/>
        <v>1174</v>
      </c>
      <c r="Q18" s="192">
        <f t="shared" si="0"/>
        <v>1164</v>
      </c>
      <c r="R18" s="192">
        <f t="shared" si="0"/>
        <v>1168</v>
      </c>
      <c r="S18" s="192">
        <f t="shared" si="0"/>
        <v>1151</v>
      </c>
      <c r="T18" s="192">
        <f t="shared" si="0"/>
        <v>1146</v>
      </c>
      <c r="U18" s="192">
        <f t="shared" si="0"/>
        <v>1118</v>
      </c>
      <c r="V18" s="192">
        <f t="shared" si="0"/>
        <v>1195</v>
      </c>
      <c r="W18" s="192">
        <f t="shared" si="0"/>
        <v>1159</v>
      </c>
      <c r="X18" s="192">
        <f t="shared" si="0"/>
        <v>1152</v>
      </c>
      <c r="Y18" s="192">
        <f t="shared" si="0"/>
        <v>1152</v>
      </c>
      <c r="Z18" s="192">
        <f t="shared" si="0"/>
        <v>1256</v>
      </c>
      <c r="AA18" s="192">
        <f t="shared" si="0"/>
        <v>1213</v>
      </c>
      <c r="AB18" s="192">
        <f t="shared" si="0"/>
        <v>1196</v>
      </c>
      <c r="AC18" s="192">
        <f t="shared" si="0"/>
        <v>1196</v>
      </c>
      <c r="AD18" s="192">
        <f t="shared" si="0"/>
        <v>1234</v>
      </c>
      <c r="AE18" s="192">
        <f t="shared" si="0"/>
        <v>1253</v>
      </c>
      <c r="AF18" s="192">
        <f t="shared" si="0"/>
        <v>1236</v>
      </c>
      <c r="AG18" s="192">
        <f t="shared" si="0"/>
        <v>1236</v>
      </c>
      <c r="AH18" s="192">
        <f t="shared" si="0"/>
        <v>1350</v>
      </c>
      <c r="AI18" s="192">
        <f t="shared" si="0"/>
        <v>1328</v>
      </c>
      <c r="AJ18" s="192">
        <f t="shared" si="0"/>
        <v>1305</v>
      </c>
      <c r="AK18" s="192">
        <f t="shared" si="0"/>
        <v>1305</v>
      </c>
    </row>
    <row r="19" spans="1:37" s="468" customFormat="1" ht="24.9" customHeight="1" x14ac:dyDescent="0.25">
      <c r="A19" s="427"/>
      <c r="B19" s="283" t="s">
        <v>247</v>
      </c>
      <c r="C19" s="427"/>
      <c r="D19" s="427"/>
      <c r="E19" s="427"/>
      <c r="F19" s="192">
        <f>SUMIF($E$36:$E$170,"=2",F$36:F$170)</f>
        <v>1254</v>
      </c>
      <c r="G19" s="192">
        <f t="shared" ref="G19:AK19" si="1">SUMIF($E$36:$E$170,"=2",G$36:G$170)</f>
        <v>1288</v>
      </c>
      <c r="H19" s="192">
        <f t="shared" si="1"/>
        <v>1253</v>
      </c>
      <c r="I19" s="192">
        <f t="shared" si="1"/>
        <v>1253</v>
      </c>
      <c r="J19" s="192">
        <f t="shared" si="1"/>
        <v>1273</v>
      </c>
      <c r="K19" s="192">
        <f t="shared" si="1"/>
        <v>1306</v>
      </c>
      <c r="L19" s="192">
        <f t="shared" si="1"/>
        <v>1297</v>
      </c>
      <c r="M19" s="192">
        <f t="shared" si="1"/>
        <v>1281</v>
      </c>
      <c r="N19" s="192">
        <f t="shared" si="1"/>
        <v>1206</v>
      </c>
      <c r="O19" s="192">
        <f t="shared" si="1"/>
        <v>1185</v>
      </c>
      <c r="P19" s="192">
        <f t="shared" si="1"/>
        <v>1178</v>
      </c>
      <c r="Q19" s="192">
        <f t="shared" si="1"/>
        <v>1156</v>
      </c>
      <c r="R19" s="192">
        <f t="shared" si="1"/>
        <v>1208</v>
      </c>
      <c r="S19" s="192">
        <f t="shared" si="1"/>
        <v>1193</v>
      </c>
      <c r="T19" s="192">
        <f t="shared" si="1"/>
        <v>1188</v>
      </c>
      <c r="U19" s="192">
        <f t="shared" si="1"/>
        <v>1164</v>
      </c>
      <c r="V19" s="192">
        <f t="shared" si="1"/>
        <v>1312</v>
      </c>
      <c r="W19" s="192">
        <f t="shared" si="1"/>
        <v>1491</v>
      </c>
      <c r="X19" s="192">
        <f t="shared" si="1"/>
        <v>1461</v>
      </c>
      <c r="Y19" s="192">
        <f t="shared" si="1"/>
        <v>1461</v>
      </c>
      <c r="Z19" s="192">
        <f t="shared" si="1"/>
        <v>1278</v>
      </c>
      <c r="AA19" s="192">
        <f t="shared" si="1"/>
        <v>1254</v>
      </c>
      <c r="AB19" s="192">
        <f t="shared" si="1"/>
        <v>1237</v>
      </c>
      <c r="AC19" s="192">
        <f t="shared" si="1"/>
        <v>1237</v>
      </c>
      <c r="AD19" s="192">
        <f t="shared" si="1"/>
        <v>1324</v>
      </c>
      <c r="AE19" s="192">
        <f t="shared" si="1"/>
        <v>1408</v>
      </c>
      <c r="AF19" s="192">
        <f t="shared" si="1"/>
        <v>1394</v>
      </c>
      <c r="AG19" s="192">
        <f t="shared" si="1"/>
        <v>1394</v>
      </c>
      <c r="AH19" s="192">
        <f t="shared" si="1"/>
        <v>1556</v>
      </c>
      <c r="AI19" s="192">
        <f t="shared" si="1"/>
        <v>1562</v>
      </c>
      <c r="AJ19" s="192">
        <f t="shared" si="1"/>
        <v>1533</v>
      </c>
      <c r="AK19" s="192">
        <f t="shared" si="1"/>
        <v>1533</v>
      </c>
    </row>
    <row r="20" spans="1:37" s="468" customFormat="1" ht="24.9" customHeight="1" x14ac:dyDescent="0.25">
      <c r="A20" s="427"/>
      <c r="B20" s="283" t="s">
        <v>248</v>
      </c>
      <c r="C20" s="427"/>
      <c r="D20" s="427"/>
      <c r="E20" s="427"/>
      <c r="F20" s="192">
        <f>SUMIF($E$36:$E$170,"=3",F$36:F$170)</f>
        <v>1015</v>
      </c>
      <c r="G20" s="192">
        <f t="shared" ref="G20:AK20" si="2">SUMIF($E$36:$E$170,"=3",G$36:G$170)</f>
        <v>1197</v>
      </c>
      <c r="H20" s="192">
        <f t="shared" si="2"/>
        <v>1179</v>
      </c>
      <c r="I20" s="192">
        <f t="shared" si="2"/>
        <v>1179</v>
      </c>
      <c r="J20" s="192">
        <f t="shared" si="2"/>
        <v>1620</v>
      </c>
      <c r="K20" s="192">
        <f t="shared" si="2"/>
        <v>1633</v>
      </c>
      <c r="L20" s="192">
        <f t="shared" si="2"/>
        <v>1624</v>
      </c>
      <c r="M20" s="192">
        <f t="shared" si="2"/>
        <v>1607</v>
      </c>
      <c r="N20" s="192">
        <f t="shared" si="2"/>
        <v>1844</v>
      </c>
      <c r="O20" s="192">
        <f t="shared" si="2"/>
        <v>1816</v>
      </c>
      <c r="P20" s="192">
        <f t="shared" si="2"/>
        <v>1808</v>
      </c>
      <c r="Q20" s="192">
        <f t="shared" si="2"/>
        <v>1793</v>
      </c>
      <c r="R20" s="192">
        <f t="shared" si="2"/>
        <v>1792</v>
      </c>
      <c r="S20" s="192">
        <f t="shared" si="2"/>
        <v>1761</v>
      </c>
      <c r="T20" s="192">
        <f t="shared" si="2"/>
        <v>1751</v>
      </c>
      <c r="U20" s="192">
        <f t="shared" si="2"/>
        <v>1724</v>
      </c>
      <c r="V20" s="192">
        <f t="shared" si="2"/>
        <v>1675</v>
      </c>
      <c r="W20" s="192">
        <f t="shared" si="2"/>
        <v>1616</v>
      </c>
      <c r="X20" s="192">
        <f t="shared" si="2"/>
        <v>1604</v>
      </c>
      <c r="Y20" s="192">
        <f t="shared" si="2"/>
        <v>1604</v>
      </c>
      <c r="Z20" s="192">
        <f t="shared" si="2"/>
        <v>1736</v>
      </c>
      <c r="AA20" s="192">
        <f t="shared" si="2"/>
        <v>1704</v>
      </c>
      <c r="AB20" s="192">
        <f t="shared" si="2"/>
        <v>1669</v>
      </c>
      <c r="AC20" s="192">
        <f t="shared" si="2"/>
        <v>1669</v>
      </c>
      <c r="AD20" s="192">
        <f t="shared" si="2"/>
        <v>1768</v>
      </c>
      <c r="AE20" s="192">
        <f t="shared" si="2"/>
        <v>1766</v>
      </c>
      <c r="AF20" s="192">
        <f t="shared" si="2"/>
        <v>1746</v>
      </c>
      <c r="AG20" s="192">
        <f t="shared" si="2"/>
        <v>1746</v>
      </c>
      <c r="AH20" s="192">
        <f t="shared" si="2"/>
        <v>1958</v>
      </c>
      <c r="AI20" s="192">
        <f t="shared" si="2"/>
        <v>1917</v>
      </c>
      <c r="AJ20" s="192">
        <f t="shared" si="2"/>
        <v>1884</v>
      </c>
      <c r="AK20" s="192">
        <f t="shared" si="2"/>
        <v>1884</v>
      </c>
    </row>
    <row r="21" spans="1:37" s="468" customFormat="1" ht="24.9" customHeight="1" x14ac:dyDescent="0.25">
      <c r="A21" s="427"/>
      <c r="B21" s="283" t="s">
        <v>249</v>
      </c>
      <c r="C21" s="427"/>
      <c r="D21" s="427"/>
      <c r="E21" s="427"/>
      <c r="F21" s="192">
        <f>SUMIF($E$36:$E$170,"=4",F$36:F$170)</f>
        <v>539</v>
      </c>
      <c r="G21" s="192">
        <f t="shared" ref="G21:AK21" si="3">SUMIF($E$36:$E$170,"=4",G$36:G$170)</f>
        <v>704</v>
      </c>
      <c r="H21" s="192">
        <f t="shared" si="3"/>
        <v>690</v>
      </c>
      <c r="I21" s="192">
        <f t="shared" si="3"/>
        <v>690</v>
      </c>
      <c r="J21" s="192">
        <f t="shared" si="3"/>
        <v>670</v>
      </c>
      <c r="K21" s="192">
        <f t="shared" si="3"/>
        <v>711</v>
      </c>
      <c r="L21" s="192">
        <f t="shared" si="3"/>
        <v>699</v>
      </c>
      <c r="M21" s="192">
        <f t="shared" si="3"/>
        <v>683</v>
      </c>
      <c r="N21" s="192">
        <f t="shared" si="3"/>
        <v>690</v>
      </c>
      <c r="O21" s="192">
        <f t="shared" si="3"/>
        <v>691</v>
      </c>
      <c r="P21" s="192">
        <f t="shared" si="3"/>
        <v>688</v>
      </c>
      <c r="Q21" s="192">
        <f t="shared" si="3"/>
        <v>685</v>
      </c>
      <c r="R21" s="192">
        <f t="shared" si="3"/>
        <v>699</v>
      </c>
      <c r="S21" s="192">
        <f t="shared" si="3"/>
        <v>749</v>
      </c>
      <c r="T21" s="192">
        <f t="shared" si="3"/>
        <v>741</v>
      </c>
      <c r="U21" s="192">
        <f t="shared" si="3"/>
        <v>733</v>
      </c>
      <c r="V21" s="192">
        <f t="shared" si="3"/>
        <v>700</v>
      </c>
      <c r="W21" s="192">
        <f t="shared" si="3"/>
        <v>653</v>
      </c>
      <c r="X21" s="192">
        <f t="shared" si="3"/>
        <v>644</v>
      </c>
      <c r="Y21" s="192">
        <f t="shared" si="3"/>
        <v>644</v>
      </c>
      <c r="Z21" s="192">
        <f t="shared" si="3"/>
        <v>695</v>
      </c>
      <c r="AA21" s="192">
        <f t="shared" si="3"/>
        <v>663</v>
      </c>
      <c r="AB21" s="192">
        <f t="shared" si="3"/>
        <v>641</v>
      </c>
      <c r="AC21" s="192">
        <f t="shared" si="3"/>
        <v>641</v>
      </c>
      <c r="AD21" s="192">
        <f t="shared" si="3"/>
        <v>649</v>
      </c>
      <c r="AE21" s="192">
        <f t="shared" si="3"/>
        <v>733</v>
      </c>
      <c r="AF21" s="192">
        <f t="shared" si="3"/>
        <v>723</v>
      </c>
      <c r="AG21" s="192">
        <f t="shared" si="3"/>
        <v>723</v>
      </c>
      <c r="AH21" s="192">
        <f t="shared" si="3"/>
        <v>775</v>
      </c>
      <c r="AI21" s="192">
        <f t="shared" si="3"/>
        <v>771</v>
      </c>
      <c r="AJ21" s="192">
        <f t="shared" si="3"/>
        <v>760</v>
      </c>
      <c r="AK21" s="192">
        <f t="shared" si="3"/>
        <v>760</v>
      </c>
    </row>
    <row r="22" spans="1:37" s="468" customFormat="1" ht="24.9" customHeight="1" x14ac:dyDescent="0.25">
      <c r="A22" s="427"/>
      <c r="B22" s="283" t="s">
        <v>250</v>
      </c>
      <c r="C22" s="427"/>
      <c r="D22" s="427"/>
      <c r="E22" s="427"/>
      <c r="F22" s="192">
        <f>SUMIF($E$36:$E$170,"=5",F$36:F$170)</f>
        <v>935</v>
      </c>
      <c r="G22" s="192">
        <f t="shared" ref="G22:AK22" si="4">SUMIF($E$36:$E$170,"=5",G$36:G$170)</f>
        <v>1148</v>
      </c>
      <c r="H22" s="192">
        <f t="shared" si="4"/>
        <v>1134</v>
      </c>
      <c r="I22" s="192">
        <f t="shared" si="4"/>
        <v>1134</v>
      </c>
      <c r="J22" s="192">
        <f t="shared" si="4"/>
        <v>1134</v>
      </c>
      <c r="K22" s="192">
        <f t="shared" si="4"/>
        <v>1126</v>
      </c>
      <c r="L22" s="192">
        <f t="shared" si="4"/>
        <v>1117</v>
      </c>
      <c r="M22" s="192">
        <f t="shared" si="4"/>
        <v>1108</v>
      </c>
      <c r="N22" s="192">
        <f t="shared" si="4"/>
        <v>1173</v>
      </c>
      <c r="O22" s="192">
        <f t="shared" si="4"/>
        <v>1147</v>
      </c>
      <c r="P22" s="192">
        <f t="shared" si="4"/>
        <v>1141</v>
      </c>
      <c r="Q22" s="192">
        <f t="shared" si="4"/>
        <v>1133</v>
      </c>
      <c r="R22" s="192">
        <f t="shared" si="4"/>
        <v>1143</v>
      </c>
      <c r="S22" s="192">
        <f t="shared" si="4"/>
        <v>1119</v>
      </c>
      <c r="T22" s="192">
        <f t="shared" si="4"/>
        <v>1119</v>
      </c>
      <c r="U22" s="192">
        <f t="shared" si="4"/>
        <v>1100</v>
      </c>
      <c r="V22" s="192">
        <f t="shared" si="4"/>
        <v>1146</v>
      </c>
      <c r="W22" s="192">
        <f t="shared" si="4"/>
        <v>1079</v>
      </c>
      <c r="X22" s="192">
        <f t="shared" si="4"/>
        <v>1073</v>
      </c>
      <c r="Y22" s="192">
        <f t="shared" si="4"/>
        <v>1073</v>
      </c>
      <c r="Z22" s="192">
        <f t="shared" si="4"/>
        <v>1150</v>
      </c>
      <c r="AA22" s="192">
        <f t="shared" si="4"/>
        <v>1086</v>
      </c>
      <c r="AB22" s="192">
        <f t="shared" si="4"/>
        <v>1075</v>
      </c>
      <c r="AC22" s="192">
        <f t="shared" si="4"/>
        <v>1075</v>
      </c>
      <c r="AD22" s="192">
        <f t="shared" si="4"/>
        <v>1093</v>
      </c>
      <c r="AE22" s="192">
        <f t="shared" si="4"/>
        <v>1056</v>
      </c>
      <c r="AF22" s="192">
        <f t="shared" si="4"/>
        <v>1050</v>
      </c>
      <c r="AG22" s="192">
        <f t="shared" si="4"/>
        <v>1050</v>
      </c>
      <c r="AH22" s="192">
        <f t="shared" si="4"/>
        <v>1217</v>
      </c>
      <c r="AI22" s="192">
        <f t="shared" si="4"/>
        <v>1191</v>
      </c>
      <c r="AJ22" s="192">
        <f t="shared" si="4"/>
        <v>1171</v>
      </c>
      <c r="AK22" s="192">
        <f t="shared" si="4"/>
        <v>1171</v>
      </c>
    </row>
    <row r="23" spans="1:37" s="468" customFormat="1" ht="24.9" customHeight="1" x14ac:dyDescent="0.25">
      <c r="A23" s="427"/>
      <c r="B23" s="283" t="s">
        <v>251</v>
      </c>
      <c r="C23" s="427"/>
      <c r="D23" s="427"/>
      <c r="E23" s="427"/>
      <c r="F23" s="192">
        <f>SUMIF($E$36:$E$170,"=6",F$36:F$170)</f>
        <v>609</v>
      </c>
      <c r="G23" s="192">
        <f t="shared" ref="G23:AK23" si="5">SUMIF($E$36:$E$170,"=6",G$36:G$170)</f>
        <v>908</v>
      </c>
      <c r="H23" s="192">
        <f t="shared" si="5"/>
        <v>882</v>
      </c>
      <c r="I23" s="192">
        <f t="shared" si="5"/>
        <v>882</v>
      </c>
      <c r="J23" s="192">
        <f t="shared" si="5"/>
        <v>908</v>
      </c>
      <c r="K23" s="192">
        <f t="shared" si="5"/>
        <v>916</v>
      </c>
      <c r="L23" s="192">
        <f t="shared" si="5"/>
        <v>907</v>
      </c>
      <c r="M23" s="192">
        <f t="shared" si="5"/>
        <v>889</v>
      </c>
      <c r="N23" s="192">
        <f t="shared" si="5"/>
        <v>951</v>
      </c>
      <c r="O23" s="192">
        <f t="shared" si="5"/>
        <v>949</v>
      </c>
      <c r="P23" s="192">
        <f t="shared" si="5"/>
        <v>939</v>
      </c>
      <c r="Q23" s="192">
        <f t="shared" si="5"/>
        <v>920</v>
      </c>
      <c r="R23" s="192">
        <f t="shared" si="5"/>
        <v>1052</v>
      </c>
      <c r="S23" s="192">
        <f t="shared" si="5"/>
        <v>1048</v>
      </c>
      <c r="T23" s="192">
        <f t="shared" si="5"/>
        <v>1044</v>
      </c>
      <c r="U23" s="192">
        <f t="shared" si="5"/>
        <v>1009</v>
      </c>
      <c r="V23" s="192">
        <f t="shared" si="5"/>
        <v>1060</v>
      </c>
      <c r="W23" s="192">
        <f t="shared" si="5"/>
        <v>1021</v>
      </c>
      <c r="X23" s="192">
        <f t="shared" si="5"/>
        <v>1008</v>
      </c>
      <c r="Y23" s="192">
        <f t="shared" si="5"/>
        <v>1008</v>
      </c>
      <c r="Z23" s="192">
        <f t="shared" si="5"/>
        <v>989</v>
      </c>
      <c r="AA23" s="192">
        <f t="shared" si="5"/>
        <v>1096</v>
      </c>
      <c r="AB23" s="192">
        <f t="shared" si="5"/>
        <v>1077</v>
      </c>
      <c r="AC23" s="192">
        <f t="shared" si="5"/>
        <v>1077</v>
      </c>
      <c r="AD23" s="192">
        <f t="shared" si="5"/>
        <v>1251</v>
      </c>
      <c r="AE23" s="192">
        <f t="shared" si="5"/>
        <v>1220</v>
      </c>
      <c r="AF23" s="192">
        <f t="shared" si="5"/>
        <v>1205</v>
      </c>
      <c r="AG23" s="192">
        <f t="shared" si="5"/>
        <v>1205</v>
      </c>
      <c r="AH23" s="192">
        <f t="shared" si="5"/>
        <v>1096</v>
      </c>
      <c r="AI23" s="192">
        <f t="shared" si="5"/>
        <v>1130</v>
      </c>
      <c r="AJ23" s="192">
        <f t="shared" si="5"/>
        <v>1104</v>
      </c>
      <c r="AK23" s="192">
        <f t="shared" si="5"/>
        <v>1104</v>
      </c>
    </row>
    <row r="24" spans="1:37" s="468" customFormat="1" ht="24.9" customHeight="1" x14ac:dyDescent="0.25">
      <c r="A24" s="427"/>
      <c r="B24" s="6" t="s">
        <v>931</v>
      </c>
      <c r="C24" s="427"/>
      <c r="D24" s="427"/>
      <c r="E24" s="427"/>
      <c r="F24" s="448">
        <f>SUMIFS(F$36:F$170,$E$36:$E$170,"=1", $D$36:$D$170,"OFICIAL")</f>
        <v>667</v>
      </c>
      <c r="G24" s="448">
        <f t="shared" ref="G24:AK24" si="6">SUMIFS(G$36:G$170,$E$36:$E$170,"=1", $D$36:$D$170,"OFICIAL")</f>
        <v>660</v>
      </c>
      <c r="H24" s="448">
        <f t="shared" si="6"/>
        <v>638</v>
      </c>
      <c r="I24" s="448">
        <f t="shared" si="6"/>
        <v>638</v>
      </c>
      <c r="J24" s="448">
        <f t="shared" si="6"/>
        <v>617</v>
      </c>
      <c r="K24" s="448">
        <f t="shared" si="6"/>
        <v>614</v>
      </c>
      <c r="L24" s="448">
        <f t="shared" si="6"/>
        <v>610</v>
      </c>
      <c r="M24" s="448">
        <f t="shared" si="6"/>
        <v>601</v>
      </c>
      <c r="N24" s="448">
        <f t="shared" si="6"/>
        <v>716</v>
      </c>
      <c r="O24" s="448">
        <f t="shared" si="6"/>
        <v>713</v>
      </c>
      <c r="P24" s="448">
        <f t="shared" si="6"/>
        <v>710</v>
      </c>
      <c r="Q24" s="448">
        <f t="shared" si="6"/>
        <v>704</v>
      </c>
      <c r="R24" s="448">
        <f t="shared" si="6"/>
        <v>680</v>
      </c>
      <c r="S24" s="448">
        <f t="shared" si="6"/>
        <v>665</v>
      </c>
      <c r="T24" s="448">
        <f t="shared" si="6"/>
        <v>662</v>
      </c>
      <c r="U24" s="448">
        <f t="shared" si="6"/>
        <v>639</v>
      </c>
      <c r="V24" s="448">
        <f t="shared" si="6"/>
        <v>705</v>
      </c>
      <c r="W24" s="448">
        <f t="shared" si="6"/>
        <v>677</v>
      </c>
      <c r="X24" s="448">
        <f t="shared" si="6"/>
        <v>671</v>
      </c>
      <c r="Y24" s="448">
        <f t="shared" si="6"/>
        <v>671</v>
      </c>
      <c r="Z24" s="448">
        <f t="shared" si="6"/>
        <v>717</v>
      </c>
      <c r="AA24" s="448">
        <f t="shared" si="6"/>
        <v>669</v>
      </c>
      <c r="AB24" s="448">
        <f t="shared" si="6"/>
        <v>656</v>
      </c>
      <c r="AC24" s="448">
        <f t="shared" si="6"/>
        <v>656</v>
      </c>
      <c r="AD24" s="448">
        <f t="shared" si="6"/>
        <v>739</v>
      </c>
      <c r="AE24" s="448">
        <f t="shared" si="6"/>
        <v>692</v>
      </c>
      <c r="AF24" s="448">
        <f t="shared" si="6"/>
        <v>677</v>
      </c>
      <c r="AG24" s="448">
        <f t="shared" si="6"/>
        <v>677</v>
      </c>
      <c r="AH24" s="448">
        <f t="shared" si="6"/>
        <v>827</v>
      </c>
      <c r="AI24" s="448">
        <f t="shared" si="6"/>
        <v>808</v>
      </c>
      <c r="AJ24" s="448">
        <f t="shared" si="6"/>
        <v>791</v>
      </c>
      <c r="AK24" s="448">
        <f t="shared" si="6"/>
        <v>791</v>
      </c>
    </row>
    <row r="25" spans="1:37" s="468" customFormat="1" ht="24.9" customHeight="1" x14ac:dyDescent="0.25">
      <c r="A25" s="427"/>
      <c r="B25" s="6" t="s">
        <v>932</v>
      </c>
      <c r="C25" s="427"/>
      <c r="D25" s="427"/>
      <c r="E25" s="427"/>
      <c r="F25" s="448">
        <f>SUMIFS(F$36:F$170,$E$36:$E$170,"=2", $D$36:$D$170,"OFICIAL")</f>
        <v>587</v>
      </c>
      <c r="G25" s="448">
        <f t="shared" ref="G25:AK25" si="7">SUMIFS(G$36:G$170,$E$36:$E$170,"=2", $D$36:$D$170,"OFICIAL")</f>
        <v>588</v>
      </c>
      <c r="H25" s="448">
        <f t="shared" si="7"/>
        <v>567</v>
      </c>
      <c r="I25" s="448">
        <f t="shared" si="7"/>
        <v>567</v>
      </c>
      <c r="J25" s="448">
        <f t="shared" si="7"/>
        <v>585</v>
      </c>
      <c r="K25" s="448">
        <f t="shared" si="7"/>
        <v>575</v>
      </c>
      <c r="L25" s="448">
        <f t="shared" si="7"/>
        <v>572</v>
      </c>
      <c r="M25" s="448">
        <f t="shared" si="7"/>
        <v>561</v>
      </c>
      <c r="N25" s="448">
        <f t="shared" si="7"/>
        <v>525</v>
      </c>
      <c r="O25" s="448">
        <f t="shared" si="7"/>
        <v>510</v>
      </c>
      <c r="P25" s="448">
        <f t="shared" si="7"/>
        <v>504</v>
      </c>
      <c r="Q25" s="448">
        <f t="shared" si="7"/>
        <v>486</v>
      </c>
      <c r="R25" s="448">
        <f t="shared" si="7"/>
        <v>566</v>
      </c>
      <c r="S25" s="448">
        <f t="shared" si="7"/>
        <v>558</v>
      </c>
      <c r="T25" s="448">
        <f t="shared" si="7"/>
        <v>555</v>
      </c>
      <c r="U25" s="448">
        <f t="shared" si="7"/>
        <v>545</v>
      </c>
      <c r="V25" s="448">
        <f t="shared" si="7"/>
        <v>635</v>
      </c>
      <c r="W25" s="448">
        <f t="shared" si="7"/>
        <v>597</v>
      </c>
      <c r="X25" s="448">
        <f t="shared" si="7"/>
        <v>591</v>
      </c>
      <c r="Y25" s="448">
        <f t="shared" si="7"/>
        <v>591</v>
      </c>
      <c r="Z25" s="448">
        <f t="shared" si="7"/>
        <v>626</v>
      </c>
      <c r="AA25" s="448">
        <f t="shared" si="7"/>
        <v>585</v>
      </c>
      <c r="AB25" s="448">
        <f t="shared" si="7"/>
        <v>574</v>
      </c>
      <c r="AC25" s="448">
        <f t="shared" si="7"/>
        <v>574</v>
      </c>
      <c r="AD25" s="448">
        <f t="shared" si="7"/>
        <v>742</v>
      </c>
      <c r="AE25" s="448">
        <f t="shared" si="7"/>
        <v>692</v>
      </c>
      <c r="AF25" s="448">
        <f t="shared" si="7"/>
        <v>682</v>
      </c>
      <c r="AG25" s="448">
        <f t="shared" si="7"/>
        <v>682</v>
      </c>
      <c r="AH25" s="448">
        <f t="shared" si="7"/>
        <v>851</v>
      </c>
      <c r="AI25" s="448">
        <f t="shared" si="7"/>
        <v>837</v>
      </c>
      <c r="AJ25" s="448">
        <f t="shared" si="7"/>
        <v>817</v>
      </c>
      <c r="AK25" s="448">
        <f t="shared" si="7"/>
        <v>817</v>
      </c>
    </row>
    <row r="26" spans="1:37" s="468" customFormat="1" ht="24.9" customHeight="1" x14ac:dyDescent="0.25">
      <c r="A26" s="427"/>
      <c r="B26" s="6" t="s">
        <v>933</v>
      </c>
      <c r="C26" s="427"/>
      <c r="D26" s="427"/>
      <c r="E26" s="427"/>
      <c r="F26" s="448">
        <f>SUMIFS(F$36:F$170,$E$36:$E$170,"=3", $D$36:$D$170,"OFICIAL")</f>
        <v>529</v>
      </c>
      <c r="G26" s="448">
        <f t="shared" ref="G26:AK26" si="8">SUMIFS(G$36:G$170,$E$36:$E$170,"=3", $D$36:$D$170,"OFICIAL")</f>
        <v>665</v>
      </c>
      <c r="H26" s="448">
        <f t="shared" si="8"/>
        <v>653</v>
      </c>
      <c r="I26" s="448">
        <f t="shared" si="8"/>
        <v>653</v>
      </c>
      <c r="J26" s="448">
        <f t="shared" si="8"/>
        <v>1031</v>
      </c>
      <c r="K26" s="448">
        <f t="shared" si="8"/>
        <v>1021</v>
      </c>
      <c r="L26" s="448">
        <f t="shared" si="8"/>
        <v>1012</v>
      </c>
      <c r="M26" s="448">
        <f t="shared" si="8"/>
        <v>996</v>
      </c>
      <c r="N26" s="448">
        <f t="shared" si="8"/>
        <v>1146</v>
      </c>
      <c r="O26" s="448">
        <f t="shared" si="8"/>
        <v>1124</v>
      </c>
      <c r="P26" s="448">
        <f t="shared" si="8"/>
        <v>1117</v>
      </c>
      <c r="Q26" s="448">
        <f t="shared" si="8"/>
        <v>1109</v>
      </c>
      <c r="R26" s="448">
        <f t="shared" si="8"/>
        <v>1121</v>
      </c>
      <c r="S26" s="448">
        <f t="shared" si="8"/>
        <v>1064</v>
      </c>
      <c r="T26" s="448">
        <f t="shared" si="8"/>
        <v>1059</v>
      </c>
      <c r="U26" s="448">
        <f t="shared" si="8"/>
        <v>1044</v>
      </c>
      <c r="V26" s="448">
        <f t="shared" si="8"/>
        <v>923</v>
      </c>
      <c r="W26" s="448">
        <f t="shared" si="8"/>
        <v>872</v>
      </c>
      <c r="X26" s="448">
        <f t="shared" si="8"/>
        <v>867</v>
      </c>
      <c r="Y26" s="448">
        <f t="shared" si="8"/>
        <v>867</v>
      </c>
      <c r="Z26" s="448">
        <f t="shared" si="8"/>
        <v>944</v>
      </c>
      <c r="AA26" s="448">
        <f t="shared" si="8"/>
        <v>915</v>
      </c>
      <c r="AB26" s="448">
        <f t="shared" si="8"/>
        <v>887</v>
      </c>
      <c r="AC26" s="448">
        <f t="shared" si="8"/>
        <v>887</v>
      </c>
      <c r="AD26" s="448">
        <f t="shared" si="8"/>
        <v>952</v>
      </c>
      <c r="AE26" s="448">
        <f t="shared" si="8"/>
        <v>920</v>
      </c>
      <c r="AF26" s="448">
        <f t="shared" si="8"/>
        <v>907</v>
      </c>
      <c r="AG26" s="448">
        <f t="shared" si="8"/>
        <v>907</v>
      </c>
      <c r="AH26" s="448">
        <f t="shared" si="8"/>
        <v>1125</v>
      </c>
      <c r="AI26" s="448">
        <f t="shared" si="8"/>
        <v>1085</v>
      </c>
      <c r="AJ26" s="448">
        <f t="shared" si="8"/>
        <v>1061</v>
      </c>
      <c r="AK26" s="448">
        <f t="shared" si="8"/>
        <v>1061</v>
      </c>
    </row>
    <row r="27" spans="1:37" s="468" customFormat="1" ht="24.9" customHeight="1" x14ac:dyDescent="0.25">
      <c r="A27" s="427"/>
      <c r="B27" s="6" t="s">
        <v>934</v>
      </c>
      <c r="C27" s="427"/>
      <c r="D27" s="427"/>
      <c r="E27" s="427"/>
      <c r="F27" s="448">
        <f>SUMIFS(F$36:F$170,$E$36:$E$170,"=4", $D$36:$D$170,"OFICIAL")</f>
        <v>381</v>
      </c>
      <c r="G27" s="448">
        <f t="shared" ref="G27:AK27" si="9">SUMIFS(G$36:G$170,$E$36:$E$170,"=4", $D$36:$D$170,"OFICIAL")</f>
        <v>495</v>
      </c>
      <c r="H27" s="448">
        <f t="shared" si="9"/>
        <v>486</v>
      </c>
      <c r="I27" s="448">
        <f t="shared" si="9"/>
        <v>486</v>
      </c>
      <c r="J27" s="448">
        <f t="shared" si="9"/>
        <v>484</v>
      </c>
      <c r="K27" s="448">
        <f t="shared" si="9"/>
        <v>481</v>
      </c>
      <c r="L27" s="448">
        <f t="shared" si="9"/>
        <v>475</v>
      </c>
      <c r="M27" s="448">
        <f t="shared" si="9"/>
        <v>461</v>
      </c>
      <c r="N27" s="448">
        <f t="shared" si="9"/>
        <v>517</v>
      </c>
      <c r="O27" s="448">
        <f t="shared" si="9"/>
        <v>513</v>
      </c>
      <c r="P27" s="448">
        <f t="shared" si="9"/>
        <v>511</v>
      </c>
      <c r="Q27" s="448">
        <f t="shared" si="9"/>
        <v>510</v>
      </c>
      <c r="R27" s="448">
        <f t="shared" si="9"/>
        <v>522</v>
      </c>
      <c r="S27" s="448">
        <f t="shared" si="9"/>
        <v>517</v>
      </c>
      <c r="T27" s="448">
        <f t="shared" si="9"/>
        <v>511</v>
      </c>
      <c r="U27" s="448">
        <f t="shared" si="9"/>
        <v>505</v>
      </c>
      <c r="V27" s="448">
        <f t="shared" si="9"/>
        <v>520</v>
      </c>
      <c r="W27" s="448">
        <f t="shared" si="9"/>
        <v>482</v>
      </c>
      <c r="X27" s="448">
        <f t="shared" si="9"/>
        <v>475</v>
      </c>
      <c r="Y27" s="448">
        <f t="shared" si="9"/>
        <v>475</v>
      </c>
      <c r="Z27" s="448">
        <f t="shared" si="9"/>
        <v>522</v>
      </c>
      <c r="AA27" s="448">
        <f t="shared" si="9"/>
        <v>482</v>
      </c>
      <c r="AB27" s="448">
        <f t="shared" si="9"/>
        <v>462</v>
      </c>
      <c r="AC27" s="448">
        <f t="shared" si="9"/>
        <v>462</v>
      </c>
      <c r="AD27" s="448">
        <f t="shared" si="9"/>
        <v>539</v>
      </c>
      <c r="AE27" s="448">
        <f t="shared" si="9"/>
        <v>505</v>
      </c>
      <c r="AF27" s="448">
        <f t="shared" si="9"/>
        <v>498</v>
      </c>
      <c r="AG27" s="448">
        <f t="shared" si="9"/>
        <v>498</v>
      </c>
      <c r="AH27" s="448">
        <f t="shared" si="9"/>
        <v>528</v>
      </c>
      <c r="AI27" s="448">
        <f t="shared" si="9"/>
        <v>512</v>
      </c>
      <c r="AJ27" s="448">
        <f t="shared" si="9"/>
        <v>504</v>
      </c>
      <c r="AK27" s="448">
        <f t="shared" si="9"/>
        <v>504</v>
      </c>
    </row>
    <row r="28" spans="1:37" s="468" customFormat="1" ht="24.9" customHeight="1" x14ac:dyDescent="0.25">
      <c r="A28" s="427"/>
      <c r="B28" s="6" t="s">
        <v>935</v>
      </c>
      <c r="C28" s="427"/>
      <c r="D28" s="427"/>
      <c r="E28" s="427"/>
      <c r="F28" s="448">
        <f>SUMIFS(F$36:F$170,$E$36:$E$170,"=5", $D$36:$D$170,"OFICIAL")</f>
        <v>341</v>
      </c>
      <c r="G28" s="448">
        <f t="shared" ref="G28:AK28" si="10">SUMIFS(G$36:G$170,$E$36:$E$170,"=5", $D$36:$D$170,"OFICIAL")</f>
        <v>507</v>
      </c>
      <c r="H28" s="448">
        <f t="shared" si="10"/>
        <v>500</v>
      </c>
      <c r="I28" s="448">
        <f t="shared" si="10"/>
        <v>500</v>
      </c>
      <c r="J28" s="448">
        <f t="shared" si="10"/>
        <v>555</v>
      </c>
      <c r="K28" s="448">
        <f t="shared" si="10"/>
        <v>532</v>
      </c>
      <c r="L28" s="448">
        <f t="shared" si="10"/>
        <v>525</v>
      </c>
      <c r="M28" s="448">
        <f t="shared" si="10"/>
        <v>517</v>
      </c>
      <c r="N28" s="448">
        <f t="shared" si="10"/>
        <v>531</v>
      </c>
      <c r="O28" s="448">
        <f t="shared" si="10"/>
        <v>506</v>
      </c>
      <c r="P28" s="448">
        <f t="shared" si="10"/>
        <v>501</v>
      </c>
      <c r="Q28" s="448">
        <f t="shared" si="10"/>
        <v>494</v>
      </c>
      <c r="R28" s="448">
        <f t="shared" si="10"/>
        <v>506</v>
      </c>
      <c r="S28" s="448">
        <f t="shared" si="10"/>
        <v>489</v>
      </c>
      <c r="T28" s="448">
        <f t="shared" si="10"/>
        <v>489</v>
      </c>
      <c r="U28" s="448">
        <f t="shared" si="10"/>
        <v>475</v>
      </c>
      <c r="V28" s="448">
        <f t="shared" si="10"/>
        <v>478</v>
      </c>
      <c r="W28" s="448">
        <f t="shared" si="10"/>
        <v>420</v>
      </c>
      <c r="X28" s="448">
        <f t="shared" si="10"/>
        <v>414</v>
      </c>
      <c r="Y28" s="448">
        <f t="shared" si="10"/>
        <v>414</v>
      </c>
      <c r="Z28" s="448">
        <f t="shared" si="10"/>
        <v>463</v>
      </c>
      <c r="AA28" s="448">
        <f t="shared" si="10"/>
        <v>405</v>
      </c>
      <c r="AB28" s="448">
        <f t="shared" si="10"/>
        <v>397</v>
      </c>
      <c r="AC28" s="448">
        <f t="shared" si="10"/>
        <v>397</v>
      </c>
      <c r="AD28" s="448">
        <f t="shared" si="10"/>
        <v>385</v>
      </c>
      <c r="AE28" s="448">
        <f t="shared" si="10"/>
        <v>363</v>
      </c>
      <c r="AF28" s="448">
        <f t="shared" si="10"/>
        <v>359</v>
      </c>
      <c r="AG28" s="448">
        <f t="shared" si="10"/>
        <v>359</v>
      </c>
      <c r="AH28" s="448">
        <f t="shared" si="10"/>
        <v>469</v>
      </c>
      <c r="AI28" s="448">
        <f t="shared" si="10"/>
        <v>452</v>
      </c>
      <c r="AJ28" s="448">
        <f t="shared" si="10"/>
        <v>437</v>
      </c>
      <c r="AK28" s="448">
        <f t="shared" si="10"/>
        <v>437</v>
      </c>
    </row>
    <row r="29" spans="1:37" s="468" customFormat="1" ht="24.9" customHeight="1" x14ac:dyDescent="0.25">
      <c r="A29" s="427"/>
      <c r="B29" s="6" t="s">
        <v>936</v>
      </c>
      <c r="C29" s="427"/>
      <c r="D29" s="427"/>
      <c r="E29" s="427"/>
      <c r="F29" s="448">
        <f>SUMIFS(F$36:F$170,$E$36:$E$170,"=6", $D$36:$D$170,"OFICIAL")</f>
        <v>129</v>
      </c>
      <c r="G29" s="448">
        <f t="shared" ref="G29:AK29" si="11">SUMIFS(G$36:G$170,$E$36:$E$170,"=6", $D$36:$D$170,"OFICIAL")</f>
        <v>393</v>
      </c>
      <c r="H29" s="448">
        <f t="shared" si="11"/>
        <v>378</v>
      </c>
      <c r="I29" s="448">
        <f t="shared" si="11"/>
        <v>378</v>
      </c>
      <c r="J29" s="448">
        <f t="shared" si="11"/>
        <v>386</v>
      </c>
      <c r="K29" s="448">
        <f t="shared" si="11"/>
        <v>380</v>
      </c>
      <c r="L29" s="448">
        <f t="shared" si="11"/>
        <v>374</v>
      </c>
      <c r="M29" s="448">
        <f t="shared" si="11"/>
        <v>366</v>
      </c>
      <c r="N29" s="448">
        <f t="shared" si="11"/>
        <v>440</v>
      </c>
      <c r="O29" s="448">
        <f t="shared" si="11"/>
        <v>437</v>
      </c>
      <c r="P29" s="448">
        <f t="shared" si="11"/>
        <v>427</v>
      </c>
      <c r="Q29" s="448">
        <f t="shared" si="11"/>
        <v>424</v>
      </c>
      <c r="R29" s="448">
        <f t="shared" si="11"/>
        <v>452</v>
      </c>
      <c r="S29" s="448">
        <f t="shared" si="11"/>
        <v>446</v>
      </c>
      <c r="T29" s="448">
        <f t="shared" si="11"/>
        <v>443</v>
      </c>
      <c r="U29" s="448">
        <f t="shared" si="11"/>
        <v>431</v>
      </c>
      <c r="V29" s="448">
        <f t="shared" si="11"/>
        <v>425</v>
      </c>
      <c r="W29" s="448">
        <f t="shared" si="11"/>
        <v>393</v>
      </c>
      <c r="X29" s="448">
        <f t="shared" si="11"/>
        <v>383</v>
      </c>
      <c r="Y29" s="448">
        <f t="shared" si="11"/>
        <v>383</v>
      </c>
      <c r="Z29" s="448">
        <f t="shared" si="11"/>
        <v>465</v>
      </c>
      <c r="AA29" s="448">
        <f t="shared" si="11"/>
        <v>433</v>
      </c>
      <c r="AB29" s="448">
        <f t="shared" si="11"/>
        <v>424</v>
      </c>
      <c r="AC29" s="448">
        <f t="shared" si="11"/>
        <v>424</v>
      </c>
      <c r="AD29" s="448">
        <f t="shared" si="11"/>
        <v>476</v>
      </c>
      <c r="AE29" s="448">
        <f t="shared" si="11"/>
        <v>437</v>
      </c>
      <c r="AF29" s="448">
        <f t="shared" si="11"/>
        <v>432</v>
      </c>
      <c r="AG29" s="448">
        <f t="shared" si="11"/>
        <v>432</v>
      </c>
      <c r="AH29" s="448">
        <f t="shared" si="11"/>
        <v>388</v>
      </c>
      <c r="AI29" s="448">
        <f t="shared" si="11"/>
        <v>416</v>
      </c>
      <c r="AJ29" s="448">
        <f t="shared" si="11"/>
        <v>398</v>
      </c>
      <c r="AK29" s="448">
        <f t="shared" si="11"/>
        <v>398</v>
      </c>
    </row>
    <row r="30" spans="1:37" s="468" customFormat="1" ht="24.9" customHeight="1" x14ac:dyDescent="0.25">
      <c r="A30" s="427"/>
      <c r="B30" s="6" t="s">
        <v>937</v>
      </c>
      <c r="C30" s="427"/>
      <c r="D30" s="427"/>
      <c r="E30" s="427"/>
      <c r="F30" s="448">
        <f>SUMIFS(F$36:F$170,$E$36:$E$170,"=1", $D$36:$D$170,"NO OFICIAL")</f>
        <v>541</v>
      </c>
      <c r="G30" s="448">
        <f t="shared" ref="G30:AK30" si="12">SUMIFS(G$36:G$170,$E$36:$E$170,"=1", $D$36:$D$170,"NO OFICIAL")</f>
        <v>558</v>
      </c>
      <c r="H30" s="448">
        <f t="shared" si="12"/>
        <v>545</v>
      </c>
      <c r="I30" s="448">
        <f t="shared" si="12"/>
        <v>545</v>
      </c>
      <c r="J30" s="448">
        <f t="shared" si="12"/>
        <v>503</v>
      </c>
      <c r="K30" s="448">
        <f t="shared" si="12"/>
        <v>500</v>
      </c>
      <c r="L30" s="448">
        <f t="shared" si="12"/>
        <v>498</v>
      </c>
      <c r="M30" s="448">
        <f t="shared" si="12"/>
        <v>496</v>
      </c>
      <c r="N30" s="448">
        <f t="shared" si="12"/>
        <v>476</v>
      </c>
      <c r="O30" s="448">
        <f t="shared" si="12"/>
        <v>468</v>
      </c>
      <c r="P30" s="448">
        <f t="shared" si="12"/>
        <v>464</v>
      </c>
      <c r="Q30" s="448">
        <f t="shared" si="12"/>
        <v>460</v>
      </c>
      <c r="R30" s="448">
        <f t="shared" si="12"/>
        <v>488</v>
      </c>
      <c r="S30" s="448">
        <f t="shared" si="12"/>
        <v>486</v>
      </c>
      <c r="T30" s="448">
        <f t="shared" si="12"/>
        <v>484</v>
      </c>
      <c r="U30" s="448">
        <f t="shared" si="12"/>
        <v>479</v>
      </c>
      <c r="V30" s="448">
        <f t="shared" si="12"/>
        <v>490</v>
      </c>
      <c r="W30" s="448">
        <f t="shared" si="12"/>
        <v>482</v>
      </c>
      <c r="X30" s="448">
        <f t="shared" si="12"/>
        <v>481</v>
      </c>
      <c r="Y30" s="448">
        <f t="shared" si="12"/>
        <v>481</v>
      </c>
      <c r="Z30" s="448">
        <f t="shared" si="12"/>
        <v>539</v>
      </c>
      <c r="AA30" s="448">
        <f t="shared" si="12"/>
        <v>544</v>
      </c>
      <c r="AB30" s="448">
        <f t="shared" si="12"/>
        <v>540</v>
      </c>
      <c r="AC30" s="448">
        <f t="shared" si="12"/>
        <v>540</v>
      </c>
      <c r="AD30" s="448">
        <f t="shared" si="12"/>
        <v>495</v>
      </c>
      <c r="AE30" s="448">
        <f t="shared" si="12"/>
        <v>561</v>
      </c>
      <c r="AF30" s="448">
        <f t="shared" si="12"/>
        <v>559</v>
      </c>
      <c r="AG30" s="448">
        <f t="shared" si="12"/>
        <v>559</v>
      </c>
      <c r="AH30" s="448">
        <f t="shared" si="12"/>
        <v>523</v>
      </c>
      <c r="AI30" s="448">
        <f t="shared" si="12"/>
        <v>520</v>
      </c>
      <c r="AJ30" s="448">
        <f t="shared" si="12"/>
        <v>514</v>
      </c>
      <c r="AK30" s="448">
        <f t="shared" si="12"/>
        <v>514</v>
      </c>
    </row>
    <row r="31" spans="1:37" s="468" customFormat="1" ht="24.9" customHeight="1" x14ac:dyDescent="0.25">
      <c r="A31" s="427"/>
      <c r="B31" s="6" t="s">
        <v>938</v>
      </c>
      <c r="C31" s="427"/>
      <c r="D31" s="427"/>
      <c r="E31" s="427"/>
      <c r="F31" s="448">
        <f>SUMIFS(F$36:F$170,$E$36:$E$170,"=2", $D$36:$D$170,"NO OFICIAL")</f>
        <v>667</v>
      </c>
      <c r="G31" s="448">
        <f t="shared" ref="G31:AK31" si="13">SUMIFS(G$36:G$170,$E$36:$E$170,"=2", $D$36:$D$170,"NO OFICIAL")</f>
        <v>700</v>
      </c>
      <c r="H31" s="448">
        <f t="shared" si="13"/>
        <v>686</v>
      </c>
      <c r="I31" s="448">
        <f t="shared" si="13"/>
        <v>686</v>
      </c>
      <c r="J31" s="448">
        <f t="shared" si="13"/>
        <v>688</v>
      </c>
      <c r="K31" s="448">
        <f t="shared" si="13"/>
        <v>731</v>
      </c>
      <c r="L31" s="448">
        <f t="shared" si="13"/>
        <v>725</v>
      </c>
      <c r="M31" s="448">
        <f t="shared" si="13"/>
        <v>720</v>
      </c>
      <c r="N31" s="448">
        <f t="shared" si="13"/>
        <v>681</v>
      </c>
      <c r="O31" s="448">
        <f t="shared" si="13"/>
        <v>675</v>
      </c>
      <c r="P31" s="448">
        <f t="shared" si="13"/>
        <v>674</v>
      </c>
      <c r="Q31" s="448">
        <f t="shared" si="13"/>
        <v>670</v>
      </c>
      <c r="R31" s="448">
        <f t="shared" si="13"/>
        <v>642</v>
      </c>
      <c r="S31" s="448">
        <f t="shared" si="13"/>
        <v>635</v>
      </c>
      <c r="T31" s="448">
        <f t="shared" si="13"/>
        <v>633</v>
      </c>
      <c r="U31" s="448">
        <f t="shared" si="13"/>
        <v>619</v>
      </c>
      <c r="V31" s="448">
        <f t="shared" si="13"/>
        <v>677</v>
      </c>
      <c r="W31" s="448">
        <f t="shared" si="13"/>
        <v>894</v>
      </c>
      <c r="X31" s="448">
        <f t="shared" si="13"/>
        <v>870</v>
      </c>
      <c r="Y31" s="448">
        <f t="shared" si="13"/>
        <v>870</v>
      </c>
      <c r="Z31" s="448">
        <f t="shared" si="13"/>
        <v>652</v>
      </c>
      <c r="AA31" s="448">
        <f t="shared" si="13"/>
        <v>669</v>
      </c>
      <c r="AB31" s="448">
        <f t="shared" si="13"/>
        <v>663</v>
      </c>
      <c r="AC31" s="448">
        <f t="shared" si="13"/>
        <v>663</v>
      </c>
      <c r="AD31" s="448">
        <f t="shared" si="13"/>
        <v>582</v>
      </c>
      <c r="AE31" s="448">
        <f t="shared" si="13"/>
        <v>716</v>
      </c>
      <c r="AF31" s="448">
        <f t="shared" si="13"/>
        <v>712</v>
      </c>
      <c r="AG31" s="448">
        <f t="shared" si="13"/>
        <v>712</v>
      </c>
      <c r="AH31" s="448">
        <f t="shared" si="13"/>
        <v>705</v>
      </c>
      <c r="AI31" s="448">
        <f t="shared" si="13"/>
        <v>725</v>
      </c>
      <c r="AJ31" s="448">
        <f t="shared" si="13"/>
        <v>716</v>
      </c>
      <c r="AK31" s="448">
        <f t="shared" si="13"/>
        <v>716</v>
      </c>
    </row>
    <row r="32" spans="1:37" s="468" customFormat="1" ht="24.9" customHeight="1" x14ac:dyDescent="0.25">
      <c r="A32" s="427"/>
      <c r="B32" s="6" t="s">
        <v>939</v>
      </c>
      <c r="C32" s="427"/>
      <c r="D32" s="427"/>
      <c r="E32" s="427"/>
      <c r="F32" s="448">
        <f>SUMIFS(F$36:F$170,$E$36:$E$170,"=3", $D$36:$D$170,"NO OFICIAL")</f>
        <v>486</v>
      </c>
      <c r="G32" s="448">
        <f t="shared" ref="G32:AK32" si="14">SUMIFS(G$36:G$170,$E$36:$E$170,"=3", $D$36:$D$170,"NO OFICIAL")</f>
        <v>532</v>
      </c>
      <c r="H32" s="448">
        <f t="shared" si="14"/>
        <v>526</v>
      </c>
      <c r="I32" s="448">
        <f t="shared" si="14"/>
        <v>526</v>
      </c>
      <c r="J32" s="448">
        <f t="shared" si="14"/>
        <v>589</v>
      </c>
      <c r="K32" s="448">
        <f t="shared" si="14"/>
        <v>612</v>
      </c>
      <c r="L32" s="448">
        <f t="shared" si="14"/>
        <v>612</v>
      </c>
      <c r="M32" s="448">
        <f t="shared" si="14"/>
        <v>611</v>
      </c>
      <c r="N32" s="448">
        <f t="shared" si="14"/>
        <v>698</v>
      </c>
      <c r="O32" s="448">
        <f t="shared" si="14"/>
        <v>692</v>
      </c>
      <c r="P32" s="448">
        <f t="shared" si="14"/>
        <v>691</v>
      </c>
      <c r="Q32" s="448">
        <f t="shared" si="14"/>
        <v>684</v>
      </c>
      <c r="R32" s="448">
        <f t="shared" si="14"/>
        <v>671</v>
      </c>
      <c r="S32" s="448">
        <f t="shared" si="14"/>
        <v>697</v>
      </c>
      <c r="T32" s="448">
        <f t="shared" si="14"/>
        <v>692</v>
      </c>
      <c r="U32" s="448">
        <f t="shared" si="14"/>
        <v>680</v>
      </c>
      <c r="V32" s="448">
        <f t="shared" si="14"/>
        <v>752</v>
      </c>
      <c r="W32" s="448">
        <f t="shared" si="14"/>
        <v>744</v>
      </c>
      <c r="X32" s="448">
        <f t="shared" si="14"/>
        <v>737</v>
      </c>
      <c r="Y32" s="448">
        <f t="shared" si="14"/>
        <v>737</v>
      </c>
      <c r="Z32" s="448">
        <f t="shared" si="14"/>
        <v>792</v>
      </c>
      <c r="AA32" s="448">
        <f t="shared" si="14"/>
        <v>789</v>
      </c>
      <c r="AB32" s="448">
        <f t="shared" si="14"/>
        <v>782</v>
      </c>
      <c r="AC32" s="448">
        <f t="shared" si="14"/>
        <v>782</v>
      </c>
      <c r="AD32" s="448">
        <f t="shared" si="14"/>
        <v>816</v>
      </c>
      <c r="AE32" s="448">
        <f t="shared" si="14"/>
        <v>846</v>
      </c>
      <c r="AF32" s="448">
        <f t="shared" si="14"/>
        <v>839</v>
      </c>
      <c r="AG32" s="448">
        <f t="shared" si="14"/>
        <v>839</v>
      </c>
      <c r="AH32" s="448">
        <f t="shared" si="14"/>
        <v>833</v>
      </c>
      <c r="AI32" s="448">
        <f t="shared" si="14"/>
        <v>832</v>
      </c>
      <c r="AJ32" s="448">
        <f t="shared" si="14"/>
        <v>823</v>
      </c>
      <c r="AK32" s="448">
        <f t="shared" si="14"/>
        <v>823</v>
      </c>
    </row>
    <row r="33" spans="1:37" s="468" customFormat="1" ht="24.9" customHeight="1" x14ac:dyDescent="0.25">
      <c r="A33" s="427"/>
      <c r="B33" s="6" t="s">
        <v>940</v>
      </c>
      <c r="C33" s="427"/>
      <c r="D33" s="427"/>
      <c r="E33" s="427"/>
      <c r="F33" s="448">
        <f>SUMIFS(F$36:F$170,$E$36:$E$170,"=4", $D$36:$D$170,"NO OFICIAL")</f>
        <v>158</v>
      </c>
      <c r="G33" s="448">
        <f t="shared" ref="G33:AK33" si="15">SUMIFS(G$36:G$170,$E$36:$E$170,"=4", $D$36:$D$170,"NO OFICIAL")</f>
        <v>209</v>
      </c>
      <c r="H33" s="448">
        <f t="shared" si="15"/>
        <v>204</v>
      </c>
      <c r="I33" s="448">
        <f t="shared" si="15"/>
        <v>204</v>
      </c>
      <c r="J33" s="448">
        <f t="shared" si="15"/>
        <v>186</v>
      </c>
      <c r="K33" s="448">
        <f t="shared" si="15"/>
        <v>230</v>
      </c>
      <c r="L33" s="448">
        <f t="shared" si="15"/>
        <v>224</v>
      </c>
      <c r="M33" s="448">
        <f t="shared" si="15"/>
        <v>222</v>
      </c>
      <c r="N33" s="448">
        <f t="shared" si="15"/>
        <v>173</v>
      </c>
      <c r="O33" s="448">
        <f t="shared" si="15"/>
        <v>178</v>
      </c>
      <c r="P33" s="448">
        <f t="shared" si="15"/>
        <v>177</v>
      </c>
      <c r="Q33" s="448">
        <f t="shared" si="15"/>
        <v>175</v>
      </c>
      <c r="R33" s="448">
        <f t="shared" si="15"/>
        <v>177</v>
      </c>
      <c r="S33" s="448">
        <f t="shared" si="15"/>
        <v>232</v>
      </c>
      <c r="T33" s="448">
        <f t="shared" si="15"/>
        <v>230</v>
      </c>
      <c r="U33" s="448">
        <f t="shared" si="15"/>
        <v>228</v>
      </c>
      <c r="V33" s="448">
        <f t="shared" si="15"/>
        <v>180</v>
      </c>
      <c r="W33" s="448">
        <f t="shared" si="15"/>
        <v>171</v>
      </c>
      <c r="X33" s="448">
        <f t="shared" si="15"/>
        <v>169</v>
      </c>
      <c r="Y33" s="448">
        <f t="shared" si="15"/>
        <v>169</v>
      </c>
      <c r="Z33" s="448">
        <f t="shared" si="15"/>
        <v>173</v>
      </c>
      <c r="AA33" s="448">
        <f t="shared" si="15"/>
        <v>181</v>
      </c>
      <c r="AB33" s="448">
        <f t="shared" si="15"/>
        <v>179</v>
      </c>
      <c r="AC33" s="448">
        <f t="shared" si="15"/>
        <v>179</v>
      </c>
      <c r="AD33" s="448">
        <f t="shared" si="15"/>
        <v>110</v>
      </c>
      <c r="AE33" s="448">
        <f t="shared" si="15"/>
        <v>228</v>
      </c>
      <c r="AF33" s="448">
        <f t="shared" si="15"/>
        <v>225</v>
      </c>
      <c r="AG33" s="448">
        <f t="shared" si="15"/>
        <v>225</v>
      </c>
      <c r="AH33" s="448">
        <f t="shared" si="15"/>
        <v>247</v>
      </c>
      <c r="AI33" s="448">
        <f t="shared" si="15"/>
        <v>259</v>
      </c>
      <c r="AJ33" s="448">
        <f t="shared" si="15"/>
        <v>256</v>
      </c>
      <c r="AK33" s="448">
        <f t="shared" si="15"/>
        <v>256</v>
      </c>
    </row>
    <row r="34" spans="1:37" s="468" customFormat="1" ht="24.9" customHeight="1" x14ac:dyDescent="0.25">
      <c r="A34" s="427"/>
      <c r="B34" s="6" t="s">
        <v>941</v>
      </c>
      <c r="C34" s="427"/>
      <c r="D34" s="427"/>
      <c r="E34" s="427"/>
      <c r="F34" s="448">
        <f>SUMIFS(F$36:F$170,$E$36:$E$170,"=5", $D$36:$D$170,"NO OFICIAL")</f>
        <v>594</v>
      </c>
      <c r="G34" s="448">
        <f t="shared" ref="G34:AK34" si="16">SUMIFS(G$36:G$170,$E$36:$E$170,"=5", $D$36:$D$170,"NO OFICIAL")</f>
        <v>641</v>
      </c>
      <c r="H34" s="448">
        <f t="shared" si="16"/>
        <v>634</v>
      </c>
      <c r="I34" s="448">
        <f t="shared" si="16"/>
        <v>634</v>
      </c>
      <c r="J34" s="448">
        <f t="shared" si="16"/>
        <v>579</v>
      </c>
      <c r="K34" s="448">
        <f t="shared" si="16"/>
        <v>594</v>
      </c>
      <c r="L34" s="448">
        <f t="shared" si="16"/>
        <v>592</v>
      </c>
      <c r="M34" s="448">
        <f t="shared" si="16"/>
        <v>591</v>
      </c>
      <c r="N34" s="448">
        <f t="shared" si="16"/>
        <v>642</v>
      </c>
      <c r="O34" s="448">
        <f t="shared" si="16"/>
        <v>641</v>
      </c>
      <c r="P34" s="448">
        <f t="shared" si="16"/>
        <v>640</v>
      </c>
      <c r="Q34" s="448">
        <f t="shared" si="16"/>
        <v>639</v>
      </c>
      <c r="R34" s="448">
        <f t="shared" si="16"/>
        <v>637</v>
      </c>
      <c r="S34" s="448">
        <f t="shared" si="16"/>
        <v>630</v>
      </c>
      <c r="T34" s="448">
        <f t="shared" si="16"/>
        <v>630</v>
      </c>
      <c r="U34" s="448">
        <f t="shared" si="16"/>
        <v>625</v>
      </c>
      <c r="V34" s="448">
        <f t="shared" si="16"/>
        <v>668</v>
      </c>
      <c r="W34" s="448">
        <f t="shared" si="16"/>
        <v>659</v>
      </c>
      <c r="X34" s="448">
        <f t="shared" si="16"/>
        <v>659</v>
      </c>
      <c r="Y34" s="448">
        <f t="shared" si="16"/>
        <v>659</v>
      </c>
      <c r="Z34" s="448">
        <f t="shared" si="16"/>
        <v>687</v>
      </c>
      <c r="AA34" s="448">
        <f t="shared" si="16"/>
        <v>681</v>
      </c>
      <c r="AB34" s="448">
        <f t="shared" si="16"/>
        <v>678</v>
      </c>
      <c r="AC34" s="448">
        <f t="shared" si="16"/>
        <v>678</v>
      </c>
      <c r="AD34" s="448">
        <f t="shared" si="16"/>
        <v>708</v>
      </c>
      <c r="AE34" s="448">
        <f t="shared" si="16"/>
        <v>693</v>
      </c>
      <c r="AF34" s="448">
        <f t="shared" si="16"/>
        <v>691</v>
      </c>
      <c r="AG34" s="448">
        <f t="shared" si="16"/>
        <v>691</v>
      </c>
      <c r="AH34" s="448">
        <f t="shared" si="16"/>
        <v>748</v>
      </c>
      <c r="AI34" s="448">
        <f t="shared" si="16"/>
        <v>739</v>
      </c>
      <c r="AJ34" s="448">
        <f t="shared" si="16"/>
        <v>734</v>
      </c>
      <c r="AK34" s="448">
        <f t="shared" si="16"/>
        <v>734</v>
      </c>
    </row>
    <row r="35" spans="1:37" s="468" customFormat="1" ht="24.9" customHeight="1" x14ac:dyDescent="0.25">
      <c r="A35" s="427"/>
      <c r="B35" s="6" t="s">
        <v>942</v>
      </c>
      <c r="C35" s="427"/>
      <c r="D35" s="427"/>
      <c r="E35" s="427"/>
      <c r="F35" s="448">
        <f>SUMIFS(F$36:F$170,$E$36:$E$170,"=6", $D$36:$D$170,"NO OFICIAL")</f>
        <v>480</v>
      </c>
      <c r="G35" s="448">
        <f t="shared" ref="G35:AK35" si="17">SUMIFS(G$36:G$170,$E$36:$E$170,"=6", $D$36:$D$170,"NO OFICIAL")</f>
        <v>515</v>
      </c>
      <c r="H35" s="448">
        <f t="shared" si="17"/>
        <v>504</v>
      </c>
      <c r="I35" s="448">
        <f t="shared" si="17"/>
        <v>504</v>
      </c>
      <c r="J35" s="448">
        <f t="shared" si="17"/>
        <v>522</v>
      </c>
      <c r="K35" s="448">
        <f t="shared" si="17"/>
        <v>536</v>
      </c>
      <c r="L35" s="448">
        <f t="shared" si="17"/>
        <v>533</v>
      </c>
      <c r="M35" s="448">
        <f t="shared" si="17"/>
        <v>523</v>
      </c>
      <c r="N35" s="448">
        <f t="shared" si="17"/>
        <v>511</v>
      </c>
      <c r="O35" s="448">
        <f t="shared" si="17"/>
        <v>512</v>
      </c>
      <c r="P35" s="448">
        <f t="shared" si="17"/>
        <v>512</v>
      </c>
      <c r="Q35" s="448">
        <f t="shared" si="17"/>
        <v>496</v>
      </c>
      <c r="R35" s="448">
        <f t="shared" si="17"/>
        <v>600</v>
      </c>
      <c r="S35" s="448">
        <f t="shared" si="17"/>
        <v>602</v>
      </c>
      <c r="T35" s="448">
        <f t="shared" si="17"/>
        <v>601</v>
      </c>
      <c r="U35" s="448">
        <f t="shared" si="17"/>
        <v>578</v>
      </c>
      <c r="V35" s="448">
        <f t="shared" si="17"/>
        <v>635</v>
      </c>
      <c r="W35" s="448">
        <f t="shared" si="17"/>
        <v>628</v>
      </c>
      <c r="X35" s="448">
        <f t="shared" si="17"/>
        <v>625</v>
      </c>
      <c r="Y35" s="448">
        <f t="shared" si="17"/>
        <v>625</v>
      </c>
      <c r="Z35" s="448">
        <f t="shared" si="17"/>
        <v>524</v>
      </c>
      <c r="AA35" s="448">
        <f t="shared" si="17"/>
        <v>663</v>
      </c>
      <c r="AB35" s="448">
        <f t="shared" si="17"/>
        <v>653</v>
      </c>
      <c r="AC35" s="448">
        <f t="shared" si="17"/>
        <v>653</v>
      </c>
      <c r="AD35" s="448">
        <f t="shared" si="17"/>
        <v>775</v>
      </c>
      <c r="AE35" s="448">
        <f t="shared" si="17"/>
        <v>783</v>
      </c>
      <c r="AF35" s="448">
        <f t="shared" si="17"/>
        <v>773</v>
      </c>
      <c r="AG35" s="448">
        <f t="shared" si="17"/>
        <v>773</v>
      </c>
      <c r="AH35" s="448">
        <f t="shared" si="17"/>
        <v>708</v>
      </c>
      <c r="AI35" s="448">
        <f t="shared" si="17"/>
        <v>714</v>
      </c>
      <c r="AJ35" s="448">
        <f t="shared" si="17"/>
        <v>706</v>
      </c>
      <c r="AK35" s="448">
        <f t="shared" si="17"/>
        <v>706</v>
      </c>
    </row>
    <row r="36" spans="1:37" ht="24.9" customHeight="1" x14ac:dyDescent="0.25">
      <c r="A36" s="1" t="s">
        <v>28</v>
      </c>
      <c r="B36" s="1" t="s">
        <v>0</v>
      </c>
      <c r="C36" s="1" t="s">
        <v>29</v>
      </c>
      <c r="D36" s="1" t="s">
        <v>222</v>
      </c>
      <c r="E36" s="2">
        <v>2</v>
      </c>
      <c r="F36" s="95">
        <v>69</v>
      </c>
      <c r="G36" s="95">
        <v>73</v>
      </c>
      <c r="H36" s="95">
        <v>72</v>
      </c>
      <c r="I36" s="95">
        <v>72</v>
      </c>
      <c r="J36" s="61">
        <v>87</v>
      </c>
      <c r="K36" s="61">
        <v>87</v>
      </c>
      <c r="L36" s="61">
        <v>87</v>
      </c>
      <c r="M36" s="61">
        <v>87</v>
      </c>
      <c r="N36" s="2">
        <v>62</v>
      </c>
      <c r="O36" s="2">
        <v>65</v>
      </c>
      <c r="P36" s="2">
        <v>65</v>
      </c>
      <c r="Q36" s="2">
        <v>65</v>
      </c>
      <c r="R36" s="95">
        <v>77</v>
      </c>
      <c r="S36" s="95">
        <v>71</v>
      </c>
      <c r="T36" s="95">
        <v>71</v>
      </c>
      <c r="U36" s="95">
        <v>71</v>
      </c>
      <c r="V36" s="61">
        <v>62</v>
      </c>
      <c r="W36" s="61">
        <v>60</v>
      </c>
      <c r="X36" s="61">
        <v>59</v>
      </c>
      <c r="Y36" s="61">
        <v>59</v>
      </c>
      <c r="Z36" s="348" t="s">
        <v>500</v>
      </c>
      <c r="AA36" s="348" t="s">
        <v>440</v>
      </c>
      <c r="AB36" s="348" t="s">
        <v>500</v>
      </c>
      <c r="AC36" s="348" t="s">
        <v>500</v>
      </c>
    </row>
    <row r="37" spans="1:37" ht="24.9" customHeight="1" x14ac:dyDescent="0.25">
      <c r="A37" s="15" t="s">
        <v>274</v>
      </c>
      <c r="B37" s="1" t="s">
        <v>0</v>
      </c>
      <c r="C37" s="15" t="s">
        <v>272</v>
      </c>
      <c r="D37" s="15" t="s">
        <v>222</v>
      </c>
      <c r="E37" s="2">
        <v>2</v>
      </c>
      <c r="F37" s="2"/>
      <c r="G37" s="2"/>
      <c r="J37" s="61"/>
      <c r="K37" s="61"/>
      <c r="L37" s="61"/>
      <c r="M37" s="61"/>
      <c r="N37" s="2"/>
      <c r="O37" s="2"/>
      <c r="P37" s="2"/>
      <c r="Q37" s="2"/>
      <c r="R37" s="2"/>
      <c r="S37" s="2"/>
      <c r="T37" s="2"/>
      <c r="U37" s="2"/>
      <c r="V37" s="61">
        <v>0</v>
      </c>
      <c r="W37" s="61">
        <v>2</v>
      </c>
      <c r="X37" s="61">
        <v>2</v>
      </c>
      <c r="Y37" s="61">
        <v>2</v>
      </c>
      <c r="Z37" s="349">
        <v>0</v>
      </c>
      <c r="AA37" s="349">
        <v>2</v>
      </c>
      <c r="AB37" s="349">
        <v>1</v>
      </c>
      <c r="AC37" s="349">
        <v>1</v>
      </c>
      <c r="AD37" s="469">
        <v>0</v>
      </c>
      <c r="AE37" s="469">
        <v>3</v>
      </c>
      <c r="AF37" s="469">
        <v>3</v>
      </c>
      <c r="AG37" s="469">
        <v>3</v>
      </c>
      <c r="AH37" s="630">
        <v>0</v>
      </c>
      <c r="AI37" s="630">
        <v>1</v>
      </c>
      <c r="AJ37" s="630">
        <v>1</v>
      </c>
      <c r="AK37" s="630">
        <v>1</v>
      </c>
    </row>
    <row r="38" spans="1:37" s="461" customFormat="1" ht="24.9" customHeight="1" x14ac:dyDescent="0.25">
      <c r="A38" s="470" t="s">
        <v>951</v>
      </c>
      <c r="B38" s="470" t="s">
        <v>0</v>
      </c>
      <c r="C38" s="476" t="s">
        <v>952</v>
      </c>
      <c r="D38" s="15" t="s">
        <v>222</v>
      </c>
      <c r="E38" s="471">
        <v>2</v>
      </c>
      <c r="F38" s="471"/>
      <c r="G38" s="471"/>
      <c r="J38" s="472"/>
      <c r="K38" s="472"/>
      <c r="L38" s="472"/>
      <c r="M38" s="472"/>
      <c r="N38" s="471"/>
      <c r="O38" s="471"/>
      <c r="P38" s="471"/>
      <c r="Q38" s="471"/>
      <c r="R38" s="471"/>
      <c r="S38" s="471"/>
      <c r="T38" s="471"/>
      <c r="U38" s="471"/>
      <c r="V38" s="472"/>
      <c r="W38" s="472"/>
      <c r="X38" s="472"/>
      <c r="Y38" s="472"/>
      <c r="Z38" s="475"/>
      <c r="AA38" s="475"/>
      <c r="AB38" s="475"/>
      <c r="AC38" s="475"/>
      <c r="AD38" s="469">
        <v>0</v>
      </c>
      <c r="AE38" s="469">
        <v>9</v>
      </c>
      <c r="AF38" s="469">
        <v>8</v>
      </c>
      <c r="AG38" s="469">
        <v>8</v>
      </c>
      <c r="AH38" s="630">
        <v>0</v>
      </c>
      <c r="AI38" s="630">
        <v>5</v>
      </c>
      <c r="AJ38" s="630">
        <v>4</v>
      </c>
      <c r="AK38" s="630">
        <v>4</v>
      </c>
    </row>
    <row r="39" spans="1:37" ht="24.9" customHeight="1" x14ac:dyDescent="0.25">
      <c r="A39" s="14">
        <v>325754001042</v>
      </c>
      <c r="B39" s="1" t="s">
        <v>0</v>
      </c>
      <c r="C39" s="1" t="s">
        <v>34</v>
      </c>
      <c r="D39" s="1" t="s">
        <v>222</v>
      </c>
      <c r="E39" s="2">
        <v>3</v>
      </c>
      <c r="F39" s="95">
        <v>51</v>
      </c>
      <c r="G39" s="95">
        <v>59</v>
      </c>
      <c r="H39" s="95">
        <v>58</v>
      </c>
      <c r="I39" s="95">
        <v>58</v>
      </c>
      <c r="J39" s="61">
        <v>57</v>
      </c>
      <c r="K39" s="61">
        <v>60</v>
      </c>
      <c r="L39" s="61">
        <v>60</v>
      </c>
      <c r="M39" s="61">
        <v>60</v>
      </c>
      <c r="N39" s="2">
        <v>47</v>
      </c>
      <c r="O39" s="2">
        <v>47</v>
      </c>
      <c r="P39" s="2">
        <v>47</v>
      </c>
      <c r="Q39" s="2">
        <v>46</v>
      </c>
      <c r="R39" s="95">
        <v>51</v>
      </c>
      <c r="S39" s="95">
        <v>48</v>
      </c>
      <c r="T39" s="95">
        <v>48</v>
      </c>
      <c r="U39" s="95">
        <v>48</v>
      </c>
      <c r="V39" s="61">
        <v>42</v>
      </c>
      <c r="W39" s="61">
        <v>42</v>
      </c>
      <c r="X39" s="61">
        <v>42</v>
      </c>
      <c r="Y39" s="61">
        <v>42</v>
      </c>
      <c r="Z39" s="349">
        <v>40</v>
      </c>
      <c r="AA39" s="349">
        <v>40</v>
      </c>
      <c r="AB39" s="349">
        <v>40</v>
      </c>
      <c r="AC39" s="349">
        <v>40</v>
      </c>
      <c r="AD39" s="469">
        <v>33</v>
      </c>
      <c r="AE39" s="469">
        <v>34</v>
      </c>
      <c r="AF39" s="469">
        <v>34</v>
      </c>
      <c r="AG39" s="469">
        <v>34</v>
      </c>
      <c r="AH39" s="630">
        <v>25</v>
      </c>
      <c r="AI39" s="630">
        <v>25</v>
      </c>
      <c r="AJ39" s="630">
        <v>25</v>
      </c>
      <c r="AK39" s="630">
        <v>25</v>
      </c>
    </row>
    <row r="40" spans="1:37" ht="24.9" customHeight="1" x14ac:dyDescent="0.25">
      <c r="A40" s="1" t="s">
        <v>55</v>
      </c>
      <c r="B40" s="1" t="s">
        <v>0</v>
      </c>
      <c r="C40" s="15" t="s">
        <v>273</v>
      </c>
      <c r="D40" s="1" t="s">
        <v>222</v>
      </c>
      <c r="E40" s="2">
        <v>4</v>
      </c>
      <c r="F40" s="95">
        <v>45</v>
      </c>
      <c r="G40" s="95">
        <v>46</v>
      </c>
      <c r="H40" s="95">
        <v>46</v>
      </c>
      <c r="I40" s="95">
        <v>46</v>
      </c>
      <c r="J40" s="61">
        <v>46</v>
      </c>
      <c r="K40" s="61">
        <v>45</v>
      </c>
      <c r="L40" s="61">
        <v>45</v>
      </c>
      <c r="M40" s="61">
        <v>44</v>
      </c>
      <c r="N40" s="2">
        <v>39</v>
      </c>
      <c r="O40" s="2">
        <v>39</v>
      </c>
      <c r="P40" s="2">
        <v>39</v>
      </c>
      <c r="Q40" s="2">
        <v>37</v>
      </c>
      <c r="R40" s="95">
        <v>42</v>
      </c>
      <c r="S40" s="95">
        <v>42</v>
      </c>
      <c r="T40" s="95">
        <v>42</v>
      </c>
      <c r="U40" s="95">
        <v>42</v>
      </c>
      <c r="V40" s="61">
        <v>42</v>
      </c>
      <c r="W40" s="61">
        <v>41</v>
      </c>
      <c r="X40" s="61">
        <v>40</v>
      </c>
      <c r="Y40" s="61">
        <v>40</v>
      </c>
      <c r="Z40" s="349">
        <v>42</v>
      </c>
      <c r="AA40" s="349">
        <v>42</v>
      </c>
      <c r="AB40" s="349">
        <v>41</v>
      </c>
      <c r="AC40" s="349">
        <v>41</v>
      </c>
      <c r="AD40" s="469">
        <v>46</v>
      </c>
      <c r="AE40" s="469">
        <v>46</v>
      </c>
      <c r="AF40" s="469">
        <v>46</v>
      </c>
      <c r="AG40" s="469">
        <v>46</v>
      </c>
      <c r="AH40" s="630">
        <v>41</v>
      </c>
      <c r="AI40" s="630">
        <v>39</v>
      </c>
      <c r="AJ40" s="630">
        <v>39</v>
      </c>
      <c r="AK40" s="630">
        <v>39</v>
      </c>
    </row>
    <row r="41" spans="1:37" ht="24.9" customHeight="1" x14ac:dyDescent="0.25">
      <c r="A41" s="14">
        <v>325754002057</v>
      </c>
      <c r="B41" s="1" t="s">
        <v>0</v>
      </c>
      <c r="C41" s="1" t="s">
        <v>296</v>
      </c>
      <c r="D41" s="1" t="s">
        <v>222</v>
      </c>
      <c r="E41" s="2">
        <v>5</v>
      </c>
      <c r="F41" s="2"/>
      <c r="G41" s="2"/>
      <c r="J41" s="61"/>
      <c r="K41" s="61"/>
      <c r="L41" s="61"/>
      <c r="M41" s="61"/>
      <c r="N41" s="2">
        <v>18</v>
      </c>
      <c r="O41" s="2">
        <v>19</v>
      </c>
      <c r="P41" s="2">
        <v>18</v>
      </c>
      <c r="Q41" s="2">
        <v>18</v>
      </c>
      <c r="R41" s="95">
        <v>16</v>
      </c>
      <c r="S41" s="95">
        <v>16</v>
      </c>
      <c r="T41" s="95">
        <v>16</v>
      </c>
      <c r="U41" s="95">
        <v>15</v>
      </c>
      <c r="V41" s="61">
        <v>24</v>
      </c>
      <c r="W41" s="61">
        <v>23</v>
      </c>
      <c r="X41" s="61">
        <v>23</v>
      </c>
      <c r="Y41" s="61">
        <v>23</v>
      </c>
      <c r="Z41" s="349">
        <v>25</v>
      </c>
      <c r="AA41" s="349">
        <v>27</v>
      </c>
      <c r="AB41" s="349">
        <v>27</v>
      </c>
      <c r="AC41" s="349">
        <v>27</v>
      </c>
      <c r="AD41" s="469">
        <v>15</v>
      </c>
      <c r="AE41" s="469">
        <v>13</v>
      </c>
      <c r="AF41" s="469">
        <v>13</v>
      </c>
      <c r="AG41" s="469">
        <v>13</v>
      </c>
      <c r="AH41" s="630">
        <v>24</v>
      </c>
      <c r="AI41" s="630">
        <v>22</v>
      </c>
      <c r="AJ41" s="630">
        <v>22</v>
      </c>
      <c r="AK41" s="630">
        <v>22</v>
      </c>
    </row>
    <row r="42" spans="1:37" ht="24.9" customHeight="1" x14ac:dyDescent="0.25">
      <c r="A42" s="15" t="s">
        <v>275</v>
      </c>
      <c r="B42" s="1" t="s">
        <v>0</v>
      </c>
      <c r="C42" s="15" t="s">
        <v>269</v>
      </c>
      <c r="D42" s="15" t="s">
        <v>222</v>
      </c>
      <c r="E42" s="2">
        <v>6</v>
      </c>
      <c r="F42" s="2"/>
      <c r="G42" s="2"/>
      <c r="J42" s="61"/>
      <c r="K42" s="61"/>
      <c r="L42" s="61"/>
      <c r="M42" s="61"/>
      <c r="N42" s="2"/>
      <c r="O42" s="2"/>
      <c r="P42" s="2"/>
      <c r="Q42" s="2"/>
      <c r="R42" s="2"/>
      <c r="S42" s="2"/>
      <c r="T42" s="2"/>
      <c r="U42" s="2"/>
      <c r="V42" s="61">
        <v>2</v>
      </c>
      <c r="W42" s="61">
        <v>2</v>
      </c>
      <c r="X42" s="61">
        <v>2</v>
      </c>
      <c r="Y42" s="61">
        <v>2</v>
      </c>
      <c r="Z42" s="349">
        <v>1</v>
      </c>
      <c r="AA42" s="349">
        <v>1</v>
      </c>
      <c r="AB42" s="349">
        <v>1</v>
      </c>
      <c r="AC42" s="349">
        <v>1</v>
      </c>
      <c r="AD42" s="469">
        <v>4</v>
      </c>
      <c r="AE42" s="469">
        <v>4</v>
      </c>
      <c r="AF42" s="469">
        <v>4</v>
      </c>
      <c r="AG42" s="469">
        <v>4</v>
      </c>
      <c r="AH42" s="630">
        <v>13</v>
      </c>
      <c r="AI42" s="630">
        <v>13</v>
      </c>
      <c r="AJ42" s="630">
        <v>13</v>
      </c>
      <c r="AK42" s="630">
        <v>13</v>
      </c>
    </row>
    <row r="43" spans="1:37" s="461" customFormat="1" ht="24.9" customHeight="1" x14ac:dyDescent="0.25">
      <c r="A43" s="470" t="s">
        <v>953</v>
      </c>
      <c r="B43" s="470" t="s">
        <v>0</v>
      </c>
      <c r="C43" s="477" t="s">
        <v>954</v>
      </c>
      <c r="D43" s="1" t="s">
        <v>222</v>
      </c>
      <c r="E43" s="2">
        <v>2</v>
      </c>
      <c r="F43" s="471"/>
      <c r="G43" s="471"/>
      <c r="J43" s="472"/>
      <c r="K43" s="472"/>
      <c r="L43" s="472"/>
      <c r="M43" s="472"/>
      <c r="N43" s="471"/>
      <c r="O43" s="471"/>
      <c r="P43" s="471"/>
      <c r="Q43" s="471"/>
      <c r="R43" s="471"/>
      <c r="S43" s="471"/>
      <c r="T43" s="471"/>
      <c r="U43" s="471"/>
      <c r="V43" s="472"/>
      <c r="W43" s="472"/>
      <c r="X43" s="472"/>
      <c r="Y43" s="472"/>
      <c r="Z43" s="473"/>
      <c r="AA43" s="473"/>
      <c r="AB43" s="473"/>
      <c r="AC43" s="473"/>
      <c r="AD43" s="469">
        <v>3</v>
      </c>
      <c r="AE43" s="469">
        <v>3</v>
      </c>
      <c r="AF43" s="469">
        <v>3</v>
      </c>
      <c r="AG43" s="469">
        <v>3</v>
      </c>
      <c r="AH43" s="630">
        <v>8</v>
      </c>
      <c r="AI43" s="630">
        <v>7</v>
      </c>
      <c r="AJ43" s="630">
        <v>7</v>
      </c>
      <c r="AK43" s="630">
        <v>7</v>
      </c>
    </row>
    <row r="44" spans="1:37" ht="24.9" customHeight="1" x14ac:dyDescent="0.25">
      <c r="A44" s="14">
        <v>325754004980</v>
      </c>
      <c r="B44" s="1" t="s">
        <v>0</v>
      </c>
      <c r="C44" s="1" t="s">
        <v>190</v>
      </c>
      <c r="D44" s="15" t="s">
        <v>222</v>
      </c>
      <c r="E44" s="471">
        <v>2</v>
      </c>
      <c r="F44" s="95">
        <v>0</v>
      </c>
      <c r="G44" s="95">
        <v>1</v>
      </c>
      <c r="H44" s="95">
        <v>1</v>
      </c>
      <c r="I44" s="95">
        <v>1</v>
      </c>
      <c r="J44" s="61"/>
      <c r="K44" s="61"/>
      <c r="L44" s="61"/>
      <c r="M44" s="61"/>
      <c r="N44" s="2"/>
      <c r="O44" s="2"/>
      <c r="P44" s="2"/>
      <c r="Q44" s="2"/>
      <c r="R44" s="2"/>
      <c r="S44" s="2"/>
      <c r="T44" s="2"/>
      <c r="U44" s="2"/>
      <c r="V44" s="61">
        <v>0</v>
      </c>
      <c r="W44" s="61">
        <v>1</v>
      </c>
      <c r="X44" s="61">
        <v>1</v>
      </c>
      <c r="Y44" s="61">
        <v>1</v>
      </c>
      <c r="AH44" s="630"/>
      <c r="AI44" s="630"/>
      <c r="AJ44" s="630"/>
      <c r="AK44" s="630"/>
    </row>
    <row r="45" spans="1:37" ht="24.9" customHeight="1" x14ac:dyDescent="0.25">
      <c r="A45" s="14" t="s">
        <v>62</v>
      </c>
      <c r="B45" s="1" t="s">
        <v>0</v>
      </c>
      <c r="C45" s="1" t="s">
        <v>63</v>
      </c>
      <c r="D45" s="1" t="s">
        <v>222</v>
      </c>
      <c r="E45" s="2">
        <v>4</v>
      </c>
      <c r="F45" s="95">
        <v>10</v>
      </c>
      <c r="G45" s="95">
        <v>10</v>
      </c>
      <c r="H45" s="95">
        <v>10</v>
      </c>
      <c r="I45" s="95">
        <v>10</v>
      </c>
      <c r="J45" s="61">
        <v>5</v>
      </c>
      <c r="K45" s="61">
        <v>5</v>
      </c>
      <c r="L45" s="61">
        <v>5</v>
      </c>
      <c r="M45" s="61">
        <v>5</v>
      </c>
      <c r="N45" s="2">
        <v>10</v>
      </c>
      <c r="O45" s="2">
        <v>11</v>
      </c>
      <c r="P45" s="2">
        <v>11</v>
      </c>
      <c r="Q45" s="2">
        <v>11</v>
      </c>
      <c r="R45" s="95">
        <v>10</v>
      </c>
      <c r="S45" s="95">
        <v>10</v>
      </c>
      <c r="T45" s="95">
        <v>10</v>
      </c>
      <c r="U45" s="95">
        <v>10</v>
      </c>
      <c r="V45" s="61">
        <v>13</v>
      </c>
      <c r="W45" s="61">
        <v>13</v>
      </c>
      <c r="X45" s="61">
        <v>13</v>
      </c>
      <c r="Y45" s="61">
        <v>13</v>
      </c>
      <c r="Z45" s="348" t="s">
        <v>534</v>
      </c>
      <c r="AA45" s="348" t="s">
        <v>535</v>
      </c>
      <c r="AB45" s="348" t="s">
        <v>547</v>
      </c>
      <c r="AC45" s="348" t="s">
        <v>547</v>
      </c>
      <c r="AD45" s="469">
        <v>2</v>
      </c>
      <c r="AE45" s="469">
        <v>26</v>
      </c>
      <c r="AF45" s="469">
        <v>25</v>
      </c>
      <c r="AG45" s="469">
        <v>25</v>
      </c>
      <c r="AH45" s="630">
        <v>19</v>
      </c>
      <c r="AI45" s="630">
        <v>19</v>
      </c>
      <c r="AJ45" s="630">
        <v>19</v>
      </c>
      <c r="AK45" s="630">
        <v>19</v>
      </c>
    </row>
    <row r="46" spans="1:37" ht="24.9" customHeight="1" x14ac:dyDescent="0.25">
      <c r="A46" s="1" t="s">
        <v>43</v>
      </c>
      <c r="B46" s="1" t="s">
        <v>0</v>
      </c>
      <c r="C46" s="1" t="s">
        <v>44</v>
      </c>
      <c r="D46" s="1" t="s">
        <v>222</v>
      </c>
      <c r="E46" s="2">
        <v>1</v>
      </c>
      <c r="F46" s="95">
        <v>12</v>
      </c>
      <c r="G46" s="95">
        <v>16</v>
      </c>
      <c r="H46" s="95">
        <v>15</v>
      </c>
      <c r="I46" s="95">
        <v>15</v>
      </c>
      <c r="J46" s="61"/>
      <c r="K46" s="61"/>
      <c r="L46" s="61"/>
      <c r="M46" s="61"/>
      <c r="N46" s="2"/>
      <c r="O46" s="2"/>
      <c r="P46" s="2"/>
      <c r="Q46" s="2"/>
      <c r="R46" s="2"/>
      <c r="S46" s="2"/>
      <c r="T46" s="2"/>
      <c r="U46" s="2"/>
      <c r="V46" s="61"/>
      <c r="W46" s="61"/>
      <c r="X46" s="61"/>
      <c r="Y46" s="61"/>
    </row>
    <row r="47" spans="1:37" ht="24.9" customHeight="1" x14ac:dyDescent="0.25">
      <c r="A47" s="1" t="s">
        <v>68</v>
      </c>
      <c r="B47" s="1" t="s">
        <v>0</v>
      </c>
      <c r="C47" s="1" t="s">
        <v>69</v>
      </c>
      <c r="D47" s="1" t="s">
        <v>222</v>
      </c>
      <c r="E47" s="2">
        <v>2</v>
      </c>
      <c r="F47" s="95">
        <v>12</v>
      </c>
      <c r="G47" s="95">
        <v>12</v>
      </c>
      <c r="H47" s="95">
        <v>12</v>
      </c>
      <c r="I47" s="95">
        <v>12</v>
      </c>
      <c r="J47" s="61"/>
      <c r="K47" s="61"/>
      <c r="L47" s="61"/>
      <c r="M47" s="61"/>
      <c r="N47" s="2">
        <v>9</v>
      </c>
      <c r="O47" s="2">
        <v>8</v>
      </c>
      <c r="P47" s="2">
        <v>8</v>
      </c>
      <c r="Q47" s="2">
        <v>7</v>
      </c>
      <c r="R47" s="95">
        <v>15</v>
      </c>
      <c r="S47" s="95">
        <v>14</v>
      </c>
      <c r="T47" s="95">
        <v>14</v>
      </c>
      <c r="U47" s="95">
        <v>13</v>
      </c>
      <c r="V47" s="61">
        <v>8</v>
      </c>
      <c r="W47" s="61">
        <v>6</v>
      </c>
      <c r="X47" s="61">
        <v>6</v>
      </c>
      <c r="Y47" s="61">
        <v>6</v>
      </c>
      <c r="Z47" s="349">
        <v>10</v>
      </c>
      <c r="AA47" s="349">
        <v>12</v>
      </c>
      <c r="AB47" s="349">
        <v>12</v>
      </c>
      <c r="AC47" s="349">
        <v>12</v>
      </c>
      <c r="AH47" s="630">
        <v>6</v>
      </c>
      <c r="AI47" s="630">
        <v>7</v>
      </c>
      <c r="AJ47" s="630">
        <v>7</v>
      </c>
      <c r="AK47" s="630">
        <v>7</v>
      </c>
    </row>
    <row r="48" spans="1:37" ht="24.9" customHeight="1" x14ac:dyDescent="0.25">
      <c r="A48" s="15" t="s">
        <v>276</v>
      </c>
      <c r="B48" s="1" t="s">
        <v>0</v>
      </c>
      <c r="C48" s="15" t="s">
        <v>270</v>
      </c>
      <c r="D48" s="1" t="s">
        <v>222</v>
      </c>
      <c r="E48" s="2">
        <v>6</v>
      </c>
      <c r="F48" s="2"/>
      <c r="G48" s="2"/>
      <c r="J48" s="61"/>
      <c r="K48" s="61"/>
      <c r="L48" s="61"/>
      <c r="M48" s="61"/>
      <c r="N48" s="2"/>
      <c r="O48" s="2"/>
      <c r="P48" s="2"/>
      <c r="Q48" s="2"/>
      <c r="R48" s="2"/>
      <c r="S48" s="2"/>
      <c r="T48" s="2"/>
      <c r="U48" s="2"/>
      <c r="V48" s="61">
        <v>27</v>
      </c>
      <c r="W48" s="61">
        <v>26</v>
      </c>
      <c r="X48" s="61">
        <v>26</v>
      </c>
      <c r="Y48" s="61">
        <v>26</v>
      </c>
      <c r="Z48" s="349">
        <v>19</v>
      </c>
      <c r="AA48" s="349">
        <v>26</v>
      </c>
      <c r="AB48" s="349">
        <v>26</v>
      </c>
      <c r="AC48" s="349">
        <v>26</v>
      </c>
      <c r="AD48" s="469">
        <v>33</v>
      </c>
      <c r="AE48" s="469">
        <v>32</v>
      </c>
      <c r="AF48" s="469">
        <v>32</v>
      </c>
      <c r="AG48" s="469">
        <v>32</v>
      </c>
      <c r="AH48" s="630">
        <v>31</v>
      </c>
      <c r="AI48" s="630">
        <v>28</v>
      </c>
      <c r="AJ48" s="630">
        <v>28</v>
      </c>
      <c r="AK48" s="630">
        <v>28</v>
      </c>
    </row>
    <row r="49" spans="1:37" ht="24.9" customHeight="1" x14ac:dyDescent="0.25">
      <c r="A49" s="14">
        <v>125754005189</v>
      </c>
      <c r="B49" s="1" t="s">
        <v>0</v>
      </c>
      <c r="C49" s="1" t="s">
        <v>225</v>
      </c>
      <c r="D49" s="1" t="s">
        <v>222</v>
      </c>
      <c r="E49" s="2">
        <v>3</v>
      </c>
      <c r="F49" s="2"/>
      <c r="G49" s="2"/>
      <c r="J49" s="61">
        <v>127</v>
      </c>
      <c r="K49" s="61">
        <v>127</v>
      </c>
      <c r="L49" s="61">
        <v>127</v>
      </c>
      <c r="M49" s="61">
        <v>127</v>
      </c>
      <c r="N49" s="2">
        <v>125</v>
      </c>
      <c r="O49" s="2">
        <v>124</v>
      </c>
      <c r="P49" s="2">
        <v>123</v>
      </c>
      <c r="Q49" s="2">
        <v>119</v>
      </c>
      <c r="R49" s="95">
        <v>162</v>
      </c>
      <c r="S49" s="95">
        <v>163</v>
      </c>
      <c r="T49" s="95">
        <v>162</v>
      </c>
      <c r="U49" s="95">
        <v>157</v>
      </c>
      <c r="V49" s="61">
        <v>146</v>
      </c>
      <c r="W49" s="61">
        <v>146</v>
      </c>
      <c r="X49" s="61">
        <v>145</v>
      </c>
      <c r="Y49" s="61">
        <v>145</v>
      </c>
      <c r="Z49" s="349">
        <v>149</v>
      </c>
      <c r="AA49" s="349">
        <v>145</v>
      </c>
      <c r="AB49" s="349">
        <v>141</v>
      </c>
      <c r="AC49" s="349">
        <v>141</v>
      </c>
      <c r="AD49" s="469">
        <v>139</v>
      </c>
      <c r="AE49" s="469">
        <v>138</v>
      </c>
      <c r="AF49" s="469">
        <v>136</v>
      </c>
      <c r="AG49" s="469">
        <v>136</v>
      </c>
      <c r="AH49" s="630">
        <v>142</v>
      </c>
      <c r="AI49" s="630">
        <v>141</v>
      </c>
      <c r="AJ49" s="630">
        <v>134</v>
      </c>
      <c r="AK49" s="630">
        <v>134</v>
      </c>
    </row>
    <row r="50" spans="1:37" ht="24.9" customHeight="1" x14ac:dyDescent="0.25">
      <c r="A50" s="1" t="s">
        <v>125</v>
      </c>
      <c r="B50" s="1" t="s">
        <v>0</v>
      </c>
      <c r="C50" s="1" t="s">
        <v>126</v>
      </c>
      <c r="D50" s="1" t="s">
        <v>222</v>
      </c>
      <c r="E50" s="2">
        <v>2</v>
      </c>
      <c r="F50" s="95">
        <v>167</v>
      </c>
      <c r="G50" s="95">
        <v>167</v>
      </c>
      <c r="H50" s="95">
        <v>167</v>
      </c>
      <c r="I50" s="95">
        <v>167</v>
      </c>
      <c r="J50" s="61">
        <v>146</v>
      </c>
      <c r="K50" s="61">
        <v>144</v>
      </c>
      <c r="L50" s="61">
        <v>144</v>
      </c>
      <c r="M50" s="61">
        <v>144</v>
      </c>
      <c r="N50" s="2">
        <v>138</v>
      </c>
      <c r="O50" s="2">
        <v>137</v>
      </c>
      <c r="P50" s="2">
        <v>136</v>
      </c>
      <c r="Q50" s="2">
        <v>136</v>
      </c>
      <c r="R50" s="95">
        <v>107</v>
      </c>
      <c r="S50" s="95">
        <v>106</v>
      </c>
      <c r="T50" s="95">
        <v>106</v>
      </c>
      <c r="U50" s="95">
        <v>104</v>
      </c>
      <c r="V50" s="61">
        <v>90</v>
      </c>
      <c r="W50" s="61">
        <v>89</v>
      </c>
      <c r="X50" s="61">
        <v>89</v>
      </c>
      <c r="Y50" s="61">
        <v>89</v>
      </c>
      <c r="Z50" s="349">
        <v>132</v>
      </c>
      <c r="AA50" s="349">
        <v>133</v>
      </c>
      <c r="AB50" s="349">
        <v>132</v>
      </c>
      <c r="AC50" s="349">
        <v>132</v>
      </c>
      <c r="AD50" s="469">
        <v>109</v>
      </c>
      <c r="AE50" s="469">
        <v>109</v>
      </c>
      <c r="AF50" s="469">
        <v>109</v>
      </c>
      <c r="AG50" s="469">
        <v>109</v>
      </c>
      <c r="AH50" s="630">
        <v>112</v>
      </c>
      <c r="AI50" s="630">
        <v>112</v>
      </c>
      <c r="AJ50" s="630">
        <v>112</v>
      </c>
      <c r="AK50" s="630">
        <v>112</v>
      </c>
    </row>
    <row r="51" spans="1:37" ht="24.9" customHeight="1" x14ac:dyDescent="0.25">
      <c r="A51" s="15" t="s">
        <v>277</v>
      </c>
      <c r="B51" s="1" t="s">
        <v>0</v>
      </c>
      <c r="C51" s="15" t="s">
        <v>271</v>
      </c>
      <c r="D51" s="1" t="s">
        <v>222</v>
      </c>
      <c r="E51" s="2">
        <v>2</v>
      </c>
      <c r="F51" s="2"/>
      <c r="G51" s="2"/>
      <c r="J51" s="61"/>
      <c r="K51" s="61"/>
      <c r="L51" s="61"/>
      <c r="M51" s="61"/>
      <c r="N51" s="2"/>
      <c r="O51" s="2"/>
      <c r="P51" s="2"/>
      <c r="Q51" s="2"/>
      <c r="R51" s="2"/>
      <c r="S51" s="2"/>
      <c r="T51" s="2"/>
      <c r="U51" s="2"/>
      <c r="V51" s="61">
        <v>0</v>
      </c>
      <c r="W51" s="61">
        <v>1</v>
      </c>
      <c r="X51" s="61">
        <v>1</v>
      </c>
      <c r="Y51" s="61">
        <v>1</v>
      </c>
    </row>
    <row r="52" spans="1:37" ht="24.9" customHeight="1" x14ac:dyDescent="0.25">
      <c r="A52" s="1" t="s">
        <v>133</v>
      </c>
      <c r="B52" s="1" t="s">
        <v>0</v>
      </c>
      <c r="C52" s="1" t="s">
        <v>134</v>
      </c>
      <c r="D52" s="1" t="s">
        <v>222</v>
      </c>
      <c r="E52" s="2">
        <v>5</v>
      </c>
      <c r="F52" s="95">
        <v>23</v>
      </c>
      <c r="G52" s="95">
        <v>24</v>
      </c>
      <c r="H52" s="95">
        <v>24</v>
      </c>
      <c r="I52" s="95">
        <v>24</v>
      </c>
      <c r="J52" s="61">
        <v>18</v>
      </c>
      <c r="K52" s="61">
        <v>18</v>
      </c>
      <c r="L52" s="61">
        <v>18</v>
      </c>
      <c r="M52" s="61">
        <v>18</v>
      </c>
      <c r="N52" s="2">
        <v>18</v>
      </c>
      <c r="O52" s="2">
        <v>18</v>
      </c>
      <c r="P52" s="2">
        <v>18</v>
      </c>
      <c r="Q52" s="2">
        <v>18</v>
      </c>
      <c r="R52" s="95">
        <v>19</v>
      </c>
      <c r="S52" s="95">
        <v>19</v>
      </c>
      <c r="T52" s="95">
        <v>19</v>
      </c>
      <c r="U52" s="95">
        <v>19</v>
      </c>
      <c r="V52" s="61">
        <v>21</v>
      </c>
      <c r="W52" s="61">
        <v>21</v>
      </c>
      <c r="X52" s="61">
        <v>21</v>
      </c>
      <c r="Y52" s="61">
        <v>21</v>
      </c>
      <c r="Z52" s="349">
        <v>21</v>
      </c>
      <c r="AA52" s="349">
        <v>21</v>
      </c>
      <c r="AB52" s="349">
        <v>21</v>
      </c>
      <c r="AC52" s="349">
        <v>21</v>
      </c>
      <c r="AD52" s="469">
        <v>18</v>
      </c>
      <c r="AE52" s="469">
        <v>18</v>
      </c>
      <c r="AF52" s="469">
        <v>18</v>
      </c>
      <c r="AG52" s="469">
        <v>18</v>
      </c>
      <c r="AH52" s="630">
        <v>21</v>
      </c>
      <c r="AI52" s="630">
        <v>21</v>
      </c>
      <c r="AJ52" s="630">
        <v>21</v>
      </c>
      <c r="AK52" s="630">
        <v>21</v>
      </c>
    </row>
    <row r="53" spans="1:37" s="461" customFormat="1" ht="24.9" customHeight="1" x14ac:dyDescent="0.25">
      <c r="A53" s="470" t="s">
        <v>955</v>
      </c>
      <c r="B53" s="470" t="s">
        <v>0</v>
      </c>
      <c r="C53" s="477" t="s">
        <v>956</v>
      </c>
      <c r="D53" s="15" t="s">
        <v>222</v>
      </c>
      <c r="E53" s="471">
        <v>6</v>
      </c>
      <c r="F53" s="469"/>
      <c r="G53" s="469"/>
      <c r="H53" s="469"/>
      <c r="I53" s="469"/>
      <c r="J53" s="472"/>
      <c r="K53" s="472"/>
      <c r="L53" s="472"/>
      <c r="M53" s="472"/>
      <c r="N53" s="471"/>
      <c r="O53" s="471"/>
      <c r="P53" s="471"/>
      <c r="Q53" s="471"/>
      <c r="R53" s="469"/>
      <c r="S53" s="469"/>
      <c r="T53" s="469"/>
      <c r="U53" s="469"/>
      <c r="V53" s="472"/>
      <c r="W53" s="472"/>
      <c r="X53" s="472"/>
      <c r="Y53" s="472"/>
      <c r="Z53" s="475"/>
      <c r="AA53" s="475"/>
      <c r="AB53" s="475"/>
      <c r="AC53" s="475"/>
      <c r="AD53" s="469">
        <v>16</v>
      </c>
      <c r="AE53" s="469">
        <v>16</v>
      </c>
      <c r="AF53" s="469">
        <v>16</v>
      </c>
      <c r="AG53" s="469">
        <v>16</v>
      </c>
      <c r="AH53" s="630">
        <v>29</v>
      </c>
      <c r="AI53" s="630">
        <v>29</v>
      </c>
      <c r="AJ53" s="630">
        <v>28</v>
      </c>
      <c r="AK53" s="630">
        <v>28</v>
      </c>
    </row>
    <row r="54" spans="1:37" ht="24.9" customHeight="1" x14ac:dyDescent="0.25">
      <c r="A54" s="1" t="s">
        <v>100</v>
      </c>
      <c r="B54" s="1" t="s">
        <v>0</v>
      </c>
      <c r="C54" s="1" t="s">
        <v>101</v>
      </c>
      <c r="D54" s="1" t="s">
        <v>222</v>
      </c>
      <c r="E54" s="2">
        <v>1</v>
      </c>
      <c r="F54" s="95">
        <v>59</v>
      </c>
      <c r="G54" s="95">
        <v>62</v>
      </c>
      <c r="H54" s="95">
        <v>60</v>
      </c>
      <c r="I54" s="95">
        <v>60</v>
      </c>
      <c r="J54" s="61">
        <v>52</v>
      </c>
      <c r="K54" s="61">
        <v>49</v>
      </c>
      <c r="L54" s="61">
        <v>49</v>
      </c>
      <c r="M54" s="61">
        <v>48</v>
      </c>
      <c r="N54" s="2">
        <v>59</v>
      </c>
      <c r="O54" s="2">
        <v>57</v>
      </c>
      <c r="P54" s="2">
        <v>57</v>
      </c>
      <c r="Q54" s="2">
        <v>57</v>
      </c>
      <c r="R54" s="95">
        <v>59</v>
      </c>
      <c r="S54" s="95">
        <v>57</v>
      </c>
      <c r="T54" s="95">
        <v>57</v>
      </c>
      <c r="U54" s="95">
        <v>57</v>
      </c>
      <c r="V54" s="61">
        <v>56</v>
      </c>
      <c r="W54" s="61">
        <v>55</v>
      </c>
      <c r="X54" s="61">
        <v>55</v>
      </c>
      <c r="Y54" s="61">
        <v>55</v>
      </c>
      <c r="Z54" s="349">
        <v>59</v>
      </c>
      <c r="AA54" s="349">
        <v>60</v>
      </c>
      <c r="AB54" s="349">
        <v>60</v>
      </c>
      <c r="AC54" s="349">
        <v>60</v>
      </c>
      <c r="AD54" s="469">
        <v>52</v>
      </c>
      <c r="AE54" s="469">
        <v>49</v>
      </c>
      <c r="AF54" s="469">
        <v>47</v>
      </c>
      <c r="AG54" s="469">
        <v>47</v>
      </c>
      <c r="AH54" s="630">
        <v>61</v>
      </c>
      <c r="AI54" s="630">
        <v>60</v>
      </c>
      <c r="AJ54" s="630">
        <v>57</v>
      </c>
      <c r="AK54" s="630">
        <v>57</v>
      </c>
    </row>
    <row r="55" spans="1:37" ht="24.9" customHeight="1" x14ac:dyDescent="0.25">
      <c r="A55" s="14">
        <v>325754005226</v>
      </c>
      <c r="B55" s="1" t="s">
        <v>0</v>
      </c>
      <c r="C55" s="1" t="s">
        <v>231</v>
      </c>
      <c r="D55" s="1" t="s">
        <v>222</v>
      </c>
      <c r="E55" s="2">
        <v>1</v>
      </c>
      <c r="F55" s="2"/>
      <c r="G55" s="2"/>
      <c r="J55" s="61"/>
      <c r="K55" s="61"/>
      <c r="L55" s="61"/>
      <c r="M55" s="61"/>
      <c r="N55" s="2">
        <v>6</v>
      </c>
      <c r="O55" s="2">
        <v>6</v>
      </c>
      <c r="P55" s="2">
        <v>6</v>
      </c>
      <c r="Q55" s="2">
        <v>6</v>
      </c>
      <c r="R55" s="95">
        <v>11</v>
      </c>
      <c r="S55" s="95">
        <v>11</v>
      </c>
      <c r="T55" s="95">
        <v>11</v>
      </c>
      <c r="U55" s="95">
        <v>10</v>
      </c>
      <c r="V55" s="61">
        <v>10</v>
      </c>
      <c r="W55" s="61">
        <v>10</v>
      </c>
      <c r="X55" s="61">
        <v>10</v>
      </c>
      <c r="Y55" s="61">
        <v>10</v>
      </c>
      <c r="Z55" s="349">
        <v>3</v>
      </c>
      <c r="AA55" s="349">
        <v>3</v>
      </c>
      <c r="AB55" s="349">
        <v>3</v>
      </c>
      <c r="AC55" s="349">
        <v>3</v>
      </c>
      <c r="AD55" s="469">
        <v>10</v>
      </c>
      <c r="AE55" s="469">
        <v>10</v>
      </c>
      <c r="AF55" s="469">
        <v>10</v>
      </c>
      <c r="AG55" s="469">
        <v>10</v>
      </c>
      <c r="AH55" s="630">
        <v>20</v>
      </c>
      <c r="AI55" s="630">
        <v>20</v>
      </c>
      <c r="AJ55" s="630">
        <v>20</v>
      </c>
      <c r="AK55" s="630">
        <v>20</v>
      </c>
    </row>
    <row r="56" spans="1:37" ht="24.9" customHeight="1" x14ac:dyDescent="0.25">
      <c r="A56" s="1" t="s">
        <v>115</v>
      </c>
      <c r="B56" s="1" t="s">
        <v>0</v>
      </c>
      <c r="C56" s="1" t="s">
        <v>116</v>
      </c>
      <c r="D56" s="1" t="s">
        <v>222</v>
      </c>
      <c r="E56" s="2">
        <v>2</v>
      </c>
      <c r="F56" s="95">
        <v>69</v>
      </c>
      <c r="G56" s="95">
        <v>70</v>
      </c>
      <c r="H56" s="95">
        <v>69</v>
      </c>
      <c r="I56" s="95">
        <v>69</v>
      </c>
      <c r="J56" s="61">
        <v>54</v>
      </c>
      <c r="K56" s="61">
        <v>54</v>
      </c>
      <c r="L56" s="61">
        <v>54</v>
      </c>
      <c r="M56" s="61">
        <v>54</v>
      </c>
      <c r="N56" s="2">
        <v>74</v>
      </c>
      <c r="O56" s="2">
        <v>73</v>
      </c>
      <c r="P56" s="2">
        <v>73</v>
      </c>
      <c r="Q56" s="2">
        <v>73</v>
      </c>
      <c r="R56" s="95">
        <v>64</v>
      </c>
      <c r="S56" s="95">
        <v>64</v>
      </c>
      <c r="T56" s="95">
        <v>64</v>
      </c>
      <c r="U56" s="95">
        <v>64</v>
      </c>
      <c r="V56" s="61">
        <v>77</v>
      </c>
      <c r="W56" s="61">
        <v>76</v>
      </c>
      <c r="X56" s="61">
        <v>76</v>
      </c>
      <c r="Y56" s="61">
        <v>76</v>
      </c>
      <c r="Z56" s="349">
        <v>61</v>
      </c>
      <c r="AA56" s="349">
        <v>60</v>
      </c>
      <c r="AB56" s="349">
        <v>60</v>
      </c>
      <c r="AC56" s="349">
        <v>60</v>
      </c>
      <c r="AD56" s="469">
        <v>65</v>
      </c>
      <c r="AE56" s="469">
        <v>79</v>
      </c>
      <c r="AF56" s="469">
        <v>79</v>
      </c>
      <c r="AG56" s="469">
        <v>79</v>
      </c>
      <c r="AH56" s="630">
        <v>81</v>
      </c>
      <c r="AI56" s="630">
        <v>80</v>
      </c>
      <c r="AJ56" s="630">
        <v>80</v>
      </c>
      <c r="AK56" s="630">
        <v>80</v>
      </c>
    </row>
    <row r="57" spans="1:37" ht="24.9" customHeight="1" x14ac:dyDescent="0.25">
      <c r="A57" s="1" t="s">
        <v>150</v>
      </c>
      <c r="B57" s="1" t="s">
        <v>0</v>
      </c>
      <c r="C57" s="1" t="s">
        <v>151</v>
      </c>
      <c r="D57" s="1" t="s">
        <v>222</v>
      </c>
      <c r="E57" s="2">
        <v>3</v>
      </c>
      <c r="F57" s="95">
        <v>26</v>
      </c>
      <c r="G57" s="95">
        <v>27</v>
      </c>
      <c r="H57" s="95">
        <v>27</v>
      </c>
      <c r="I57" s="95">
        <v>27</v>
      </c>
      <c r="J57" s="61">
        <v>14</v>
      </c>
      <c r="K57" s="61">
        <v>14</v>
      </c>
      <c r="L57" s="61">
        <v>14</v>
      </c>
      <c r="M57" s="61">
        <v>14</v>
      </c>
      <c r="N57" s="2">
        <v>23</v>
      </c>
      <c r="O57" s="2">
        <v>23</v>
      </c>
      <c r="P57" s="2">
        <v>23</v>
      </c>
      <c r="Q57" s="2">
        <v>23</v>
      </c>
      <c r="R57" s="95">
        <v>22</v>
      </c>
      <c r="S57" s="95">
        <v>22</v>
      </c>
      <c r="T57" s="95">
        <v>22</v>
      </c>
      <c r="U57" s="95">
        <v>22</v>
      </c>
      <c r="V57" s="61">
        <v>31</v>
      </c>
      <c r="W57" s="61">
        <v>30</v>
      </c>
      <c r="X57" s="61">
        <v>29</v>
      </c>
      <c r="Y57" s="61">
        <v>29</v>
      </c>
      <c r="Z57" s="349">
        <v>45</v>
      </c>
      <c r="AA57" s="349">
        <v>46</v>
      </c>
      <c r="AB57" s="349">
        <v>46</v>
      </c>
      <c r="AC57" s="349">
        <v>46</v>
      </c>
      <c r="AD57" s="469">
        <v>3</v>
      </c>
      <c r="AE57" s="469">
        <v>41</v>
      </c>
      <c r="AF57" s="469">
        <v>39</v>
      </c>
      <c r="AG57" s="469">
        <v>39</v>
      </c>
      <c r="AH57" s="630">
        <v>38</v>
      </c>
      <c r="AI57" s="630">
        <v>39</v>
      </c>
      <c r="AJ57" s="630">
        <v>38</v>
      </c>
      <c r="AK57" s="630">
        <v>38</v>
      </c>
    </row>
    <row r="58" spans="1:37" s="468" customFormat="1" ht="24.9" customHeight="1" x14ac:dyDescent="0.25">
      <c r="A58" s="470"/>
      <c r="B58" s="470"/>
      <c r="C58" s="188" t="s">
        <v>877</v>
      </c>
      <c r="D58" s="1" t="s">
        <v>222</v>
      </c>
      <c r="E58" s="2">
        <v>4</v>
      </c>
      <c r="F58" s="469"/>
      <c r="G58" s="469"/>
      <c r="H58" s="469"/>
      <c r="I58" s="469"/>
      <c r="J58" s="472"/>
      <c r="K58" s="472"/>
      <c r="L58" s="472"/>
      <c r="M58" s="472"/>
      <c r="N58" s="471"/>
      <c r="O58" s="471"/>
      <c r="P58" s="471"/>
      <c r="Q58" s="471"/>
      <c r="R58" s="469"/>
      <c r="S58" s="469"/>
      <c r="T58" s="469"/>
      <c r="U58" s="469"/>
      <c r="V58" s="472"/>
      <c r="W58" s="472"/>
      <c r="X58" s="472"/>
      <c r="Y58" s="472"/>
      <c r="Z58" s="475"/>
      <c r="AA58" s="475"/>
      <c r="AB58" s="475"/>
      <c r="AC58" s="475"/>
      <c r="AD58" s="469"/>
      <c r="AE58" s="469"/>
      <c r="AF58" s="469"/>
      <c r="AG58" s="469"/>
    </row>
    <row r="59" spans="1:37" ht="24.9" customHeight="1" x14ac:dyDescent="0.25">
      <c r="A59" s="1" t="s">
        <v>199</v>
      </c>
      <c r="B59" s="1" t="s">
        <v>0</v>
      </c>
      <c r="C59" s="1" t="s">
        <v>200</v>
      </c>
      <c r="D59" s="1" t="s">
        <v>222</v>
      </c>
      <c r="E59" s="2">
        <v>3</v>
      </c>
      <c r="F59" s="95">
        <v>105</v>
      </c>
      <c r="G59" s="95">
        <v>106</v>
      </c>
      <c r="H59" s="95">
        <v>105</v>
      </c>
      <c r="I59" s="95">
        <v>105</v>
      </c>
      <c r="J59" s="61">
        <v>122</v>
      </c>
      <c r="K59" s="61">
        <v>122</v>
      </c>
      <c r="L59" s="61">
        <v>122</v>
      </c>
      <c r="M59" s="61">
        <v>122</v>
      </c>
      <c r="N59" s="2">
        <v>187</v>
      </c>
      <c r="O59" s="2">
        <v>185</v>
      </c>
      <c r="P59" s="2">
        <v>185</v>
      </c>
      <c r="Q59" s="2">
        <v>185</v>
      </c>
      <c r="R59" s="95">
        <v>134</v>
      </c>
      <c r="S59" s="95">
        <v>134</v>
      </c>
      <c r="T59" s="95">
        <v>134</v>
      </c>
      <c r="U59" s="95">
        <v>134</v>
      </c>
      <c r="V59" s="61">
        <v>153</v>
      </c>
      <c r="W59" s="61">
        <v>153</v>
      </c>
      <c r="X59" s="61">
        <v>152</v>
      </c>
      <c r="Y59" s="61">
        <v>152</v>
      </c>
      <c r="Z59" s="349">
        <v>168</v>
      </c>
      <c r="AA59" s="349">
        <v>169</v>
      </c>
      <c r="AB59" s="349">
        <v>168</v>
      </c>
      <c r="AC59" s="349">
        <v>168</v>
      </c>
      <c r="AD59" s="469">
        <v>203</v>
      </c>
      <c r="AE59" s="469">
        <v>200</v>
      </c>
      <c r="AF59" s="469">
        <v>200</v>
      </c>
      <c r="AG59" s="469">
        <v>200</v>
      </c>
      <c r="AH59" s="630">
        <v>174</v>
      </c>
      <c r="AI59" s="630">
        <v>174</v>
      </c>
      <c r="AJ59" s="630">
        <v>174</v>
      </c>
      <c r="AK59" s="630">
        <v>174</v>
      </c>
    </row>
    <row r="60" spans="1:37" ht="24.9" customHeight="1" x14ac:dyDescent="0.25">
      <c r="A60" s="1" t="s">
        <v>174</v>
      </c>
      <c r="B60" s="1" t="s">
        <v>0</v>
      </c>
      <c r="C60" s="1" t="s">
        <v>175</v>
      </c>
      <c r="D60" s="1" t="s">
        <v>222</v>
      </c>
      <c r="E60" s="2">
        <v>2</v>
      </c>
      <c r="F60" s="95">
        <v>39</v>
      </c>
      <c r="G60" s="95">
        <v>39</v>
      </c>
      <c r="H60" s="95">
        <v>39</v>
      </c>
      <c r="I60" s="95">
        <v>39</v>
      </c>
      <c r="J60" s="61">
        <v>32</v>
      </c>
      <c r="K60" s="61">
        <v>32</v>
      </c>
      <c r="L60" s="61">
        <v>31</v>
      </c>
      <c r="M60" s="61">
        <v>30</v>
      </c>
      <c r="N60" s="2">
        <v>37</v>
      </c>
      <c r="O60" s="2">
        <v>36</v>
      </c>
      <c r="P60" s="2">
        <v>36</v>
      </c>
      <c r="Q60" s="2">
        <v>36</v>
      </c>
      <c r="R60" s="95">
        <v>26</v>
      </c>
      <c r="S60" s="95">
        <v>26</v>
      </c>
      <c r="T60" s="95">
        <v>26</v>
      </c>
      <c r="U60" s="95">
        <v>26</v>
      </c>
      <c r="V60" s="61">
        <v>37</v>
      </c>
      <c r="W60" s="61">
        <v>36</v>
      </c>
      <c r="X60" s="61">
        <v>36</v>
      </c>
      <c r="Y60" s="61">
        <v>36</v>
      </c>
      <c r="Z60" s="349">
        <v>32</v>
      </c>
      <c r="AA60" s="349">
        <v>32</v>
      </c>
      <c r="AB60" s="349">
        <v>32</v>
      </c>
      <c r="AC60" s="349">
        <v>32</v>
      </c>
      <c r="AD60" s="469">
        <v>39</v>
      </c>
      <c r="AE60" s="469">
        <v>38</v>
      </c>
      <c r="AF60" s="469">
        <v>38</v>
      </c>
      <c r="AG60" s="469">
        <v>38</v>
      </c>
      <c r="AH60" s="630">
        <v>33</v>
      </c>
      <c r="AI60" s="630">
        <v>33</v>
      </c>
      <c r="AJ60" s="630">
        <v>33</v>
      </c>
      <c r="AK60" s="630">
        <v>33</v>
      </c>
    </row>
    <row r="61" spans="1:37" ht="24.9" customHeight="1" x14ac:dyDescent="0.25">
      <c r="A61" s="1" t="s">
        <v>83</v>
      </c>
      <c r="B61" s="1" t="s">
        <v>0</v>
      </c>
      <c r="C61" s="1" t="s">
        <v>84</v>
      </c>
      <c r="D61" s="1" t="s">
        <v>222</v>
      </c>
      <c r="E61" s="2">
        <v>2</v>
      </c>
      <c r="F61" s="95">
        <v>23</v>
      </c>
      <c r="G61" s="95">
        <v>23</v>
      </c>
      <c r="H61" s="95">
        <v>23</v>
      </c>
      <c r="I61" s="95">
        <v>23</v>
      </c>
      <c r="J61" s="61">
        <v>19</v>
      </c>
      <c r="K61" s="61">
        <v>19</v>
      </c>
      <c r="L61" s="61">
        <v>19</v>
      </c>
      <c r="M61" s="61">
        <v>19</v>
      </c>
      <c r="N61" s="2">
        <v>17</v>
      </c>
      <c r="O61" s="2">
        <v>16</v>
      </c>
      <c r="P61" s="2">
        <v>16</v>
      </c>
      <c r="Q61" s="2">
        <v>16</v>
      </c>
      <c r="R61" s="95">
        <v>24</v>
      </c>
      <c r="S61" s="95">
        <v>24</v>
      </c>
      <c r="T61" s="95">
        <v>23</v>
      </c>
      <c r="U61" s="95">
        <v>22</v>
      </c>
      <c r="V61" s="61">
        <v>27</v>
      </c>
      <c r="W61" s="61">
        <v>27</v>
      </c>
      <c r="X61" s="61">
        <v>27</v>
      </c>
      <c r="Y61" s="61">
        <v>27</v>
      </c>
      <c r="Z61" s="349">
        <v>21</v>
      </c>
      <c r="AA61" s="349">
        <v>21</v>
      </c>
      <c r="AB61" s="349">
        <v>21</v>
      </c>
      <c r="AC61" s="349">
        <v>21</v>
      </c>
      <c r="AD61" s="469">
        <v>20</v>
      </c>
      <c r="AE61" s="469">
        <v>20</v>
      </c>
      <c r="AF61" s="469">
        <v>20</v>
      </c>
      <c r="AG61" s="469">
        <v>20</v>
      </c>
      <c r="AH61" s="630">
        <v>17</v>
      </c>
      <c r="AI61" s="630">
        <v>17</v>
      </c>
      <c r="AJ61" s="630">
        <v>17</v>
      </c>
      <c r="AK61" s="630">
        <v>17</v>
      </c>
    </row>
    <row r="62" spans="1:37" ht="24.9" customHeight="1" x14ac:dyDescent="0.25">
      <c r="A62" s="1" t="s">
        <v>185</v>
      </c>
      <c r="B62" s="1" t="s">
        <v>0</v>
      </c>
      <c r="C62" s="1" t="s">
        <v>186</v>
      </c>
      <c r="D62" s="1" t="s">
        <v>222</v>
      </c>
      <c r="E62" s="2">
        <v>1</v>
      </c>
      <c r="F62" s="95">
        <v>0</v>
      </c>
      <c r="G62" s="95">
        <v>13</v>
      </c>
      <c r="H62" s="95">
        <v>13</v>
      </c>
      <c r="I62" s="95">
        <v>13</v>
      </c>
      <c r="J62" s="61">
        <v>11</v>
      </c>
      <c r="K62" s="61">
        <v>11</v>
      </c>
      <c r="L62" s="61">
        <v>10</v>
      </c>
      <c r="M62" s="61">
        <v>10</v>
      </c>
      <c r="N62" s="2">
        <v>21</v>
      </c>
      <c r="O62" s="2">
        <v>21</v>
      </c>
      <c r="P62" s="2">
        <v>19</v>
      </c>
      <c r="Q62" s="2">
        <v>19</v>
      </c>
      <c r="R62" s="95">
        <v>18</v>
      </c>
      <c r="S62" s="95">
        <v>18</v>
      </c>
      <c r="T62" s="95">
        <v>18</v>
      </c>
      <c r="U62" s="95">
        <v>17</v>
      </c>
      <c r="V62" s="61">
        <v>17</v>
      </c>
      <c r="W62" s="61">
        <v>17</v>
      </c>
      <c r="X62" s="61">
        <v>17</v>
      </c>
      <c r="Y62" s="61">
        <v>17</v>
      </c>
      <c r="Z62" s="349">
        <v>16</v>
      </c>
      <c r="AA62" s="349">
        <v>16</v>
      </c>
      <c r="AB62" s="349">
        <v>16</v>
      </c>
      <c r="AC62" s="349">
        <v>16</v>
      </c>
      <c r="AD62" s="469">
        <v>16</v>
      </c>
      <c r="AE62" s="469">
        <v>16</v>
      </c>
      <c r="AF62" s="469">
        <v>16</v>
      </c>
      <c r="AG62" s="469">
        <v>16</v>
      </c>
      <c r="AH62" s="630">
        <v>9</v>
      </c>
      <c r="AI62" s="630">
        <v>9</v>
      </c>
      <c r="AJ62" s="630">
        <v>9</v>
      </c>
      <c r="AK62" s="630">
        <v>9</v>
      </c>
    </row>
    <row r="63" spans="1:37" ht="24.9" customHeight="1" x14ac:dyDescent="0.25">
      <c r="A63" s="1" t="s">
        <v>161</v>
      </c>
      <c r="B63" s="1" t="s">
        <v>0</v>
      </c>
      <c r="C63" s="1" t="s">
        <v>162</v>
      </c>
      <c r="D63" s="1" t="s">
        <v>222</v>
      </c>
      <c r="E63" s="2">
        <v>4</v>
      </c>
      <c r="F63" s="95">
        <v>40</v>
      </c>
      <c r="G63" s="95">
        <v>41</v>
      </c>
      <c r="H63" s="95">
        <v>41</v>
      </c>
      <c r="I63" s="95">
        <v>41</v>
      </c>
      <c r="J63" s="61">
        <v>40</v>
      </c>
      <c r="K63" s="61">
        <v>39</v>
      </c>
      <c r="L63" s="61">
        <v>39</v>
      </c>
      <c r="M63" s="61">
        <v>39</v>
      </c>
      <c r="N63" s="2">
        <v>43</v>
      </c>
      <c r="O63" s="2">
        <v>43</v>
      </c>
      <c r="P63" s="2">
        <v>43</v>
      </c>
      <c r="Q63" s="2">
        <v>43</v>
      </c>
      <c r="R63" s="95">
        <v>37</v>
      </c>
      <c r="S63" s="95">
        <v>37</v>
      </c>
      <c r="T63" s="95">
        <v>37</v>
      </c>
      <c r="U63" s="95">
        <v>37</v>
      </c>
      <c r="V63" s="61">
        <v>41</v>
      </c>
      <c r="W63" s="61">
        <v>41</v>
      </c>
      <c r="X63" s="61">
        <v>41</v>
      </c>
      <c r="Y63" s="61">
        <v>41</v>
      </c>
      <c r="Z63" s="349">
        <v>42</v>
      </c>
      <c r="AA63" s="349">
        <v>42</v>
      </c>
      <c r="AB63" s="349">
        <v>42</v>
      </c>
      <c r="AC63" s="349">
        <v>42</v>
      </c>
      <c r="AD63" s="469">
        <v>29</v>
      </c>
      <c r="AE63" s="469">
        <v>38</v>
      </c>
      <c r="AF63" s="469">
        <v>38</v>
      </c>
      <c r="AG63" s="469">
        <v>38</v>
      </c>
      <c r="AH63" s="630">
        <v>43</v>
      </c>
      <c r="AI63" s="630">
        <v>43</v>
      </c>
      <c r="AJ63" s="630">
        <v>43</v>
      </c>
      <c r="AK63" s="630">
        <v>43</v>
      </c>
    </row>
    <row r="64" spans="1:37" ht="24.9" customHeight="1" x14ac:dyDescent="0.25">
      <c r="A64" s="1" t="s">
        <v>113</v>
      </c>
      <c r="B64" s="1" t="s">
        <v>0</v>
      </c>
      <c r="C64" s="1" t="s">
        <v>114</v>
      </c>
      <c r="D64" s="1" t="s">
        <v>222</v>
      </c>
      <c r="E64" s="2">
        <v>3</v>
      </c>
      <c r="F64" s="95">
        <v>46</v>
      </c>
      <c r="G64" s="95">
        <v>47</v>
      </c>
      <c r="H64" s="95">
        <v>47</v>
      </c>
      <c r="I64" s="95">
        <v>47</v>
      </c>
      <c r="J64" s="61">
        <v>29</v>
      </c>
      <c r="K64" s="61">
        <v>36</v>
      </c>
      <c r="L64" s="61">
        <v>36</v>
      </c>
      <c r="M64" s="61">
        <v>36</v>
      </c>
      <c r="N64" s="2">
        <v>50</v>
      </c>
      <c r="O64" s="2">
        <v>51</v>
      </c>
      <c r="P64" s="2">
        <v>51</v>
      </c>
      <c r="Q64" s="2">
        <v>50</v>
      </c>
      <c r="R64" s="95">
        <v>35</v>
      </c>
      <c r="S64" s="95">
        <v>36</v>
      </c>
      <c r="T64" s="95">
        <v>35</v>
      </c>
      <c r="U64" s="95">
        <v>35</v>
      </c>
      <c r="V64" s="61">
        <v>41</v>
      </c>
      <c r="W64" s="61">
        <v>40</v>
      </c>
      <c r="X64" s="61">
        <v>40</v>
      </c>
      <c r="Y64" s="61">
        <v>40</v>
      </c>
      <c r="Z64" s="349">
        <v>60</v>
      </c>
      <c r="AA64" s="349">
        <v>60</v>
      </c>
      <c r="AB64" s="349">
        <v>60</v>
      </c>
      <c r="AC64" s="349">
        <v>60</v>
      </c>
      <c r="AD64" s="469">
        <v>55</v>
      </c>
      <c r="AE64" s="469">
        <v>55</v>
      </c>
      <c r="AF64" s="469">
        <v>54</v>
      </c>
      <c r="AG64" s="469">
        <v>54</v>
      </c>
      <c r="AH64" s="630">
        <v>63</v>
      </c>
      <c r="AI64" s="630">
        <v>62</v>
      </c>
      <c r="AJ64" s="630">
        <v>61</v>
      </c>
      <c r="AK64" s="630">
        <v>61</v>
      </c>
    </row>
    <row r="65" spans="1:37" ht="24.9" customHeight="1" x14ac:dyDescent="0.25">
      <c r="A65" s="1" t="s">
        <v>127</v>
      </c>
      <c r="B65" s="1" t="s">
        <v>0</v>
      </c>
      <c r="C65" s="1" t="s">
        <v>128</v>
      </c>
      <c r="D65" s="1" t="s">
        <v>222</v>
      </c>
      <c r="E65" s="2">
        <v>5</v>
      </c>
      <c r="F65" s="95">
        <v>29</v>
      </c>
      <c r="G65" s="95">
        <v>30</v>
      </c>
      <c r="H65" s="95">
        <v>30</v>
      </c>
      <c r="I65" s="95">
        <v>30</v>
      </c>
      <c r="J65" s="61">
        <v>18</v>
      </c>
      <c r="K65" s="61">
        <v>18</v>
      </c>
      <c r="L65" s="61">
        <v>18</v>
      </c>
      <c r="M65" s="61">
        <v>18</v>
      </c>
      <c r="N65" s="2">
        <v>30</v>
      </c>
      <c r="O65" s="2">
        <v>29</v>
      </c>
      <c r="P65" s="2">
        <v>29</v>
      </c>
      <c r="Q65" s="2">
        <v>29</v>
      </c>
      <c r="R65" s="95">
        <v>20</v>
      </c>
      <c r="S65" s="95">
        <v>19</v>
      </c>
      <c r="T65" s="95">
        <v>19</v>
      </c>
      <c r="U65" s="95">
        <v>18</v>
      </c>
      <c r="V65" s="61">
        <v>22</v>
      </c>
      <c r="W65" s="61">
        <v>21</v>
      </c>
      <c r="X65" s="61">
        <v>21</v>
      </c>
      <c r="Y65" s="61">
        <v>21</v>
      </c>
      <c r="Z65" s="349">
        <v>21</v>
      </c>
      <c r="AA65" s="349">
        <v>21</v>
      </c>
      <c r="AB65" s="349">
        <v>21</v>
      </c>
      <c r="AC65" s="349">
        <v>21</v>
      </c>
      <c r="AD65" s="469">
        <v>28</v>
      </c>
      <c r="AE65" s="469">
        <v>28</v>
      </c>
      <c r="AF65" s="469">
        <v>28</v>
      </c>
      <c r="AG65" s="469">
        <v>28</v>
      </c>
      <c r="AH65" s="630">
        <v>28</v>
      </c>
      <c r="AI65" s="630">
        <v>28</v>
      </c>
      <c r="AJ65" s="630">
        <v>28</v>
      </c>
      <c r="AK65" s="630">
        <v>28</v>
      </c>
    </row>
    <row r="66" spans="1:37" ht="24.9" customHeight="1" x14ac:dyDescent="0.25">
      <c r="A66" s="1" t="s">
        <v>159</v>
      </c>
      <c r="B66" s="1" t="s">
        <v>0</v>
      </c>
      <c r="C66" s="1" t="s">
        <v>160</v>
      </c>
      <c r="D66" s="1" t="s">
        <v>222</v>
      </c>
      <c r="E66" s="2">
        <v>3</v>
      </c>
      <c r="F66" s="95">
        <v>35</v>
      </c>
      <c r="G66" s="95">
        <v>39</v>
      </c>
      <c r="H66" s="95">
        <v>38</v>
      </c>
      <c r="I66" s="95">
        <v>38</v>
      </c>
      <c r="J66" s="61">
        <v>23</v>
      </c>
      <c r="K66" s="61">
        <v>23</v>
      </c>
      <c r="L66" s="61">
        <v>23</v>
      </c>
      <c r="M66" s="61">
        <v>23</v>
      </c>
      <c r="N66" s="2">
        <v>17</v>
      </c>
      <c r="O66" s="2">
        <v>18</v>
      </c>
      <c r="P66" s="2">
        <v>18</v>
      </c>
      <c r="Q66" s="2">
        <v>18</v>
      </c>
      <c r="R66" s="95">
        <v>27</v>
      </c>
      <c r="S66" s="95">
        <v>27</v>
      </c>
      <c r="T66" s="95">
        <v>27</v>
      </c>
      <c r="U66" s="95">
        <v>26</v>
      </c>
      <c r="V66" s="61">
        <v>19</v>
      </c>
      <c r="W66" s="61">
        <v>19</v>
      </c>
      <c r="X66" s="61">
        <v>19</v>
      </c>
      <c r="Y66" s="61">
        <v>19</v>
      </c>
      <c r="Z66" s="349">
        <v>36</v>
      </c>
      <c r="AA66" s="349">
        <v>35</v>
      </c>
      <c r="AB66" s="349">
        <v>35</v>
      </c>
      <c r="AC66" s="349">
        <v>35</v>
      </c>
      <c r="AD66" s="469">
        <v>39</v>
      </c>
      <c r="AE66" s="469">
        <v>39</v>
      </c>
      <c r="AF66" s="469">
        <v>39</v>
      </c>
      <c r="AG66" s="469">
        <v>39</v>
      </c>
      <c r="AH66" s="630">
        <v>42</v>
      </c>
      <c r="AI66" s="630">
        <v>42</v>
      </c>
      <c r="AJ66" s="630">
        <v>42</v>
      </c>
      <c r="AK66" s="630">
        <v>42</v>
      </c>
    </row>
    <row r="67" spans="1:37" ht="24.9" customHeight="1" x14ac:dyDescent="0.25">
      <c r="A67" s="1" t="s">
        <v>58</v>
      </c>
      <c r="B67" s="1" t="s">
        <v>0</v>
      </c>
      <c r="C67" s="1" t="s">
        <v>59</v>
      </c>
      <c r="D67" s="1" t="s">
        <v>222</v>
      </c>
      <c r="E67" s="2">
        <v>1</v>
      </c>
      <c r="F67" s="95">
        <v>19</v>
      </c>
      <c r="G67" s="95">
        <v>19</v>
      </c>
      <c r="H67" s="95">
        <v>18</v>
      </c>
      <c r="I67" s="95">
        <v>18</v>
      </c>
      <c r="J67" s="61">
        <v>33</v>
      </c>
      <c r="K67" s="61">
        <v>31</v>
      </c>
      <c r="L67" s="61">
        <v>30</v>
      </c>
      <c r="M67" s="61">
        <v>30</v>
      </c>
      <c r="N67" s="2">
        <v>25</v>
      </c>
      <c r="O67" s="2">
        <v>24</v>
      </c>
      <c r="P67" s="2">
        <v>24</v>
      </c>
      <c r="Q67" s="2">
        <v>22</v>
      </c>
      <c r="R67" s="95">
        <v>27</v>
      </c>
      <c r="S67" s="95">
        <v>27</v>
      </c>
      <c r="T67" s="95">
        <v>26</v>
      </c>
      <c r="U67" s="95">
        <v>26</v>
      </c>
      <c r="V67" s="61">
        <v>27</v>
      </c>
      <c r="W67" s="61">
        <v>26</v>
      </c>
      <c r="X67" s="61">
        <v>26</v>
      </c>
      <c r="Y67" s="61">
        <v>26</v>
      </c>
      <c r="Z67" s="349">
        <v>28</v>
      </c>
      <c r="AA67" s="349">
        <v>28</v>
      </c>
      <c r="AB67" s="349">
        <v>28</v>
      </c>
      <c r="AC67" s="349">
        <v>28</v>
      </c>
      <c r="AD67" s="469">
        <v>28</v>
      </c>
      <c r="AE67" s="469">
        <v>28</v>
      </c>
      <c r="AF67" s="469">
        <v>28</v>
      </c>
      <c r="AG67" s="469">
        <v>28</v>
      </c>
      <c r="AH67" s="630">
        <v>22</v>
      </c>
      <c r="AI67" s="630">
        <v>22</v>
      </c>
      <c r="AJ67" s="630">
        <v>22</v>
      </c>
      <c r="AK67" s="630">
        <v>22</v>
      </c>
    </row>
    <row r="68" spans="1:37" ht="24.9" customHeight="1" x14ac:dyDescent="0.25">
      <c r="A68" s="1" t="s">
        <v>131</v>
      </c>
      <c r="B68" s="1" t="s">
        <v>0</v>
      </c>
      <c r="C68" s="1" t="s">
        <v>132</v>
      </c>
      <c r="D68" s="1" t="s">
        <v>222</v>
      </c>
      <c r="E68" s="2">
        <v>3</v>
      </c>
      <c r="F68" s="95">
        <v>34</v>
      </c>
      <c r="G68" s="95">
        <v>34</v>
      </c>
      <c r="H68" s="95">
        <v>34</v>
      </c>
      <c r="I68" s="95">
        <v>34</v>
      </c>
      <c r="J68" s="61">
        <v>57</v>
      </c>
      <c r="K68" s="61">
        <v>57</v>
      </c>
      <c r="L68" s="61">
        <v>57</v>
      </c>
      <c r="M68" s="61">
        <v>57</v>
      </c>
      <c r="N68" s="2">
        <v>62</v>
      </c>
      <c r="O68" s="2">
        <v>62</v>
      </c>
      <c r="P68" s="2">
        <v>62</v>
      </c>
      <c r="Q68" s="2">
        <v>62</v>
      </c>
      <c r="R68" s="95">
        <v>54</v>
      </c>
      <c r="S68" s="95">
        <v>53</v>
      </c>
      <c r="T68" s="95">
        <v>53</v>
      </c>
      <c r="U68" s="95">
        <v>51</v>
      </c>
      <c r="V68" s="61">
        <v>52</v>
      </c>
      <c r="W68" s="61">
        <v>51</v>
      </c>
      <c r="X68" s="61">
        <v>51</v>
      </c>
      <c r="Y68" s="61">
        <v>51</v>
      </c>
      <c r="Z68" s="349">
        <v>35</v>
      </c>
      <c r="AA68" s="349">
        <v>35</v>
      </c>
      <c r="AB68" s="349">
        <v>35</v>
      </c>
      <c r="AC68" s="349">
        <v>35</v>
      </c>
      <c r="AD68" s="469">
        <v>35</v>
      </c>
      <c r="AE68" s="469">
        <v>35</v>
      </c>
      <c r="AF68" s="469">
        <v>35</v>
      </c>
      <c r="AG68" s="469">
        <v>35</v>
      </c>
      <c r="AH68" s="630">
        <v>58</v>
      </c>
      <c r="AI68" s="630">
        <v>58</v>
      </c>
      <c r="AJ68" s="630">
        <v>58</v>
      </c>
      <c r="AK68" s="630">
        <v>58</v>
      </c>
    </row>
    <row r="69" spans="1:37" ht="24.9" customHeight="1" x14ac:dyDescent="0.25">
      <c r="A69" s="1" t="s">
        <v>178</v>
      </c>
      <c r="B69" s="1" t="s">
        <v>0</v>
      </c>
      <c r="C69" s="1" t="s">
        <v>179</v>
      </c>
      <c r="D69" s="1" t="s">
        <v>222</v>
      </c>
      <c r="E69" s="2">
        <v>5</v>
      </c>
      <c r="F69" s="95">
        <v>129</v>
      </c>
      <c r="G69" s="95">
        <v>128</v>
      </c>
      <c r="H69" s="95">
        <v>127</v>
      </c>
      <c r="I69" s="95">
        <v>127</v>
      </c>
      <c r="J69" s="61">
        <v>102</v>
      </c>
      <c r="K69" s="61">
        <v>104</v>
      </c>
      <c r="L69" s="61">
        <v>104</v>
      </c>
      <c r="M69" s="61">
        <v>103</v>
      </c>
      <c r="N69" s="2">
        <v>109</v>
      </c>
      <c r="O69" s="2">
        <v>108</v>
      </c>
      <c r="P69" s="2">
        <v>108</v>
      </c>
      <c r="Q69" s="2">
        <v>107</v>
      </c>
      <c r="R69" s="95">
        <v>93</v>
      </c>
      <c r="S69" s="95">
        <v>93</v>
      </c>
      <c r="T69" s="95">
        <v>93</v>
      </c>
      <c r="U69" s="95">
        <v>93</v>
      </c>
      <c r="V69" s="61">
        <v>95</v>
      </c>
      <c r="W69" s="61">
        <v>92</v>
      </c>
      <c r="X69" s="61">
        <v>92</v>
      </c>
      <c r="Y69" s="61">
        <v>92</v>
      </c>
      <c r="Z69" s="349">
        <v>115</v>
      </c>
      <c r="AA69" s="349">
        <v>115</v>
      </c>
      <c r="AB69" s="349">
        <v>114</v>
      </c>
      <c r="AC69" s="349">
        <v>114</v>
      </c>
      <c r="AD69" s="469">
        <v>132</v>
      </c>
      <c r="AE69" s="469">
        <v>127</v>
      </c>
      <c r="AF69" s="469">
        <v>127</v>
      </c>
      <c r="AG69" s="469">
        <v>127</v>
      </c>
      <c r="AH69" s="630">
        <v>92</v>
      </c>
      <c r="AI69" s="630">
        <v>91</v>
      </c>
      <c r="AJ69" s="630">
        <v>91</v>
      </c>
      <c r="AK69" s="630">
        <v>91</v>
      </c>
    </row>
    <row r="70" spans="1:37" ht="24.9" customHeight="1" x14ac:dyDescent="0.25">
      <c r="A70" s="1" t="s">
        <v>74</v>
      </c>
      <c r="B70" s="1" t="s">
        <v>0</v>
      </c>
      <c r="C70" s="1" t="s">
        <v>75</v>
      </c>
      <c r="D70" s="1" t="s">
        <v>222</v>
      </c>
      <c r="E70" s="2">
        <v>1</v>
      </c>
      <c r="F70" s="95">
        <v>35</v>
      </c>
      <c r="G70" s="95">
        <v>35</v>
      </c>
      <c r="H70" s="95">
        <v>35</v>
      </c>
      <c r="I70" s="95">
        <v>35</v>
      </c>
      <c r="J70" s="61">
        <v>35</v>
      </c>
      <c r="K70" s="61">
        <v>36</v>
      </c>
      <c r="L70" s="61">
        <v>36</v>
      </c>
      <c r="M70" s="61">
        <v>36</v>
      </c>
      <c r="N70" s="2">
        <v>27</v>
      </c>
      <c r="O70" s="2">
        <v>28</v>
      </c>
      <c r="P70" s="2">
        <v>28</v>
      </c>
      <c r="Q70" s="2">
        <v>28</v>
      </c>
      <c r="R70" s="95">
        <v>35</v>
      </c>
      <c r="S70" s="95">
        <v>36</v>
      </c>
      <c r="T70" s="95">
        <v>36</v>
      </c>
      <c r="U70" s="95">
        <v>36</v>
      </c>
      <c r="V70" s="61">
        <v>36</v>
      </c>
      <c r="W70" s="61">
        <v>36</v>
      </c>
      <c r="X70" s="61">
        <v>36</v>
      </c>
      <c r="Y70" s="61">
        <v>36</v>
      </c>
      <c r="Z70" s="349">
        <v>32</v>
      </c>
      <c r="AA70" s="349">
        <v>32</v>
      </c>
      <c r="AB70" s="349">
        <v>32</v>
      </c>
      <c r="AC70" s="349">
        <v>32</v>
      </c>
      <c r="AD70" s="469">
        <v>35</v>
      </c>
      <c r="AE70" s="469">
        <v>33</v>
      </c>
      <c r="AF70" s="469">
        <v>33</v>
      </c>
      <c r="AG70" s="469">
        <v>33</v>
      </c>
      <c r="AH70" s="630">
        <v>29</v>
      </c>
      <c r="AI70" s="630">
        <v>29</v>
      </c>
      <c r="AJ70" s="630">
        <v>29</v>
      </c>
      <c r="AK70" s="630">
        <v>29</v>
      </c>
    </row>
    <row r="71" spans="1:37" ht="24.9" customHeight="1" x14ac:dyDescent="0.25">
      <c r="A71" s="1" t="s">
        <v>24</v>
      </c>
      <c r="B71" s="1" t="s">
        <v>0</v>
      </c>
      <c r="C71" s="1" t="s">
        <v>25</v>
      </c>
      <c r="D71" s="1" t="s">
        <v>222</v>
      </c>
      <c r="E71" s="2">
        <v>3</v>
      </c>
      <c r="F71" s="95">
        <v>49</v>
      </c>
      <c r="G71" s="95">
        <v>49</v>
      </c>
      <c r="H71" s="95">
        <v>48</v>
      </c>
      <c r="I71" s="95">
        <v>48</v>
      </c>
      <c r="J71" s="61">
        <v>24</v>
      </c>
      <c r="K71" s="61">
        <v>25</v>
      </c>
      <c r="L71" s="61">
        <v>25</v>
      </c>
      <c r="M71" s="61">
        <v>24</v>
      </c>
      <c r="N71" s="2">
        <v>32</v>
      </c>
      <c r="O71" s="2">
        <v>31</v>
      </c>
      <c r="P71" s="2">
        <v>31</v>
      </c>
      <c r="Q71" s="2">
        <v>30</v>
      </c>
      <c r="R71" s="95">
        <v>33</v>
      </c>
      <c r="S71" s="95">
        <v>34</v>
      </c>
      <c r="T71" s="95">
        <v>34</v>
      </c>
      <c r="U71" s="95">
        <v>34</v>
      </c>
      <c r="V71" s="61">
        <v>59</v>
      </c>
      <c r="W71" s="61">
        <v>59</v>
      </c>
      <c r="X71" s="61">
        <v>59</v>
      </c>
      <c r="Y71" s="61">
        <v>59</v>
      </c>
      <c r="Z71" s="349">
        <v>37</v>
      </c>
      <c r="AA71" s="349">
        <v>37</v>
      </c>
      <c r="AB71" s="349">
        <v>36</v>
      </c>
      <c r="AC71" s="349">
        <v>36</v>
      </c>
      <c r="AD71" s="469">
        <v>60</v>
      </c>
      <c r="AE71" s="469">
        <v>57</v>
      </c>
      <c r="AF71" s="469">
        <v>57</v>
      </c>
      <c r="AG71" s="469">
        <v>57</v>
      </c>
      <c r="AH71" s="630">
        <v>49</v>
      </c>
      <c r="AI71" s="630">
        <v>48</v>
      </c>
      <c r="AJ71" s="630">
        <v>48</v>
      </c>
      <c r="AK71" s="630">
        <v>48</v>
      </c>
    </row>
    <row r="72" spans="1:37" s="336" customFormat="1" ht="24.9" customHeight="1" x14ac:dyDescent="0.25">
      <c r="A72" s="357" t="s">
        <v>913</v>
      </c>
      <c r="B72" s="357" t="s">
        <v>0</v>
      </c>
      <c r="C72" s="357" t="s">
        <v>914</v>
      </c>
      <c r="D72" s="1" t="s">
        <v>222</v>
      </c>
      <c r="E72" s="354">
        <v>6</v>
      </c>
      <c r="F72" s="355"/>
      <c r="G72" s="355"/>
      <c r="H72" s="355"/>
      <c r="I72" s="355"/>
      <c r="J72" s="356"/>
      <c r="K72" s="356"/>
      <c r="L72" s="356"/>
      <c r="M72" s="356"/>
      <c r="N72" s="354"/>
      <c r="O72" s="354"/>
      <c r="P72" s="354"/>
      <c r="Q72" s="354"/>
      <c r="R72" s="355"/>
      <c r="S72" s="355"/>
      <c r="T72" s="355"/>
      <c r="U72" s="355"/>
      <c r="V72" s="356"/>
      <c r="W72" s="356"/>
      <c r="X72" s="356"/>
      <c r="Y72" s="356"/>
      <c r="Z72" s="349">
        <v>18</v>
      </c>
      <c r="AA72" s="349">
        <v>19</v>
      </c>
      <c r="AB72" s="349">
        <v>18</v>
      </c>
      <c r="AC72" s="349">
        <v>18</v>
      </c>
      <c r="AD72" s="469">
        <v>34</v>
      </c>
      <c r="AE72" s="469">
        <v>32</v>
      </c>
      <c r="AF72" s="469">
        <v>32</v>
      </c>
      <c r="AG72" s="469">
        <v>32</v>
      </c>
      <c r="AH72" s="630">
        <v>29</v>
      </c>
      <c r="AI72" s="630">
        <v>29</v>
      </c>
      <c r="AJ72" s="630">
        <v>29</v>
      </c>
      <c r="AK72" s="630">
        <v>29</v>
      </c>
    </row>
    <row r="73" spans="1:37" ht="24.9" customHeight="1" x14ac:dyDescent="0.25">
      <c r="A73" s="1" t="s">
        <v>93</v>
      </c>
      <c r="B73" s="1" t="s">
        <v>0</v>
      </c>
      <c r="C73" s="1" t="s">
        <v>94</v>
      </c>
      <c r="D73" s="1" t="s">
        <v>222</v>
      </c>
      <c r="E73" s="2">
        <v>6</v>
      </c>
      <c r="F73" s="95">
        <v>0</v>
      </c>
      <c r="G73" s="95">
        <v>4</v>
      </c>
      <c r="H73" s="95">
        <v>4</v>
      </c>
      <c r="I73" s="95">
        <v>4</v>
      </c>
      <c r="J73" s="61">
        <v>4</v>
      </c>
      <c r="K73" s="61">
        <v>4</v>
      </c>
      <c r="L73" s="61">
        <v>4</v>
      </c>
      <c r="M73" s="61">
        <v>4</v>
      </c>
      <c r="N73" s="2"/>
      <c r="O73" s="2"/>
      <c r="P73" s="2"/>
      <c r="Q73" s="2"/>
      <c r="R73" s="95">
        <v>2</v>
      </c>
      <c r="S73" s="95">
        <v>2</v>
      </c>
      <c r="T73" s="95">
        <v>2</v>
      </c>
      <c r="U73" s="95">
        <v>2</v>
      </c>
      <c r="V73" s="61">
        <v>8</v>
      </c>
      <c r="W73" s="61">
        <v>8</v>
      </c>
      <c r="X73" s="61">
        <v>8</v>
      </c>
      <c r="Y73" s="61">
        <v>8</v>
      </c>
      <c r="AH73" s="630">
        <v>3</v>
      </c>
      <c r="AI73" s="630">
        <v>5</v>
      </c>
      <c r="AJ73" s="630">
        <v>5</v>
      </c>
      <c r="AK73" s="630">
        <v>5</v>
      </c>
    </row>
    <row r="74" spans="1:37" ht="24.9" customHeight="1" x14ac:dyDescent="0.25">
      <c r="A74" s="1" t="s">
        <v>166</v>
      </c>
      <c r="B74" s="1" t="s">
        <v>0</v>
      </c>
      <c r="C74" s="1" t="s">
        <v>167</v>
      </c>
      <c r="D74" s="1" t="s">
        <v>222</v>
      </c>
      <c r="E74" s="2">
        <v>3</v>
      </c>
      <c r="F74" s="95">
        <v>10</v>
      </c>
      <c r="G74" s="95">
        <v>10</v>
      </c>
      <c r="H74" s="95">
        <v>9</v>
      </c>
      <c r="I74" s="95">
        <v>9</v>
      </c>
      <c r="J74" s="61">
        <v>25</v>
      </c>
      <c r="K74" s="61">
        <v>25</v>
      </c>
      <c r="L74" s="61">
        <v>25</v>
      </c>
      <c r="M74" s="61">
        <v>25</v>
      </c>
      <c r="N74" s="2">
        <v>24</v>
      </c>
      <c r="O74" s="2">
        <v>23</v>
      </c>
      <c r="P74" s="2">
        <v>23</v>
      </c>
      <c r="Q74" s="2">
        <v>23</v>
      </c>
      <c r="R74" s="95">
        <v>19</v>
      </c>
      <c r="S74" s="95">
        <v>19</v>
      </c>
      <c r="T74" s="95">
        <v>18</v>
      </c>
      <c r="U74" s="95">
        <v>18</v>
      </c>
      <c r="V74" s="61">
        <v>28</v>
      </c>
      <c r="W74" s="61">
        <v>28</v>
      </c>
      <c r="X74" s="61">
        <v>27</v>
      </c>
      <c r="Y74" s="61">
        <v>27</v>
      </c>
      <c r="Z74" s="349">
        <v>17</v>
      </c>
      <c r="AA74" s="349">
        <v>17</v>
      </c>
      <c r="AB74" s="349">
        <v>17</v>
      </c>
      <c r="AC74" s="349">
        <v>17</v>
      </c>
      <c r="AD74" s="469">
        <v>24</v>
      </c>
      <c r="AE74" s="469">
        <v>24</v>
      </c>
      <c r="AF74" s="469">
        <v>24</v>
      </c>
      <c r="AG74" s="469">
        <v>24</v>
      </c>
      <c r="AH74" s="630">
        <v>25</v>
      </c>
      <c r="AI74" s="630">
        <v>25</v>
      </c>
      <c r="AJ74" s="630">
        <v>25</v>
      </c>
      <c r="AK74" s="630">
        <v>25</v>
      </c>
    </row>
    <row r="75" spans="1:37" ht="24.9" customHeight="1" x14ac:dyDescent="0.25">
      <c r="A75" s="1" t="s">
        <v>203</v>
      </c>
      <c r="B75" s="1" t="s">
        <v>0</v>
      </c>
      <c r="C75" s="1" t="s">
        <v>204</v>
      </c>
      <c r="D75" s="1" t="s">
        <v>222</v>
      </c>
      <c r="E75" s="2">
        <v>1</v>
      </c>
      <c r="F75" s="95">
        <v>20</v>
      </c>
      <c r="G75" s="95">
        <v>20</v>
      </c>
      <c r="H75" s="95">
        <v>17</v>
      </c>
      <c r="I75" s="95">
        <v>17</v>
      </c>
      <c r="J75" s="61">
        <v>9</v>
      </c>
      <c r="K75" s="61">
        <v>9</v>
      </c>
      <c r="L75" s="61">
        <v>9</v>
      </c>
      <c r="M75" s="61">
        <v>9</v>
      </c>
      <c r="N75" s="2">
        <v>9</v>
      </c>
      <c r="O75" s="2">
        <v>8</v>
      </c>
      <c r="P75" s="2">
        <v>8</v>
      </c>
      <c r="Q75" s="2">
        <v>8</v>
      </c>
      <c r="R75" s="95">
        <v>9</v>
      </c>
      <c r="S75" s="95">
        <v>9</v>
      </c>
      <c r="T75" s="95">
        <v>9</v>
      </c>
      <c r="U75" s="95">
        <v>9</v>
      </c>
      <c r="V75" s="61">
        <v>10</v>
      </c>
      <c r="W75" s="61">
        <v>10</v>
      </c>
      <c r="X75" s="61">
        <v>10</v>
      </c>
      <c r="Y75" s="61">
        <v>10</v>
      </c>
      <c r="Z75" s="349">
        <v>11</v>
      </c>
      <c r="AA75" s="349">
        <v>11</v>
      </c>
      <c r="AB75" s="349">
        <v>11</v>
      </c>
      <c r="AC75" s="349">
        <v>11</v>
      </c>
      <c r="AD75" s="469">
        <v>2</v>
      </c>
      <c r="AE75" s="469">
        <v>25</v>
      </c>
      <c r="AF75" s="469">
        <v>25</v>
      </c>
      <c r="AG75" s="469">
        <v>25</v>
      </c>
      <c r="AH75" s="630">
        <v>22</v>
      </c>
      <c r="AI75" s="630">
        <v>22</v>
      </c>
      <c r="AJ75" s="630">
        <v>22</v>
      </c>
      <c r="AK75" s="630">
        <v>22</v>
      </c>
    </row>
    <row r="76" spans="1:37" s="461" customFormat="1" ht="24.9" customHeight="1" x14ac:dyDescent="0.25">
      <c r="A76" s="470" t="s">
        <v>957</v>
      </c>
      <c r="B76" s="470" t="s">
        <v>0</v>
      </c>
      <c r="C76" s="477" t="s">
        <v>958</v>
      </c>
      <c r="D76" s="15" t="s">
        <v>222</v>
      </c>
      <c r="E76" s="471">
        <v>2</v>
      </c>
      <c r="F76" s="469"/>
      <c r="G76" s="469"/>
      <c r="H76" s="469"/>
      <c r="I76" s="469"/>
      <c r="J76" s="472"/>
      <c r="K76" s="472"/>
      <c r="L76" s="472"/>
      <c r="M76" s="472"/>
      <c r="N76" s="471"/>
      <c r="O76" s="471"/>
      <c r="P76" s="471"/>
      <c r="Q76" s="471"/>
      <c r="R76" s="469"/>
      <c r="S76" s="469"/>
      <c r="T76" s="469"/>
      <c r="U76" s="469"/>
      <c r="V76" s="472"/>
      <c r="W76" s="472"/>
      <c r="X76" s="472"/>
      <c r="Y76" s="472"/>
      <c r="Z76" s="475"/>
      <c r="AA76" s="475"/>
      <c r="AB76" s="475"/>
      <c r="AC76" s="475"/>
      <c r="AD76" s="469">
        <v>15</v>
      </c>
      <c r="AE76" s="469">
        <v>15</v>
      </c>
      <c r="AF76" s="469">
        <v>15</v>
      </c>
      <c r="AG76" s="469">
        <v>15</v>
      </c>
      <c r="AH76" s="630">
        <v>21</v>
      </c>
      <c r="AI76" s="630">
        <v>21</v>
      </c>
      <c r="AJ76" s="630">
        <v>21</v>
      </c>
      <c r="AK76" s="630">
        <v>21</v>
      </c>
    </row>
    <row r="77" spans="1:37" ht="24.9" customHeight="1" x14ac:dyDescent="0.25">
      <c r="A77" s="1" t="s">
        <v>80</v>
      </c>
      <c r="B77" s="1" t="s">
        <v>0</v>
      </c>
      <c r="C77" s="1" t="s">
        <v>81</v>
      </c>
      <c r="D77" s="1" t="s">
        <v>222</v>
      </c>
      <c r="E77" s="2">
        <v>4</v>
      </c>
      <c r="F77" s="95">
        <v>9</v>
      </c>
      <c r="G77" s="95">
        <v>54</v>
      </c>
      <c r="H77" s="95">
        <v>51</v>
      </c>
      <c r="I77" s="95">
        <v>51</v>
      </c>
      <c r="J77" s="61">
        <v>8</v>
      </c>
      <c r="K77" s="61">
        <v>54</v>
      </c>
      <c r="L77" s="61">
        <v>51</v>
      </c>
      <c r="M77" s="61">
        <v>51</v>
      </c>
      <c r="N77" s="2">
        <v>6</v>
      </c>
      <c r="O77" s="2">
        <v>13</v>
      </c>
      <c r="P77" s="2">
        <v>12</v>
      </c>
      <c r="Q77" s="2">
        <v>12</v>
      </c>
      <c r="R77" s="95">
        <v>0</v>
      </c>
      <c r="S77" s="95">
        <v>57</v>
      </c>
      <c r="T77" s="95">
        <v>55</v>
      </c>
      <c r="U77" s="95">
        <v>54</v>
      </c>
      <c r="V77" s="61"/>
      <c r="W77" s="61"/>
      <c r="X77" s="61"/>
      <c r="Y77" s="61"/>
      <c r="Z77" s="349">
        <v>0</v>
      </c>
      <c r="AA77" s="349">
        <v>1</v>
      </c>
      <c r="AB77" s="349">
        <v>1</v>
      </c>
      <c r="AC77" s="349">
        <v>1</v>
      </c>
    </row>
    <row r="78" spans="1:37" ht="24.9" customHeight="1" x14ac:dyDescent="0.25">
      <c r="A78" s="1" t="s">
        <v>168</v>
      </c>
      <c r="B78" s="1" t="s">
        <v>0</v>
      </c>
      <c r="C78" s="1" t="s">
        <v>169</v>
      </c>
      <c r="D78" s="1" t="s">
        <v>222</v>
      </c>
      <c r="E78" s="2">
        <v>6</v>
      </c>
      <c r="F78" s="95">
        <v>14</v>
      </c>
      <c r="G78" s="95">
        <v>16</v>
      </c>
      <c r="H78" s="95">
        <v>15</v>
      </c>
      <c r="I78" s="95">
        <v>15</v>
      </c>
      <c r="J78" s="61">
        <v>7</v>
      </c>
      <c r="K78" s="61">
        <v>7</v>
      </c>
      <c r="L78" s="61">
        <v>7</v>
      </c>
      <c r="M78" s="61">
        <v>7</v>
      </c>
      <c r="N78" s="2">
        <v>11</v>
      </c>
      <c r="O78" s="2">
        <v>10</v>
      </c>
      <c r="P78" s="2">
        <v>10</v>
      </c>
      <c r="Q78" s="2">
        <v>8</v>
      </c>
      <c r="R78" s="95">
        <v>13</v>
      </c>
      <c r="S78" s="95">
        <v>13</v>
      </c>
      <c r="T78" s="95">
        <v>13</v>
      </c>
      <c r="U78" s="95">
        <v>11</v>
      </c>
      <c r="V78" s="61">
        <v>19</v>
      </c>
      <c r="W78" s="61">
        <v>15</v>
      </c>
      <c r="X78" s="61">
        <v>15</v>
      </c>
      <c r="Y78" s="61">
        <v>15</v>
      </c>
      <c r="Z78" s="349">
        <v>14</v>
      </c>
      <c r="AA78" s="349">
        <v>17</v>
      </c>
      <c r="AB78" s="349">
        <v>17</v>
      </c>
      <c r="AC78" s="349">
        <v>17</v>
      </c>
      <c r="AD78" s="469">
        <v>37</v>
      </c>
      <c r="AE78" s="469">
        <v>24</v>
      </c>
      <c r="AF78" s="469">
        <v>23</v>
      </c>
      <c r="AG78" s="469">
        <v>23</v>
      </c>
      <c r="AH78" s="630">
        <v>22</v>
      </c>
      <c r="AI78" s="630">
        <v>22</v>
      </c>
      <c r="AJ78" s="630">
        <v>21</v>
      </c>
      <c r="AK78" s="630">
        <v>21</v>
      </c>
    </row>
    <row r="79" spans="1:37" ht="24.9" customHeight="1" x14ac:dyDescent="0.25">
      <c r="A79" s="14">
        <v>325754003169</v>
      </c>
      <c r="B79" s="1" t="s">
        <v>0</v>
      </c>
      <c r="C79" s="1" t="s">
        <v>232</v>
      </c>
      <c r="D79" s="1" t="s">
        <v>222</v>
      </c>
      <c r="E79" s="2">
        <v>2</v>
      </c>
      <c r="F79" s="2"/>
      <c r="G79" s="2"/>
      <c r="J79" s="61">
        <v>23</v>
      </c>
      <c r="K79" s="61">
        <v>24</v>
      </c>
      <c r="L79" s="61">
        <v>24</v>
      </c>
      <c r="M79" s="61">
        <v>24</v>
      </c>
      <c r="N79" s="2">
        <v>15</v>
      </c>
      <c r="O79" s="2">
        <v>14</v>
      </c>
      <c r="P79" s="2">
        <v>14</v>
      </c>
      <c r="Q79" s="2">
        <v>14</v>
      </c>
      <c r="R79" s="95">
        <v>17</v>
      </c>
      <c r="S79" s="95">
        <v>17</v>
      </c>
      <c r="T79" s="95">
        <v>17</v>
      </c>
      <c r="U79" s="95">
        <v>16</v>
      </c>
      <c r="V79" s="61">
        <v>19</v>
      </c>
      <c r="W79" s="61">
        <v>19</v>
      </c>
      <c r="X79" s="61">
        <v>19</v>
      </c>
      <c r="Y79" s="61">
        <v>19</v>
      </c>
      <c r="Z79" s="349">
        <v>20</v>
      </c>
      <c r="AA79" s="349">
        <v>20</v>
      </c>
      <c r="AB79" s="349">
        <v>20</v>
      </c>
      <c r="AC79" s="349">
        <v>20</v>
      </c>
      <c r="AD79" s="469">
        <v>28</v>
      </c>
      <c r="AE79" s="469">
        <v>28</v>
      </c>
      <c r="AF79" s="469">
        <v>28</v>
      </c>
      <c r="AG79" s="469">
        <v>28</v>
      </c>
      <c r="AH79" s="630">
        <v>32</v>
      </c>
      <c r="AI79" s="630">
        <v>32</v>
      </c>
      <c r="AJ79" s="630">
        <v>32</v>
      </c>
      <c r="AK79" s="630">
        <v>32</v>
      </c>
    </row>
    <row r="80" spans="1:37" ht="24.9" customHeight="1" x14ac:dyDescent="0.25">
      <c r="A80" s="1" t="s">
        <v>41</v>
      </c>
      <c r="B80" s="1" t="s">
        <v>0</v>
      </c>
      <c r="C80" s="1" t="s">
        <v>42</v>
      </c>
      <c r="D80" s="1" t="s">
        <v>222</v>
      </c>
      <c r="E80" s="2">
        <v>6</v>
      </c>
      <c r="F80" s="95">
        <v>34</v>
      </c>
      <c r="G80" s="95">
        <v>33</v>
      </c>
      <c r="H80" s="95">
        <v>33</v>
      </c>
      <c r="I80" s="95">
        <v>33</v>
      </c>
      <c r="J80" s="61">
        <v>24</v>
      </c>
      <c r="K80" s="61">
        <v>24</v>
      </c>
      <c r="L80" s="61">
        <v>24</v>
      </c>
      <c r="M80" s="61">
        <v>24</v>
      </c>
      <c r="N80" s="2">
        <v>38</v>
      </c>
      <c r="O80" s="2">
        <v>37</v>
      </c>
      <c r="P80" s="2">
        <v>37</v>
      </c>
      <c r="Q80" s="2">
        <v>36</v>
      </c>
      <c r="R80" s="95">
        <v>30</v>
      </c>
      <c r="S80" s="95">
        <v>31</v>
      </c>
      <c r="T80" s="95">
        <v>30</v>
      </c>
      <c r="U80" s="95">
        <v>29</v>
      </c>
      <c r="V80" s="61">
        <v>26</v>
      </c>
      <c r="W80" s="61">
        <v>26</v>
      </c>
      <c r="X80" s="61">
        <v>26</v>
      </c>
      <c r="Y80" s="61">
        <v>26</v>
      </c>
      <c r="Z80" s="349">
        <v>35</v>
      </c>
      <c r="AA80" s="349">
        <v>44</v>
      </c>
      <c r="AB80" s="349">
        <v>44</v>
      </c>
      <c r="AC80" s="349">
        <v>44</v>
      </c>
      <c r="AD80" s="469">
        <v>29</v>
      </c>
      <c r="AE80" s="469">
        <v>29</v>
      </c>
      <c r="AF80" s="469">
        <v>29</v>
      </c>
      <c r="AG80" s="469">
        <v>29</v>
      </c>
      <c r="AH80" s="630">
        <v>37</v>
      </c>
      <c r="AI80" s="630">
        <v>37</v>
      </c>
      <c r="AJ80" s="630">
        <v>36</v>
      </c>
      <c r="AK80" s="630">
        <v>36</v>
      </c>
    </row>
    <row r="81" spans="1:45" s="461" customFormat="1" ht="24.9" customHeight="1" x14ac:dyDescent="0.25">
      <c r="A81" s="470" t="s">
        <v>959</v>
      </c>
      <c r="B81" s="470" t="s">
        <v>0</v>
      </c>
      <c r="C81" s="477" t="s">
        <v>960</v>
      </c>
      <c r="D81" s="15" t="s">
        <v>222</v>
      </c>
      <c r="E81" s="471">
        <v>3</v>
      </c>
      <c r="F81" s="469"/>
      <c r="G81" s="469"/>
      <c r="H81" s="469"/>
      <c r="I81" s="469"/>
      <c r="J81" s="472"/>
      <c r="K81" s="472"/>
      <c r="L81" s="472"/>
      <c r="M81" s="472"/>
      <c r="N81" s="471"/>
      <c r="O81" s="471"/>
      <c r="P81" s="471"/>
      <c r="Q81" s="471"/>
      <c r="R81" s="469"/>
      <c r="S81" s="469"/>
      <c r="T81" s="469"/>
      <c r="U81" s="469"/>
      <c r="V81" s="472"/>
      <c r="W81" s="472"/>
      <c r="X81" s="472"/>
      <c r="Y81" s="472"/>
      <c r="Z81" s="475"/>
      <c r="AA81" s="475"/>
      <c r="AB81" s="475"/>
      <c r="AC81" s="475"/>
      <c r="AD81" s="469">
        <v>16</v>
      </c>
      <c r="AE81" s="469">
        <v>16</v>
      </c>
      <c r="AF81" s="469">
        <v>16</v>
      </c>
      <c r="AG81" s="469">
        <v>16</v>
      </c>
      <c r="AH81" s="630">
        <v>20</v>
      </c>
      <c r="AI81" s="630">
        <v>20</v>
      </c>
      <c r="AJ81" s="630">
        <v>20</v>
      </c>
      <c r="AK81" s="630">
        <v>20</v>
      </c>
    </row>
    <row r="82" spans="1:45" ht="24.9" customHeight="1" x14ac:dyDescent="0.25">
      <c r="A82" s="1" t="s">
        <v>107</v>
      </c>
      <c r="B82" s="1" t="s">
        <v>0</v>
      </c>
      <c r="C82" s="1" t="s">
        <v>108</v>
      </c>
      <c r="D82" s="1" t="s">
        <v>222</v>
      </c>
      <c r="E82" s="2">
        <v>6</v>
      </c>
      <c r="F82" s="95">
        <v>15</v>
      </c>
      <c r="G82" s="95">
        <v>15</v>
      </c>
      <c r="H82" s="95">
        <v>15</v>
      </c>
      <c r="I82" s="95">
        <v>15</v>
      </c>
      <c r="J82" s="61">
        <v>18</v>
      </c>
      <c r="K82" s="61">
        <v>18</v>
      </c>
      <c r="L82" s="61">
        <v>17</v>
      </c>
      <c r="M82" s="61">
        <v>17</v>
      </c>
      <c r="N82" s="2">
        <v>11</v>
      </c>
      <c r="O82" s="2">
        <v>11</v>
      </c>
      <c r="P82" s="2">
        <v>11</v>
      </c>
      <c r="Q82" s="2">
        <v>11</v>
      </c>
      <c r="R82" s="95">
        <v>16</v>
      </c>
      <c r="S82" s="95">
        <v>16</v>
      </c>
      <c r="T82" s="95">
        <v>16</v>
      </c>
      <c r="U82" s="95">
        <v>16</v>
      </c>
      <c r="V82" s="61">
        <v>19</v>
      </c>
      <c r="W82" s="61">
        <v>19</v>
      </c>
      <c r="X82" s="61">
        <v>19</v>
      </c>
      <c r="Y82" s="61">
        <v>19</v>
      </c>
      <c r="Z82" s="349">
        <v>13</v>
      </c>
      <c r="AA82" s="349">
        <v>13</v>
      </c>
      <c r="AB82" s="349">
        <v>13</v>
      </c>
      <c r="AC82" s="349">
        <v>13</v>
      </c>
      <c r="AD82" s="469">
        <v>12</v>
      </c>
      <c r="AE82" s="469">
        <v>10</v>
      </c>
      <c r="AF82" s="469">
        <v>10</v>
      </c>
      <c r="AG82" s="469">
        <v>10</v>
      </c>
      <c r="AH82" s="630">
        <v>10</v>
      </c>
      <c r="AI82" s="630">
        <v>10</v>
      </c>
      <c r="AJ82" s="630">
        <v>10</v>
      </c>
      <c r="AK82" s="630">
        <v>10</v>
      </c>
    </row>
    <row r="83" spans="1:45" ht="24.9" customHeight="1" x14ac:dyDescent="0.25">
      <c r="A83" s="1" t="s">
        <v>37</v>
      </c>
      <c r="B83" s="1" t="s">
        <v>0</v>
      </c>
      <c r="C83" s="1" t="s">
        <v>38</v>
      </c>
      <c r="D83" s="1" t="s">
        <v>222</v>
      </c>
      <c r="E83" s="2">
        <v>6</v>
      </c>
      <c r="F83" s="95">
        <v>39</v>
      </c>
      <c r="G83" s="95">
        <v>37</v>
      </c>
      <c r="H83" s="95">
        <v>37</v>
      </c>
      <c r="I83" s="95">
        <v>37</v>
      </c>
      <c r="J83" s="61">
        <v>32</v>
      </c>
      <c r="K83" s="61">
        <v>32</v>
      </c>
      <c r="L83" s="61">
        <v>32</v>
      </c>
      <c r="M83" s="61">
        <v>31</v>
      </c>
      <c r="N83" s="2">
        <v>49</v>
      </c>
      <c r="O83" s="2">
        <v>49</v>
      </c>
      <c r="P83" s="2">
        <v>49</v>
      </c>
      <c r="Q83" s="2">
        <v>47</v>
      </c>
      <c r="R83" s="95">
        <v>57</v>
      </c>
      <c r="S83" s="95">
        <v>57</v>
      </c>
      <c r="T83" s="95">
        <v>57</v>
      </c>
      <c r="U83" s="95">
        <v>56</v>
      </c>
      <c r="V83" s="61">
        <v>76</v>
      </c>
      <c r="W83" s="61">
        <v>75</v>
      </c>
      <c r="X83" s="61">
        <v>75</v>
      </c>
      <c r="Y83" s="61">
        <v>75</v>
      </c>
      <c r="Z83" s="349">
        <v>77</v>
      </c>
      <c r="AA83" s="349">
        <v>74</v>
      </c>
      <c r="AB83" s="349">
        <v>74</v>
      </c>
      <c r="AC83" s="349">
        <v>74</v>
      </c>
      <c r="AD83" s="469">
        <v>72</v>
      </c>
      <c r="AE83" s="469">
        <v>72</v>
      </c>
      <c r="AF83" s="469">
        <v>70</v>
      </c>
      <c r="AG83" s="469">
        <v>70</v>
      </c>
      <c r="AH83" s="630">
        <v>86</v>
      </c>
      <c r="AI83" s="630">
        <v>86</v>
      </c>
      <c r="AJ83" s="630">
        <v>85</v>
      </c>
      <c r="AK83" s="630">
        <v>85</v>
      </c>
    </row>
    <row r="84" spans="1:45" ht="24.9" customHeight="1" x14ac:dyDescent="0.25">
      <c r="A84" s="1" t="s">
        <v>183</v>
      </c>
      <c r="B84" s="1" t="s">
        <v>0</v>
      </c>
      <c r="C84" s="1" t="s">
        <v>184</v>
      </c>
      <c r="D84" s="1" t="s">
        <v>222</v>
      </c>
      <c r="E84" s="2">
        <v>3</v>
      </c>
      <c r="F84" s="95">
        <v>24</v>
      </c>
      <c r="G84" s="95">
        <v>24</v>
      </c>
      <c r="H84" s="95">
        <v>23</v>
      </c>
      <c r="I84" s="95">
        <v>23</v>
      </c>
      <c r="J84" s="61">
        <v>24</v>
      </c>
      <c r="K84" s="61">
        <v>24</v>
      </c>
      <c r="L84" s="61">
        <v>24</v>
      </c>
      <c r="M84" s="61">
        <v>24</v>
      </c>
      <c r="N84" s="2">
        <v>18</v>
      </c>
      <c r="O84" s="2">
        <v>18</v>
      </c>
      <c r="P84" s="2">
        <v>18</v>
      </c>
      <c r="Q84" s="2">
        <v>18</v>
      </c>
      <c r="R84" s="95">
        <v>24</v>
      </c>
      <c r="S84" s="95">
        <v>23</v>
      </c>
      <c r="T84" s="95">
        <v>22</v>
      </c>
      <c r="U84" s="95">
        <v>18</v>
      </c>
      <c r="V84" s="61">
        <v>25</v>
      </c>
      <c r="W84" s="61">
        <v>21</v>
      </c>
      <c r="X84" s="61">
        <v>21</v>
      </c>
      <c r="Y84" s="61">
        <v>21</v>
      </c>
      <c r="Z84" s="349">
        <v>32</v>
      </c>
      <c r="AA84" s="349">
        <v>32</v>
      </c>
      <c r="AB84" s="349">
        <v>32</v>
      </c>
      <c r="AC84" s="349">
        <v>32</v>
      </c>
      <c r="AD84" s="469">
        <v>19</v>
      </c>
      <c r="AE84" s="469">
        <v>16</v>
      </c>
      <c r="AF84" s="469">
        <v>16</v>
      </c>
      <c r="AG84" s="469">
        <v>16</v>
      </c>
      <c r="AH84" s="630">
        <v>12</v>
      </c>
      <c r="AI84" s="630">
        <v>14</v>
      </c>
      <c r="AJ84" s="630">
        <v>14</v>
      </c>
      <c r="AK84" s="630">
        <v>14</v>
      </c>
    </row>
    <row r="85" spans="1:45" ht="24.9" customHeight="1" x14ac:dyDescent="0.25">
      <c r="A85" s="1" t="s">
        <v>109</v>
      </c>
      <c r="B85" s="1" t="s">
        <v>0</v>
      </c>
      <c r="C85" s="1" t="s">
        <v>110</v>
      </c>
      <c r="D85" s="1" t="s">
        <v>222</v>
      </c>
      <c r="E85" s="2">
        <v>2</v>
      </c>
      <c r="F85" s="95">
        <v>69</v>
      </c>
      <c r="G85" s="95">
        <v>70</v>
      </c>
      <c r="H85" s="95">
        <v>69</v>
      </c>
      <c r="I85" s="95">
        <v>69</v>
      </c>
      <c r="J85" s="61">
        <v>77</v>
      </c>
      <c r="K85" s="61">
        <v>77</v>
      </c>
      <c r="L85" s="61">
        <v>77</v>
      </c>
      <c r="M85" s="61">
        <v>77</v>
      </c>
      <c r="N85" s="2">
        <v>50</v>
      </c>
      <c r="O85" s="2">
        <v>49</v>
      </c>
      <c r="P85" s="2">
        <v>49</v>
      </c>
      <c r="Q85" s="2">
        <v>49</v>
      </c>
      <c r="R85" s="95">
        <v>40</v>
      </c>
      <c r="S85" s="95">
        <v>40</v>
      </c>
      <c r="T85" s="95">
        <v>40</v>
      </c>
      <c r="U85" s="95">
        <v>40</v>
      </c>
      <c r="V85" s="61">
        <v>46</v>
      </c>
      <c r="W85" s="61">
        <v>42</v>
      </c>
      <c r="X85" s="61">
        <v>42</v>
      </c>
      <c r="Y85" s="61">
        <v>42</v>
      </c>
      <c r="Z85" s="349">
        <v>38</v>
      </c>
      <c r="AA85" s="349">
        <v>38</v>
      </c>
      <c r="AB85" s="349">
        <v>38</v>
      </c>
      <c r="AC85" s="349">
        <v>38</v>
      </c>
      <c r="AD85" s="469">
        <v>24</v>
      </c>
      <c r="AE85" s="469">
        <v>24</v>
      </c>
      <c r="AF85" s="469">
        <v>24</v>
      </c>
      <c r="AG85" s="469">
        <v>24</v>
      </c>
      <c r="AH85" s="630">
        <v>18</v>
      </c>
      <c r="AI85" s="630">
        <v>18</v>
      </c>
      <c r="AJ85" s="630">
        <v>18</v>
      </c>
      <c r="AK85" s="630">
        <v>18</v>
      </c>
    </row>
    <row r="86" spans="1:45" s="461" customFormat="1" ht="24.9" customHeight="1" x14ac:dyDescent="0.25">
      <c r="A86" s="470" t="s">
        <v>961</v>
      </c>
      <c r="B86" s="470" t="s">
        <v>0</v>
      </c>
      <c r="C86" s="477" t="s">
        <v>962</v>
      </c>
      <c r="D86" s="15" t="s">
        <v>222</v>
      </c>
      <c r="E86" s="471">
        <v>6</v>
      </c>
      <c r="F86" s="469"/>
      <c r="G86" s="469"/>
      <c r="H86" s="474"/>
      <c r="I86" s="474"/>
      <c r="J86" s="472"/>
      <c r="K86" s="472"/>
      <c r="L86" s="472"/>
      <c r="M86" s="472"/>
      <c r="N86" s="471"/>
      <c r="O86" s="471"/>
      <c r="P86" s="471"/>
      <c r="Q86" s="471"/>
      <c r="R86" s="469"/>
      <c r="S86" s="469"/>
      <c r="T86" s="469"/>
      <c r="U86" s="469"/>
      <c r="V86" s="472"/>
      <c r="W86" s="472"/>
      <c r="X86" s="472"/>
      <c r="Y86" s="472"/>
      <c r="Z86" s="475"/>
      <c r="AA86" s="475"/>
      <c r="AB86" s="475"/>
      <c r="AC86" s="475"/>
      <c r="AD86" s="469">
        <v>0</v>
      </c>
      <c r="AE86" s="469">
        <v>18</v>
      </c>
      <c r="AF86" s="469">
        <v>17</v>
      </c>
      <c r="AG86" s="469">
        <v>17</v>
      </c>
      <c r="AH86" s="630">
        <v>0</v>
      </c>
      <c r="AI86" s="630">
        <v>1</v>
      </c>
      <c r="AJ86" s="630">
        <v>1</v>
      </c>
      <c r="AK86" s="630">
        <v>1</v>
      </c>
    </row>
    <row r="87" spans="1:45" ht="24.9" customHeight="1" x14ac:dyDescent="0.25">
      <c r="A87" s="15" t="s">
        <v>278</v>
      </c>
      <c r="B87" s="1" t="s">
        <v>0</v>
      </c>
      <c r="C87" s="15" t="s">
        <v>268</v>
      </c>
      <c r="D87" s="1" t="s">
        <v>222</v>
      </c>
      <c r="E87" s="2">
        <v>3</v>
      </c>
      <c r="F87" s="2"/>
      <c r="G87" s="2"/>
      <c r="J87" s="61"/>
      <c r="K87" s="61"/>
      <c r="L87" s="61"/>
      <c r="M87" s="61"/>
      <c r="N87" s="2"/>
      <c r="O87" s="2"/>
      <c r="P87" s="2"/>
      <c r="Q87" s="2"/>
      <c r="R87" s="2"/>
      <c r="S87" s="2"/>
      <c r="T87" s="2"/>
      <c r="U87" s="2"/>
      <c r="V87" s="61">
        <v>9</v>
      </c>
      <c r="W87" s="61">
        <v>9</v>
      </c>
      <c r="X87" s="61">
        <v>8</v>
      </c>
      <c r="Y87" s="61">
        <v>8</v>
      </c>
      <c r="Z87" s="349">
        <v>9</v>
      </c>
      <c r="AA87" s="349">
        <v>9</v>
      </c>
      <c r="AB87" s="349">
        <v>9</v>
      </c>
      <c r="AC87" s="349">
        <v>9</v>
      </c>
      <c r="AD87" s="469">
        <v>18</v>
      </c>
      <c r="AE87" s="469">
        <v>18</v>
      </c>
      <c r="AF87" s="469">
        <v>18</v>
      </c>
      <c r="AG87" s="469">
        <v>18</v>
      </c>
      <c r="AH87" s="630">
        <v>11</v>
      </c>
      <c r="AI87" s="630">
        <v>10</v>
      </c>
      <c r="AJ87" s="630">
        <v>10</v>
      </c>
      <c r="AK87" s="630">
        <v>10</v>
      </c>
    </row>
    <row r="88" spans="1:45" ht="24.9" customHeight="1" x14ac:dyDescent="0.25">
      <c r="A88" s="15">
        <v>325754001972</v>
      </c>
      <c r="B88" s="1" t="s">
        <v>0</v>
      </c>
      <c r="C88" s="1" t="s">
        <v>234</v>
      </c>
      <c r="D88" s="1" t="s">
        <v>222</v>
      </c>
      <c r="E88" s="2">
        <v>5</v>
      </c>
      <c r="F88" s="2"/>
      <c r="G88" s="2"/>
      <c r="J88" s="61"/>
      <c r="K88" s="61"/>
      <c r="L88" s="61"/>
      <c r="M88" s="61"/>
      <c r="N88" s="2"/>
      <c r="O88" s="2"/>
      <c r="P88" s="2"/>
      <c r="Q88" s="2"/>
      <c r="R88" s="95">
        <v>14</v>
      </c>
      <c r="S88" s="95">
        <v>12</v>
      </c>
      <c r="T88" s="95">
        <v>12</v>
      </c>
      <c r="U88" s="95">
        <v>12</v>
      </c>
      <c r="V88" s="61"/>
      <c r="W88" s="61"/>
      <c r="X88" s="61"/>
      <c r="Y88" s="61"/>
      <c r="AK88" s="624"/>
      <c r="AL88" s="624"/>
      <c r="AM88" s="624"/>
      <c r="AN88" s="624"/>
      <c r="AO88" s="624"/>
      <c r="AP88" s="624"/>
      <c r="AQ88" s="624"/>
      <c r="AR88" s="624"/>
      <c r="AS88" s="624"/>
    </row>
    <row r="89" spans="1:45" ht="24.9" customHeight="1" x14ac:dyDescent="0.25">
      <c r="A89" s="1" t="s">
        <v>152</v>
      </c>
      <c r="B89" s="1" t="s">
        <v>0</v>
      </c>
      <c r="C89" s="1" t="s">
        <v>153</v>
      </c>
      <c r="D89" s="1" t="s">
        <v>222</v>
      </c>
      <c r="E89" s="2">
        <v>2</v>
      </c>
      <c r="F89" s="95">
        <v>28</v>
      </c>
      <c r="G89" s="95">
        <v>30</v>
      </c>
      <c r="H89" s="95">
        <v>29</v>
      </c>
      <c r="I89" s="95">
        <v>29</v>
      </c>
      <c r="J89" s="61">
        <v>26</v>
      </c>
      <c r="K89" s="61">
        <v>32</v>
      </c>
      <c r="L89" s="61">
        <v>32</v>
      </c>
      <c r="M89" s="61">
        <v>30</v>
      </c>
      <c r="N89" s="2">
        <v>34</v>
      </c>
      <c r="O89" s="2">
        <v>34</v>
      </c>
      <c r="P89" s="2">
        <v>34</v>
      </c>
      <c r="Q89" s="2">
        <v>34</v>
      </c>
      <c r="R89" s="95">
        <v>26</v>
      </c>
      <c r="S89" s="95">
        <v>28</v>
      </c>
      <c r="T89" s="95">
        <v>28</v>
      </c>
      <c r="U89" s="95">
        <v>27</v>
      </c>
      <c r="V89" s="61">
        <v>36</v>
      </c>
      <c r="W89" s="61">
        <v>36</v>
      </c>
      <c r="X89" s="61">
        <v>35</v>
      </c>
      <c r="Y89" s="61">
        <v>35</v>
      </c>
      <c r="Z89" s="349">
        <v>60</v>
      </c>
      <c r="AA89" s="349">
        <v>61</v>
      </c>
      <c r="AB89" s="349">
        <v>61</v>
      </c>
      <c r="AC89" s="349">
        <v>61</v>
      </c>
      <c r="AD89" s="469">
        <v>50</v>
      </c>
      <c r="AE89" s="469">
        <v>52</v>
      </c>
      <c r="AF89" s="469">
        <v>52</v>
      </c>
      <c r="AG89" s="469">
        <v>52</v>
      </c>
      <c r="AH89" s="630">
        <v>33</v>
      </c>
      <c r="AI89" s="630">
        <v>34</v>
      </c>
      <c r="AJ89" s="630">
        <v>34</v>
      </c>
      <c r="AK89" s="630">
        <v>34</v>
      </c>
    </row>
    <row r="90" spans="1:45" ht="24.9" customHeight="1" x14ac:dyDescent="0.25">
      <c r="A90" s="1" t="s">
        <v>135</v>
      </c>
      <c r="B90" s="1" t="s">
        <v>0</v>
      </c>
      <c r="C90" s="1" t="s">
        <v>136</v>
      </c>
      <c r="D90" s="1" t="s">
        <v>222</v>
      </c>
      <c r="E90" s="2">
        <v>4</v>
      </c>
      <c r="F90" s="95">
        <v>25</v>
      </c>
      <c r="G90" s="95">
        <v>26</v>
      </c>
      <c r="H90" s="95">
        <v>26</v>
      </c>
      <c r="I90" s="95">
        <v>26</v>
      </c>
      <c r="J90" s="61">
        <v>37</v>
      </c>
      <c r="K90" s="61">
        <v>37</v>
      </c>
      <c r="L90" s="61">
        <v>37</v>
      </c>
      <c r="M90" s="61">
        <v>36</v>
      </c>
      <c r="N90" s="2">
        <v>37</v>
      </c>
      <c r="O90" s="2">
        <v>36</v>
      </c>
      <c r="P90" s="2">
        <v>36</v>
      </c>
      <c r="Q90" s="2">
        <v>36</v>
      </c>
      <c r="R90" s="95">
        <v>52</v>
      </c>
      <c r="S90" s="95">
        <v>51</v>
      </c>
      <c r="T90" s="95">
        <v>51</v>
      </c>
      <c r="U90" s="95">
        <v>50</v>
      </c>
      <c r="V90" s="61">
        <v>42</v>
      </c>
      <c r="W90" s="61">
        <v>41</v>
      </c>
      <c r="X90" s="61">
        <v>41</v>
      </c>
      <c r="Y90" s="61">
        <v>41</v>
      </c>
      <c r="Z90" s="349">
        <v>45</v>
      </c>
      <c r="AA90" s="349">
        <v>45</v>
      </c>
      <c r="AB90" s="349">
        <v>45</v>
      </c>
      <c r="AC90" s="349">
        <v>45</v>
      </c>
      <c r="AD90" s="469">
        <v>3</v>
      </c>
      <c r="AE90" s="469">
        <v>53</v>
      </c>
      <c r="AF90" s="469">
        <v>53</v>
      </c>
      <c r="AG90" s="469">
        <v>53</v>
      </c>
      <c r="AH90" s="630">
        <v>79</v>
      </c>
      <c r="AI90" s="630">
        <v>79</v>
      </c>
      <c r="AJ90" s="630">
        <v>79</v>
      </c>
      <c r="AK90" s="630">
        <v>79</v>
      </c>
    </row>
    <row r="91" spans="1:45" ht="24.9" customHeight="1" x14ac:dyDescent="0.25">
      <c r="A91" s="1" t="s">
        <v>96</v>
      </c>
      <c r="B91" s="1" t="s">
        <v>0</v>
      </c>
      <c r="C91" s="1" t="s">
        <v>97</v>
      </c>
      <c r="D91" s="1" t="s">
        <v>222</v>
      </c>
      <c r="E91" s="2">
        <v>2</v>
      </c>
      <c r="F91" s="95">
        <v>5</v>
      </c>
      <c r="G91" s="95">
        <v>7</v>
      </c>
      <c r="H91" s="95">
        <v>7</v>
      </c>
      <c r="I91" s="95">
        <v>7</v>
      </c>
      <c r="J91" s="61">
        <v>9</v>
      </c>
      <c r="K91" s="61">
        <v>9</v>
      </c>
      <c r="L91" s="61">
        <v>9</v>
      </c>
      <c r="M91" s="61">
        <v>9</v>
      </c>
      <c r="N91" s="2">
        <v>7</v>
      </c>
      <c r="O91" s="2">
        <v>6</v>
      </c>
      <c r="P91" s="2">
        <v>6</v>
      </c>
      <c r="Q91" s="2">
        <v>6</v>
      </c>
      <c r="R91" s="95">
        <v>9</v>
      </c>
      <c r="S91" s="95">
        <v>9</v>
      </c>
      <c r="T91" s="95">
        <v>9</v>
      </c>
      <c r="U91" s="95">
        <v>9</v>
      </c>
      <c r="V91" s="61">
        <v>11</v>
      </c>
      <c r="W91" s="61">
        <v>11</v>
      </c>
      <c r="X91" s="61">
        <v>11</v>
      </c>
      <c r="Y91" s="61">
        <v>11</v>
      </c>
      <c r="Z91" s="349">
        <v>6</v>
      </c>
      <c r="AA91" s="349">
        <v>6</v>
      </c>
      <c r="AB91" s="349">
        <v>6</v>
      </c>
      <c r="AC91" s="349">
        <v>6</v>
      </c>
      <c r="AD91" s="469">
        <v>3</v>
      </c>
      <c r="AE91" s="469">
        <v>3</v>
      </c>
      <c r="AF91" s="469">
        <v>3</v>
      </c>
      <c r="AG91" s="469">
        <v>3</v>
      </c>
      <c r="AH91" s="630">
        <v>8</v>
      </c>
      <c r="AI91" s="630">
        <v>8</v>
      </c>
      <c r="AJ91" s="630">
        <v>8</v>
      </c>
      <c r="AK91" s="630">
        <v>8</v>
      </c>
    </row>
    <row r="92" spans="1:45" ht="24.9" customHeight="1" x14ac:dyDescent="0.25">
      <c r="A92" s="1" t="s">
        <v>180</v>
      </c>
      <c r="B92" s="1" t="s">
        <v>0</v>
      </c>
      <c r="C92" s="1" t="s">
        <v>181</v>
      </c>
      <c r="D92" s="1" t="s">
        <v>222</v>
      </c>
      <c r="E92" s="2">
        <v>3</v>
      </c>
      <c r="F92" s="95">
        <v>30</v>
      </c>
      <c r="G92" s="95">
        <v>30</v>
      </c>
      <c r="H92" s="95">
        <v>30</v>
      </c>
      <c r="I92" s="95">
        <v>30</v>
      </c>
      <c r="J92" s="61">
        <v>32</v>
      </c>
      <c r="K92" s="61">
        <v>32</v>
      </c>
      <c r="L92" s="61">
        <v>32</v>
      </c>
      <c r="M92" s="61">
        <v>32</v>
      </c>
      <c r="N92" s="2">
        <v>32</v>
      </c>
      <c r="O92" s="2">
        <v>32</v>
      </c>
      <c r="P92" s="2">
        <v>32</v>
      </c>
      <c r="Q92" s="2">
        <v>32</v>
      </c>
      <c r="R92" s="95">
        <v>52</v>
      </c>
      <c r="S92" s="95">
        <v>52</v>
      </c>
      <c r="T92" s="95">
        <v>52</v>
      </c>
      <c r="U92" s="95">
        <v>52</v>
      </c>
      <c r="V92" s="61">
        <v>63</v>
      </c>
      <c r="W92" s="61">
        <v>63</v>
      </c>
      <c r="X92" s="61">
        <v>63</v>
      </c>
      <c r="Y92" s="61">
        <v>63</v>
      </c>
      <c r="Z92" s="349">
        <v>74</v>
      </c>
      <c r="AA92" s="349">
        <v>74</v>
      </c>
      <c r="AB92" s="349">
        <v>73</v>
      </c>
      <c r="AC92" s="349">
        <v>73</v>
      </c>
      <c r="AD92" s="469">
        <v>75</v>
      </c>
      <c r="AE92" s="469">
        <v>75</v>
      </c>
      <c r="AF92" s="469">
        <v>75</v>
      </c>
      <c r="AG92" s="469">
        <v>75</v>
      </c>
      <c r="AH92" s="630">
        <v>84</v>
      </c>
      <c r="AI92" s="630">
        <v>84</v>
      </c>
      <c r="AJ92" s="630">
        <v>84</v>
      </c>
      <c r="AK92" s="630">
        <v>84</v>
      </c>
    </row>
    <row r="93" spans="1:45" ht="24.9" customHeight="1" x14ac:dyDescent="0.25">
      <c r="A93" s="1" t="s">
        <v>170</v>
      </c>
      <c r="B93" s="1" t="s">
        <v>0</v>
      </c>
      <c r="C93" s="1" t="s">
        <v>171</v>
      </c>
      <c r="D93" s="1" t="s">
        <v>222</v>
      </c>
      <c r="E93" s="2">
        <v>2</v>
      </c>
      <c r="F93" s="95">
        <v>41</v>
      </c>
      <c r="G93" s="95">
        <v>41</v>
      </c>
      <c r="H93" s="95">
        <v>41</v>
      </c>
      <c r="I93" s="95">
        <v>41</v>
      </c>
      <c r="J93" s="61">
        <v>37</v>
      </c>
      <c r="K93" s="61">
        <v>37</v>
      </c>
      <c r="L93" s="61">
        <v>36</v>
      </c>
      <c r="M93" s="61">
        <v>36</v>
      </c>
      <c r="N93" s="2">
        <v>33</v>
      </c>
      <c r="O93" s="2">
        <v>33</v>
      </c>
      <c r="P93" s="2">
        <v>33</v>
      </c>
      <c r="Q93" s="2">
        <v>33</v>
      </c>
      <c r="R93" s="95">
        <v>37</v>
      </c>
      <c r="S93" s="95">
        <v>37</v>
      </c>
      <c r="T93" s="95">
        <v>37</v>
      </c>
      <c r="U93" s="95">
        <v>37</v>
      </c>
      <c r="V93" s="61">
        <v>62</v>
      </c>
      <c r="W93" s="61">
        <v>59</v>
      </c>
      <c r="X93" s="61">
        <v>59</v>
      </c>
      <c r="Y93" s="61">
        <v>59</v>
      </c>
      <c r="Z93" s="349">
        <v>54</v>
      </c>
      <c r="AA93" s="349">
        <v>53</v>
      </c>
      <c r="AB93" s="349">
        <v>53</v>
      </c>
      <c r="AC93" s="349">
        <v>53</v>
      </c>
      <c r="AD93" s="469">
        <v>32</v>
      </c>
      <c r="AE93" s="469">
        <v>37</v>
      </c>
      <c r="AF93" s="469">
        <v>37</v>
      </c>
      <c r="AG93" s="469">
        <v>37</v>
      </c>
      <c r="AH93" s="630">
        <v>35</v>
      </c>
      <c r="AI93" s="630">
        <v>35</v>
      </c>
      <c r="AJ93" s="630">
        <v>34</v>
      </c>
      <c r="AK93" s="630">
        <v>34</v>
      </c>
    </row>
    <row r="94" spans="1:45" ht="24.9" customHeight="1" x14ac:dyDescent="0.25">
      <c r="A94" s="1" t="s">
        <v>76</v>
      </c>
      <c r="B94" s="1" t="s">
        <v>0</v>
      </c>
      <c r="C94" s="1" t="s">
        <v>77</v>
      </c>
      <c r="D94" s="1" t="s">
        <v>222</v>
      </c>
      <c r="E94" s="2">
        <v>2</v>
      </c>
      <c r="F94" s="95">
        <v>21</v>
      </c>
      <c r="G94" s="95">
        <v>21</v>
      </c>
      <c r="H94" s="95">
        <v>17</v>
      </c>
      <c r="I94" s="95">
        <v>17</v>
      </c>
      <c r="J94" s="61">
        <v>18</v>
      </c>
      <c r="K94" s="61">
        <v>18</v>
      </c>
      <c r="L94" s="61">
        <v>18</v>
      </c>
      <c r="M94" s="61">
        <v>17</v>
      </c>
      <c r="N94" s="2">
        <v>16</v>
      </c>
      <c r="O94" s="2">
        <v>16</v>
      </c>
      <c r="P94" s="2">
        <v>16</v>
      </c>
      <c r="Q94" s="2">
        <v>15</v>
      </c>
      <c r="R94" s="95">
        <v>11</v>
      </c>
      <c r="S94" s="95">
        <v>11</v>
      </c>
      <c r="T94" s="95">
        <v>11</v>
      </c>
      <c r="U94" s="95">
        <v>11</v>
      </c>
      <c r="V94" s="61">
        <v>16</v>
      </c>
      <c r="W94" s="61">
        <v>15</v>
      </c>
      <c r="X94" s="61">
        <v>14</v>
      </c>
      <c r="Y94" s="61">
        <v>14</v>
      </c>
      <c r="Z94" s="349">
        <v>8</v>
      </c>
      <c r="AA94" s="349">
        <v>9</v>
      </c>
      <c r="AB94" s="349">
        <v>9</v>
      </c>
      <c r="AC94" s="349">
        <v>9</v>
      </c>
      <c r="AD94" s="469">
        <v>10</v>
      </c>
      <c r="AE94" s="469">
        <v>10</v>
      </c>
      <c r="AF94" s="469">
        <v>10</v>
      </c>
      <c r="AG94" s="469">
        <v>10</v>
      </c>
      <c r="AH94" s="630">
        <v>8</v>
      </c>
      <c r="AI94" s="630">
        <v>8</v>
      </c>
      <c r="AJ94" s="630">
        <v>7</v>
      </c>
      <c r="AK94" s="630">
        <v>7</v>
      </c>
    </row>
    <row r="95" spans="1:45" ht="24.9" customHeight="1" x14ac:dyDescent="0.25">
      <c r="A95" s="1" t="s">
        <v>35</v>
      </c>
      <c r="B95" s="1" t="s">
        <v>0</v>
      </c>
      <c r="C95" s="1" t="s">
        <v>36</v>
      </c>
      <c r="D95" s="1" t="s">
        <v>220</v>
      </c>
      <c r="E95" s="2" t="s">
        <v>221</v>
      </c>
      <c r="F95" s="95">
        <v>0</v>
      </c>
      <c r="G95" s="95">
        <v>43</v>
      </c>
      <c r="H95" s="95">
        <v>41</v>
      </c>
      <c r="I95" s="95">
        <v>41</v>
      </c>
      <c r="J95" s="61">
        <v>44</v>
      </c>
      <c r="K95" s="61">
        <v>43</v>
      </c>
      <c r="L95" s="61">
        <v>42</v>
      </c>
      <c r="M95" s="61">
        <v>42</v>
      </c>
      <c r="N95" s="2">
        <v>36</v>
      </c>
      <c r="O95" s="2">
        <v>36</v>
      </c>
      <c r="P95" s="2">
        <v>36</v>
      </c>
      <c r="Q95" s="2">
        <v>34</v>
      </c>
      <c r="R95" s="95">
        <v>53</v>
      </c>
      <c r="S95" s="95">
        <v>53</v>
      </c>
      <c r="T95" s="95">
        <v>52</v>
      </c>
      <c r="U95" s="95">
        <v>51</v>
      </c>
      <c r="V95" s="61">
        <v>40</v>
      </c>
      <c r="W95" s="61">
        <v>40</v>
      </c>
      <c r="X95" s="61">
        <v>38</v>
      </c>
      <c r="Y95" s="61">
        <v>38</v>
      </c>
      <c r="Z95" s="349">
        <v>46</v>
      </c>
      <c r="AA95" s="349">
        <v>46</v>
      </c>
      <c r="AB95" s="349">
        <v>45</v>
      </c>
      <c r="AC95" s="349">
        <v>45</v>
      </c>
      <c r="AD95" s="469">
        <v>43</v>
      </c>
      <c r="AE95" s="469">
        <v>40</v>
      </c>
      <c r="AF95" s="469">
        <v>40</v>
      </c>
      <c r="AG95" s="469">
        <v>40</v>
      </c>
      <c r="AH95" s="630">
        <v>52</v>
      </c>
      <c r="AI95" s="630">
        <v>52</v>
      </c>
      <c r="AJ95" s="630">
        <v>50</v>
      </c>
      <c r="AK95" s="630">
        <v>50</v>
      </c>
    </row>
    <row r="96" spans="1:45" ht="24.9" customHeight="1" x14ac:dyDescent="0.25">
      <c r="A96" s="15" t="s">
        <v>237</v>
      </c>
      <c r="B96" s="1" t="s">
        <v>0</v>
      </c>
      <c r="C96" s="1" t="s">
        <v>227</v>
      </c>
      <c r="D96" s="1" t="s">
        <v>222</v>
      </c>
      <c r="E96" s="2">
        <v>4</v>
      </c>
      <c r="F96" s="2"/>
      <c r="G96" s="2"/>
      <c r="J96" s="61">
        <v>0</v>
      </c>
      <c r="K96" s="61">
        <v>1</v>
      </c>
      <c r="L96" s="61">
        <v>1</v>
      </c>
      <c r="M96" s="61">
        <v>1</v>
      </c>
      <c r="N96" s="2"/>
      <c r="O96" s="2"/>
      <c r="P96" s="2"/>
      <c r="Q96" s="2"/>
      <c r="R96" s="2"/>
      <c r="S96" s="2"/>
      <c r="T96" s="2"/>
      <c r="U96" s="2"/>
      <c r="V96" s="61"/>
      <c r="W96" s="61"/>
      <c r="X96" s="61"/>
      <c r="Y96" s="61"/>
    </row>
    <row r="97" spans="1:37" ht="24.9" customHeight="1" x14ac:dyDescent="0.25">
      <c r="A97" s="1" t="s">
        <v>91</v>
      </c>
      <c r="B97" s="1" t="s">
        <v>0</v>
      </c>
      <c r="C97" s="1" t="s">
        <v>92</v>
      </c>
      <c r="D97" s="1" t="s">
        <v>220</v>
      </c>
      <c r="E97" s="2">
        <v>1</v>
      </c>
      <c r="F97" s="95">
        <v>172</v>
      </c>
      <c r="G97" s="95">
        <v>171</v>
      </c>
      <c r="H97" s="95">
        <v>167</v>
      </c>
      <c r="I97" s="95">
        <v>167</v>
      </c>
      <c r="J97" s="61">
        <v>156</v>
      </c>
      <c r="K97" s="61">
        <v>155</v>
      </c>
      <c r="L97" s="61">
        <v>154</v>
      </c>
      <c r="M97" s="61">
        <v>154</v>
      </c>
      <c r="N97" s="2">
        <v>189</v>
      </c>
      <c r="O97" s="2">
        <v>190</v>
      </c>
      <c r="P97" s="2">
        <v>190</v>
      </c>
      <c r="Q97" s="2">
        <v>186</v>
      </c>
      <c r="R97" s="95">
        <v>184</v>
      </c>
      <c r="S97" s="95">
        <v>179</v>
      </c>
      <c r="T97" s="95">
        <v>179</v>
      </c>
      <c r="U97" s="95">
        <v>174</v>
      </c>
      <c r="V97" s="61">
        <v>205</v>
      </c>
      <c r="W97" s="61">
        <v>203</v>
      </c>
      <c r="X97" s="61">
        <v>203</v>
      </c>
      <c r="Y97" s="61">
        <v>203</v>
      </c>
      <c r="Z97" s="349">
        <v>217</v>
      </c>
      <c r="AA97" s="349">
        <v>198</v>
      </c>
      <c r="AB97" s="349">
        <v>196</v>
      </c>
      <c r="AC97" s="349">
        <v>196</v>
      </c>
      <c r="AD97" s="469">
        <v>227</v>
      </c>
      <c r="AE97" s="469">
        <v>199</v>
      </c>
      <c r="AF97" s="469">
        <v>198</v>
      </c>
      <c r="AG97" s="469">
        <v>198</v>
      </c>
      <c r="AH97" s="630">
        <v>230</v>
      </c>
      <c r="AI97" s="630">
        <v>226</v>
      </c>
      <c r="AJ97" s="630">
        <v>219</v>
      </c>
      <c r="AK97" s="630">
        <v>219</v>
      </c>
    </row>
    <row r="98" spans="1:37" ht="24.9" customHeight="1" x14ac:dyDescent="0.25">
      <c r="A98" s="1" t="s">
        <v>26</v>
      </c>
      <c r="B98" s="1" t="s">
        <v>0</v>
      </c>
      <c r="C98" s="1" t="s">
        <v>27</v>
      </c>
      <c r="D98" s="1" t="s">
        <v>220</v>
      </c>
      <c r="E98" s="2">
        <v>6</v>
      </c>
      <c r="F98" s="95">
        <v>129</v>
      </c>
      <c r="G98" s="95">
        <v>125</v>
      </c>
      <c r="H98" s="95">
        <v>122</v>
      </c>
      <c r="I98" s="95">
        <v>122</v>
      </c>
      <c r="J98" s="61">
        <v>123</v>
      </c>
      <c r="K98" s="61">
        <v>116</v>
      </c>
      <c r="L98" s="61">
        <v>115</v>
      </c>
      <c r="M98" s="61">
        <v>115</v>
      </c>
      <c r="N98" s="2">
        <v>136</v>
      </c>
      <c r="O98" s="2">
        <v>128</v>
      </c>
      <c r="P98" s="2">
        <v>127</v>
      </c>
      <c r="Q98" s="2">
        <v>127</v>
      </c>
      <c r="R98" s="95">
        <v>133</v>
      </c>
      <c r="S98" s="95">
        <v>131</v>
      </c>
      <c r="T98" s="95">
        <v>130</v>
      </c>
      <c r="U98" s="95">
        <v>127</v>
      </c>
      <c r="V98" s="61">
        <v>124</v>
      </c>
      <c r="W98" s="61">
        <v>111</v>
      </c>
      <c r="X98" s="61">
        <v>106</v>
      </c>
      <c r="Y98" s="61">
        <v>106</v>
      </c>
      <c r="Z98" s="349">
        <v>136</v>
      </c>
      <c r="AA98" s="349">
        <v>119</v>
      </c>
      <c r="AB98" s="349">
        <v>116</v>
      </c>
      <c r="AC98" s="349">
        <v>116</v>
      </c>
      <c r="AD98" s="469">
        <v>119</v>
      </c>
      <c r="AE98" s="469">
        <v>107</v>
      </c>
      <c r="AF98" s="469">
        <v>107</v>
      </c>
      <c r="AG98" s="469">
        <v>107</v>
      </c>
      <c r="AH98" s="630">
        <v>140</v>
      </c>
      <c r="AI98" s="630">
        <v>142</v>
      </c>
      <c r="AJ98" s="630">
        <v>137</v>
      </c>
      <c r="AK98" s="630">
        <v>137</v>
      </c>
    </row>
    <row r="99" spans="1:37" ht="24.9" customHeight="1" x14ac:dyDescent="0.25">
      <c r="A99" s="1" t="s">
        <v>146</v>
      </c>
      <c r="B99" s="1" t="s">
        <v>0</v>
      </c>
      <c r="C99" s="1" t="s">
        <v>147</v>
      </c>
      <c r="D99" s="1" t="s">
        <v>220</v>
      </c>
      <c r="E99" s="2">
        <v>5</v>
      </c>
      <c r="F99" s="95">
        <v>341</v>
      </c>
      <c r="G99" s="95">
        <v>322</v>
      </c>
      <c r="H99" s="95">
        <v>316</v>
      </c>
      <c r="I99" s="95">
        <v>316</v>
      </c>
      <c r="J99" s="61">
        <v>326</v>
      </c>
      <c r="K99" s="61">
        <v>309</v>
      </c>
      <c r="L99" s="61">
        <v>304</v>
      </c>
      <c r="M99" s="61">
        <v>297</v>
      </c>
      <c r="N99" s="2">
        <v>316</v>
      </c>
      <c r="O99" s="2">
        <v>296</v>
      </c>
      <c r="P99" s="2">
        <v>292</v>
      </c>
      <c r="Q99" s="2">
        <v>288</v>
      </c>
      <c r="R99" s="95">
        <v>284</v>
      </c>
      <c r="S99" s="95">
        <v>268</v>
      </c>
      <c r="T99" s="95">
        <v>268</v>
      </c>
      <c r="U99" s="95">
        <v>257</v>
      </c>
      <c r="V99" s="61">
        <v>269</v>
      </c>
      <c r="W99" s="61">
        <v>251</v>
      </c>
      <c r="X99" s="61">
        <v>248</v>
      </c>
      <c r="Y99" s="61">
        <v>248</v>
      </c>
      <c r="Z99" s="349">
        <v>262</v>
      </c>
      <c r="AA99" s="349">
        <v>238</v>
      </c>
      <c r="AB99" s="349">
        <v>233</v>
      </c>
      <c r="AC99" s="349">
        <v>233</v>
      </c>
      <c r="AD99" s="469">
        <v>200</v>
      </c>
      <c r="AE99" s="469">
        <v>182</v>
      </c>
      <c r="AF99" s="469">
        <v>180</v>
      </c>
      <c r="AG99" s="469">
        <v>180</v>
      </c>
      <c r="AH99" s="630">
        <v>248</v>
      </c>
      <c r="AI99" s="630">
        <v>236</v>
      </c>
      <c r="AJ99" s="630">
        <v>228</v>
      </c>
      <c r="AK99" s="630">
        <v>228</v>
      </c>
    </row>
    <row r="100" spans="1:37" ht="24.9" customHeight="1" x14ac:dyDescent="0.25">
      <c r="A100" s="1" t="s">
        <v>111</v>
      </c>
      <c r="B100" s="1" t="s">
        <v>0</v>
      </c>
      <c r="C100" s="1" t="s">
        <v>112</v>
      </c>
      <c r="D100" s="1" t="s">
        <v>220</v>
      </c>
      <c r="E100" s="2">
        <v>4</v>
      </c>
      <c r="F100" s="95">
        <v>0</v>
      </c>
      <c r="G100" s="95">
        <v>107</v>
      </c>
      <c r="H100" s="95">
        <v>105</v>
      </c>
      <c r="I100" s="95">
        <v>105</v>
      </c>
      <c r="J100" s="61">
        <v>97</v>
      </c>
      <c r="K100" s="61">
        <v>97</v>
      </c>
      <c r="L100" s="61">
        <v>97</v>
      </c>
      <c r="M100" s="61">
        <v>96</v>
      </c>
      <c r="N100" s="2">
        <v>117</v>
      </c>
      <c r="O100" s="2">
        <v>119</v>
      </c>
      <c r="P100" s="2">
        <v>119</v>
      </c>
      <c r="Q100" s="2">
        <v>119</v>
      </c>
      <c r="R100" s="95">
        <v>97</v>
      </c>
      <c r="S100" s="95">
        <v>99</v>
      </c>
      <c r="T100" s="95">
        <v>97</v>
      </c>
      <c r="U100" s="95">
        <v>97</v>
      </c>
      <c r="V100" s="61">
        <v>125</v>
      </c>
      <c r="W100" s="61">
        <v>121</v>
      </c>
      <c r="X100" s="61">
        <v>121</v>
      </c>
      <c r="Y100" s="61">
        <v>121</v>
      </c>
      <c r="Z100" s="349">
        <v>114</v>
      </c>
      <c r="AA100" s="349">
        <v>107</v>
      </c>
      <c r="AB100" s="349">
        <v>102</v>
      </c>
      <c r="AC100" s="349">
        <v>102</v>
      </c>
      <c r="AD100" s="469">
        <v>113</v>
      </c>
      <c r="AE100" s="469">
        <v>112</v>
      </c>
      <c r="AF100" s="469">
        <v>111</v>
      </c>
      <c r="AG100" s="469">
        <v>111</v>
      </c>
      <c r="AH100" s="630">
        <v>99</v>
      </c>
      <c r="AI100" s="630">
        <v>98</v>
      </c>
      <c r="AJ100" s="630">
        <v>97</v>
      </c>
      <c r="AK100" s="630">
        <v>97</v>
      </c>
    </row>
    <row r="101" spans="1:37" ht="24.9" customHeight="1" x14ac:dyDescent="0.25">
      <c r="A101" s="1" t="s">
        <v>47</v>
      </c>
      <c r="B101" s="1" t="s">
        <v>0</v>
      </c>
      <c r="C101" s="1" t="s">
        <v>48</v>
      </c>
      <c r="D101" s="1" t="s">
        <v>220</v>
      </c>
      <c r="E101" s="2">
        <v>4</v>
      </c>
      <c r="F101" s="95">
        <v>24</v>
      </c>
      <c r="G101" s="95">
        <v>26</v>
      </c>
      <c r="H101" s="95">
        <v>26</v>
      </c>
      <c r="I101" s="95">
        <v>26</v>
      </c>
      <c r="J101" s="61">
        <v>31</v>
      </c>
      <c r="K101" s="61">
        <v>30</v>
      </c>
      <c r="L101" s="61">
        <v>30</v>
      </c>
      <c r="M101" s="61">
        <v>29</v>
      </c>
      <c r="N101" s="2">
        <v>32</v>
      </c>
      <c r="O101" s="2">
        <v>30</v>
      </c>
      <c r="P101" s="2">
        <v>29</v>
      </c>
      <c r="Q101" s="2">
        <v>29</v>
      </c>
      <c r="R101" s="95">
        <v>33</v>
      </c>
      <c r="S101" s="95">
        <v>31</v>
      </c>
      <c r="T101" s="95">
        <v>31</v>
      </c>
      <c r="U101" s="95">
        <v>31</v>
      </c>
      <c r="V101" s="61">
        <v>35</v>
      </c>
      <c r="W101" s="61">
        <v>34</v>
      </c>
      <c r="X101" s="61">
        <v>33</v>
      </c>
      <c r="Y101" s="61">
        <v>33</v>
      </c>
      <c r="Z101" s="349">
        <v>43</v>
      </c>
      <c r="AA101" s="349">
        <v>36</v>
      </c>
      <c r="AB101" s="349">
        <v>36</v>
      </c>
      <c r="AC101" s="349">
        <v>36</v>
      </c>
      <c r="AD101" s="469">
        <v>39</v>
      </c>
      <c r="AE101" s="469">
        <v>36</v>
      </c>
      <c r="AF101" s="469">
        <v>35</v>
      </c>
      <c r="AG101" s="469">
        <v>35</v>
      </c>
      <c r="AH101" s="630">
        <v>33</v>
      </c>
      <c r="AI101" s="630">
        <v>29</v>
      </c>
      <c r="AJ101" s="630">
        <v>28</v>
      </c>
      <c r="AK101" s="630">
        <v>28</v>
      </c>
    </row>
    <row r="102" spans="1:37" s="134" customFormat="1" ht="24.9" customHeight="1" x14ac:dyDescent="0.25">
      <c r="A102" s="14">
        <v>125754005600</v>
      </c>
      <c r="B102" s="1" t="s">
        <v>0</v>
      </c>
      <c r="C102" s="196" t="s">
        <v>785</v>
      </c>
      <c r="D102" s="1" t="s">
        <v>220</v>
      </c>
      <c r="E102" s="2">
        <v>3</v>
      </c>
      <c r="F102" s="95"/>
      <c r="G102" s="95"/>
      <c r="H102" s="95"/>
      <c r="I102" s="95"/>
      <c r="J102" s="61">
        <v>79</v>
      </c>
      <c r="K102" s="61">
        <v>76</v>
      </c>
      <c r="L102" s="61">
        <v>75</v>
      </c>
      <c r="M102" s="61">
        <v>73</v>
      </c>
      <c r="N102" s="2">
        <v>123</v>
      </c>
      <c r="O102" s="2">
        <v>118</v>
      </c>
      <c r="P102" s="2">
        <v>118</v>
      </c>
      <c r="Q102" s="2">
        <v>117</v>
      </c>
      <c r="R102" s="95">
        <v>161</v>
      </c>
      <c r="S102" s="95">
        <v>148</v>
      </c>
      <c r="T102" s="95">
        <v>147</v>
      </c>
      <c r="U102" s="95">
        <v>147</v>
      </c>
      <c r="V102" s="61">
        <v>160</v>
      </c>
      <c r="W102" s="61">
        <v>153</v>
      </c>
      <c r="X102" s="61">
        <v>152</v>
      </c>
      <c r="Y102" s="61">
        <v>152</v>
      </c>
      <c r="Z102" s="349">
        <v>239</v>
      </c>
      <c r="AA102" s="349">
        <v>226</v>
      </c>
      <c r="AB102" s="349">
        <v>223</v>
      </c>
      <c r="AC102" s="349">
        <v>223</v>
      </c>
      <c r="AD102" s="469">
        <v>176</v>
      </c>
      <c r="AE102" s="469">
        <v>169</v>
      </c>
      <c r="AF102" s="469">
        <v>167</v>
      </c>
      <c r="AG102" s="469">
        <v>167</v>
      </c>
      <c r="AH102" s="630">
        <v>229</v>
      </c>
      <c r="AI102" s="630">
        <v>222</v>
      </c>
      <c r="AJ102" s="630">
        <v>217</v>
      </c>
      <c r="AK102" s="630">
        <v>217</v>
      </c>
    </row>
    <row r="103" spans="1:37" ht="24.9" customHeight="1" x14ac:dyDescent="0.25">
      <c r="A103" s="1" t="s">
        <v>137</v>
      </c>
      <c r="B103" s="1" t="s">
        <v>0</v>
      </c>
      <c r="C103" s="1" t="s">
        <v>138</v>
      </c>
      <c r="D103" s="1" t="s">
        <v>220</v>
      </c>
      <c r="E103" s="2">
        <v>1</v>
      </c>
      <c r="F103" s="95">
        <v>112</v>
      </c>
      <c r="G103" s="95">
        <v>109</v>
      </c>
      <c r="H103" s="95">
        <v>109</v>
      </c>
      <c r="I103" s="95">
        <v>109</v>
      </c>
      <c r="J103" s="61">
        <v>107</v>
      </c>
      <c r="K103" s="61">
        <v>109</v>
      </c>
      <c r="L103" s="61">
        <v>109</v>
      </c>
      <c r="M103" s="61">
        <v>104</v>
      </c>
      <c r="N103" s="2">
        <v>118</v>
      </c>
      <c r="O103" s="2">
        <v>114</v>
      </c>
      <c r="P103" s="2">
        <v>112</v>
      </c>
      <c r="Q103" s="2">
        <v>112</v>
      </c>
      <c r="R103" s="95">
        <v>116</v>
      </c>
      <c r="S103" s="95">
        <v>117</v>
      </c>
      <c r="T103" s="95">
        <v>116</v>
      </c>
      <c r="U103" s="95">
        <v>107</v>
      </c>
      <c r="V103" s="61">
        <v>113</v>
      </c>
      <c r="W103" s="61">
        <v>110</v>
      </c>
      <c r="X103" s="61">
        <v>110</v>
      </c>
      <c r="Y103" s="61">
        <v>110</v>
      </c>
      <c r="Z103" s="349">
        <v>125</v>
      </c>
      <c r="AA103" s="349">
        <v>123</v>
      </c>
      <c r="AB103" s="349">
        <v>120</v>
      </c>
      <c r="AC103" s="349">
        <v>120</v>
      </c>
      <c r="AD103" s="469">
        <v>119</v>
      </c>
      <c r="AE103" s="469">
        <v>112</v>
      </c>
      <c r="AF103" s="469">
        <v>109</v>
      </c>
      <c r="AG103" s="469">
        <v>109</v>
      </c>
      <c r="AH103" s="630">
        <v>116</v>
      </c>
      <c r="AI103" s="630">
        <v>116</v>
      </c>
      <c r="AJ103" s="630">
        <v>112</v>
      </c>
      <c r="AK103" s="630">
        <v>112</v>
      </c>
    </row>
    <row r="104" spans="1:37" ht="24.9" customHeight="1" x14ac:dyDescent="0.25">
      <c r="A104" s="15" t="s">
        <v>279</v>
      </c>
      <c r="B104" s="1" t="s">
        <v>0</v>
      </c>
      <c r="C104" s="15" t="s">
        <v>280</v>
      </c>
      <c r="D104" s="69" t="s">
        <v>220</v>
      </c>
      <c r="E104" s="71">
        <v>3</v>
      </c>
      <c r="F104" s="2">
        <v>80</v>
      </c>
      <c r="G104" s="2">
        <v>79</v>
      </c>
      <c r="H104" s="460">
        <v>78</v>
      </c>
      <c r="I104" s="460">
        <v>78</v>
      </c>
      <c r="J104" s="61">
        <v>200</v>
      </c>
      <c r="K104" s="61">
        <v>200</v>
      </c>
      <c r="L104" s="61">
        <v>199</v>
      </c>
      <c r="M104" s="61">
        <v>197</v>
      </c>
      <c r="N104" s="2">
        <v>214</v>
      </c>
      <c r="O104" s="2">
        <v>213</v>
      </c>
      <c r="P104" s="2">
        <v>212</v>
      </c>
      <c r="Q104" s="2">
        <v>210</v>
      </c>
      <c r="R104" s="2">
        <v>187</v>
      </c>
      <c r="S104" s="2">
        <v>184</v>
      </c>
      <c r="T104" s="2">
        <v>184</v>
      </c>
      <c r="U104" s="2">
        <v>179</v>
      </c>
      <c r="V104" s="61">
        <v>206</v>
      </c>
      <c r="W104" s="61">
        <v>204</v>
      </c>
      <c r="X104" s="61">
        <v>203</v>
      </c>
      <c r="Y104" s="61">
        <v>203</v>
      </c>
      <c r="Z104" s="349">
        <v>248</v>
      </c>
      <c r="AA104" s="349">
        <v>245</v>
      </c>
      <c r="AB104" s="349">
        <v>243</v>
      </c>
      <c r="AC104" s="349">
        <v>243</v>
      </c>
      <c r="AD104" s="469">
        <v>250</v>
      </c>
      <c r="AE104" s="469">
        <v>247</v>
      </c>
      <c r="AF104" s="469">
        <v>244</v>
      </c>
      <c r="AG104" s="469">
        <v>244</v>
      </c>
      <c r="AH104" s="630">
        <v>249</v>
      </c>
      <c r="AI104" s="630">
        <v>236</v>
      </c>
      <c r="AJ104" s="630">
        <v>233</v>
      </c>
      <c r="AK104" s="630">
        <v>233</v>
      </c>
    </row>
    <row r="105" spans="1:37" ht="24.9" customHeight="1" x14ac:dyDescent="0.25">
      <c r="A105" s="1" t="s">
        <v>102</v>
      </c>
      <c r="B105" s="1" t="s">
        <v>0</v>
      </c>
      <c r="C105" s="1" t="s">
        <v>103</v>
      </c>
      <c r="D105" s="1" t="s">
        <v>220</v>
      </c>
      <c r="E105" s="2">
        <v>4</v>
      </c>
      <c r="F105" s="95">
        <v>119</v>
      </c>
      <c r="G105" s="95">
        <v>127</v>
      </c>
      <c r="H105" s="95">
        <v>125</v>
      </c>
      <c r="I105" s="95">
        <v>125</v>
      </c>
      <c r="J105" s="61">
        <v>126</v>
      </c>
      <c r="K105" s="61">
        <v>122</v>
      </c>
      <c r="L105" s="61">
        <v>120</v>
      </c>
      <c r="M105" s="61">
        <v>117</v>
      </c>
      <c r="N105" s="2">
        <v>116</v>
      </c>
      <c r="O105" s="2">
        <v>116</v>
      </c>
      <c r="P105" s="2">
        <v>116</v>
      </c>
      <c r="Q105" s="2">
        <v>116</v>
      </c>
      <c r="R105" s="95">
        <v>108</v>
      </c>
      <c r="S105" s="95">
        <v>108</v>
      </c>
      <c r="T105" s="95">
        <v>106</v>
      </c>
      <c r="U105" s="95">
        <v>104</v>
      </c>
      <c r="V105" s="61">
        <v>123</v>
      </c>
      <c r="W105" s="61">
        <v>109</v>
      </c>
      <c r="X105" s="61">
        <v>107</v>
      </c>
      <c r="Y105" s="61">
        <v>107</v>
      </c>
      <c r="Z105" s="349">
        <v>132</v>
      </c>
      <c r="AA105" s="349">
        <v>116</v>
      </c>
      <c r="AB105" s="349">
        <v>110</v>
      </c>
      <c r="AC105" s="349">
        <v>110</v>
      </c>
      <c r="AD105" s="469">
        <v>136</v>
      </c>
      <c r="AE105" s="469">
        <v>115</v>
      </c>
      <c r="AF105" s="469">
        <v>115</v>
      </c>
      <c r="AG105" s="469">
        <v>115</v>
      </c>
      <c r="AH105" s="630">
        <v>131</v>
      </c>
      <c r="AI105" s="630">
        <v>124</v>
      </c>
      <c r="AJ105" s="630">
        <v>121</v>
      </c>
      <c r="AK105" s="630">
        <v>121</v>
      </c>
    </row>
    <row r="106" spans="1:37" ht="24.9" customHeight="1" x14ac:dyDescent="0.25">
      <c r="A106" s="1" t="s">
        <v>85</v>
      </c>
      <c r="B106" s="1" t="s">
        <v>0</v>
      </c>
      <c r="C106" s="1" t="s">
        <v>86</v>
      </c>
      <c r="D106" s="1" t="s">
        <v>220</v>
      </c>
      <c r="E106" s="2">
        <v>1</v>
      </c>
      <c r="F106" s="95">
        <v>299</v>
      </c>
      <c r="G106" s="95">
        <v>296</v>
      </c>
      <c r="H106" s="95">
        <v>279</v>
      </c>
      <c r="I106" s="95">
        <v>279</v>
      </c>
      <c r="J106" s="61">
        <v>253</v>
      </c>
      <c r="K106" s="61">
        <v>249</v>
      </c>
      <c r="L106" s="61">
        <v>246</v>
      </c>
      <c r="M106" s="61">
        <v>242</v>
      </c>
      <c r="N106" s="2">
        <v>298</v>
      </c>
      <c r="O106" s="2">
        <v>300</v>
      </c>
      <c r="P106" s="2">
        <v>300</v>
      </c>
      <c r="Q106" s="2">
        <v>299</v>
      </c>
      <c r="R106" s="95">
        <v>250</v>
      </c>
      <c r="S106" s="95">
        <v>237</v>
      </c>
      <c r="T106" s="95">
        <v>236</v>
      </c>
      <c r="U106" s="95">
        <v>228</v>
      </c>
      <c r="V106" s="61">
        <v>278</v>
      </c>
      <c r="W106" s="61">
        <v>263</v>
      </c>
      <c r="X106" s="61">
        <v>257</v>
      </c>
      <c r="Y106" s="61">
        <v>257</v>
      </c>
      <c r="Z106" s="349">
        <v>249</v>
      </c>
      <c r="AA106" s="349">
        <v>224</v>
      </c>
      <c r="AB106" s="349">
        <v>217</v>
      </c>
      <c r="AC106" s="349">
        <v>217</v>
      </c>
      <c r="AD106" s="469">
        <v>245</v>
      </c>
      <c r="AE106" s="469">
        <v>235</v>
      </c>
      <c r="AF106" s="469">
        <v>228</v>
      </c>
      <c r="AG106" s="469">
        <v>228</v>
      </c>
      <c r="AH106" s="630">
        <v>278</v>
      </c>
      <c r="AI106" s="630">
        <v>266</v>
      </c>
      <c r="AJ106" s="630">
        <v>262</v>
      </c>
      <c r="AK106" s="630">
        <v>262</v>
      </c>
    </row>
    <row r="107" spans="1:37" ht="24.9" customHeight="1" x14ac:dyDescent="0.25">
      <c r="A107" s="1" t="s">
        <v>45</v>
      </c>
      <c r="B107" s="1" t="s">
        <v>0</v>
      </c>
      <c r="C107" s="1" t="s">
        <v>46</v>
      </c>
      <c r="D107" s="1" t="s">
        <v>222</v>
      </c>
      <c r="E107" s="2">
        <v>5</v>
      </c>
      <c r="F107" s="95">
        <v>15</v>
      </c>
      <c r="G107" s="95">
        <v>36</v>
      </c>
      <c r="H107" s="95">
        <v>36</v>
      </c>
      <c r="I107" s="95">
        <v>36</v>
      </c>
      <c r="J107" s="61">
        <v>41</v>
      </c>
      <c r="K107" s="61">
        <v>41</v>
      </c>
      <c r="L107" s="61">
        <v>41</v>
      </c>
      <c r="M107" s="61">
        <v>41</v>
      </c>
      <c r="N107" s="2">
        <v>21</v>
      </c>
      <c r="O107" s="2">
        <v>21</v>
      </c>
      <c r="P107" s="2">
        <v>21</v>
      </c>
      <c r="Q107" s="2">
        <v>21</v>
      </c>
      <c r="R107" s="95">
        <v>35</v>
      </c>
      <c r="S107" s="95">
        <v>35</v>
      </c>
      <c r="T107" s="95">
        <v>35</v>
      </c>
      <c r="U107" s="95">
        <v>35</v>
      </c>
      <c r="V107" s="61">
        <v>28</v>
      </c>
      <c r="W107" s="61">
        <v>27</v>
      </c>
      <c r="X107" s="61">
        <v>27</v>
      </c>
      <c r="Y107" s="61">
        <v>27</v>
      </c>
      <c r="Z107" s="349">
        <v>18</v>
      </c>
      <c r="AA107" s="349">
        <v>18</v>
      </c>
      <c r="AB107" s="349">
        <v>18</v>
      </c>
      <c r="AC107" s="349">
        <v>18</v>
      </c>
    </row>
    <row r="108" spans="1:37" ht="24.9" customHeight="1" x14ac:dyDescent="0.25">
      <c r="A108" s="1" t="s">
        <v>60</v>
      </c>
      <c r="B108" s="1" t="s">
        <v>0</v>
      </c>
      <c r="C108" s="1" t="s">
        <v>61</v>
      </c>
      <c r="D108" s="1" t="s">
        <v>220</v>
      </c>
      <c r="E108" s="2">
        <v>6</v>
      </c>
      <c r="F108" s="95">
        <v>0</v>
      </c>
      <c r="G108" s="95">
        <v>100</v>
      </c>
      <c r="H108" s="95">
        <v>93</v>
      </c>
      <c r="I108" s="95">
        <v>93</v>
      </c>
      <c r="J108" s="61">
        <v>114</v>
      </c>
      <c r="K108" s="61">
        <v>123</v>
      </c>
      <c r="L108" s="61">
        <v>118</v>
      </c>
      <c r="M108" s="61">
        <v>116</v>
      </c>
      <c r="N108" s="2">
        <v>134</v>
      </c>
      <c r="O108" s="2">
        <v>143</v>
      </c>
      <c r="P108" s="2">
        <v>138</v>
      </c>
      <c r="Q108" s="2">
        <v>137</v>
      </c>
      <c r="R108" s="95">
        <v>133</v>
      </c>
      <c r="S108" s="95">
        <v>131</v>
      </c>
      <c r="T108" s="95">
        <v>129</v>
      </c>
      <c r="U108" s="95">
        <v>125</v>
      </c>
      <c r="V108" s="61">
        <v>110</v>
      </c>
      <c r="W108" s="61">
        <v>102</v>
      </c>
      <c r="X108" s="61">
        <v>102</v>
      </c>
      <c r="Y108" s="61">
        <v>102</v>
      </c>
      <c r="Z108" s="349">
        <v>119</v>
      </c>
      <c r="AA108" s="349">
        <v>110</v>
      </c>
      <c r="AB108" s="349">
        <v>108</v>
      </c>
      <c r="AC108" s="349">
        <v>108</v>
      </c>
      <c r="AD108" s="469">
        <v>124</v>
      </c>
      <c r="AE108" s="469">
        <v>108</v>
      </c>
      <c r="AF108" s="469">
        <v>106</v>
      </c>
      <c r="AG108" s="469">
        <v>106</v>
      </c>
      <c r="AH108" s="630">
        <v>123</v>
      </c>
      <c r="AI108" s="630">
        <v>119</v>
      </c>
      <c r="AJ108" s="630">
        <v>117</v>
      </c>
      <c r="AK108" s="630">
        <v>117</v>
      </c>
    </row>
    <row r="109" spans="1:37" ht="24.9" customHeight="1" x14ac:dyDescent="0.25">
      <c r="A109" s="1" t="s">
        <v>20</v>
      </c>
      <c r="B109" s="1" t="s">
        <v>0</v>
      </c>
      <c r="C109" s="1" t="s">
        <v>21</v>
      </c>
      <c r="D109" s="1" t="s">
        <v>220</v>
      </c>
      <c r="E109" s="2">
        <v>5</v>
      </c>
      <c r="F109" s="95">
        <v>0</v>
      </c>
      <c r="G109" s="95">
        <v>185</v>
      </c>
      <c r="H109" s="95">
        <v>184</v>
      </c>
      <c r="I109" s="95">
        <v>184</v>
      </c>
      <c r="J109" s="61">
        <v>229</v>
      </c>
      <c r="K109" s="61">
        <v>223</v>
      </c>
      <c r="L109" s="61">
        <v>221</v>
      </c>
      <c r="M109" s="61">
        <v>220</v>
      </c>
      <c r="N109" s="2">
        <v>215</v>
      </c>
      <c r="O109" s="2">
        <v>210</v>
      </c>
      <c r="P109" s="2">
        <v>209</v>
      </c>
      <c r="Q109" s="2">
        <v>206</v>
      </c>
      <c r="R109" s="95">
        <v>222</v>
      </c>
      <c r="S109" s="95">
        <v>221</v>
      </c>
      <c r="T109" s="95">
        <v>221</v>
      </c>
      <c r="U109" s="95">
        <v>218</v>
      </c>
      <c r="V109" s="61">
        <v>209</v>
      </c>
      <c r="W109" s="61">
        <v>169</v>
      </c>
      <c r="X109" s="61">
        <v>166</v>
      </c>
      <c r="Y109" s="61">
        <v>166</v>
      </c>
      <c r="Z109" s="349">
        <v>201</v>
      </c>
      <c r="AA109" s="349">
        <v>167</v>
      </c>
      <c r="AB109" s="349">
        <v>164</v>
      </c>
      <c r="AC109" s="349">
        <v>164</v>
      </c>
      <c r="AD109" s="469">
        <v>185</v>
      </c>
      <c r="AE109" s="469">
        <v>181</v>
      </c>
      <c r="AF109" s="469">
        <v>179</v>
      </c>
      <c r="AG109" s="469">
        <v>179</v>
      </c>
      <c r="AH109" s="630">
        <v>221</v>
      </c>
      <c r="AI109" s="630">
        <v>216</v>
      </c>
      <c r="AJ109" s="630">
        <v>209</v>
      </c>
      <c r="AK109" s="630">
        <v>209</v>
      </c>
    </row>
    <row r="110" spans="1:37" ht="24.9" customHeight="1" x14ac:dyDescent="0.25">
      <c r="A110" s="1" t="s">
        <v>123</v>
      </c>
      <c r="B110" s="1" t="s">
        <v>0</v>
      </c>
      <c r="C110" s="1" t="s">
        <v>124</v>
      </c>
      <c r="D110" s="1" t="s">
        <v>220</v>
      </c>
      <c r="E110" s="2">
        <v>4</v>
      </c>
      <c r="F110" s="95">
        <v>53</v>
      </c>
      <c r="G110" s="95">
        <v>51</v>
      </c>
      <c r="H110" s="95">
        <v>49</v>
      </c>
      <c r="I110" s="95">
        <v>49</v>
      </c>
      <c r="J110" s="61">
        <v>46</v>
      </c>
      <c r="K110" s="61">
        <v>49</v>
      </c>
      <c r="L110" s="61">
        <v>48</v>
      </c>
      <c r="M110" s="61">
        <v>48</v>
      </c>
      <c r="N110" s="2">
        <v>49</v>
      </c>
      <c r="O110" s="2">
        <v>47</v>
      </c>
      <c r="P110" s="2">
        <v>47</v>
      </c>
      <c r="Q110" s="2">
        <v>47</v>
      </c>
      <c r="R110" s="95">
        <v>62</v>
      </c>
      <c r="S110" s="95">
        <v>61</v>
      </c>
      <c r="T110" s="95">
        <v>60</v>
      </c>
      <c r="U110" s="95">
        <v>59</v>
      </c>
      <c r="V110" s="61">
        <v>54</v>
      </c>
      <c r="W110" s="61">
        <v>47</v>
      </c>
      <c r="X110" s="61">
        <v>45</v>
      </c>
      <c r="Y110" s="61">
        <v>45</v>
      </c>
      <c r="Z110" s="349">
        <v>50</v>
      </c>
      <c r="AA110" s="349">
        <v>46</v>
      </c>
      <c r="AB110" s="349">
        <v>45</v>
      </c>
      <c r="AC110" s="349">
        <v>45</v>
      </c>
      <c r="AD110" s="469">
        <v>57</v>
      </c>
      <c r="AE110" s="469">
        <v>56</v>
      </c>
      <c r="AF110" s="469">
        <v>54</v>
      </c>
      <c r="AG110" s="469">
        <v>54</v>
      </c>
      <c r="AH110" s="630">
        <v>66</v>
      </c>
      <c r="AI110" s="630">
        <v>64</v>
      </c>
      <c r="AJ110" s="630">
        <v>63</v>
      </c>
      <c r="AK110" s="630">
        <v>63</v>
      </c>
    </row>
    <row r="111" spans="1:37" ht="24.9" customHeight="1" x14ac:dyDescent="0.25">
      <c r="A111" s="1" t="s">
        <v>22</v>
      </c>
      <c r="B111" s="1" t="s">
        <v>0</v>
      </c>
      <c r="C111" s="1" t="s">
        <v>23</v>
      </c>
      <c r="D111" s="1" t="s">
        <v>220</v>
      </c>
      <c r="E111" s="2">
        <v>2</v>
      </c>
      <c r="F111" s="95">
        <v>310</v>
      </c>
      <c r="G111" s="95">
        <v>310</v>
      </c>
      <c r="H111" s="95">
        <v>302</v>
      </c>
      <c r="I111" s="95">
        <v>302</v>
      </c>
      <c r="J111" s="61">
        <v>267</v>
      </c>
      <c r="K111" s="61">
        <v>260</v>
      </c>
      <c r="L111" s="61">
        <v>260</v>
      </c>
      <c r="M111" s="61">
        <v>255</v>
      </c>
      <c r="N111" s="2">
        <v>251</v>
      </c>
      <c r="O111" s="2">
        <v>244</v>
      </c>
      <c r="P111" s="2">
        <v>241</v>
      </c>
      <c r="Q111" s="2">
        <v>240</v>
      </c>
      <c r="R111" s="95">
        <v>281</v>
      </c>
      <c r="S111" s="95">
        <v>274</v>
      </c>
      <c r="T111" s="95">
        <v>272</v>
      </c>
      <c r="U111" s="95">
        <v>267</v>
      </c>
      <c r="V111" s="61">
        <v>311</v>
      </c>
      <c r="W111" s="61">
        <v>287</v>
      </c>
      <c r="X111" s="61">
        <v>285</v>
      </c>
      <c r="Y111" s="61">
        <v>285</v>
      </c>
      <c r="Z111" s="349">
        <v>364</v>
      </c>
      <c r="AA111" s="349">
        <v>340</v>
      </c>
      <c r="AB111" s="349">
        <v>335</v>
      </c>
      <c r="AC111" s="349">
        <v>335</v>
      </c>
      <c r="AD111" s="469">
        <v>285</v>
      </c>
      <c r="AE111" s="469">
        <v>268</v>
      </c>
      <c r="AF111" s="469">
        <v>267</v>
      </c>
      <c r="AG111" s="469">
        <v>267</v>
      </c>
      <c r="AH111" s="630">
        <v>311</v>
      </c>
      <c r="AI111" s="630">
        <v>304</v>
      </c>
      <c r="AJ111" s="630">
        <v>302</v>
      </c>
      <c r="AK111" s="630">
        <v>302</v>
      </c>
    </row>
    <row r="112" spans="1:37" ht="24.9" customHeight="1" x14ac:dyDescent="0.25">
      <c r="A112" s="1" t="s">
        <v>194</v>
      </c>
      <c r="B112" s="1" t="s">
        <v>0</v>
      </c>
      <c r="C112" s="1" t="s">
        <v>224</v>
      </c>
      <c r="D112" s="1" t="s">
        <v>222</v>
      </c>
      <c r="E112" s="2">
        <v>1</v>
      </c>
      <c r="F112" s="95">
        <v>49</v>
      </c>
      <c r="G112" s="95">
        <v>46</v>
      </c>
      <c r="H112" s="95">
        <v>46</v>
      </c>
      <c r="I112" s="95">
        <v>46</v>
      </c>
      <c r="J112" s="61">
        <v>40</v>
      </c>
      <c r="K112" s="61">
        <v>39</v>
      </c>
      <c r="L112" s="61">
        <v>39</v>
      </c>
      <c r="M112" s="61">
        <v>39</v>
      </c>
      <c r="N112" s="2">
        <v>38</v>
      </c>
      <c r="O112" s="2">
        <v>38</v>
      </c>
      <c r="P112" s="2">
        <v>38</v>
      </c>
      <c r="Q112" s="2">
        <v>38</v>
      </c>
      <c r="R112" s="95">
        <v>38</v>
      </c>
      <c r="S112" s="95">
        <v>37</v>
      </c>
      <c r="T112" s="95">
        <v>37</v>
      </c>
      <c r="U112" s="95">
        <v>37</v>
      </c>
      <c r="V112" s="61">
        <v>46</v>
      </c>
      <c r="W112" s="61">
        <v>46</v>
      </c>
      <c r="X112" s="61">
        <v>45</v>
      </c>
      <c r="Y112" s="61">
        <v>45</v>
      </c>
      <c r="Z112" s="349">
        <v>61</v>
      </c>
      <c r="AA112" s="349">
        <v>59</v>
      </c>
      <c r="AB112" s="349">
        <v>59</v>
      </c>
      <c r="AC112" s="349">
        <v>59</v>
      </c>
      <c r="AD112" s="469">
        <v>15</v>
      </c>
      <c r="AE112" s="469">
        <v>68</v>
      </c>
      <c r="AF112" s="469">
        <v>68</v>
      </c>
      <c r="AG112" s="469">
        <v>68</v>
      </c>
      <c r="AH112" s="630">
        <v>54</v>
      </c>
      <c r="AI112" s="630">
        <v>54</v>
      </c>
      <c r="AJ112" s="630">
        <v>54</v>
      </c>
      <c r="AK112" s="630">
        <v>54</v>
      </c>
    </row>
    <row r="113" spans="1:37" ht="24.9" customHeight="1" x14ac:dyDescent="0.25">
      <c r="A113" s="1" t="s">
        <v>87</v>
      </c>
      <c r="B113" s="1" t="s">
        <v>0</v>
      </c>
      <c r="C113" s="1" t="s">
        <v>88</v>
      </c>
      <c r="D113" s="1" t="s">
        <v>220</v>
      </c>
      <c r="E113" s="2">
        <v>2</v>
      </c>
      <c r="F113" s="95">
        <v>277</v>
      </c>
      <c r="G113" s="95">
        <v>278</v>
      </c>
      <c r="H113" s="95">
        <v>265</v>
      </c>
      <c r="I113" s="95">
        <v>265</v>
      </c>
      <c r="J113" s="61">
        <v>318</v>
      </c>
      <c r="K113" s="61">
        <v>315</v>
      </c>
      <c r="L113" s="61">
        <v>312</v>
      </c>
      <c r="M113" s="61">
        <v>306</v>
      </c>
      <c r="N113" s="2">
        <v>274</v>
      </c>
      <c r="O113" s="2">
        <v>266</v>
      </c>
      <c r="P113" s="2">
        <v>263</v>
      </c>
      <c r="Q113" s="2">
        <v>246</v>
      </c>
      <c r="R113" s="95">
        <v>285</v>
      </c>
      <c r="S113" s="95">
        <v>284</v>
      </c>
      <c r="T113" s="95">
        <v>283</v>
      </c>
      <c r="U113" s="95">
        <v>278</v>
      </c>
      <c r="V113" s="61">
        <v>324</v>
      </c>
      <c r="W113" s="61">
        <v>310</v>
      </c>
      <c r="X113" s="61">
        <v>306</v>
      </c>
      <c r="Y113" s="61">
        <v>306</v>
      </c>
      <c r="Z113" s="349">
        <v>262</v>
      </c>
      <c r="AA113" s="349">
        <v>245</v>
      </c>
      <c r="AB113" s="349">
        <v>239</v>
      </c>
      <c r="AC113" s="349">
        <v>239</v>
      </c>
      <c r="AD113" s="469">
        <v>378</v>
      </c>
      <c r="AE113" s="469">
        <v>343</v>
      </c>
      <c r="AF113" s="469">
        <v>334</v>
      </c>
      <c r="AG113" s="469">
        <v>334</v>
      </c>
      <c r="AH113" s="630">
        <v>332</v>
      </c>
      <c r="AI113" s="630">
        <v>325</v>
      </c>
      <c r="AJ113" s="630">
        <v>315</v>
      </c>
      <c r="AK113" s="630">
        <v>315</v>
      </c>
    </row>
    <row r="114" spans="1:37" ht="24.9" customHeight="1" x14ac:dyDescent="0.25">
      <c r="A114" s="1" t="s">
        <v>104</v>
      </c>
      <c r="B114" s="1" t="s">
        <v>0</v>
      </c>
      <c r="C114" s="1" t="s">
        <v>281</v>
      </c>
      <c r="D114" s="1" t="s">
        <v>220</v>
      </c>
      <c r="E114" s="2">
        <v>4</v>
      </c>
      <c r="F114" s="95">
        <v>149</v>
      </c>
      <c r="G114" s="95">
        <v>149</v>
      </c>
      <c r="H114" s="95">
        <v>146</v>
      </c>
      <c r="I114" s="95">
        <v>146</v>
      </c>
      <c r="J114" s="61">
        <v>143</v>
      </c>
      <c r="K114" s="61">
        <v>143</v>
      </c>
      <c r="L114" s="61">
        <v>141</v>
      </c>
      <c r="M114" s="61">
        <v>132</v>
      </c>
      <c r="N114" s="2">
        <v>167</v>
      </c>
      <c r="O114" s="2">
        <v>167</v>
      </c>
      <c r="P114" s="2">
        <v>167</v>
      </c>
      <c r="Q114" s="2">
        <v>166</v>
      </c>
      <c r="R114" s="95">
        <v>180</v>
      </c>
      <c r="S114" s="95">
        <v>177</v>
      </c>
      <c r="T114" s="95">
        <v>176</v>
      </c>
      <c r="U114" s="95">
        <v>173</v>
      </c>
      <c r="V114" s="61">
        <v>147</v>
      </c>
      <c r="W114" s="61">
        <v>139</v>
      </c>
      <c r="X114" s="61">
        <v>137</v>
      </c>
      <c r="Y114" s="61">
        <v>137</v>
      </c>
      <c r="Z114" s="349">
        <v>149</v>
      </c>
      <c r="AA114" s="349">
        <v>144</v>
      </c>
      <c r="AB114" s="349">
        <v>139</v>
      </c>
      <c r="AC114" s="349">
        <v>139</v>
      </c>
      <c r="AD114" s="469">
        <v>159</v>
      </c>
      <c r="AE114" s="469">
        <v>150</v>
      </c>
      <c r="AF114" s="469">
        <v>147</v>
      </c>
      <c r="AG114" s="469">
        <v>147</v>
      </c>
      <c r="AH114" s="630">
        <v>167</v>
      </c>
      <c r="AI114" s="630">
        <v>165</v>
      </c>
      <c r="AJ114" s="630">
        <v>163</v>
      </c>
      <c r="AK114" s="630">
        <v>163</v>
      </c>
    </row>
    <row r="115" spans="1:37" ht="24.9" customHeight="1" x14ac:dyDescent="0.25">
      <c r="A115" s="1" t="s">
        <v>189</v>
      </c>
      <c r="B115" s="1" t="s">
        <v>0</v>
      </c>
      <c r="C115" s="15" t="s">
        <v>292</v>
      </c>
      <c r="D115" s="1" t="s">
        <v>222</v>
      </c>
      <c r="E115" s="2">
        <v>1</v>
      </c>
      <c r="F115" s="95">
        <v>41</v>
      </c>
      <c r="G115" s="95">
        <v>42</v>
      </c>
      <c r="H115" s="95">
        <v>42</v>
      </c>
      <c r="I115" s="95">
        <v>42</v>
      </c>
      <c r="J115" s="61">
        <v>19</v>
      </c>
      <c r="K115" s="61">
        <v>17</v>
      </c>
      <c r="L115" s="61">
        <v>17</v>
      </c>
      <c r="M115" s="61">
        <v>17</v>
      </c>
      <c r="N115" s="2">
        <v>17</v>
      </c>
      <c r="O115" s="2">
        <v>15</v>
      </c>
      <c r="P115" s="2">
        <v>15</v>
      </c>
      <c r="Q115" s="2">
        <v>14</v>
      </c>
      <c r="R115" s="95">
        <v>24</v>
      </c>
      <c r="S115" s="95">
        <v>24</v>
      </c>
      <c r="T115" s="95">
        <v>24</v>
      </c>
      <c r="U115" s="95">
        <v>23</v>
      </c>
      <c r="V115" s="61">
        <v>28</v>
      </c>
      <c r="W115" s="61">
        <v>26</v>
      </c>
      <c r="X115" s="61">
        <v>26</v>
      </c>
      <c r="Y115" s="61">
        <v>26</v>
      </c>
      <c r="Z115" s="349">
        <v>21</v>
      </c>
      <c r="AA115" s="349">
        <v>21</v>
      </c>
      <c r="AB115" s="349">
        <v>21</v>
      </c>
      <c r="AC115" s="349">
        <v>21</v>
      </c>
      <c r="AD115" s="469">
        <v>22</v>
      </c>
      <c r="AE115" s="469">
        <v>21</v>
      </c>
      <c r="AF115" s="469">
        <v>21</v>
      </c>
      <c r="AG115" s="469">
        <v>21</v>
      </c>
      <c r="AH115" s="630">
        <v>25</v>
      </c>
      <c r="AI115" s="630">
        <v>25</v>
      </c>
      <c r="AJ115" s="630">
        <v>25</v>
      </c>
      <c r="AK115" s="630">
        <v>25</v>
      </c>
    </row>
    <row r="116" spans="1:37" ht="24.9" customHeight="1" x14ac:dyDescent="0.25">
      <c r="A116" s="1" t="s">
        <v>172</v>
      </c>
      <c r="B116" s="1" t="s">
        <v>0</v>
      </c>
      <c r="C116" s="1" t="s">
        <v>173</v>
      </c>
      <c r="D116" s="1" t="s">
        <v>220</v>
      </c>
      <c r="E116" s="2">
        <v>3</v>
      </c>
      <c r="F116" s="95">
        <v>124</v>
      </c>
      <c r="G116" s="95">
        <v>259</v>
      </c>
      <c r="H116" s="95">
        <v>255</v>
      </c>
      <c r="I116" s="95">
        <v>255</v>
      </c>
      <c r="J116" s="61">
        <v>327</v>
      </c>
      <c r="K116" s="61">
        <v>330</v>
      </c>
      <c r="L116" s="61">
        <v>326</v>
      </c>
      <c r="M116" s="61">
        <v>321</v>
      </c>
      <c r="N116" s="2">
        <v>367</v>
      </c>
      <c r="O116" s="2">
        <v>366</v>
      </c>
      <c r="P116" s="2">
        <v>362</v>
      </c>
      <c r="Q116" s="2">
        <v>358</v>
      </c>
      <c r="R116" s="95">
        <v>304</v>
      </c>
      <c r="S116" s="95">
        <v>296</v>
      </c>
      <c r="T116" s="95">
        <v>296</v>
      </c>
      <c r="U116" s="95">
        <v>288</v>
      </c>
      <c r="V116" s="61">
        <v>114</v>
      </c>
      <c r="W116" s="61">
        <v>106</v>
      </c>
      <c r="X116" s="61">
        <v>106</v>
      </c>
      <c r="Y116" s="61">
        <v>106</v>
      </c>
      <c r="Z116" s="349">
        <v>140</v>
      </c>
      <c r="AA116" s="349">
        <v>132</v>
      </c>
      <c r="AB116" s="349">
        <v>120</v>
      </c>
      <c r="AC116" s="349">
        <v>120</v>
      </c>
      <c r="AD116" s="469">
        <v>133</v>
      </c>
      <c r="AE116" s="469">
        <v>127</v>
      </c>
      <c r="AF116" s="469">
        <v>126</v>
      </c>
      <c r="AG116" s="469">
        <v>126</v>
      </c>
      <c r="AH116" s="630">
        <v>118</v>
      </c>
      <c r="AI116" s="630">
        <v>110</v>
      </c>
      <c r="AJ116" s="630">
        <v>106</v>
      </c>
      <c r="AK116" s="630">
        <v>106</v>
      </c>
    </row>
    <row r="117" spans="1:37" ht="24.9" customHeight="1" x14ac:dyDescent="0.25">
      <c r="A117" s="1" t="s">
        <v>32</v>
      </c>
      <c r="B117" s="1" t="s">
        <v>0</v>
      </c>
      <c r="C117" s="1" t="s">
        <v>33</v>
      </c>
      <c r="D117" s="1" t="s">
        <v>220</v>
      </c>
      <c r="E117" s="2">
        <v>6</v>
      </c>
      <c r="F117" s="95">
        <v>0</v>
      </c>
      <c r="G117" s="95">
        <v>168</v>
      </c>
      <c r="H117" s="95">
        <v>163</v>
      </c>
      <c r="I117" s="95">
        <v>163</v>
      </c>
      <c r="J117" s="61">
        <v>149</v>
      </c>
      <c r="K117" s="61">
        <v>141</v>
      </c>
      <c r="L117" s="61">
        <v>141</v>
      </c>
      <c r="M117" s="61">
        <v>135</v>
      </c>
      <c r="N117" s="2">
        <v>170</v>
      </c>
      <c r="O117" s="2">
        <v>166</v>
      </c>
      <c r="P117" s="2">
        <v>162</v>
      </c>
      <c r="Q117" s="2">
        <v>160</v>
      </c>
      <c r="R117" s="95">
        <v>186</v>
      </c>
      <c r="S117" s="95">
        <v>184</v>
      </c>
      <c r="T117" s="95">
        <v>184</v>
      </c>
      <c r="U117" s="95">
        <v>179</v>
      </c>
      <c r="V117" s="61">
        <v>191</v>
      </c>
      <c r="W117" s="61">
        <v>180</v>
      </c>
      <c r="X117" s="61">
        <v>175</v>
      </c>
      <c r="Y117" s="61">
        <v>175</v>
      </c>
      <c r="Z117" s="349">
        <v>210</v>
      </c>
      <c r="AA117" s="349">
        <v>204</v>
      </c>
      <c r="AB117" s="349">
        <v>200</v>
      </c>
      <c r="AC117" s="349">
        <v>200</v>
      </c>
      <c r="AD117" s="469">
        <v>233</v>
      </c>
      <c r="AE117" s="469">
        <v>222</v>
      </c>
      <c r="AF117" s="469">
        <v>219</v>
      </c>
      <c r="AG117" s="469">
        <v>219</v>
      </c>
      <c r="AH117" s="630">
        <v>125</v>
      </c>
      <c r="AI117" s="630">
        <v>155</v>
      </c>
      <c r="AJ117" s="630">
        <v>144</v>
      </c>
      <c r="AK117" s="630">
        <v>144</v>
      </c>
    </row>
    <row r="118" spans="1:37" ht="24.9" customHeight="1" x14ac:dyDescent="0.25">
      <c r="A118" s="1" t="s">
        <v>64</v>
      </c>
      <c r="B118" s="1" t="s">
        <v>0</v>
      </c>
      <c r="C118" s="1" t="s">
        <v>65</v>
      </c>
      <c r="D118" s="1" t="s">
        <v>220</v>
      </c>
      <c r="E118" s="2">
        <v>3</v>
      </c>
      <c r="F118" s="95">
        <v>191</v>
      </c>
      <c r="G118" s="95">
        <v>192</v>
      </c>
      <c r="H118" s="95">
        <v>188</v>
      </c>
      <c r="I118" s="95">
        <v>188</v>
      </c>
      <c r="J118" s="61">
        <v>286</v>
      </c>
      <c r="K118" s="61">
        <v>278</v>
      </c>
      <c r="L118" s="61">
        <v>276</v>
      </c>
      <c r="M118" s="61">
        <v>270</v>
      </c>
      <c r="N118" s="2">
        <v>325</v>
      </c>
      <c r="O118" s="2">
        <v>311</v>
      </c>
      <c r="P118" s="2">
        <v>310</v>
      </c>
      <c r="Q118" s="2">
        <v>309</v>
      </c>
      <c r="R118" s="95">
        <v>344</v>
      </c>
      <c r="S118" s="95">
        <v>313</v>
      </c>
      <c r="T118" s="95">
        <v>309</v>
      </c>
      <c r="U118" s="95">
        <v>309</v>
      </c>
      <c r="V118" s="61">
        <v>359</v>
      </c>
      <c r="W118" s="61">
        <v>331</v>
      </c>
      <c r="X118" s="61">
        <v>330</v>
      </c>
      <c r="Y118" s="61">
        <v>330</v>
      </c>
      <c r="Z118" s="349">
        <v>199</v>
      </c>
      <c r="AA118" s="349">
        <v>196</v>
      </c>
      <c r="AB118" s="349">
        <v>189</v>
      </c>
      <c r="AC118" s="349">
        <v>189</v>
      </c>
      <c r="AD118" s="469">
        <v>209</v>
      </c>
      <c r="AE118" s="469">
        <v>194</v>
      </c>
      <c r="AF118" s="469">
        <v>191</v>
      </c>
      <c r="AG118" s="469">
        <v>191</v>
      </c>
      <c r="AH118" s="630">
        <v>264</v>
      </c>
      <c r="AI118" s="630">
        <v>254</v>
      </c>
      <c r="AJ118" s="630">
        <v>247</v>
      </c>
      <c r="AK118" s="630">
        <v>247</v>
      </c>
    </row>
    <row r="119" spans="1:37" ht="24.9" customHeight="1" x14ac:dyDescent="0.25">
      <c r="A119" s="1" t="s">
        <v>105</v>
      </c>
      <c r="B119" s="1" t="s">
        <v>0</v>
      </c>
      <c r="C119" s="1" t="s">
        <v>106</v>
      </c>
      <c r="D119" s="1" t="s">
        <v>222</v>
      </c>
      <c r="E119" s="2">
        <v>1</v>
      </c>
      <c r="F119" s="95">
        <v>31</v>
      </c>
      <c r="G119" s="95">
        <v>31</v>
      </c>
      <c r="H119" s="95">
        <v>31</v>
      </c>
      <c r="I119" s="95">
        <v>31</v>
      </c>
      <c r="J119" s="61">
        <v>38</v>
      </c>
      <c r="K119" s="61">
        <v>38</v>
      </c>
      <c r="L119" s="61">
        <v>38</v>
      </c>
      <c r="M119" s="61">
        <v>38</v>
      </c>
      <c r="N119" s="2">
        <v>47</v>
      </c>
      <c r="O119" s="2">
        <v>46</v>
      </c>
      <c r="P119" s="2">
        <v>46</v>
      </c>
      <c r="Q119" s="2">
        <v>46</v>
      </c>
      <c r="R119" s="95">
        <v>37</v>
      </c>
      <c r="S119" s="95">
        <v>37</v>
      </c>
      <c r="T119" s="95">
        <v>37</v>
      </c>
      <c r="U119" s="95">
        <v>37</v>
      </c>
      <c r="V119" s="61">
        <v>22</v>
      </c>
      <c r="W119" s="61">
        <v>22</v>
      </c>
      <c r="X119" s="61">
        <v>22</v>
      </c>
      <c r="Y119" s="61">
        <v>22</v>
      </c>
      <c r="Z119" s="349">
        <v>37</v>
      </c>
      <c r="AA119" s="349">
        <v>37</v>
      </c>
      <c r="AB119" s="349">
        <v>37</v>
      </c>
      <c r="AC119" s="349">
        <v>37</v>
      </c>
      <c r="AD119" s="469">
        <v>34</v>
      </c>
      <c r="AE119" s="469">
        <v>34</v>
      </c>
      <c r="AF119" s="469">
        <v>34</v>
      </c>
      <c r="AG119" s="469">
        <v>34</v>
      </c>
      <c r="AH119" s="630">
        <v>60</v>
      </c>
      <c r="AI119" s="630">
        <v>60</v>
      </c>
      <c r="AJ119" s="630">
        <v>60</v>
      </c>
      <c r="AK119" s="630">
        <v>60</v>
      </c>
    </row>
    <row r="120" spans="1:37" ht="24.9" customHeight="1" x14ac:dyDescent="0.25">
      <c r="A120" s="1" t="s">
        <v>187</v>
      </c>
      <c r="B120" s="1" t="s">
        <v>0</v>
      </c>
      <c r="C120" s="1" t="s">
        <v>188</v>
      </c>
      <c r="D120" s="1" t="s">
        <v>220</v>
      </c>
      <c r="E120" s="2">
        <v>4</v>
      </c>
      <c r="F120" s="95">
        <v>36</v>
      </c>
      <c r="G120" s="95">
        <v>35</v>
      </c>
      <c r="H120" s="95">
        <v>35</v>
      </c>
      <c r="I120" s="95">
        <v>35</v>
      </c>
      <c r="J120" s="61">
        <v>41</v>
      </c>
      <c r="K120" s="61">
        <v>40</v>
      </c>
      <c r="L120" s="61">
        <v>39</v>
      </c>
      <c r="M120" s="61">
        <v>39</v>
      </c>
      <c r="N120" s="2">
        <v>36</v>
      </c>
      <c r="O120" s="2">
        <v>34</v>
      </c>
      <c r="P120" s="2">
        <v>33</v>
      </c>
      <c r="Q120" s="2">
        <v>33</v>
      </c>
      <c r="R120" s="95">
        <v>42</v>
      </c>
      <c r="S120" s="95">
        <v>41</v>
      </c>
      <c r="T120" s="95">
        <v>41</v>
      </c>
      <c r="U120" s="95">
        <v>41</v>
      </c>
      <c r="V120" s="61">
        <v>36</v>
      </c>
      <c r="W120" s="61">
        <v>32</v>
      </c>
      <c r="X120" s="61">
        <v>32</v>
      </c>
      <c r="Y120" s="61">
        <v>32</v>
      </c>
      <c r="Z120" s="349">
        <v>34</v>
      </c>
      <c r="AA120" s="349">
        <v>33</v>
      </c>
      <c r="AB120" s="349">
        <v>30</v>
      </c>
      <c r="AC120" s="349">
        <v>30</v>
      </c>
      <c r="AD120" s="469">
        <v>35</v>
      </c>
      <c r="AE120" s="469">
        <v>36</v>
      </c>
      <c r="AF120" s="469">
        <v>36</v>
      </c>
      <c r="AG120" s="469">
        <v>36</v>
      </c>
      <c r="AH120" s="630">
        <v>32</v>
      </c>
      <c r="AI120" s="630">
        <v>32</v>
      </c>
      <c r="AJ120" s="630">
        <v>32</v>
      </c>
      <c r="AK120" s="630">
        <v>32</v>
      </c>
    </row>
    <row r="121" spans="1:37" s="461" customFormat="1" ht="24.9" customHeight="1" x14ac:dyDescent="0.25">
      <c r="A121" s="470" t="s">
        <v>963</v>
      </c>
      <c r="B121" s="470" t="s">
        <v>0</v>
      </c>
      <c r="C121" s="477" t="s">
        <v>964</v>
      </c>
      <c r="D121" s="1" t="s">
        <v>220</v>
      </c>
      <c r="E121" s="471">
        <v>2</v>
      </c>
      <c r="F121" s="469"/>
      <c r="G121" s="469"/>
      <c r="H121" s="469"/>
      <c r="I121" s="469"/>
      <c r="J121" s="472"/>
      <c r="K121" s="472"/>
      <c r="L121" s="472"/>
      <c r="M121" s="472"/>
      <c r="N121" s="471"/>
      <c r="O121" s="471"/>
      <c r="P121" s="471"/>
      <c r="Q121" s="471"/>
      <c r="R121" s="469"/>
      <c r="S121" s="469"/>
      <c r="T121" s="469"/>
      <c r="U121" s="469"/>
      <c r="V121" s="472"/>
      <c r="W121" s="472"/>
      <c r="X121" s="472"/>
      <c r="Y121" s="472"/>
      <c r="Z121" s="475"/>
      <c r="AA121" s="475"/>
      <c r="AB121" s="475"/>
      <c r="AC121" s="475"/>
      <c r="AD121" s="469">
        <v>39</v>
      </c>
      <c r="AE121" s="469">
        <v>39</v>
      </c>
      <c r="AF121" s="469">
        <v>39</v>
      </c>
      <c r="AG121" s="469">
        <v>39</v>
      </c>
      <c r="AH121" s="630">
        <v>78</v>
      </c>
      <c r="AI121" s="630">
        <v>78</v>
      </c>
      <c r="AJ121" s="630">
        <v>78</v>
      </c>
      <c r="AK121" s="630">
        <v>78</v>
      </c>
    </row>
    <row r="122" spans="1:37" ht="24.9" customHeight="1" x14ac:dyDescent="0.25">
      <c r="A122" s="1" t="s">
        <v>129</v>
      </c>
      <c r="B122" s="1" t="s">
        <v>0</v>
      </c>
      <c r="C122" s="1" t="s">
        <v>130</v>
      </c>
      <c r="D122" s="1" t="s">
        <v>220</v>
      </c>
      <c r="E122" s="2">
        <v>3</v>
      </c>
      <c r="F122" s="95">
        <v>134</v>
      </c>
      <c r="G122" s="95">
        <v>135</v>
      </c>
      <c r="H122" s="95">
        <v>132</v>
      </c>
      <c r="I122" s="95">
        <v>132</v>
      </c>
      <c r="J122" s="61">
        <v>139</v>
      </c>
      <c r="K122" s="61">
        <v>137</v>
      </c>
      <c r="L122" s="61">
        <v>136</v>
      </c>
      <c r="M122" s="61">
        <v>135</v>
      </c>
      <c r="N122" s="2">
        <v>117</v>
      </c>
      <c r="O122" s="2">
        <v>116</v>
      </c>
      <c r="P122" s="2">
        <v>115</v>
      </c>
      <c r="Q122" s="2">
        <v>115</v>
      </c>
      <c r="R122" s="95">
        <v>125</v>
      </c>
      <c r="S122" s="95">
        <v>123</v>
      </c>
      <c r="T122" s="95">
        <v>123</v>
      </c>
      <c r="U122" s="95">
        <v>121</v>
      </c>
      <c r="V122" s="61">
        <v>84</v>
      </c>
      <c r="W122" s="61">
        <v>78</v>
      </c>
      <c r="X122" s="61">
        <v>76</v>
      </c>
      <c r="Y122" s="61">
        <v>76</v>
      </c>
      <c r="Z122" s="349">
        <v>118</v>
      </c>
      <c r="AA122" s="349">
        <v>116</v>
      </c>
      <c r="AB122" s="349">
        <v>112</v>
      </c>
      <c r="AC122" s="349">
        <v>112</v>
      </c>
      <c r="AD122" s="469">
        <v>98</v>
      </c>
      <c r="AE122" s="469">
        <v>97</v>
      </c>
      <c r="AF122" s="469">
        <v>94</v>
      </c>
      <c r="AG122" s="469">
        <v>94</v>
      </c>
      <c r="AH122" s="630">
        <v>119</v>
      </c>
      <c r="AI122" s="630">
        <v>118</v>
      </c>
      <c r="AJ122" s="630">
        <v>113</v>
      </c>
      <c r="AK122" s="630">
        <v>113</v>
      </c>
    </row>
    <row r="123" spans="1:37" s="461" customFormat="1" ht="24.9" customHeight="1" x14ac:dyDescent="0.25">
      <c r="A123" s="470" t="s">
        <v>965</v>
      </c>
      <c r="B123" s="470" t="s">
        <v>0</v>
      </c>
      <c r="C123" s="477" t="s">
        <v>966</v>
      </c>
      <c r="D123" s="1" t="s">
        <v>220</v>
      </c>
      <c r="E123" s="471">
        <v>1</v>
      </c>
      <c r="F123" s="469"/>
      <c r="G123" s="469"/>
      <c r="H123" s="469"/>
      <c r="I123" s="469"/>
      <c r="J123" s="472"/>
      <c r="K123" s="472"/>
      <c r="L123" s="472"/>
      <c r="M123" s="472"/>
      <c r="N123" s="471"/>
      <c r="O123" s="471"/>
      <c r="P123" s="471"/>
      <c r="Q123" s="471"/>
      <c r="R123" s="469"/>
      <c r="S123" s="469"/>
      <c r="T123" s="469"/>
      <c r="U123" s="469"/>
      <c r="V123" s="472"/>
      <c r="W123" s="472"/>
      <c r="X123" s="472"/>
      <c r="Y123" s="472"/>
      <c r="Z123" s="475"/>
      <c r="AA123" s="475"/>
      <c r="AB123" s="475"/>
      <c r="AC123" s="475"/>
      <c r="AD123" s="469">
        <v>39</v>
      </c>
      <c r="AE123" s="469">
        <v>38</v>
      </c>
      <c r="AF123" s="469">
        <v>38</v>
      </c>
      <c r="AG123" s="469">
        <v>38</v>
      </c>
      <c r="AH123" s="630">
        <v>75</v>
      </c>
      <c r="AI123" s="630">
        <v>73</v>
      </c>
      <c r="AJ123" s="630">
        <v>72</v>
      </c>
      <c r="AK123" s="630">
        <v>72</v>
      </c>
    </row>
    <row r="124" spans="1:37" ht="24.9" customHeight="1" x14ac:dyDescent="0.25">
      <c r="A124" s="1" t="s">
        <v>89</v>
      </c>
      <c r="B124" s="1" t="s">
        <v>0</v>
      </c>
      <c r="C124" s="1" t="s">
        <v>90</v>
      </c>
      <c r="D124" s="1" t="s">
        <v>220</v>
      </c>
      <c r="E124" s="2">
        <v>1</v>
      </c>
      <c r="F124" s="95">
        <v>84</v>
      </c>
      <c r="G124" s="95">
        <v>84</v>
      </c>
      <c r="H124" s="95">
        <v>83</v>
      </c>
      <c r="I124" s="95">
        <v>83</v>
      </c>
      <c r="J124" s="61">
        <v>101</v>
      </c>
      <c r="K124" s="61">
        <v>101</v>
      </c>
      <c r="L124" s="61">
        <v>101</v>
      </c>
      <c r="M124" s="61">
        <v>101</v>
      </c>
      <c r="N124" s="2">
        <v>111</v>
      </c>
      <c r="O124" s="2">
        <v>109</v>
      </c>
      <c r="P124" s="2">
        <v>108</v>
      </c>
      <c r="Q124" s="2">
        <v>107</v>
      </c>
      <c r="R124" s="95">
        <v>130</v>
      </c>
      <c r="S124" s="95">
        <v>132</v>
      </c>
      <c r="T124" s="95">
        <v>131</v>
      </c>
      <c r="U124" s="95">
        <v>130</v>
      </c>
      <c r="V124" s="61">
        <v>109</v>
      </c>
      <c r="W124" s="61">
        <v>101</v>
      </c>
      <c r="X124" s="61">
        <v>101</v>
      </c>
      <c r="Y124" s="61">
        <v>101</v>
      </c>
      <c r="Z124" s="349">
        <v>126</v>
      </c>
      <c r="AA124" s="349">
        <v>124</v>
      </c>
      <c r="AB124" s="349">
        <v>123</v>
      </c>
      <c r="AC124" s="349">
        <v>123</v>
      </c>
      <c r="AD124" s="469">
        <v>109</v>
      </c>
      <c r="AE124" s="469">
        <v>108</v>
      </c>
      <c r="AF124" s="469">
        <v>104</v>
      </c>
      <c r="AG124" s="469">
        <v>104</v>
      </c>
      <c r="AH124" s="630">
        <v>128</v>
      </c>
      <c r="AI124" s="630">
        <v>127</v>
      </c>
      <c r="AJ124" s="630">
        <v>126</v>
      </c>
      <c r="AK124" s="630">
        <v>126</v>
      </c>
    </row>
    <row r="125" spans="1:37" ht="24.9" customHeight="1" x14ac:dyDescent="0.25">
      <c r="A125" s="1" t="s">
        <v>49</v>
      </c>
      <c r="B125" s="1" t="s">
        <v>0</v>
      </c>
      <c r="C125" s="1" t="s">
        <v>50</v>
      </c>
      <c r="D125" s="1" t="s">
        <v>222</v>
      </c>
      <c r="E125" s="2">
        <v>1</v>
      </c>
      <c r="F125" s="95">
        <v>86</v>
      </c>
      <c r="G125" s="95">
        <v>85</v>
      </c>
      <c r="H125" s="95">
        <v>84</v>
      </c>
      <c r="I125" s="95">
        <v>84</v>
      </c>
      <c r="J125" s="61">
        <v>76</v>
      </c>
      <c r="K125" s="61">
        <v>77</v>
      </c>
      <c r="L125" s="61">
        <v>77</v>
      </c>
      <c r="M125" s="61">
        <v>76</v>
      </c>
      <c r="N125" s="2">
        <v>77</v>
      </c>
      <c r="O125" s="2">
        <v>79</v>
      </c>
      <c r="P125" s="2">
        <v>79</v>
      </c>
      <c r="Q125" s="2">
        <v>79</v>
      </c>
      <c r="R125" s="95">
        <v>56</v>
      </c>
      <c r="S125" s="95">
        <v>57</v>
      </c>
      <c r="T125" s="95">
        <v>57</v>
      </c>
      <c r="U125" s="95">
        <v>57</v>
      </c>
      <c r="V125" s="61">
        <v>60</v>
      </c>
      <c r="W125" s="61">
        <v>60</v>
      </c>
      <c r="X125" s="61">
        <v>60</v>
      </c>
      <c r="Y125" s="61">
        <v>60</v>
      </c>
      <c r="Z125" s="349">
        <v>60</v>
      </c>
      <c r="AA125" s="349">
        <v>63</v>
      </c>
      <c r="AB125" s="349">
        <v>61</v>
      </c>
      <c r="AC125" s="349">
        <v>61</v>
      </c>
      <c r="AD125" s="469">
        <v>60</v>
      </c>
      <c r="AE125" s="469">
        <v>59</v>
      </c>
      <c r="AF125" s="469">
        <v>59</v>
      </c>
      <c r="AG125" s="469">
        <v>59</v>
      </c>
    </row>
    <row r="126" spans="1:37" s="461" customFormat="1" ht="24.9" customHeight="1" x14ac:dyDescent="0.25">
      <c r="A126" s="470" t="s">
        <v>967</v>
      </c>
      <c r="B126" s="470" t="s">
        <v>0</v>
      </c>
      <c r="C126" s="477" t="s">
        <v>968</v>
      </c>
      <c r="D126" s="1" t="s">
        <v>220</v>
      </c>
      <c r="E126" s="471">
        <v>3</v>
      </c>
      <c r="F126" s="469"/>
      <c r="G126" s="469"/>
      <c r="H126" s="469"/>
      <c r="I126" s="469"/>
      <c r="J126" s="472"/>
      <c r="K126" s="472"/>
      <c r="L126" s="472"/>
      <c r="M126" s="472"/>
      <c r="N126" s="471"/>
      <c r="O126" s="471"/>
      <c r="P126" s="471"/>
      <c r="Q126" s="471"/>
      <c r="R126" s="469"/>
      <c r="S126" s="469"/>
      <c r="T126" s="469"/>
      <c r="U126" s="469"/>
      <c r="V126" s="472"/>
      <c r="W126" s="472"/>
      <c r="X126" s="472"/>
      <c r="Y126" s="472"/>
      <c r="Z126" s="475"/>
      <c r="AA126" s="475"/>
      <c r="AB126" s="475"/>
      <c r="AC126" s="475"/>
      <c r="AD126" s="469">
        <v>86</v>
      </c>
      <c r="AE126" s="469">
        <v>86</v>
      </c>
      <c r="AF126" s="469">
        <v>85</v>
      </c>
      <c r="AG126" s="469">
        <v>85</v>
      </c>
      <c r="AH126" s="630">
        <v>146</v>
      </c>
      <c r="AI126" s="630">
        <v>145</v>
      </c>
      <c r="AJ126" s="630">
        <v>145</v>
      </c>
      <c r="AK126" s="630">
        <v>145</v>
      </c>
    </row>
    <row r="127" spans="1:37" ht="24.9" customHeight="1" x14ac:dyDescent="0.25">
      <c r="A127" s="1" t="s">
        <v>182</v>
      </c>
      <c r="B127" s="1" t="s">
        <v>0</v>
      </c>
      <c r="C127" s="1" t="s">
        <v>290</v>
      </c>
      <c r="D127" s="1" t="s">
        <v>222</v>
      </c>
      <c r="E127" s="2">
        <v>6</v>
      </c>
      <c r="F127" s="95">
        <v>104</v>
      </c>
      <c r="G127" s="95">
        <v>105</v>
      </c>
      <c r="H127" s="95">
        <v>103</v>
      </c>
      <c r="I127" s="95">
        <v>103</v>
      </c>
      <c r="J127" s="61">
        <v>103</v>
      </c>
      <c r="K127" s="61">
        <v>105</v>
      </c>
      <c r="L127" s="61">
        <v>103</v>
      </c>
      <c r="M127" s="61">
        <v>103</v>
      </c>
      <c r="N127" s="2">
        <v>111</v>
      </c>
      <c r="O127" s="2">
        <v>111</v>
      </c>
      <c r="P127" s="2">
        <v>111</v>
      </c>
      <c r="Q127" s="2">
        <v>109</v>
      </c>
      <c r="R127" s="95">
        <v>111</v>
      </c>
      <c r="S127" s="95">
        <v>113</v>
      </c>
      <c r="T127" s="95">
        <v>113</v>
      </c>
      <c r="U127" s="95">
        <v>113</v>
      </c>
      <c r="V127" s="61">
        <v>117</v>
      </c>
      <c r="W127" s="61">
        <v>116</v>
      </c>
      <c r="X127" s="61">
        <v>114</v>
      </c>
      <c r="Y127" s="61">
        <v>114</v>
      </c>
      <c r="Z127" s="349">
        <v>117</v>
      </c>
      <c r="AA127" s="349">
        <v>117</v>
      </c>
      <c r="AB127" s="349">
        <v>114</v>
      </c>
      <c r="AC127" s="349">
        <v>114</v>
      </c>
      <c r="AD127" s="469">
        <v>110</v>
      </c>
      <c r="AE127" s="469">
        <v>109</v>
      </c>
      <c r="AF127" s="469">
        <v>107</v>
      </c>
      <c r="AG127" s="469">
        <v>107</v>
      </c>
      <c r="AH127" s="630">
        <v>111</v>
      </c>
      <c r="AI127" s="630">
        <v>109</v>
      </c>
      <c r="AJ127" s="630">
        <v>109</v>
      </c>
      <c r="AK127" s="630">
        <v>109</v>
      </c>
    </row>
    <row r="128" spans="1:37" s="461" customFormat="1" ht="24.9" customHeight="1" x14ac:dyDescent="0.25">
      <c r="A128" s="470" t="s">
        <v>969</v>
      </c>
      <c r="B128" s="470" t="s">
        <v>0</v>
      </c>
      <c r="C128" s="477" t="s">
        <v>970</v>
      </c>
      <c r="D128" s="1" t="s">
        <v>220</v>
      </c>
      <c r="E128" s="471">
        <v>2</v>
      </c>
      <c r="F128" s="469"/>
      <c r="G128" s="469"/>
      <c r="H128" s="469"/>
      <c r="I128" s="469"/>
      <c r="J128" s="472"/>
      <c r="K128" s="472"/>
      <c r="L128" s="472"/>
      <c r="M128" s="472"/>
      <c r="N128" s="471"/>
      <c r="O128" s="471"/>
      <c r="P128" s="471"/>
      <c r="Q128" s="471"/>
      <c r="R128" s="469"/>
      <c r="S128" s="469"/>
      <c r="T128" s="469"/>
      <c r="U128" s="469"/>
      <c r="V128" s="472"/>
      <c r="W128" s="472"/>
      <c r="X128" s="472"/>
      <c r="Y128" s="472"/>
      <c r="Z128" s="475"/>
      <c r="AA128" s="475"/>
      <c r="AB128" s="475"/>
      <c r="AC128" s="475"/>
      <c r="AD128" s="469">
        <v>40</v>
      </c>
      <c r="AE128" s="469">
        <v>42</v>
      </c>
      <c r="AF128" s="469">
        <v>42</v>
      </c>
      <c r="AG128" s="469">
        <v>42</v>
      </c>
      <c r="AH128" s="630">
        <v>130</v>
      </c>
      <c r="AI128" s="630">
        <v>130</v>
      </c>
      <c r="AJ128" s="630">
        <v>122</v>
      </c>
      <c r="AK128" s="630">
        <v>122</v>
      </c>
    </row>
    <row r="129" spans="1:37" ht="24.9" customHeight="1" x14ac:dyDescent="0.25">
      <c r="A129" s="1" t="s">
        <v>192</v>
      </c>
      <c r="B129" s="1" t="s">
        <v>0</v>
      </c>
      <c r="C129" s="1" t="s">
        <v>193</v>
      </c>
      <c r="D129" s="1" t="s">
        <v>222</v>
      </c>
      <c r="E129" s="2">
        <v>2</v>
      </c>
      <c r="F129" s="95">
        <v>0</v>
      </c>
      <c r="G129" s="95">
        <v>5</v>
      </c>
      <c r="H129" s="95">
        <v>2</v>
      </c>
      <c r="I129" s="95">
        <v>2</v>
      </c>
      <c r="J129" s="61"/>
      <c r="K129" s="61"/>
      <c r="L129" s="61"/>
      <c r="M129" s="61"/>
      <c r="N129" s="2"/>
      <c r="O129" s="2"/>
      <c r="P129" s="2"/>
      <c r="Q129" s="2"/>
      <c r="R129" s="2"/>
      <c r="S129" s="2"/>
      <c r="T129" s="2"/>
      <c r="U129" s="2"/>
      <c r="V129" s="61">
        <v>0</v>
      </c>
      <c r="W129" s="61">
        <v>235</v>
      </c>
      <c r="X129" s="61">
        <v>214</v>
      </c>
      <c r="Y129" s="61">
        <v>214</v>
      </c>
      <c r="Z129" s="349">
        <v>0</v>
      </c>
      <c r="AA129" s="349">
        <v>13</v>
      </c>
      <c r="AB129" s="349">
        <v>9</v>
      </c>
      <c r="AC129" s="349">
        <v>9</v>
      </c>
    </row>
    <row r="130" spans="1:37" ht="24.9" customHeight="1" x14ac:dyDescent="0.25">
      <c r="A130" s="15" t="s">
        <v>238</v>
      </c>
      <c r="B130" s="1" t="s">
        <v>0</v>
      </c>
      <c r="C130" s="1" t="s">
        <v>233</v>
      </c>
      <c r="D130" s="1" t="s">
        <v>222</v>
      </c>
      <c r="E130" s="2">
        <v>4</v>
      </c>
      <c r="F130" s="2"/>
      <c r="G130" s="2"/>
      <c r="J130" s="61"/>
      <c r="K130" s="61"/>
      <c r="L130" s="61"/>
      <c r="M130" s="61"/>
      <c r="N130" s="2">
        <v>0</v>
      </c>
      <c r="O130" s="2">
        <v>2</v>
      </c>
      <c r="P130" s="2">
        <v>2</v>
      </c>
      <c r="Q130" s="2">
        <v>2</v>
      </c>
      <c r="R130" s="2"/>
      <c r="S130" s="2"/>
      <c r="T130" s="2"/>
      <c r="U130" s="2"/>
      <c r="V130" s="61"/>
      <c r="W130" s="61"/>
      <c r="X130" s="61"/>
      <c r="Y130" s="61"/>
    </row>
    <row r="131" spans="1:37" ht="24.9" customHeight="1" x14ac:dyDescent="0.25">
      <c r="A131" s="1" t="s">
        <v>157</v>
      </c>
      <c r="B131" s="1" t="s">
        <v>0</v>
      </c>
      <c r="C131" s="1" t="s">
        <v>158</v>
      </c>
      <c r="D131" s="1" t="s">
        <v>222</v>
      </c>
      <c r="E131" s="2">
        <v>5</v>
      </c>
      <c r="F131" s="95">
        <v>43</v>
      </c>
      <c r="G131" s="95">
        <v>43</v>
      </c>
      <c r="H131" s="95">
        <v>43</v>
      </c>
      <c r="I131" s="95">
        <v>43</v>
      </c>
      <c r="J131" s="61">
        <v>43</v>
      </c>
      <c r="K131" s="61">
        <v>43</v>
      </c>
      <c r="L131" s="61">
        <v>43</v>
      </c>
      <c r="M131" s="61">
        <v>43</v>
      </c>
      <c r="N131" s="2">
        <v>42</v>
      </c>
      <c r="O131" s="2">
        <v>42</v>
      </c>
      <c r="P131" s="2">
        <v>42</v>
      </c>
      <c r="Q131" s="2">
        <v>42</v>
      </c>
      <c r="R131" s="95">
        <v>58</v>
      </c>
      <c r="S131" s="95">
        <v>58</v>
      </c>
      <c r="T131" s="95">
        <v>58</v>
      </c>
      <c r="U131" s="95">
        <v>57</v>
      </c>
      <c r="V131" s="61">
        <v>55</v>
      </c>
      <c r="W131" s="61">
        <v>55</v>
      </c>
      <c r="X131" s="61">
        <v>55</v>
      </c>
      <c r="Y131" s="61">
        <v>55</v>
      </c>
      <c r="Z131" s="349">
        <v>52</v>
      </c>
      <c r="AA131" s="349">
        <v>52</v>
      </c>
      <c r="AB131" s="349">
        <v>51</v>
      </c>
      <c r="AC131" s="349">
        <v>51</v>
      </c>
      <c r="AD131" s="469">
        <v>87</v>
      </c>
      <c r="AE131" s="469">
        <v>87</v>
      </c>
      <c r="AF131" s="469">
        <v>87</v>
      </c>
      <c r="AG131" s="469">
        <v>87</v>
      </c>
      <c r="AH131" s="630">
        <v>55</v>
      </c>
      <c r="AI131" s="630">
        <v>54</v>
      </c>
      <c r="AJ131" s="630">
        <v>54</v>
      </c>
      <c r="AK131" s="630">
        <v>54</v>
      </c>
    </row>
    <row r="132" spans="1:37" ht="24.9" customHeight="1" x14ac:dyDescent="0.25">
      <c r="A132" s="1" t="s">
        <v>215</v>
      </c>
      <c r="B132" s="1" t="s">
        <v>0</v>
      </c>
      <c r="C132" s="1" t="s">
        <v>216</v>
      </c>
      <c r="D132" s="1" t="s">
        <v>222</v>
      </c>
      <c r="E132" s="2">
        <v>6</v>
      </c>
      <c r="F132" s="95">
        <v>0</v>
      </c>
      <c r="G132" s="95">
        <v>1</v>
      </c>
      <c r="H132" s="95">
        <v>1</v>
      </c>
      <c r="I132" s="95">
        <v>1</v>
      </c>
      <c r="J132" s="61"/>
      <c r="K132" s="61"/>
      <c r="L132" s="61"/>
      <c r="M132" s="61"/>
      <c r="N132" s="2"/>
      <c r="O132" s="2"/>
      <c r="P132" s="2"/>
      <c r="Q132" s="2"/>
      <c r="R132" s="2"/>
      <c r="S132" s="2"/>
      <c r="T132" s="2"/>
      <c r="U132" s="2"/>
      <c r="V132" s="61"/>
      <c r="W132" s="61"/>
      <c r="X132" s="61"/>
      <c r="Y132" s="61"/>
      <c r="Z132" s="349">
        <v>0</v>
      </c>
      <c r="AA132" s="349">
        <v>1</v>
      </c>
      <c r="AB132" s="349">
        <v>1</v>
      </c>
      <c r="AC132" s="349">
        <v>1</v>
      </c>
    </row>
    <row r="133" spans="1:37" ht="24.9" customHeight="1" x14ac:dyDescent="0.25">
      <c r="A133" s="1" t="s">
        <v>119</v>
      </c>
      <c r="B133" s="1" t="s">
        <v>0</v>
      </c>
      <c r="C133" s="1" t="s">
        <v>120</v>
      </c>
      <c r="D133" s="1" t="s">
        <v>222</v>
      </c>
      <c r="E133" s="2">
        <v>4</v>
      </c>
      <c r="F133" s="95">
        <v>17</v>
      </c>
      <c r="G133" s="95">
        <v>18</v>
      </c>
      <c r="H133" s="95">
        <v>16</v>
      </c>
      <c r="I133" s="95">
        <v>16</v>
      </c>
      <c r="J133" s="61">
        <v>25</v>
      </c>
      <c r="K133" s="61">
        <v>23</v>
      </c>
      <c r="L133" s="61">
        <v>20</v>
      </c>
      <c r="M133" s="61">
        <v>20</v>
      </c>
      <c r="N133" s="2">
        <v>14</v>
      </c>
      <c r="O133" s="2">
        <v>11</v>
      </c>
      <c r="P133" s="2">
        <v>11</v>
      </c>
      <c r="Q133" s="2">
        <v>11</v>
      </c>
      <c r="R133" s="95">
        <v>13</v>
      </c>
      <c r="S133" s="95">
        <v>13</v>
      </c>
      <c r="T133" s="95">
        <v>13</v>
      </c>
      <c r="U133" s="95">
        <v>13</v>
      </c>
      <c r="V133" s="61">
        <v>19</v>
      </c>
      <c r="W133" s="61">
        <v>12</v>
      </c>
      <c r="X133" s="61">
        <v>12</v>
      </c>
      <c r="Y133" s="61">
        <v>12</v>
      </c>
      <c r="Z133" s="349">
        <v>16</v>
      </c>
      <c r="AA133" s="349">
        <v>23</v>
      </c>
      <c r="AB133" s="349">
        <v>23</v>
      </c>
      <c r="AC133" s="349">
        <v>23</v>
      </c>
      <c r="AD133" s="469">
        <v>0</v>
      </c>
      <c r="AE133" s="469">
        <v>17</v>
      </c>
      <c r="AF133" s="469">
        <v>17</v>
      </c>
      <c r="AG133" s="469">
        <v>17</v>
      </c>
      <c r="AH133" s="630">
        <v>23</v>
      </c>
      <c r="AI133" s="630">
        <v>23</v>
      </c>
      <c r="AJ133" s="630">
        <v>22</v>
      </c>
      <c r="AK133" s="630">
        <v>22</v>
      </c>
    </row>
    <row r="134" spans="1:37" ht="24.9" customHeight="1" x14ac:dyDescent="0.25">
      <c r="A134" s="1" t="s">
        <v>51</v>
      </c>
      <c r="B134" s="1" t="s">
        <v>0</v>
      </c>
      <c r="C134" s="1" t="s">
        <v>52</v>
      </c>
      <c r="D134" s="1" t="s">
        <v>222</v>
      </c>
      <c r="E134" s="2">
        <v>6</v>
      </c>
      <c r="F134" s="95">
        <v>79</v>
      </c>
      <c r="G134" s="95">
        <v>77</v>
      </c>
      <c r="H134" s="95">
        <v>69</v>
      </c>
      <c r="I134" s="95">
        <v>69</v>
      </c>
      <c r="J134" s="61">
        <v>79</v>
      </c>
      <c r="K134" s="61">
        <v>79</v>
      </c>
      <c r="L134" s="61">
        <v>79</v>
      </c>
      <c r="M134" s="61">
        <v>76</v>
      </c>
      <c r="N134" s="2">
        <v>56</v>
      </c>
      <c r="O134" s="2">
        <v>56</v>
      </c>
      <c r="P134" s="2">
        <v>56</v>
      </c>
      <c r="Q134" s="2">
        <v>51</v>
      </c>
      <c r="R134" s="95">
        <v>80</v>
      </c>
      <c r="S134" s="95">
        <v>79</v>
      </c>
      <c r="T134" s="95">
        <v>79</v>
      </c>
      <c r="U134" s="95">
        <v>66</v>
      </c>
      <c r="V134" s="61">
        <v>73</v>
      </c>
      <c r="W134" s="61">
        <v>73</v>
      </c>
      <c r="X134" s="61">
        <v>72</v>
      </c>
      <c r="Y134" s="61">
        <v>72</v>
      </c>
      <c r="Z134" s="349">
        <v>59</v>
      </c>
      <c r="AA134" s="349">
        <v>59</v>
      </c>
      <c r="AB134" s="349">
        <v>56</v>
      </c>
      <c r="AC134" s="349">
        <v>56</v>
      </c>
      <c r="AD134" s="469">
        <v>77</v>
      </c>
      <c r="AE134" s="469">
        <v>77</v>
      </c>
      <c r="AF134" s="469">
        <v>76</v>
      </c>
      <c r="AG134" s="469">
        <v>76</v>
      </c>
      <c r="AH134" s="630">
        <v>50</v>
      </c>
      <c r="AI134" s="630">
        <v>50</v>
      </c>
      <c r="AJ134" s="630">
        <v>48</v>
      </c>
      <c r="AK134" s="630">
        <v>48</v>
      </c>
    </row>
    <row r="135" spans="1:37" ht="24.9" customHeight="1" x14ac:dyDescent="0.25">
      <c r="A135" s="1" t="s">
        <v>39</v>
      </c>
      <c r="B135" s="1" t="s">
        <v>0</v>
      </c>
      <c r="C135" s="1" t="s">
        <v>40</v>
      </c>
      <c r="D135" s="1" t="s">
        <v>222</v>
      </c>
      <c r="E135" s="2">
        <v>2</v>
      </c>
      <c r="F135" s="95">
        <v>50</v>
      </c>
      <c r="G135" s="95">
        <v>51</v>
      </c>
      <c r="H135" s="95">
        <v>50</v>
      </c>
      <c r="I135" s="95">
        <v>50</v>
      </c>
      <c r="J135" s="61">
        <v>65</v>
      </c>
      <c r="K135" s="61">
        <v>65</v>
      </c>
      <c r="L135" s="61">
        <v>65</v>
      </c>
      <c r="M135" s="61">
        <v>64</v>
      </c>
      <c r="N135" s="2">
        <v>63</v>
      </c>
      <c r="O135" s="2">
        <v>61</v>
      </c>
      <c r="P135" s="2">
        <v>61</v>
      </c>
      <c r="Q135" s="2">
        <v>61</v>
      </c>
      <c r="R135" s="95">
        <v>68</v>
      </c>
      <c r="S135" s="95">
        <v>68</v>
      </c>
      <c r="T135" s="95">
        <v>67</v>
      </c>
      <c r="U135" s="95">
        <v>67</v>
      </c>
      <c r="V135" s="61">
        <v>53</v>
      </c>
      <c r="W135" s="61">
        <v>49</v>
      </c>
      <c r="X135" s="61">
        <v>49</v>
      </c>
      <c r="Y135" s="61">
        <v>49</v>
      </c>
      <c r="Z135" s="349">
        <v>52</v>
      </c>
      <c r="AA135" s="349">
        <v>51</v>
      </c>
      <c r="AB135" s="349">
        <v>51</v>
      </c>
      <c r="AC135" s="349">
        <v>51</v>
      </c>
      <c r="AD135" s="469">
        <v>76</v>
      </c>
      <c r="AE135" s="469">
        <v>75</v>
      </c>
      <c r="AF135" s="469">
        <v>74</v>
      </c>
      <c r="AG135" s="469">
        <v>74</v>
      </c>
      <c r="AH135" s="630">
        <v>64</v>
      </c>
      <c r="AI135" s="630">
        <v>63</v>
      </c>
      <c r="AJ135" s="630">
        <v>62</v>
      </c>
      <c r="AK135" s="630">
        <v>62</v>
      </c>
    </row>
    <row r="136" spans="1:37" ht="24.9" customHeight="1" x14ac:dyDescent="0.25">
      <c r="A136" s="15" t="s">
        <v>239</v>
      </c>
      <c r="B136" s="1" t="s">
        <v>0</v>
      </c>
      <c r="C136" s="1" t="s">
        <v>229</v>
      </c>
      <c r="D136" s="1" t="s">
        <v>222</v>
      </c>
      <c r="E136" s="2">
        <v>2</v>
      </c>
      <c r="F136" s="2"/>
      <c r="G136" s="2"/>
      <c r="J136" s="61">
        <v>0</v>
      </c>
      <c r="K136" s="61">
        <v>21</v>
      </c>
      <c r="L136" s="61">
        <v>18</v>
      </c>
      <c r="M136" s="61">
        <v>18</v>
      </c>
      <c r="N136" s="2"/>
      <c r="O136" s="2"/>
      <c r="P136" s="2"/>
      <c r="Q136" s="2"/>
      <c r="R136" s="2"/>
      <c r="S136" s="2"/>
      <c r="T136" s="2"/>
      <c r="U136" s="2"/>
      <c r="V136" s="61"/>
      <c r="W136" s="61"/>
      <c r="X136" s="61"/>
      <c r="Y136" s="61"/>
      <c r="AD136" s="469">
        <v>0</v>
      </c>
      <c r="AE136" s="469">
        <v>1</v>
      </c>
      <c r="AF136" s="469">
        <v>1</v>
      </c>
      <c r="AG136" s="469">
        <v>1</v>
      </c>
      <c r="AH136" s="630">
        <v>0</v>
      </c>
      <c r="AI136" s="630">
        <v>17</v>
      </c>
      <c r="AJ136" s="630">
        <v>13</v>
      </c>
      <c r="AK136" s="630">
        <v>13</v>
      </c>
    </row>
    <row r="137" spans="1:37" s="461" customFormat="1" ht="24.9" customHeight="1" x14ac:dyDescent="0.25">
      <c r="A137" s="470" t="s">
        <v>971</v>
      </c>
      <c r="B137" s="470" t="s">
        <v>0</v>
      </c>
      <c r="C137" s="477" t="s">
        <v>972</v>
      </c>
      <c r="D137" s="1" t="s">
        <v>222</v>
      </c>
      <c r="E137" s="471">
        <v>4</v>
      </c>
      <c r="F137" s="471"/>
      <c r="G137" s="471"/>
      <c r="J137" s="472"/>
      <c r="K137" s="472"/>
      <c r="L137" s="472"/>
      <c r="M137" s="472"/>
      <c r="N137" s="471"/>
      <c r="O137" s="471"/>
      <c r="P137" s="471"/>
      <c r="Q137" s="471"/>
      <c r="R137" s="471"/>
      <c r="S137" s="471"/>
      <c r="T137" s="471"/>
      <c r="U137" s="471"/>
      <c r="V137" s="472"/>
      <c r="W137" s="472"/>
      <c r="X137" s="472"/>
      <c r="Y137" s="472"/>
      <c r="AD137" s="469">
        <v>0</v>
      </c>
      <c r="AE137" s="469">
        <v>18</v>
      </c>
      <c r="AF137" s="469">
        <v>16</v>
      </c>
      <c r="AG137" s="469">
        <v>16</v>
      </c>
      <c r="AH137" s="630">
        <v>0</v>
      </c>
      <c r="AI137" s="630">
        <v>14</v>
      </c>
      <c r="AJ137" s="630">
        <v>13</v>
      </c>
      <c r="AK137" s="630">
        <v>13</v>
      </c>
    </row>
    <row r="138" spans="1:37" ht="24.9" customHeight="1" x14ac:dyDescent="0.25">
      <c r="A138" s="1" t="s">
        <v>154</v>
      </c>
      <c r="B138" s="1" t="s">
        <v>0</v>
      </c>
      <c r="C138" s="1" t="s">
        <v>155</v>
      </c>
      <c r="D138" s="1" t="s">
        <v>222</v>
      </c>
      <c r="E138" s="2">
        <v>5</v>
      </c>
      <c r="F138" s="95">
        <v>3</v>
      </c>
      <c r="G138" s="95">
        <v>3</v>
      </c>
      <c r="H138" s="95">
        <v>3</v>
      </c>
      <c r="I138" s="95">
        <v>3</v>
      </c>
      <c r="J138" s="61">
        <v>12</v>
      </c>
      <c r="K138" s="61">
        <v>12</v>
      </c>
      <c r="L138" s="61">
        <v>12</v>
      </c>
      <c r="M138" s="61">
        <v>12</v>
      </c>
      <c r="N138" s="2">
        <v>2</v>
      </c>
      <c r="O138" s="2">
        <v>2</v>
      </c>
      <c r="P138" s="2">
        <v>2</v>
      </c>
      <c r="Q138" s="2">
        <v>2</v>
      </c>
      <c r="R138" s="95">
        <v>5</v>
      </c>
      <c r="S138" s="95">
        <v>5</v>
      </c>
      <c r="T138" s="95">
        <v>5</v>
      </c>
      <c r="U138" s="95">
        <v>5</v>
      </c>
      <c r="V138" s="61">
        <v>3</v>
      </c>
      <c r="W138" s="61">
        <v>3</v>
      </c>
      <c r="X138" s="61">
        <v>3</v>
      </c>
      <c r="Y138" s="61">
        <v>3</v>
      </c>
      <c r="Z138" s="349">
        <v>7</v>
      </c>
      <c r="AA138" s="349">
        <v>6</v>
      </c>
      <c r="AB138" s="349">
        <v>6</v>
      </c>
      <c r="AC138" s="349">
        <v>6</v>
      </c>
      <c r="AD138" s="469">
        <v>5</v>
      </c>
      <c r="AE138" s="469">
        <v>4</v>
      </c>
      <c r="AF138" s="469">
        <v>4</v>
      </c>
      <c r="AG138" s="469">
        <v>4</v>
      </c>
      <c r="AH138" s="630">
        <v>5</v>
      </c>
      <c r="AI138" s="630">
        <v>4</v>
      </c>
      <c r="AJ138" s="630">
        <v>4</v>
      </c>
      <c r="AK138" s="630">
        <v>4</v>
      </c>
    </row>
    <row r="139" spans="1:37" ht="24.9" customHeight="1" x14ac:dyDescent="0.25">
      <c r="A139" s="15" t="s">
        <v>240</v>
      </c>
      <c r="B139" s="1" t="s">
        <v>0</v>
      </c>
      <c r="C139" s="1" t="s">
        <v>235</v>
      </c>
      <c r="D139" s="1" t="s">
        <v>222</v>
      </c>
      <c r="E139" s="2">
        <v>2</v>
      </c>
      <c r="F139" s="2"/>
      <c r="G139" s="2"/>
      <c r="J139" s="61"/>
      <c r="K139" s="61"/>
      <c r="L139" s="61"/>
      <c r="M139" s="61"/>
      <c r="N139" s="2"/>
      <c r="O139" s="2"/>
      <c r="P139" s="2"/>
      <c r="Q139" s="2"/>
      <c r="R139" s="95">
        <v>7</v>
      </c>
      <c r="S139" s="95">
        <v>6</v>
      </c>
      <c r="T139" s="95">
        <v>6</v>
      </c>
      <c r="U139" s="95">
        <v>6</v>
      </c>
      <c r="V139" s="61">
        <v>4</v>
      </c>
      <c r="W139" s="61">
        <v>3</v>
      </c>
      <c r="X139" s="61">
        <v>3</v>
      </c>
      <c r="Y139" s="61">
        <v>3</v>
      </c>
      <c r="Z139" s="349">
        <v>14</v>
      </c>
      <c r="AA139" s="349">
        <v>14</v>
      </c>
      <c r="AB139" s="349">
        <v>14</v>
      </c>
      <c r="AC139" s="349">
        <v>14</v>
      </c>
      <c r="AD139" s="469">
        <v>23</v>
      </c>
      <c r="AE139" s="469">
        <v>23</v>
      </c>
      <c r="AF139" s="469">
        <v>21</v>
      </c>
      <c r="AG139" s="469">
        <v>21</v>
      </c>
      <c r="AH139" s="630">
        <v>19</v>
      </c>
      <c r="AI139" s="630">
        <v>19</v>
      </c>
      <c r="AJ139" s="630">
        <v>19</v>
      </c>
      <c r="AK139" s="630">
        <v>19</v>
      </c>
    </row>
    <row r="140" spans="1:37" ht="24.9" customHeight="1" x14ac:dyDescent="0.25">
      <c r="A140" s="1" t="s">
        <v>143</v>
      </c>
      <c r="B140" s="1" t="s">
        <v>0</v>
      </c>
      <c r="C140" s="1" t="s">
        <v>144</v>
      </c>
      <c r="D140" s="1" t="s">
        <v>222</v>
      </c>
      <c r="E140" s="2">
        <v>2</v>
      </c>
      <c r="F140" s="95">
        <v>38</v>
      </c>
      <c r="G140" s="95">
        <v>43</v>
      </c>
      <c r="H140" s="95">
        <v>42</v>
      </c>
      <c r="I140" s="95">
        <v>42</v>
      </c>
      <c r="J140" s="61">
        <v>42</v>
      </c>
      <c r="K140" s="61">
        <v>39</v>
      </c>
      <c r="L140" s="61">
        <v>39</v>
      </c>
      <c r="M140" s="61">
        <v>39</v>
      </c>
      <c r="N140" s="2">
        <v>51</v>
      </c>
      <c r="O140" s="2">
        <v>53</v>
      </c>
      <c r="P140" s="2">
        <v>53</v>
      </c>
      <c r="Q140" s="2">
        <v>51</v>
      </c>
      <c r="R140" s="95">
        <v>48</v>
      </c>
      <c r="S140" s="95">
        <v>48</v>
      </c>
      <c r="T140" s="95">
        <v>48</v>
      </c>
      <c r="U140" s="95">
        <v>44</v>
      </c>
      <c r="V140" s="61">
        <v>58</v>
      </c>
      <c r="W140" s="61">
        <v>56</v>
      </c>
      <c r="X140" s="61">
        <v>56</v>
      </c>
      <c r="Y140" s="61">
        <v>56</v>
      </c>
      <c r="Z140" s="349">
        <v>63</v>
      </c>
      <c r="AA140" s="349">
        <v>62</v>
      </c>
      <c r="AB140" s="349">
        <v>62</v>
      </c>
      <c r="AC140" s="349">
        <v>62</v>
      </c>
      <c r="AD140" s="469">
        <v>8</v>
      </c>
      <c r="AE140" s="469">
        <v>94</v>
      </c>
      <c r="AF140" s="469">
        <v>94</v>
      </c>
      <c r="AG140" s="469">
        <v>94</v>
      </c>
      <c r="AH140" s="630">
        <v>105</v>
      </c>
      <c r="AI140" s="630">
        <v>103</v>
      </c>
      <c r="AJ140" s="630">
        <v>102</v>
      </c>
      <c r="AK140" s="630">
        <v>102</v>
      </c>
    </row>
    <row r="141" spans="1:37" ht="24.9" customHeight="1" x14ac:dyDescent="0.25">
      <c r="A141" s="1" t="s">
        <v>209</v>
      </c>
      <c r="B141" s="1" t="s">
        <v>0</v>
      </c>
      <c r="C141" s="1" t="s">
        <v>210</v>
      </c>
      <c r="D141" s="1" t="s">
        <v>222</v>
      </c>
      <c r="E141" s="2">
        <v>1</v>
      </c>
      <c r="F141" s="95">
        <v>16</v>
      </c>
      <c r="G141" s="95">
        <v>15</v>
      </c>
      <c r="H141" s="95">
        <v>14</v>
      </c>
      <c r="I141" s="95">
        <v>14</v>
      </c>
      <c r="J141" s="61">
        <v>17</v>
      </c>
      <c r="K141" s="61">
        <v>21</v>
      </c>
      <c r="L141" s="61">
        <v>21</v>
      </c>
      <c r="M141" s="61">
        <v>21</v>
      </c>
      <c r="N141" s="2">
        <v>10</v>
      </c>
      <c r="O141" s="2">
        <v>9</v>
      </c>
      <c r="P141" s="2">
        <v>8</v>
      </c>
      <c r="Q141" s="2">
        <v>8</v>
      </c>
      <c r="R141" s="95">
        <v>18</v>
      </c>
      <c r="S141" s="95">
        <v>18</v>
      </c>
      <c r="T141" s="95">
        <v>18</v>
      </c>
      <c r="U141" s="95">
        <v>18</v>
      </c>
      <c r="V141" s="61">
        <v>27</v>
      </c>
      <c r="W141" s="61">
        <v>25</v>
      </c>
      <c r="X141" s="61">
        <v>25</v>
      </c>
      <c r="Y141" s="61">
        <v>25</v>
      </c>
      <c r="Z141" s="349">
        <v>23</v>
      </c>
      <c r="AA141" s="349">
        <v>24</v>
      </c>
      <c r="AB141" s="349">
        <v>24</v>
      </c>
      <c r="AC141" s="349">
        <v>24</v>
      </c>
      <c r="AD141" s="469">
        <v>29</v>
      </c>
      <c r="AE141" s="469">
        <v>29</v>
      </c>
      <c r="AF141" s="469">
        <v>29</v>
      </c>
      <c r="AG141" s="469">
        <v>29</v>
      </c>
      <c r="AH141" s="630">
        <v>49</v>
      </c>
      <c r="AI141" s="630">
        <v>49</v>
      </c>
      <c r="AJ141" s="630">
        <v>48</v>
      </c>
      <c r="AK141" s="630">
        <v>48</v>
      </c>
    </row>
    <row r="142" spans="1:37" ht="24.9" customHeight="1" x14ac:dyDescent="0.25">
      <c r="A142" s="1" t="s">
        <v>66</v>
      </c>
      <c r="B142" s="1" t="s">
        <v>0</v>
      </c>
      <c r="C142" s="1" t="s">
        <v>67</v>
      </c>
      <c r="D142" s="1" t="s">
        <v>222</v>
      </c>
      <c r="E142" s="2">
        <v>1</v>
      </c>
      <c r="F142" s="95">
        <v>136</v>
      </c>
      <c r="G142" s="95">
        <v>136</v>
      </c>
      <c r="H142" s="95">
        <v>132</v>
      </c>
      <c r="I142" s="95">
        <v>132</v>
      </c>
      <c r="J142" s="61">
        <v>144</v>
      </c>
      <c r="K142" s="61">
        <v>141</v>
      </c>
      <c r="L142" s="61">
        <v>141</v>
      </c>
      <c r="M142" s="61">
        <v>141</v>
      </c>
      <c r="N142" s="2">
        <v>118</v>
      </c>
      <c r="O142" s="2">
        <v>116</v>
      </c>
      <c r="P142" s="2">
        <v>116</v>
      </c>
      <c r="Q142" s="2">
        <v>115</v>
      </c>
      <c r="R142" s="95">
        <v>131</v>
      </c>
      <c r="S142" s="95">
        <v>130</v>
      </c>
      <c r="T142" s="95">
        <v>129</v>
      </c>
      <c r="U142" s="95">
        <v>127</v>
      </c>
      <c r="V142" s="61">
        <v>106</v>
      </c>
      <c r="W142" s="61">
        <v>105</v>
      </c>
      <c r="X142" s="61">
        <v>105</v>
      </c>
      <c r="Y142" s="61">
        <v>105</v>
      </c>
      <c r="Z142" s="349">
        <v>131</v>
      </c>
      <c r="AA142" s="349">
        <v>133</v>
      </c>
      <c r="AB142" s="349">
        <v>132</v>
      </c>
      <c r="AC142" s="349">
        <v>132</v>
      </c>
      <c r="AD142" s="469">
        <v>139</v>
      </c>
      <c r="AE142" s="469">
        <v>136</v>
      </c>
      <c r="AF142" s="469">
        <v>136</v>
      </c>
      <c r="AG142" s="469">
        <v>136</v>
      </c>
      <c r="AH142" s="630">
        <v>121</v>
      </c>
      <c r="AI142" s="630">
        <v>120</v>
      </c>
      <c r="AJ142" s="630">
        <v>118</v>
      </c>
      <c r="AK142" s="630">
        <v>118</v>
      </c>
    </row>
    <row r="143" spans="1:37" s="461" customFormat="1" ht="24.9" customHeight="1" x14ac:dyDescent="0.25">
      <c r="A143" s="470" t="s">
        <v>929</v>
      </c>
      <c r="B143" s="470" t="s">
        <v>0</v>
      </c>
      <c r="C143" s="477" t="s">
        <v>928</v>
      </c>
      <c r="D143" s="1" t="s">
        <v>222</v>
      </c>
      <c r="E143" s="471">
        <v>6</v>
      </c>
      <c r="F143" s="469"/>
      <c r="G143" s="469"/>
      <c r="H143" s="469"/>
      <c r="I143" s="469"/>
      <c r="J143" s="472"/>
      <c r="K143" s="472"/>
      <c r="L143" s="472"/>
      <c r="M143" s="472"/>
      <c r="N143" s="471"/>
      <c r="O143" s="471"/>
      <c r="P143" s="471"/>
      <c r="Q143" s="471"/>
      <c r="R143" s="469"/>
      <c r="S143" s="469"/>
      <c r="T143" s="469"/>
      <c r="U143" s="469"/>
      <c r="V143" s="472"/>
      <c r="W143" s="472"/>
      <c r="X143" s="472"/>
      <c r="Y143" s="472"/>
      <c r="Z143" s="475"/>
      <c r="AA143" s="475"/>
      <c r="AB143" s="475"/>
      <c r="AC143" s="475"/>
      <c r="AD143" s="469">
        <v>0</v>
      </c>
      <c r="AE143" s="469">
        <v>9</v>
      </c>
      <c r="AF143" s="469">
        <v>7</v>
      </c>
      <c r="AG143" s="469">
        <v>7</v>
      </c>
      <c r="AH143" s="630">
        <v>0</v>
      </c>
      <c r="AI143" s="630">
        <v>6</v>
      </c>
      <c r="AJ143" s="630">
        <v>6</v>
      </c>
      <c r="AK143" s="630">
        <v>6</v>
      </c>
    </row>
    <row r="144" spans="1:37" ht="24.9" customHeight="1" x14ac:dyDescent="0.25">
      <c r="A144" s="1" t="s">
        <v>30</v>
      </c>
      <c r="B144" s="1" t="s">
        <v>0</v>
      </c>
      <c r="C144" s="1" t="s">
        <v>31</v>
      </c>
      <c r="D144" s="1" t="s">
        <v>222</v>
      </c>
      <c r="E144" s="2">
        <v>6</v>
      </c>
      <c r="F144" s="95">
        <v>7</v>
      </c>
      <c r="G144" s="95">
        <v>11</v>
      </c>
      <c r="H144" s="95">
        <v>11</v>
      </c>
      <c r="I144" s="95">
        <v>11</v>
      </c>
      <c r="J144" s="61">
        <v>5</v>
      </c>
      <c r="K144" s="61">
        <v>12</v>
      </c>
      <c r="L144" s="61">
        <v>12</v>
      </c>
      <c r="M144" s="61">
        <v>12</v>
      </c>
      <c r="N144" s="2">
        <v>10</v>
      </c>
      <c r="O144" s="2">
        <v>9</v>
      </c>
      <c r="P144" s="2">
        <v>9</v>
      </c>
      <c r="Q144" s="2">
        <v>8</v>
      </c>
      <c r="R144" s="95">
        <v>4</v>
      </c>
      <c r="S144" s="95">
        <v>4</v>
      </c>
      <c r="T144" s="95">
        <v>4</v>
      </c>
      <c r="U144" s="95">
        <v>4</v>
      </c>
      <c r="V144" s="61">
        <v>4</v>
      </c>
      <c r="W144" s="61">
        <v>4</v>
      </c>
      <c r="X144" s="61">
        <v>4</v>
      </c>
      <c r="Y144" s="61">
        <v>4</v>
      </c>
      <c r="Z144" s="349">
        <v>6</v>
      </c>
      <c r="AA144" s="349">
        <v>6</v>
      </c>
      <c r="AB144" s="349">
        <v>6</v>
      </c>
      <c r="AC144" s="349">
        <v>6</v>
      </c>
      <c r="AD144" s="469">
        <v>12</v>
      </c>
      <c r="AE144" s="469">
        <v>11</v>
      </c>
      <c r="AF144" s="469">
        <v>11</v>
      </c>
      <c r="AG144" s="469">
        <v>11</v>
      </c>
      <c r="AH144" s="630">
        <v>5</v>
      </c>
      <c r="AI144" s="630">
        <v>7</v>
      </c>
      <c r="AJ144" s="630">
        <v>7</v>
      </c>
      <c r="AK144" s="630">
        <v>7</v>
      </c>
    </row>
    <row r="145" spans="1:37" ht="24.9" customHeight="1" x14ac:dyDescent="0.25">
      <c r="A145" s="1" t="s">
        <v>53</v>
      </c>
      <c r="B145" s="1" t="s">
        <v>0</v>
      </c>
      <c r="C145" s="1" t="s">
        <v>54</v>
      </c>
      <c r="D145" s="1" t="s">
        <v>222</v>
      </c>
      <c r="E145" s="2">
        <v>6</v>
      </c>
      <c r="F145" s="95">
        <v>36</v>
      </c>
      <c r="G145" s="95">
        <v>36</v>
      </c>
      <c r="H145" s="95">
        <v>36</v>
      </c>
      <c r="I145" s="95">
        <v>36</v>
      </c>
      <c r="J145" s="61">
        <v>37</v>
      </c>
      <c r="K145" s="61">
        <v>37</v>
      </c>
      <c r="L145" s="61">
        <v>37</v>
      </c>
      <c r="M145" s="61">
        <v>35</v>
      </c>
      <c r="N145" s="2">
        <v>25</v>
      </c>
      <c r="O145" s="2">
        <v>25</v>
      </c>
      <c r="P145" s="2">
        <v>25</v>
      </c>
      <c r="Q145" s="2">
        <v>25</v>
      </c>
      <c r="R145" s="95">
        <v>30</v>
      </c>
      <c r="S145" s="95">
        <v>30</v>
      </c>
      <c r="T145" s="95">
        <v>30</v>
      </c>
      <c r="U145" s="95">
        <v>30</v>
      </c>
      <c r="V145" s="61">
        <v>25</v>
      </c>
      <c r="W145" s="61">
        <v>25</v>
      </c>
      <c r="X145" s="61">
        <v>25</v>
      </c>
      <c r="Y145" s="61">
        <v>25</v>
      </c>
      <c r="Z145" s="349">
        <v>31</v>
      </c>
      <c r="AA145" s="349">
        <v>31</v>
      </c>
      <c r="AB145" s="349">
        <v>31</v>
      </c>
      <c r="AC145" s="349">
        <v>31</v>
      </c>
      <c r="AD145" s="469">
        <v>26</v>
      </c>
      <c r="AE145" s="469">
        <v>27</v>
      </c>
      <c r="AF145" s="469">
        <v>27</v>
      </c>
      <c r="AG145" s="469">
        <v>27</v>
      </c>
      <c r="AH145" s="630">
        <v>23</v>
      </c>
      <c r="AI145" s="630">
        <v>23</v>
      </c>
      <c r="AJ145" s="630">
        <v>23</v>
      </c>
      <c r="AK145" s="630">
        <v>23</v>
      </c>
    </row>
    <row r="146" spans="1:37" s="468" customFormat="1" ht="24.9" customHeight="1" x14ac:dyDescent="0.25">
      <c r="A146" s="470"/>
      <c r="B146" s="470"/>
      <c r="C146" s="188" t="s">
        <v>878</v>
      </c>
      <c r="D146" s="1" t="s">
        <v>222</v>
      </c>
      <c r="E146" s="2">
        <v>4</v>
      </c>
      <c r="F146" s="469"/>
      <c r="G146" s="469"/>
      <c r="H146" s="469"/>
      <c r="I146" s="469"/>
      <c r="J146" s="472"/>
      <c r="K146" s="472"/>
      <c r="L146" s="472"/>
      <c r="M146" s="472"/>
      <c r="N146" s="471"/>
      <c r="O146" s="471"/>
      <c r="P146" s="471"/>
      <c r="Q146" s="471"/>
      <c r="R146" s="469"/>
      <c r="S146" s="469"/>
      <c r="T146" s="469"/>
      <c r="U146" s="469"/>
      <c r="V146" s="472"/>
      <c r="W146" s="472"/>
      <c r="X146" s="472"/>
      <c r="Y146" s="472"/>
      <c r="Z146" s="475"/>
      <c r="AA146" s="475"/>
      <c r="AB146" s="475"/>
      <c r="AC146" s="475"/>
      <c r="AD146" s="469"/>
      <c r="AE146" s="469"/>
      <c r="AF146" s="469"/>
      <c r="AG146" s="469"/>
      <c r="AH146" s="630">
        <v>9</v>
      </c>
      <c r="AI146" s="630">
        <v>9</v>
      </c>
      <c r="AJ146" s="630">
        <v>8</v>
      </c>
      <c r="AK146" s="630">
        <v>8</v>
      </c>
    </row>
    <row r="147" spans="1:37" ht="24.9" customHeight="1" x14ac:dyDescent="0.25">
      <c r="A147" s="1" t="s">
        <v>141</v>
      </c>
      <c r="B147" s="1" t="s">
        <v>0</v>
      </c>
      <c r="C147" s="1" t="s">
        <v>142</v>
      </c>
      <c r="D147" s="1" t="s">
        <v>222</v>
      </c>
      <c r="E147" s="2">
        <v>2</v>
      </c>
      <c r="F147" s="95">
        <v>17</v>
      </c>
      <c r="G147" s="95">
        <v>16</v>
      </c>
      <c r="H147" s="95">
        <v>16</v>
      </c>
      <c r="I147" s="95">
        <v>16</v>
      </c>
      <c r="J147" s="61">
        <v>7</v>
      </c>
      <c r="K147" s="61">
        <v>9</v>
      </c>
      <c r="L147" s="61">
        <v>9</v>
      </c>
      <c r="M147" s="61">
        <v>9</v>
      </c>
      <c r="N147" s="2">
        <v>17</v>
      </c>
      <c r="O147" s="2">
        <v>15</v>
      </c>
      <c r="P147" s="2">
        <v>15</v>
      </c>
      <c r="Q147" s="2">
        <v>15</v>
      </c>
      <c r="R147" s="95">
        <v>13</v>
      </c>
      <c r="S147" s="95">
        <v>13</v>
      </c>
      <c r="T147" s="95">
        <v>13</v>
      </c>
      <c r="U147" s="95">
        <v>11</v>
      </c>
      <c r="V147" s="61">
        <v>14</v>
      </c>
      <c r="W147" s="61">
        <v>14</v>
      </c>
      <c r="X147" s="61">
        <v>14</v>
      </c>
      <c r="Y147" s="61">
        <v>14</v>
      </c>
      <c r="Z147" s="349">
        <v>13</v>
      </c>
      <c r="AA147" s="349">
        <v>13</v>
      </c>
      <c r="AB147" s="349">
        <v>13</v>
      </c>
      <c r="AC147" s="349">
        <v>13</v>
      </c>
      <c r="AD147" s="469">
        <v>14</v>
      </c>
      <c r="AE147" s="469">
        <v>14</v>
      </c>
      <c r="AF147" s="469">
        <v>14</v>
      </c>
      <c r="AG147" s="469">
        <v>14</v>
      </c>
      <c r="AH147" s="630">
        <v>20</v>
      </c>
      <c r="AI147" s="630">
        <v>20</v>
      </c>
      <c r="AJ147" s="630">
        <v>20</v>
      </c>
      <c r="AK147" s="630">
        <v>20</v>
      </c>
    </row>
    <row r="148" spans="1:37" ht="24.9" customHeight="1" x14ac:dyDescent="0.25">
      <c r="A148" s="1" t="s">
        <v>148</v>
      </c>
      <c r="B148" s="1" t="s">
        <v>0</v>
      </c>
      <c r="C148" s="1" t="s">
        <v>149</v>
      </c>
      <c r="D148" s="1" t="s">
        <v>222</v>
      </c>
      <c r="E148" s="2">
        <v>5</v>
      </c>
      <c r="F148" s="95">
        <v>32</v>
      </c>
      <c r="G148" s="95">
        <v>43</v>
      </c>
      <c r="H148" s="95">
        <v>42</v>
      </c>
      <c r="I148" s="95">
        <v>42</v>
      </c>
      <c r="J148" s="61">
        <v>38</v>
      </c>
      <c r="K148" s="61">
        <v>42</v>
      </c>
      <c r="L148" s="61">
        <v>41</v>
      </c>
      <c r="M148" s="61">
        <v>41</v>
      </c>
      <c r="N148" s="2">
        <v>27</v>
      </c>
      <c r="O148" s="2">
        <v>32</v>
      </c>
      <c r="P148" s="2">
        <v>32</v>
      </c>
      <c r="Q148" s="2">
        <v>32</v>
      </c>
      <c r="R148" s="95">
        <v>25</v>
      </c>
      <c r="S148" s="95">
        <v>24</v>
      </c>
      <c r="T148" s="95">
        <v>24</v>
      </c>
      <c r="U148" s="95">
        <v>24</v>
      </c>
      <c r="V148" s="61">
        <v>23</v>
      </c>
      <c r="W148" s="61">
        <v>23</v>
      </c>
      <c r="X148" s="61">
        <v>23</v>
      </c>
      <c r="Y148" s="61">
        <v>23</v>
      </c>
      <c r="Z148" s="349">
        <v>35</v>
      </c>
      <c r="AA148" s="349">
        <v>29</v>
      </c>
      <c r="AB148" s="349">
        <v>29</v>
      </c>
      <c r="AC148" s="349">
        <v>29</v>
      </c>
      <c r="AD148" s="469">
        <v>27</v>
      </c>
      <c r="AE148" s="469">
        <v>26</v>
      </c>
      <c r="AF148" s="469">
        <v>26</v>
      </c>
      <c r="AG148" s="469">
        <v>26</v>
      </c>
      <c r="AH148" s="630">
        <v>39</v>
      </c>
      <c r="AI148" s="630">
        <v>36</v>
      </c>
      <c r="AJ148" s="630">
        <v>35</v>
      </c>
      <c r="AK148" s="630">
        <v>35</v>
      </c>
    </row>
    <row r="149" spans="1:37" ht="24.9" customHeight="1" x14ac:dyDescent="0.25">
      <c r="A149" s="1" t="s">
        <v>139</v>
      </c>
      <c r="B149" s="1" t="s">
        <v>0</v>
      </c>
      <c r="C149" s="1" t="s">
        <v>140</v>
      </c>
      <c r="D149" s="1" t="s">
        <v>222</v>
      </c>
      <c r="E149" s="2">
        <v>2</v>
      </c>
      <c r="F149" s="95">
        <v>7</v>
      </c>
      <c r="G149" s="95">
        <v>9</v>
      </c>
      <c r="H149" s="95">
        <v>8</v>
      </c>
      <c r="I149" s="95">
        <v>8</v>
      </c>
      <c r="J149" s="61">
        <v>21</v>
      </c>
      <c r="K149" s="61">
        <v>21</v>
      </c>
      <c r="L149" s="61">
        <v>20</v>
      </c>
      <c r="M149" s="61">
        <v>20</v>
      </c>
      <c r="N149" s="2">
        <v>23</v>
      </c>
      <c r="O149" s="2">
        <v>23</v>
      </c>
      <c r="P149" s="2">
        <v>23</v>
      </c>
      <c r="Q149" s="2">
        <v>23</v>
      </c>
      <c r="R149" s="95">
        <v>35</v>
      </c>
      <c r="S149" s="95">
        <v>35</v>
      </c>
      <c r="T149" s="95">
        <v>35</v>
      </c>
      <c r="U149" s="95">
        <v>33</v>
      </c>
      <c r="V149" s="61">
        <v>32</v>
      </c>
      <c r="W149" s="61">
        <v>32</v>
      </c>
      <c r="X149" s="61">
        <v>32</v>
      </c>
      <c r="Y149" s="61">
        <v>32</v>
      </c>
      <c r="Z149" s="349">
        <v>34</v>
      </c>
      <c r="AA149" s="349">
        <v>34</v>
      </c>
      <c r="AB149" s="349">
        <v>34</v>
      </c>
      <c r="AC149" s="349">
        <v>34</v>
      </c>
      <c r="AD149" s="469">
        <v>42</v>
      </c>
      <c r="AE149" s="469">
        <v>42</v>
      </c>
      <c r="AF149" s="469">
        <v>42</v>
      </c>
      <c r="AG149" s="469">
        <v>42</v>
      </c>
      <c r="AH149" s="630">
        <v>41</v>
      </c>
      <c r="AI149" s="630">
        <v>41</v>
      </c>
      <c r="AJ149" s="630">
        <v>41</v>
      </c>
      <c r="AK149" s="630">
        <v>41</v>
      </c>
    </row>
    <row r="150" spans="1:37" ht="24.9" customHeight="1" x14ac:dyDescent="0.25">
      <c r="A150" s="1" t="s">
        <v>121</v>
      </c>
      <c r="B150" s="1" t="s">
        <v>0</v>
      </c>
      <c r="C150" s="1" t="s">
        <v>122</v>
      </c>
      <c r="D150" s="1" t="s">
        <v>222</v>
      </c>
      <c r="E150" s="2">
        <v>6</v>
      </c>
      <c r="F150" s="95">
        <v>82</v>
      </c>
      <c r="G150" s="95">
        <v>110</v>
      </c>
      <c r="H150" s="95">
        <v>110</v>
      </c>
      <c r="I150" s="95">
        <v>110</v>
      </c>
      <c r="J150" s="61">
        <v>134</v>
      </c>
      <c r="K150" s="61">
        <v>133</v>
      </c>
      <c r="L150" s="61">
        <v>133</v>
      </c>
      <c r="M150" s="61">
        <v>131</v>
      </c>
      <c r="N150" s="2">
        <v>130</v>
      </c>
      <c r="O150" s="2">
        <v>130</v>
      </c>
      <c r="P150" s="2">
        <v>130</v>
      </c>
      <c r="Q150" s="2">
        <v>130</v>
      </c>
      <c r="R150" s="95">
        <v>159</v>
      </c>
      <c r="S150" s="95">
        <v>159</v>
      </c>
      <c r="T150" s="95">
        <v>159</v>
      </c>
      <c r="U150" s="95">
        <v>157</v>
      </c>
      <c r="V150" s="61">
        <v>144</v>
      </c>
      <c r="W150" s="61">
        <v>144</v>
      </c>
      <c r="X150" s="61">
        <v>144</v>
      </c>
      <c r="Y150" s="61">
        <v>144</v>
      </c>
      <c r="Z150" s="349">
        <v>33</v>
      </c>
      <c r="AA150" s="349">
        <v>153</v>
      </c>
      <c r="AB150" s="349">
        <v>151</v>
      </c>
      <c r="AC150" s="349">
        <v>151</v>
      </c>
      <c r="AD150" s="469">
        <v>200</v>
      </c>
      <c r="AE150" s="469">
        <v>200</v>
      </c>
      <c r="AF150" s="469">
        <v>199</v>
      </c>
      <c r="AG150" s="469">
        <v>199</v>
      </c>
      <c r="AH150" s="630">
        <v>153</v>
      </c>
      <c r="AI150" s="630">
        <v>153</v>
      </c>
      <c r="AJ150" s="630">
        <v>151</v>
      </c>
      <c r="AK150" s="630">
        <v>151</v>
      </c>
    </row>
    <row r="151" spans="1:37" ht="24.9" customHeight="1" x14ac:dyDescent="0.25">
      <c r="A151" s="1" t="s">
        <v>197</v>
      </c>
      <c r="B151" s="1" t="s">
        <v>0</v>
      </c>
      <c r="C151" s="1" t="s">
        <v>198</v>
      </c>
      <c r="D151" s="1" t="s">
        <v>222</v>
      </c>
      <c r="E151" s="2">
        <v>5</v>
      </c>
      <c r="F151" s="95">
        <v>20</v>
      </c>
      <c r="G151" s="95">
        <v>30</v>
      </c>
      <c r="H151" s="95">
        <v>30</v>
      </c>
      <c r="I151" s="95">
        <v>30</v>
      </c>
      <c r="J151" s="61">
        <v>15</v>
      </c>
      <c r="K151" s="61">
        <v>23</v>
      </c>
      <c r="L151" s="61">
        <v>23</v>
      </c>
      <c r="M151" s="61">
        <v>23</v>
      </c>
      <c r="N151" s="2">
        <v>50</v>
      </c>
      <c r="O151" s="2">
        <v>46</v>
      </c>
      <c r="P151" s="2">
        <v>46</v>
      </c>
      <c r="Q151" s="2">
        <v>46</v>
      </c>
      <c r="R151" s="95">
        <v>48</v>
      </c>
      <c r="S151" s="95">
        <v>46</v>
      </c>
      <c r="T151" s="95">
        <v>46</v>
      </c>
      <c r="U151" s="95">
        <v>46</v>
      </c>
      <c r="V151" s="61">
        <v>53</v>
      </c>
      <c r="W151" s="61">
        <v>52</v>
      </c>
      <c r="X151" s="61">
        <v>52</v>
      </c>
      <c r="Y151" s="61">
        <v>52</v>
      </c>
      <c r="Z151" s="349">
        <v>48</v>
      </c>
      <c r="AA151" s="349">
        <v>48</v>
      </c>
      <c r="AB151" s="349">
        <v>48</v>
      </c>
      <c r="AC151" s="349">
        <v>48</v>
      </c>
      <c r="AD151" s="469">
        <v>49</v>
      </c>
      <c r="AE151" s="469">
        <v>47</v>
      </c>
      <c r="AF151" s="469">
        <v>47</v>
      </c>
      <c r="AG151" s="469">
        <v>47</v>
      </c>
      <c r="AH151" s="630">
        <v>69</v>
      </c>
      <c r="AI151" s="630">
        <v>69</v>
      </c>
      <c r="AJ151" s="630">
        <v>69</v>
      </c>
      <c r="AK151" s="630">
        <v>69</v>
      </c>
    </row>
    <row r="152" spans="1:37" ht="24.9" customHeight="1" x14ac:dyDescent="0.25">
      <c r="A152" s="1" t="s">
        <v>164</v>
      </c>
      <c r="B152" s="1" t="s">
        <v>0</v>
      </c>
      <c r="C152" s="1" t="s">
        <v>165</v>
      </c>
      <c r="D152" s="1" t="s">
        <v>222</v>
      </c>
      <c r="E152" s="2">
        <v>1</v>
      </c>
      <c r="F152" s="95">
        <v>37</v>
      </c>
      <c r="G152" s="95">
        <v>38</v>
      </c>
      <c r="H152" s="95">
        <v>38</v>
      </c>
      <c r="I152" s="95">
        <v>38</v>
      </c>
      <c r="J152" s="61">
        <v>29</v>
      </c>
      <c r="K152" s="61">
        <v>31</v>
      </c>
      <c r="L152" s="61">
        <v>31</v>
      </c>
      <c r="M152" s="61">
        <v>31</v>
      </c>
      <c r="N152" s="2">
        <v>22</v>
      </c>
      <c r="O152" s="2">
        <v>21</v>
      </c>
      <c r="P152" s="2">
        <v>20</v>
      </c>
      <c r="Q152" s="2">
        <v>20</v>
      </c>
      <c r="R152" s="95">
        <v>25</v>
      </c>
      <c r="S152" s="95">
        <v>25</v>
      </c>
      <c r="T152" s="95">
        <v>25</v>
      </c>
      <c r="U152" s="95">
        <v>25</v>
      </c>
      <c r="V152" s="61">
        <v>45</v>
      </c>
      <c r="W152" s="61">
        <v>44</v>
      </c>
      <c r="X152" s="61">
        <v>44</v>
      </c>
      <c r="Y152" s="61">
        <v>44</v>
      </c>
      <c r="Z152" s="349">
        <v>57</v>
      </c>
      <c r="AA152" s="349">
        <v>57</v>
      </c>
      <c r="AB152" s="349">
        <v>56</v>
      </c>
      <c r="AC152" s="349">
        <v>56</v>
      </c>
      <c r="AD152" s="469">
        <v>53</v>
      </c>
      <c r="AE152" s="469">
        <v>53</v>
      </c>
      <c r="AF152" s="469">
        <v>53</v>
      </c>
      <c r="AG152" s="469">
        <v>53</v>
      </c>
      <c r="AH152" s="630">
        <v>51</v>
      </c>
      <c r="AI152" s="630">
        <v>50</v>
      </c>
      <c r="AJ152" s="630">
        <v>50</v>
      </c>
      <c r="AK152" s="630">
        <v>50</v>
      </c>
    </row>
    <row r="153" spans="1:37" ht="24.9" customHeight="1" x14ac:dyDescent="0.25">
      <c r="A153" s="15" t="s">
        <v>241</v>
      </c>
      <c r="B153" s="1" t="s">
        <v>0</v>
      </c>
      <c r="C153" s="1" t="s">
        <v>230</v>
      </c>
      <c r="D153" s="1" t="s">
        <v>222</v>
      </c>
      <c r="E153" s="2">
        <v>6</v>
      </c>
      <c r="J153" s="61">
        <v>0</v>
      </c>
      <c r="K153" s="61">
        <v>6</v>
      </c>
      <c r="L153" s="61">
        <v>6</v>
      </c>
      <c r="M153" s="61">
        <v>6</v>
      </c>
      <c r="N153" s="2">
        <v>0</v>
      </c>
      <c r="O153" s="2">
        <v>5</v>
      </c>
      <c r="P153" s="2">
        <v>5</v>
      </c>
      <c r="Q153" s="2">
        <v>4</v>
      </c>
      <c r="R153" s="95">
        <v>2</v>
      </c>
      <c r="S153" s="95">
        <v>2</v>
      </c>
      <c r="T153" s="95">
        <v>2</v>
      </c>
      <c r="U153" s="95">
        <v>2</v>
      </c>
      <c r="V153" s="61">
        <v>2</v>
      </c>
      <c r="W153" s="61">
        <v>2</v>
      </c>
      <c r="X153" s="61">
        <v>2</v>
      </c>
      <c r="Y153" s="61">
        <v>2</v>
      </c>
    </row>
    <row r="154" spans="1:37" ht="24.9" customHeight="1" x14ac:dyDescent="0.25">
      <c r="A154" s="1" t="s">
        <v>211</v>
      </c>
      <c r="B154" s="1" t="s">
        <v>0</v>
      </c>
      <c r="C154" s="1" t="s">
        <v>212</v>
      </c>
      <c r="D154" s="1" t="s">
        <v>222</v>
      </c>
      <c r="E154" s="2">
        <v>3</v>
      </c>
      <c r="F154" s="95">
        <v>16</v>
      </c>
      <c r="G154" s="95">
        <v>16</v>
      </c>
      <c r="H154" s="95">
        <v>16</v>
      </c>
      <c r="I154" s="95">
        <v>16</v>
      </c>
      <c r="J154" s="61">
        <v>3</v>
      </c>
      <c r="K154" s="61">
        <v>15</v>
      </c>
      <c r="L154" s="61">
        <v>15</v>
      </c>
      <c r="M154" s="61">
        <v>15</v>
      </c>
      <c r="N154" s="2">
        <v>18</v>
      </c>
      <c r="O154" s="2">
        <v>16</v>
      </c>
      <c r="P154" s="2">
        <v>16</v>
      </c>
      <c r="Q154" s="2">
        <v>16</v>
      </c>
      <c r="R154" s="95">
        <v>20</v>
      </c>
      <c r="S154" s="95">
        <v>20</v>
      </c>
      <c r="T154" s="95">
        <v>20</v>
      </c>
      <c r="U154" s="95">
        <v>20</v>
      </c>
      <c r="V154" s="61">
        <v>27</v>
      </c>
      <c r="W154" s="61">
        <v>27</v>
      </c>
      <c r="X154" s="61">
        <v>27</v>
      </c>
      <c r="Y154" s="61">
        <v>27</v>
      </c>
      <c r="Z154" s="349">
        <v>25</v>
      </c>
      <c r="AA154" s="349">
        <v>25</v>
      </c>
      <c r="AB154" s="349">
        <v>25</v>
      </c>
      <c r="AC154" s="349">
        <v>25</v>
      </c>
      <c r="AD154" s="469">
        <v>28</v>
      </c>
      <c r="AE154" s="469">
        <v>29</v>
      </c>
      <c r="AF154" s="469">
        <v>28</v>
      </c>
      <c r="AG154" s="469">
        <v>28</v>
      </c>
      <c r="AH154" s="630">
        <v>26</v>
      </c>
      <c r="AI154" s="630">
        <v>26</v>
      </c>
      <c r="AJ154" s="630">
        <v>26</v>
      </c>
      <c r="AK154" s="630">
        <v>26</v>
      </c>
    </row>
    <row r="155" spans="1:37" ht="24.9" customHeight="1" x14ac:dyDescent="0.25">
      <c r="A155" s="1" t="s">
        <v>56</v>
      </c>
      <c r="B155" s="1" t="s">
        <v>0</v>
      </c>
      <c r="C155" s="1" t="s">
        <v>57</v>
      </c>
      <c r="D155" s="1" t="s">
        <v>222</v>
      </c>
      <c r="E155" s="2">
        <v>3</v>
      </c>
      <c r="F155" s="95">
        <v>60</v>
      </c>
      <c r="G155" s="95">
        <v>61</v>
      </c>
      <c r="H155" s="95">
        <v>61</v>
      </c>
      <c r="I155" s="95">
        <v>61</v>
      </c>
      <c r="J155" s="61">
        <v>24</v>
      </c>
      <c r="K155" s="61">
        <v>24</v>
      </c>
      <c r="L155" s="61">
        <v>24</v>
      </c>
      <c r="M155" s="61">
        <v>24</v>
      </c>
      <c r="N155" s="2">
        <v>35</v>
      </c>
      <c r="O155" s="2">
        <v>34</v>
      </c>
      <c r="P155" s="2">
        <v>34</v>
      </c>
      <c r="Q155" s="2">
        <v>34</v>
      </c>
      <c r="R155" s="95">
        <v>38</v>
      </c>
      <c r="S155" s="95">
        <v>37</v>
      </c>
      <c r="T155" s="95">
        <v>36</v>
      </c>
      <c r="U155" s="95">
        <v>36</v>
      </c>
      <c r="V155" s="61">
        <v>26</v>
      </c>
      <c r="W155" s="61">
        <v>25</v>
      </c>
      <c r="X155" s="61">
        <v>24</v>
      </c>
      <c r="Y155" s="61">
        <v>24</v>
      </c>
      <c r="Z155" s="349">
        <v>28</v>
      </c>
      <c r="AA155" s="349">
        <v>28</v>
      </c>
      <c r="AB155" s="349">
        <v>28</v>
      </c>
      <c r="AC155" s="349">
        <v>28</v>
      </c>
      <c r="AD155" s="469">
        <v>29</v>
      </c>
      <c r="AE155" s="469">
        <v>29</v>
      </c>
      <c r="AF155" s="469">
        <v>28</v>
      </c>
      <c r="AG155" s="469">
        <v>28</v>
      </c>
      <c r="AH155" s="630">
        <v>34</v>
      </c>
      <c r="AI155" s="630">
        <v>34</v>
      </c>
      <c r="AJ155" s="630">
        <v>34</v>
      </c>
      <c r="AK155" s="630">
        <v>34</v>
      </c>
    </row>
    <row r="156" spans="1:37" ht="24.9" customHeight="1" x14ac:dyDescent="0.25">
      <c r="A156" s="1" t="s">
        <v>195</v>
      </c>
      <c r="B156" s="1" t="s">
        <v>0</v>
      </c>
      <c r="C156" s="1" t="s">
        <v>196</v>
      </c>
      <c r="D156" s="1" t="s">
        <v>222</v>
      </c>
      <c r="E156" s="2">
        <v>5</v>
      </c>
      <c r="F156" s="95">
        <v>12</v>
      </c>
      <c r="G156" s="95">
        <v>16</v>
      </c>
      <c r="H156" s="95">
        <v>15</v>
      </c>
      <c r="I156" s="95">
        <v>15</v>
      </c>
      <c r="J156" s="61">
        <v>17</v>
      </c>
      <c r="K156" s="61">
        <v>17</v>
      </c>
      <c r="L156" s="61">
        <v>17</v>
      </c>
      <c r="M156" s="61">
        <v>17</v>
      </c>
      <c r="N156" s="2">
        <v>19</v>
      </c>
      <c r="O156" s="2">
        <v>19</v>
      </c>
      <c r="P156" s="2">
        <v>19</v>
      </c>
      <c r="Q156" s="2">
        <v>19</v>
      </c>
      <c r="R156" s="95">
        <v>24</v>
      </c>
      <c r="S156" s="95">
        <v>24</v>
      </c>
      <c r="T156" s="95">
        <v>24</v>
      </c>
      <c r="U156" s="95">
        <v>24</v>
      </c>
      <c r="V156" s="61">
        <v>32</v>
      </c>
      <c r="W156" s="61">
        <v>32</v>
      </c>
      <c r="X156" s="61">
        <v>32</v>
      </c>
      <c r="Y156" s="61">
        <v>32</v>
      </c>
      <c r="Z156" s="349">
        <v>37</v>
      </c>
      <c r="AA156" s="349">
        <v>37</v>
      </c>
      <c r="AB156" s="349">
        <v>37</v>
      </c>
      <c r="AC156" s="349">
        <v>37</v>
      </c>
      <c r="AD156" s="469">
        <v>22</v>
      </c>
      <c r="AE156" s="469">
        <v>22</v>
      </c>
      <c r="AF156" s="469">
        <v>22</v>
      </c>
      <c r="AG156" s="469">
        <v>22</v>
      </c>
      <c r="AH156" s="630">
        <v>17</v>
      </c>
      <c r="AI156" s="630">
        <v>17</v>
      </c>
      <c r="AJ156" s="630">
        <v>17</v>
      </c>
      <c r="AK156" s="630">
        <v>17</v>
      </c>
    </row>
    <row r="157" spans="1:37" ht="24.9" customHeight="1" x14ac:dyDescent="0.25">
      <c r="A157" s="1" t="s">
        <v>18</v>
      </c>
      <c r="B157" s="1" t="s">
        <v>0</v>
      </c>
      <c r="C157" s="1" t="s">
        <v>19</v>
      </c>
      <c r="D157" s="1" t="s">
        <v>222</v>
      </c>
      <c r="E157" s="2">
        <v>5</v>
      </c>
      <c r="F157" s="95">
        <v>66</v>
      </c>
      <c r="G157" s="95">
        <v>66</v>
      </c>
      <c r="H157" s="95">
        <v>66</v>
      </c>
      <c r="I157" s="95">
        <v>66</v>
      </c>
      <c r="J157" s="61">
        <v>59</v>
      </c>
      <c r="K157" s="61">
        <v>59</v>
      </c>
      <c r="L157" s="61">
        <v>59</v>
      </c>
      <c r="M157" s="61">
        <v>59</v>
      </c>
      <c r="N157" s="2">
        <v>66</v>
      </c>
      <c r="O157" s="2">
        <v>66</v>
      </c>
      <c r="P157" s="2">
        <v>66</v>
      </c>
      <c r="Q157" s="2">
        <v>66</v>
      </c>
      <c r="R157" s="95">
        <v>57</v>
      </c>
      <c r="S157" s="95">
        <v>56</v>
      </c>
      <c r="T157" s="95">
        <v>56</v>
      </c>
      <c r="U157" s="95">
        <v>56</v>
      </c>
      <c r="V157" s="61">
        <v>89</v>
      </c>
      <c r="W157" s="61">
        <v>89</v>
      </c>
      <c r="X157" s="61">
        <v>89</v>
      </c>
      <c r="Y157" s="61">
        <v>89</v>
      </c>
      <c r="Z157" s="349">
        <v>54</v>
      </c>
      <c r="AA157" s="349">
        <v>54</v>
      </c>
      <c r="AB157" s="349">
        <v>54</v>
      </c>
      <c r="AC157" s="349">
        <v>54</v>
      </c>
      <c r="AD157" s="469">
        <v>74</v>
      </c>
      <c r="AE157" s="469">
        <v>73</v>
      </c>
      <c r="AF157" s="469">
        <v>73</v>
      </c>
      <c r="AG157" s="469">
        <v>73</v>
      </c>
      <c r="AH157" s="630">
        <v>91</v>
      </c>
      <c r="AI157" s="630">
        <v>90</v>
      </c>
      <c r="AJ157" s="630">
        <v>90</v>
      </c>
      <c r="AK157" s="630">
        <v>90</v>
      </c>
    </row>
    <row r="158" spans="1:37" ht="24.9" customHeight="1" x14ac:dyDescent="0.25">
      <c r="A158" s="1" t="s">
        <v>117</v>
      </c>
      <c r="B158" s="1" t="s">
        <v>0</v>
      </c>
      <c r="C158" s="1" t="s">
        <v>118</v>
      </c>
      <c r="D158" s="1" t="s">
        <v>222</v>
      </c>
      <c r="E158" s="2">
        <v>3</v>
      </c>
      <c r="F158" s="95">
        <v>0</v>
      </c>
      <c r="G158" s="95">
        <v>30</v>
      </c>
      <c r="H158" s="95">
        <v>30</v>
      </c>
      <c r="I158" s="95">
        <v>30</v>
      </c>
      <c r="J158" s="61">
        <v>28</v>
      </c>
      <c r="K158" s="61">
        <v>28</v>
      </c>
      <c r="L158" s="61">
        <v>28</v>
      </c>
      <c r="M158" s="61">
        <v>28</v>
      </c>
      <c r="N158" s="2">
        <v>28</v>
      </c>
      <c r="O158" s="2">
        <v>28</v>
      </c>
      <c r="P158" s="2">
        <v>28</v>
      </c>
      <c r="Q158" s="2">
        <v>28</v>
      </c>
      <c r="R158" s="95">
        <v>0</v>
      </c>
      <c r="S158" s="95">
        <v>29</v>
      </c>
      <c r="T158" s="95">
        <v>29</v>
      </c>
      <c r="U158" s="95">
        <v>29</v>
      </c>
      <c r="V158" s="61">
        <v>31</v>
      </c>
      <c r="W158" s="61">
        <v>31</v>
      </c>
      <c r="X158" s="61">
        <v>30</v>
      </c>
      <c r="Y158" s="61">
        <v>30</v>
      </c>
      <c r="Z158" s="349">
        <v>37</v>
      </c>
      <c r="AA158" s="349">
        <v>37</v>
      </c>
      <c r="AB158" s="349">
        <v>37</v>
      </c>
      <c r="AC158" s="349">
        <v>37</v>
      </c>
      <c r="AD158" s="469">
        <v>40</v>
      </c>
      <c r="AE158" s="469">
        <v>40</v>
      </c>
      <c r="AF158" s="469">
        <v>40</v>
      </c>
      <c r="AG158" s="469">
        <v>40</v>
      </c>
      <c r="AH158" s="630">
        <v>30</v>
      </c>
      <c r="AI158" s="630">
        <v>30</v>
      </c>
      <c r="AJ158" s="630">
        <v>30</v>
      </c>
      <c r="AK158" s="630">
        <v>30</v>
      </c>
    </row>
    <row r="159" spans="1:37" ht="24.9" customHeight="1" x14ac:dyDescent="0.25">
      <c r="A159" s="1" t="s">
        <v>205</v>
      </c>
      <c r="B159" s="1" t="s">
        <v>0</v>
      </c>
      <c r="C159" s="1" t="s">
        <v>206</v>
      </c>
      <c r="D159" s="1" t="s">
        <v>222</v>
      </c>
      <c r="E159" s="2">
        <v>5</v>
      </c>
      <c r="F159" s="95">
        <v>35</v>
      </c>
      <c r="G159" s="95">
        <v>35</v>
      </c>
      <c r="H159" s="95">
        <v>32</v>
      </c>
      <c r="I159" s="95">
        <v>32</v>
      </c>
      <c r="J159" s="61">
        <v>40</v>
      </c>
      <c r="K159" s="61">
        <v>40</v>
      </c>
      <c r="L159" s="61">
        <v>40</v>
      </c>
      <c r="M159" s="61">
        <v>40</v>
      </c>
      <c r="N159" s="2">
        <v>51</v>
      </c>
      <c r="O159" s="2">
        <v>51</v>
      </c>
      <c r="P159" s="2">
        <v>51</v>
      </c>
      <c r="Q159" s="2">
        <v>51</v>
      </c>
      <c r="R159" s="95">
        <v>56</v>
      </c>
      <c r="S159" s="95">
        <v>56</v>
      </c>
      <c r="T159" s="95">
        <v>56</v>
      </c>
      <c r="U159" s="95">
        <v>55</v>
      </c>
      <c r="V159" s="61">
        <v>39</v>
      </c>
      <c r="W159" s="61">
        <v>39</v>
      </c>
      <c r="X159" s="61">
        <v>39</v>
      </c>
      <c r="Y159" s="61">
        <v>39</v>
      </c>
      <c r="Z159" s="349">
        <v>61</v>
      </c>
      <c r="AA159" s="349">
        <v>61</v>
      </c>
      <c r="AB159" s="349">
        <v>61</v>
      </c>
      <c r="AC159" s="349">
        <v>61</v>
      </c>
      <c r="AD159" s="469">
        <v>53</v>
      </c>
      <c r="AE159" s="469">
        <v>52</v>
      </c>
      <c r="AF159" s="469">
        <v>51</v>
      </c>
      <c r="AG159" s="469">
        <v>51</v>
      </c>
      <c r="AH159" s="630">
        <v>45</v>
      </c>
      <c r="AI159" s="630">
        <v>45</v>
      </c>
      <c r="AJ159" s="630">
        <v>45</v>
      </c>
      <c r="AK159" s="630">
        <v>45</v>
      </c>
    </row>
    <row r="160" spans="1:37" ht="24.9" customHeight="1" x14ac:dyDescent="0.25">
      <c r="A160" s="1" t="s">
        <v>201</v>
      </c>
      <c r="B160" s="1" t="s">
        <v>0</v>
      </c>
      <c r="C160" s="1" t="s">
        <v>202</v>
      </c>
      <c r="D160" s="1" t="s">
        <v>222</v>
      </c>
      <c r="E160" s="2">
        <v>5</v>
      </c>
      <c r="F160" s="95">
        <v>119</v>
      </c>
      <c r="G160" s="95">
        <v>119</v>
      </c>
      <c r="H160" s="95">
        <v>118</v>
      </c>
      <c r="I160" s="95">
        <v>118</v>
      </c>
      <c r="J160" s="61">
        <v>110</v>
      </c>
      <c r="K160" s="61">
        <v>110</v>
      </c>
      <c r="L160" s="61">
        <v>109</v>
      </c>
      <c r="M160" s="61">
        <v>109</v>
      </c>
      <c r="N160" s="2">
        <v>117</v>
      </c>
      <c r="O160" s="2">
        <v>118</v>
      </c>
      <c r="P160" s="2">
        <v>118</v>
      </c>
      <c r="Q160" s="2">
        <v>118</v>
      </c>
      <c r="R160" s="95">
        <v>106</v>
      </c>
      <c r="S160" s="95">
        <v>106</v>
      </c>
      <c r="T160" s="95">
        <v>106</v>
      </c>
      <c r="U160" s="95">
        <v>105</v>
      </c>
      <c r="V160" s="61">
        <v>100</v>
      </c>
      <c r="W160" s="61">
        <v>99</v>
      </c>
      <c r="X160" s="61">
        <v>99</v>
      </c>
      <c r="Y160" s="61">
        <v>99</v>
      </c>
      <c r="Z160" s="349">
        <v>110</v>
      </c>
      <c r="AA160" s="349">
        <v>108</v>
      </c>
      <c r="AB160" s="349">
        <v>108</v>
      </c>
      <c r="AC160" s="349">
        <v>108</v>
      </c>
      <c r="AD160" s="469">
        <v>103</v>
      </c>
      <c r="AE160" s="469">
        <v>102</v>
      </c>
      <c r="AF160" s="469">
        <v>101</v>
      </c>
      <c r="AG160" s="469">
        <v>101</v>
      </c>
      <c r="AH160" s="630">
        <v>122</v>
      </c>
      <c r="AI160" s="630">
        <v>122</v>
      </c>
      <c r="AJ160" s="630">
        <v>119</v>
      </c>
      <c r="AK160" s="630">
        <v>119</v>
      </c>
    </row>
    <row r="161" spans="1:37" ht="24.9" customHeight="1" x14ac:dyDescent="0.25">
      <c r="A161" s="1" t="s">
        <v>213</v>
      </c>
      <c r="B161" s="1" t="s">
        <v>0</v>
      </c>
      <c r="C161" s="1" t="s">
        <v>214</v>
      </c>
      <c r="D161" s="1" t="s">
        <v>222</v>
      </c>
      <c r="E161" s="2">
        <v>5</v>
      </c>
      <c r="F161" s="95">
        <v>19</v>
      </c>
      <c r="G161" s="95">
        <v>19</v>
      </c>
      <c r="H161" s="95">
        <v>19</v>
      </c>
      <c r="I161" s="95">
        <v>19</v>
      </c>
      <c r="J161" s="61">
        <v>14</v>
      </c>
      <c r="K161" s="61">
        <v>14</v>
      </c>
      <c r="L161" s="61">
        <v>14</v>
      </c>
      <c r="M161" s="61">
        <v>14</v>
      </c>
      <c r="N161" s="2">
        <v>36</v>
      </c>
      <c r="O161" s="2">
        <v>35</v>
      </c>
      <c r="P161" s="2">
        <v>35</v>
      </c>
      <c r="Q161" s="2">
        <v>35</v>
      </c>
      <c r="R161" s="95">
        <v>20</v>
      </c>
      <c r="S161" s="95">
        <v>20</v>
      </c>
      <c r="T161" s="95">
        <v>20</v>
      </c>
      <c r="U161" s="95">
        <v>20</v>
      </c>
      <c r="V161" s="61">
        <v>43</v>
      </c>
      <c r="W161" s="61">
        <v>43</v>
      </c>
      <c r="X161" s="61">
        <v>43</v>
      </c>
      <c r="Y161" s="61">
        <v>43</v>
      </c>
      <c r="Z161" s="349">
        <v>43</v>
      </c>
      <c r="AA161" s="349">
        <v>43</v>
      </c>
      <c r="AB161" s="349">
        <v>43</v>
      </c>
      <c r="AC161" s="349">
        <v>43</v>
      </c>
      <c r="AD161" s="469">
        <v>39</v>
      </c>
      <c r="AE161" s="469">
        <v>38</v>
      </c>
      <c r="AF161" s="469">
        <v>38</v>
      </c>
      <c r="AG161" s="469">
        <v>38</v>
      </c>
      <c r="AH161" s="630">
        <v>77</v>
      </c>
      <c r="AI161" s="630">
        <v>77</v>
      </c>
      <c r="AJ161" s="630">
        <v>76</v>
      </c>
      <c r="AK161" s="630">
        <v>76</v>
      </c>
    </row>
    <row r="162" spans="1:37" ht="24.9" customHeight="1" x14ac:dyDescent="0.25">
      <c r="A162" s="1" t="s">
        <v>176</v>
      </c>
      <c r="B162" s="1" t="s">
        <v>0</v>
      </c>
      <c r="C162" s="1" t="s">
        <v>177</v>
      </c>
      <c r="D162" s="1" t="s">
        <v>222</v>
      </c>
      <c r="E162" s="2">
        <v>5</v>
      </c>
      <c r="F162" s="95">
        <v>30</v>
      </c>
      <c r="G162" s="95">
        <v>30</v>
      </c>
      <c r="H162" s="95">
        <v>30</v>
      </c>
      <c r="I162" s="95">
        <v>30</v>
      </c>
      <c r="J162" s="61">
        <v>29</v>
      </c>
      <c r="K162" s="61">
        <v>29</v>
      </c>
      <c r="L162" s="61">
        <v>29</v>
      </c>
      <c r="M162" s="61">
        <v>29</v>
      </c>
      <c r="N162" s="2">
        <v>18</v>
      </c>
      <c r="O162" s="2">
        <v>18</v>
      </c>
      <c r="P162" s="2">
        <v>18</v>
      </c>
      <c r="Q162" s="2">
        <v>18</v>
      </c>
      <c r="R162" s="95">
        <v>20</v>
      </c>
      <c r="S162" s="95">
        <v>20</v>
      </c>
      <c r="T162" s="95">
        <v>20</v>
      </c>
      <c r="U162" s="95">
        <v>20</v>
      </c>
      <c r="V162" s="61">
        <v>21</v>
      </c>
      <c r="W162" s="61">
        <v>21</v>
      </c>
      <c r="X162" s="61">
        <v>21</v>
      </c>
      <c r="Y162" s="61">
        <v>21</v>
      </c>
      <c r="Z162" s="349">
        <v>14</v>
      </c>
      <c r="AA162" s="349">
        <v>14</v>
      </c>
      <c r="AB162" s="349">
        <v>14</v>
      </c>
      <c r="AC162" s="349">
        <v>14</v>
      </c>
      <c r="AD162" s="469">
        <v>33</v>
      </c>
      <c r="AE162" s="469">
        <v>33</v>
      </c>
      <c r="AF162" s="469">
        <v>33</v>
      </c>
      <c r="AG162" s="469">
        <v>33</v>
      </c>
      <c r="AH162" s="630">
        <v>42</v>
      </c>
      <c r="AI162" s="630">
        <v>42</v>
      </c>
      <c r="AJ162" s="630">
        <v>42</v>
      </c>
      <c r="AK162" s="630">
        <v>42</v>
      </c>
    </row>
    <row r="163" spans="1:37" ht="24.9" customHeight="1" x14ac:dyDescent="0.25">
      <c r="A163" s="1" t="s">
        <v>78</v>
      </c>
      <c r="B163" s="1" t="s">
        <v>0</v>
      </c>
      <c r="C163" s="1" t="s">
        <v>289</v>
      </c>
      <c r="D163" s="1" t="s">
        <v>222</v>
      </c>
      <c r="E163" s="2">
        <v>4</v>
      </c>
      <c r="F163" s="95">
        <v>0</v>
      </c>
      <c r="G163" s="95">
        <v>2</v>
      </c>
      <c r="H163" s="95">
        <v>2</v>
      </c>
      <c r="I163" s="95">
        <v>2</v>
      </c>
      <c r="J163" s="61">
        <v>16</v>
      </c>
      <c r="K163" s="61">
        <v>10</v>
      </c>
      <c r="L163" s="61">
        <v>10</v>
      </c>
      <c r="M163" s="61">
        <v>10</v>
      </c>
      <c r="N163" s="2">
        <v>8</v>
      </c>
      <c r="O163" s="2">
        <v>8</v>
      </c>
      <c r="P163" s="2">
        <v>8</v>
      </c>
      <c r="Q163" s="2">
        <v>8</v>
      </c>
      <c r="R163" s="95">
        <v>4</v>
      </c>
      <c r="S163" s="95">
        <v>4</v>
      </c>
      <c r="T163" s="95">
        <v>4</v>
      </c>
      <c r="U163" s="95">
        <v>4</v>
      </c>
      <c r="V163" s="61">
        <v>7</v>
      </c>
      <c r="W163" s="61">
        <v>7</v>
      </c>
      <c r="X163" s="61">
        <v>6</v>
      </c>
      <c r="Y163" s="61">
        <v>6</v>
      </c>
      <c r="Z163" s="349">
        <v>13</v>
      </c>
      <c r="AA163" s="349">
        <v>12</v>
      </c>
      <c r="AB163" s="349">
        <v>11</v>
      </c>
      <c r="AC163" s="349">
        <v>11</v>
      </c>
      <c r="AD163" s="469">
        <v>11</v>
      </c>
      <c r="AE163" s="469">
        <v>11</v>
      </c>
      <c r="AF163" s="469">
        <v>11</v>
      </c>
      <c r="AG163" s="469">
        <v>11</v>
      </c>
      <c r="AH163" s="630">
        <v>10</v>
      </c>
      <c r="AI163" s="630">
        <v>10</v>
      </c>
      <c r="AJ163" s="630">
        <v>10</v>
      </c>
      <c r="AK163" s="630">
        <v>10</v>
      </c>
    </row>
    <row r="164" spans="1:37" ht="24.9" customHeight="1" x14ac:dyDescent="0.25">
      <c r="A164" s="1" t="s">
        <v>70</v>
      </c>
      <c r="B164" s="1" t="s">
        <v>0</v>
      </c>
      <c r="C164" s="1" t="s">
        <v>71</v>
      </c>
      <c r="D164" s="1" t="s">
        <v>222</v>
      </c>
      <c r="E164" s="2">
        <v>6</v>
      </c>
      <c r="F164" s="95">
        <v>70</v>
      </c>
      <c r="G164" s="95">
        <v>70</v>
      </c>
      <c r="H164" s="95">
        <v>70</v>
      </c>
      <c r="I164" s="95">
        <v>70</v>
      </c>
      <c r="J164" s="61">
        <v>79</v>
      </c>
      <c r="K164" s="61">
        <v>79</v>
      </c>
      <c r="L164" s="61">
        <v>79</v>
      </c>
      <c r="M164" s="61">
        <v>77</v>
      </c>
      <c r="N164" s="2">
        <v>70</v>
      </c>
      <c r="O164" s="2">
        <v>69</v>
      </c>
      <c r="P164" s="2">
        <v>69</v>
      </c>
      <c r="Q164" s="2">
        <v>67</v>
      </c>
      <c r="R164" s="95">
        <v>96</v>
      </c>
      <c r="S164" s="95">
        <v>96</v>
      </c>
      <c r="T164" s="95">
        <v>96</v>
      </c>
      <c r="U164" s="95">
        <v>92</v>
      </c>
      <c r="V164" s="61">
        <v>93</v>
      </c>
      <c r="W164" s="61">
        <v>93</v>
      </c>
      <c r="X164" s="61">
        <v>93</v>
      </c>
      <c r="Y164" s="61">
        <v>93</v>
      </c>
      <c r="Z164" s="349">
        <v>101</v>
      </c>
      <c r="AA164" s="349">
        <v>102</v>
      </c>
      <c r="AB164" s="349">
        <v>101</v>
      </c>
      <c r="AC164" s="349">
        <v>101</v>
      </c>
      <c r="AD164" s="469">
        <v>113</v>
      </c>
      <c r="AE164" s="469">
        <v>113</v>
      </c>
      <c r="AF164" s="469">
        <v>113</v>
      </c>
      <c r="AG164" s="469">
        <v>113</v>
      </c>
      <c r="AH164" s="630">
        <v>106</v>
      </c>
      <c r="AI164" s="630">
        <v>106</v>
      </c>
      <c r="AJ164" s="630">
        <v>106</v>
      </c>
      <c r="AK164" s="630">
        <v>106</v>
      </c>
    </row>
    <row r="165" spans="1:37" ht="24.9" customHeight="1" x14ac:dyDescent="0.25">
      <c r="A165" s="1" t="s">
        <v>207</v>
      </c>
      <c r="B165" s="1" t="s">
        <v>0</v>
      </c>
      <c r="C165" s="1" t="s">
        <v>208</v>
      </c>
      <c r="D165" s="1" t="s">
        <v>222</v>
      </c>
      <c r="E165" s="2">
        <v>4</v>
      </c>
      <c r="F165" s="95">
        <v>12</v>
      </c>
      <c r="G165" s="95">
        <v>12</v>
      </c>
      <c r="H165" s="95">
        <v>12</v>
      </c>
      <c r="I165" s="95">
        <v>12</v>
      </c>
      <c r="J165" s="61">
        <v>9</v>
      </c>
      <c r="K165" s="61">
        <v>16</v>
      </c>
      <c r="L165" s="61">
        <v>16</v>
      </c>
      <c r="M165" s="61">
        <v>16</v>
      </c>
      <c r="N165" s="2">
        <v>16</v>
      </c>
      <c r="O165" s="2">
        <v>15</v>
      </c>
      <c r="P165" s="2">
        <v>15</v>
      </c>
      <c r="Q165" s="2">
        <v>15</v>
      </c>
      <c r="R165" s="95">
        <v>19</v>
      </c>
      <c r="S165" s="95">
        <v>18</v>
      </c>
      <c r="T165" s="95">
        <v>18</v>
      </c>
      <c r="U165" s="95">
        <v>18</v>
      </c>
      <c r="V165" s="61">
        <v>16</v>
      </c>
      <c r="W165" s="61">
        <v>16</v>
      </c>
      <c r="X165" s="61">
        <v>16</v>
      </c>
      <c r="Y165" s="61">
        <v>16</v>
      </c>
      <c r="Z165" s="349">
        <v>15</v>
      </c>
      <c r="AA165" s="349">
        <v>16</v>
      </c>
      <c r="AB165" s="349">
        <v>16</v>
      </c>
      <c r="AC165" s="349">
        <v>16</v>
      </c>
      <c r="AD165" s="469">
        <v>19</v>
      </c>
      <c r="AE165" s="469">
        <v>19</v>
      </c>
      <c r="AF165" s="469">
        <v>19</v>
      </c>
      <c r="AG165" s="469">
        <v>19</v>
      </c>
      <c r="AH165" s="630">
        <v>23</v>
      </c>
      <c r="AI165" s="630">
        <v>23</v>
      </c>
      <c r="AJ165" s="630">
        <v>23</v>
      </c>
      <c r="AK165" s="630">
        <v>23</v>
      </c>
    </row>
    <row r="166" spans="1:37" ht="24.9" customHeight="1" x14ac:dyDescent="0.25">
      <c r="A166" s="1" t="s">
        <v>98</v>
      </c>
      <c r="B166" s="1" t="s">
        <v>0</v>
      </c>
      <c r="C166" s="1" t="s">
        <v>99</v>
      </c>
      <c r="D166" s="1" t="s">
        <v>222</v>
      </c>
      <c r="E166" s="2">
        <v>5</v>
      </c>
      <c r="F166" s="95">
        <v>19</v>
      </c>
      <c r="G166" s="95">
        <v>19</v>
      </c>
      <c r="H166" s="95">
        <v>19</v>
      </c>
      <c r="I166" s="95">
        <v>19</v>
      </c>
      <c r="J166" s="61">
        <v>23</v>
      </c>
      <c r="K166" s="61">
        <v>24</v>
      </c>
      <c r="L166" s="61">
        <v>24</v>
      </c>
      <c r="M166" s="61">
        <v>24</v>
      </c>
      <c r="N166" s="2">
        <v>18</v>
      </c>
      <c r="O166" s="2">
        <v>17</v>
      </c>
      <c r="P166" s="2">
        <v>17</v>
      </c>
      <c r="Q166" s="2">
        <v>17</v>
      </c>
      <c r="R166" s="95">
        <v>21</v>
      </c>
      <c r="S166" s="95">
        <v>21</v>
      </c>
      <c r="T166" s="95">
        <v>21</v>
      </c>
      <c r="U166" s="95">
        <v>21</v>
      </c>
      <c r="V166" s="61">
        <v>20</v>
      </c>
      <c r="W166" s="61">
        <v>19</v>
      </c>
      <c r="X166" s="61">
        <v>19</v>
      </c>
      <c r="Y166" s="61">
        <v>19</v>
      </c>
      <c r="Z166" s="349">
        <v>26</v>
      </c>
      <c r="AA166" s="349">
        <v>27</v>
      </c>
      <c r="AB166" s="349">
        <v>26</v>
      </c>
      <c r="AC166" s="349">
        <v>26</v>
      </c>
      <c r="AD166" s="469">
        <v>23</v>
      </c>
      <c r="AE166" s="469">
        <v>23</v>
      </c>
      <c r="AF166" s="469">
        <v>23</v>
      </c>
      <c r="AG166" s="469">
        <v>23</v>
      </c>
      <c r="AH166" s="630">
        <v>21</v>
      </c>
      <c r="AI166" s="630">
        <v>21</v>
      </c>
      <c r="AJ166" s="630">
        <v>21</v>
      </c>
      <c r="AK166" s="630">
        <v>21</v>
      </c>
    </row>
    <row r="167" spans="1:37" ht="24.9" customHeight="1" x14ac:dyDescent="0.25">
      <c r="A167" s="1" t="s">
        <v>72</v>
      </c>
      <c r="B167" s="68" t="s">
        <v>0</v>
      </c>
      <c r="C167" s="1" t="s">
        <v>73</v>
      </c>
      <c r="D167" s="70" t="s">
        <v>222</v>
      </c>
      <c r="E167" s="72">
        <v>2</v>
      </c>
      <c r="F167" s="95">
        <v>12</v>
      </c>
      <c r="G167" s="95">
        <v>22</v>
      </c>
      <c r="H167" s="95">
        <v>22</v>
      </c>
      <c r="I167" s="95">
        <v>22</v>
      </c>
      <c r="J167" s="61">
        <v>25</v>
      </c>
      <c r="K167" s="61">
        <v>43</v>
      </c>
      <c r="L167" s="61">
        <v>43</v>
      </c>
      <c r="M167" s="61">
        <v>43</v>
      </c>
      <c r="N167" s="2">
        <v>35</v>
      </c>
      <c r="O167" s="2">
        <v>36</v>
      </c>
      <c r="P167" s="2">
        <v>36</v>
      </c>
      <c r="Q167" s="2">
        <v>36</v>
      </c>
      <c r="R167" s="95">
        <v>18</v>
      </c>
      <c r="S167" s="95">
        <v>18</v>
      </c>
      <c r="T167" s="95">
        <v>18</v>
      </c>
      <c r="U167" s="95">
        <v>18</v>
      </c>
      <c r="V167" s="61">
        <v>25</v>
      </c>
      <c r="W167" s="61">
        <v>25</v>
      </c>
      <c r="X167" s="61">
        <v>25</v>
      </c>
      <c r="Y167" s="61">
        <v>25</v>
      </c>
      <c r="Z167" s="349">
        <v>34</v>
      </c>
      <c r="AA167" s="349">
        <v>35</v>
      </c>
      <c r="AB167" s="349">
        <v>35</v>
      </c>
      <c r="AC167" s="349">
        <v>35</v>
      </c>
      <c r="AD167" s="469">
        <v>21</v>
      </c>
      <c r="AE167" s="469">
        <v>37</v>
      </c>
      <c r="AF167" s="469">
        <v>37</v>
      </c>
      <c r="AG167" s="469">
        <v>37</v>
      </c>
      <c r="AH167" s="630">
        <v>44</v>
      </c>
      <c r="AI167" s="630">
        <v>44</v>
      </c>
      <c r="AJ167" s="630">
        <v>44</v>
      </c>
      <c r="AK167" s="630">
        <v>44</v>
      </c>
    </row>
  </sheetData>
  <sheetProtection algorithmName="SHA-512" hashValue="oLnm/e34x9J28pJ4K/kr4qwYWakfQVt/7j3gs8IktyYo4COjfzKdDnVDUao7GQDBlHrQRwHcDclPQVjObwsJWg==" saltValue="QpXR9zajMg5d00E7/+oDoQ==" spinCount="100000" sheet="1" objects="1" scenarios="1"/>
  <mergeCells count="10">
    <mergeCell ref="A1:I1"/>
    <mergeCell ref="A3:I3"/>
    <mergeCell ref="F7:I7"/>
    <mergeCell ref="J7:M7"/>
    <mergeCell ref="N7:Q7"/>
    <mergeCell ref="AH7:AK7"/>
    <mergeCell ref="AD7:AG7"/>
    <mergeCell ref="Z7:AC7"/>
    <mergeCell ref="R7:U7"/>
    <mergeCell ref="V7:Y7"/>
  </mergeCells>
  <pageMargins left="0.75" right="0.75" top="1" bottom="1" header="0.5" footer="0.5"/>
  <pageSetup orientation="portrait" horizontalDpi="300" verticalDpi="300"/>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B0F4F8-6AB9-4400-B3C3-14D6A0EA4715}">
  <sheetPr codeName="Hoja3"/>
  <dimension ref="A2:CR137"/>
  <sheetViews>
    <sheetView zoomScale="70" zoomScaleNormal="70" workbookViewId="0">
      <pane xSplit="1" ySplit="5" topLeftCell="CC6" activePane="bottomRight" state="frozen"/>
      <selection activeCell="R29" sqref="R29"/>
      <selection pane="topRight" activeCell="R29" sqref="R29"/>
      <selection pane="bottomLeft" activeCell="R29" sqref="R29"/>
      <selection pane="bottomRight" activeCell="CJ2" sqref="CJ2"/>
    </sheetView>
  </sheetViews>
  <sheetFormatPr baseColWidth="10" defaultColWidth="11.44140625" defaultRowHeight="15.6" x14ac:dyDescent="0.3"/>
  <cols>
    <col min="1" max="1" width="56.109375" style="199" customWidth="1"/>
    <col min="2" max="2" width="15.88671875" style="199" customWidth="1"/>
    <col min="3" max="3" width="12.88671875" style="199" customWidth="1"/>
    <col min="4" max="4" width="11.6640625" style="199" customWidth="1"/>
    <col min="5" max="5" width="12.5546875" style="199" customWidth="1"/>
    <col min="6" max="6" width="11.88671875" style="199" customWidth="1"/>
    <col min="7" max="7" width="11.6640625" style="199" customWidth="1"/>
    <col min="8" max="9" width="12.5546875" style="199" customWidth="1"/>
    <col min="10" max="10" width="13.33203125" style="199" customWidth="1"/>
    <col min="11" max="11" width="13.6640625" style="199" customWidth="1"/>
    <col min="12" max="12" width="14.6640625" style="199" customWidth="1"/>
    <col min="13" max="13" width="11.6640625" style="199" customWidth="1"/>
    <col min="14" max="14" width="12" style="199" customWidth="1"/>
    <col min="15" max="15" width="11.33203125" style="199" customWidth="1"/>
    <col min="16" max="24" width="11.88671875" style="199" customWidth="1"/>
    <col min="25" max="25" width="13.88671875" style="199" customWidth="1"/>
    <col min="26" max="26" width="14.6640625" style="199" customWidth="1"/>
    <col min="27" max="27" width="12" style="199" customWidth="1"/>
    <col min="28" max="28" width="12.5546875" style="237" customWidth="1"/>
    <col min="29" max="29" width="12.44140625" style="237" customWidth="1"/>
    <col min="30" max="32" width="12.88671875" style="237" customWidth="1"/>
    <col min="33" max="33" width="15.6640625" style="237" customWidth="1"/>
    <col min="34" max="34" width="11.44140625" style="225" customWidth="1"/>
    <col min="35" max="36" width="11.44140625" style="199" customWidth="1"/>
    <col min="37" max="42" width="11.44140625" style="237" customWidth="1"/>
    <col min="43" max="45" width="11.44140625" style="199" customWidth="1"/>
    <col min="46" max="49" width="11.44140625" style="237" customWidth="1"/>
    <col min="50" max="50" width="12.33203125" style="237" customWidth="1"/>
    <col min="51" max="51" width="12.44140625" style="237" customWidth="1"/>
    <col min="52" max="52" width="12.44140625" style="199" customWidth="1"/>
    <col min="53" max="53" width="12.88671875" style="199" customWidth="1"/>
    <col min="54" max="54" width="12.5546875" style="199" customWidth="1"/>
    <col min="55" max="55" width="14.44140625" style="237" customWidth="1"/>
    <col min="56" max="56" width="14.6640625" style="237" customWidth="1"/>
    <col min="57" max="57" width="13.5546875" style="237" customWidth="1"/>
    <col min="58" max="58" width="13" style="237" customWidth="1"/>
    <col min="59" max="59" width="11.6640625" style="237" customWidth="1"/>
    <col min="60" max="60" width="11.44140625" style="237" customWidth="1"/>
    <col min="61" max="63" width="11.44140625" style="199"/>
    <col min="64" max="69" width="11.44140625" style="237"/>
    <col min="70" max="16384" width="11.44140625" style="199"/>
  </cols>
  <sheetData>
    <row r="2" spans="1:96" ht="14.4" x14ac:dyDescent="0.3">
      <c r="A2" s="199">
        <v>1</v>
      </c>
      <c r="B2" s="199">
        <v>2</v>
      </c>
      <c r="C2" s="199">
        <v>3</v>
      </c>
      <c r="D2" s="199">
        <v>4</v>
      </c>
      <c r="E2" s="199">
        <v>5</v>
      </c>
      <c r="F2" s="199">
        <v>6</v>
      </c>
      <c r="G2" s="199">
        <v>7</v>
      </c>
      <c r="H2" s="199">
        <v>8</v>
      </c>
      <c r="I2" s="199">
        <v>9</v>
      </c>
      <c r="J2" s="199">
        <v>10</v>
      </c>
      <c r="K2" s="199">
        <v>11</v>
      </c>
      <c r="L2" s="199">
        <v>12</v>
      </c>
      <c r="M2" s="199">
        <v>13</v>
      </c>
      <c r="N2" s="199">
        <v>14</v>
      </c>
      <c r="O2" s="199">
        <v>15</v>
      </c>
      <c r="P2" s="199">
        <v>16</v>
      </c>
      <c r="Q2" s="199">
        <v>17</v>
      </c>
      <c r="R2" s="199">
        <v>18</v>
      </c>
      <c r="S2" s="199">
        <v>19</v>
      </c>
      <c r="T2" s="199">
        <v>20</v>
      </c>
      <c r="U2" s="199">
        <v>21</v>
      </c>
      <c r="V2" s="199">
        <v>22</v>
      </c>
      <c r="W2" s="199">
        <v>23</v>
      </c>
      <c r="X2" s="199">
        <v>24</v>
      </c>
      <c r="Y2" s="199">
        <v>25</v>
      </c>
      <c r="Z2" s="199">
        <v>26</v>
      </c>
      <c r="AA2" s="199">
        <v>27</v>
      </c>
      <c r="AB2" s="199">
        <v>28</v>
      </c>
      <c r="AC2" s="199">
        <v>29</v>
      </c>
      <c r="AD2" s="199">
        <v>30</v>
      </c>
      <c r="AE2" s="199">
        <v>31</v>
      </c>
      <c r="AF2" s="199">
        <v>32</v>
      </c>
      <c r="AG2" s="199">
        <v>33</v>
      </c>
      <c r="AH2" s="199">
        <v>34</v>
      </c>
      <c r="AI2" s="199">
        <v>35</v>
      </c>
      <c r="AJ2" s="199">
        <v>36</v>
      </c>
      <c r="AK2" s="199">
        <v>37</v>
      </c>
      <c r="AL2" s="199">
        <v>38</v>
      </c>
      <c r="AM2" s="199">
        <v>39</v>
      </c>
      <c r="AN2" s="199">
        <v>40</v>
      </c>
      <c r="AO2" s="199">
        <v>41</v>
      </c>
      <c r="AP2" s="199">
        <v>42</v>
      </c>
      <c r="AQ2" s="199">
        <v>43</v>
      </c>
      <c r="AR2" s="199">
        <v>44</v>
      </c>
      <c r="AS2" s="199">
        <v>45</v>
      </c>
      <c r="AT2" s="199">
        <v>46</v>
      </c>
      <c r="AU2" s="199">
        <v>47</v>
      </c>
      <c r="AV2" s="199">
        <v>48</v>
      </c>
      <c r="AW2" s="199">
        <v>49</v>
      </c>
      <c r="AX2" s="199">
        <v>50</v>
      </c>
      <c r="AY2" s="199">
        <v>51</v>
      </c>
      <c r="AZ2" s="199">
        <v>52</v>
      </c>
      <c r="BA2" s="199">
        <v>53</v>
      </c>
      <c r="BB2" s="199">
        <v>54</v>
      </c>
      <c r="BC2" s="199">
        <v>55</v>
      </c>
      <c r="BD2" s="199">
        <v>56</v>
      </c>
      <c r="BE2" s="199">
        <v>57</v>
      </c>
      <c r="BF2" s="199">
        <v>58</v>
      </c>
      <c r="BG2" s="199">
        <v>59</v>
      </c>
      <c r="BH2" s="199">
        <v>60</v>
      </c>
      <c r="BI2" s="199">
        <v>61</v>
      </c>
      <c r="BJ2" s="199">
        <v>62</v>
      </c>
      <c r="BK2" s="199">
        <v>63</v>
      </c>
      <c r="BL2" s="199">
        <v>64</v>
      </c>
      <c r="BM2" s="199">
        <v>65</v>
      </c>
      <c r="BN2" s="199">
        <v>66</v>
      </c>
      <c r="BO2" s="199">
        <v>67</v>
      </c>
      <c r="BP2" s="199">
        <v>68</v>
      </c>
      <c r="BQ2" s="199">
        <v>69</v>
      </c>
      <c r="BR2" s="199">
        <v>70</v>
      </c>
      <c r="BS2" s="199">
        <v>71</v>
      </c>
      <c r="BT2" s="199">
        <v>72</v>
      </c>
      <c r="BU2" s="199">
        <v>73</v>
      </c>
      <c r="BV2" s="199">
        <v>74</v>
      </c>
      <c r="BW2" s="199">
        <v>75</v>
      </c>
      <c r="BX2" s="199">
        <v>76</v>
      </c>
      <c r="BY2" s="199">
        <v>77</v>
      </c>
      <c r="BZ2" s="199">
        <v>78</v>
      </c>
      <c r="CA2" s="199">
        <v>79</v>
      </c>
      <c r="CB2" s="199">
        <v>80</v>
      </c>
      <c r="CC2" s="199">
        <v>81</v>
      </c>
      <c r="CD2" s="199">
        <v>82</v>
      </c>
      <c r="CE2" s="199">
        <v>83</v>
      </c>
      <c r="CF2" s="199">
        <v>84</v>
      </c>
      <c r="CG2" s="199">
        <v>85</v>
      </c>
      <c r="CH2" s="199">
        <v>86</v>
      </c>
      <c r="CI2" s="199">
        <v>87</v>
      </c>
      <c r="CJ2" s="199">
        <v>88</v>
      </c>
      <c r="CK2" s="199">
        <v>89</v>
      </c>
      <c r="CL2" s="199">
        <v>90</v>
      </c>
      <c r="CM2" s="199">
        <v>91</v>
      </c>
      <c r="CN2" s="199">
        <v>92</v>
      </c>
      <c r="CO2" s="199">
        <v>93</v>
      </c>
      <c r="CP2" s="199">
        <v>94</v>
      </c>
      <c r="CQ2" s="199">
        <v>95</v>
      </c>
      <c r="CR2" s="199">
        <v>96</v>
      </c>
    </row>
    <row r="3" spans="1:96" ht="16.2" thickBot="1" x14ac:dyDescent="0.35"/>
    <row r="4" spans="1:96" ht="15" thickBot="1" x14ac:dyDescent="0.35">
      <c r="A4" s="199">
        <v>1</v>
      </c>
      <c r="B4" s="199">
        <v>2</v>
      </c>
      <c r="C4" s="199">
        <v>3</v>
      </c>
      <c r="G4" s="752">
        <v>2014</v>
      </c>
      <c r="H4" s="753"/>
      <c r="I4" s="753"/>
      <c r="J4" s="753"/>
      <c r="K4" s="753"/>
      <c r="L4" s="753"/>
      <c r="M4" s="753"/>
      <c r="N4" s="753"/>
      <c r="O4" s="754"/>
      <c r="P4" s="752">
        <v>2015</v>
      </c>
      <c r="Q4" s="753"/>
      <c r="R4" s="753"/>
      <c r="S4" s="753"/>
      <c r="T4" s="753"/>
      <c r="U4" s="753"/>
      <c r="V4" s="753"/>
      <c r="W4" s="753"/>
      <c r="X4" s="754"/>
      <c r="Y4" s="748">
        <v>2016</v>
      </c>
      <c r="Z4" s="749"/>
      <c r="AA4" s="749"/>
      <c r="AB4" s="749"/>
      <c r="AC4" s="749"/>
      <c r="AD4" s="749"/>
      <c r="AE4" s="749"/>
      <c r="AF4" s="749"/>
      <c r="AG4" s="755"/>
      <c r="AH4" s="748">
        <v>2017</v>
      </c>
      <c r="AI4" s="749"/>
      <c r="AJ4" s="749"/>
      <c r="AK4" s="749"/>
      <c r="AL4" s="749"/>
      <c r="AM4" s="749"/>
      <c r="AN4" s="749"/>
      <c r="AO4" s="749"/>
      <c r="AP4" s="755"/>
      <c r="AQ4" s="748">
        <v>2018</v>
      </c>
      <c r="AR4" s="749"/>
      <c r="AS4" s="749"/>
      <c r="AT4" s="749"/>
      <c r="AU4" s="749"/>
      <c r="AV4" s="749"/>
      <c r="AW4" s="749"/>
      <c r="AX4" s="749"/>
      <c r="AY4" s="755"/>
      <c r="AZ4" s="748">
        <v>2019</v>
      </c>
      <c r="BA4" s="749"/>
      <c r="BB4" s="749"/>
      <c r="BC4" s="749"/>
      <c r="BD4" s="749"/>
      <c r="BE4" s="749"/>
      <c r="BF4" s="749"/>
      <c r="BG4" s="749"/>
      <c r="BH4" s="751"/>
      <c r="BI4" s="748">
        <v>2020</v>
      </c>
      <c r="BJ4" s="749"/>
      <c r="BK4" s="749"/>
      <c r="BL4" s="750"/>
      <c r="BM4" s="750"/>
      <c r="BN4" s="750"/>
      <c r="BO4" s="750"/>
      <c r="BP4" s="750"/>
      <c r="BQ4" s="751"/>
      <c r="BR4" s="748">
        <v>2021</v>
      </c>
      <c r="BS4" s="749"/>
      <c r="BT4" s="749"/>
      <c r="BU4" s="750"/>
      <c r="BV4" s="750"/>
      <c r="BW4" s="750"/>
      <c r="BX4" s="750"/>
      <c r="BY4" s="750"/>
      <c r="BZ4" s="751"/>
      <c r="CA4" s="748">
        <v>2022</v>
      </c>
      <c r="CB4" s="749"/>
      <c r="CC4" s="749"/>
      <c r="CD4" s="750"/>
      <c r="CE4" s="750"/>
      <c r="CF4" s="750"/>
      <c r="CG4" s="750"/>
      <c r="CH4" s="750"/>
      <c r="CI4" s="751"/>
      <c r="CJ4" s="748">
        <v>2023</v>
      </c>
      <c r="CK4" s="749"/>
      <c r="CL4" s="749"/>
      <c r="CM4" s="750"/>
      <c r="CN4" s="750"/>
      <c r="CO4" s="750"/>
      <c r="CP4" s="750"/>
      <c r="CQ4" s="750"/>
      <c r="CR4" s="751"/>
    </row>
    <row r="5" spans="1:96" s="263" customFormat="1" ht="40.200000000000003" thickBot="1" x14ac:dyDescent="0.3">
      <c r="A5" s="256" t="s">
        <v>411</v>
      </c>
      <c r="B5" s="257" t="s">
        <v>412</v>
      </c>
      <c r="C5" s="258" t="s">
        <v>572</v>
      </c>
      <c r="D5" s="258" t="s">
        <v>413</v>
      </c>
      <c r="E5" s="258" t="s">
        <v>787</v>
      </c>
      <c r="F5" s="258" t="s">
        <v>244</v>
      </c>
      <c r="G5" s="259">
        <v>2014</v>
      </c>
      <c r="H5" s="259" t="s">
        <v>414</v>
      </c>
      <c r="I5" s="259" t="s">
        <v>415</v>
      </c>
      <c r="J5" s="259" t="s">
        <v>788</v>
      </c>
      <c r="K5" s="259" t="s">
        <v>789</v>
      </c>
      <c r="L5" s="259" t="s">
        <v>790</v>
      </c>
      <c r="M5" s="259" t="s">
        <v>791</v>
      </c>
      <c r="N5" s="259" t="s">
        <v>792</v>
      </c>
      <c r="O5" s="259" t="s">
        <v>793</v>
      </c>
      <c r="P5" s="253" t="s">
        <v>803</v>
      </c>
      <c r="Q5" s="253" t="s">
        <v>414</v>
      </c>
      <c r="R5" s="253" t="s">
        <v>415</v>
      </c>
      <c r="S5" s="253" t="s">
        <v>788</v>
      </c>
      <c r="T5" s="253" t="s">
        <v>789</v>
      </c>
      <c r="U5" s="253" t="s">
        <v>790</v>
      </c>
      <c r="V5" s="253" t="s">
        <v>791</v>
      </c>
      <c r="W5" s="253" t="s">
        <v>792</v>
      </c>
      <c r="X5" s="253" t="s">
        <v>793</v>
      </c>
      <c r="Y5" s="253" t="s">
        <v>803</v>
      </c>
      <c r="Z5" s="253" t="s">
        <v>414</v>
      </c>
      <c r="AA5" s="255" t="s">
        <v>415</v>
      </c>
      <c r="AB5" s="260" t="s">
        <v>788</v>
      </c>
      <c r="AC5" s="260" t="s">
        <v>789</v>
      </c>
      <c r="AD5" s="260" t="s">
        <v>790</v>
      </c>
      <c r="AE5" s="260" t="s">
        <v>791</v>
      </c>
      <c r="AF5" s="260" t="s">
        <v>792</v>
      </c>
      <c r="AG5" s="260" t="s">
        <v>793</v>
      </c>
      <c r="AH5" s="254">
        <v>2017</v>
      </c>
      <c r="AI5" s="255" t="s">
        <v>414</v>
      </c>
      <c r="AJ5" s="255" t="s">
        <v>415</v>
      </c>
      <c r="AK5" s="260" t="s">
        <v>416</v>
      </c>
      <c r="AL5" s="260" t="s">
        <v>417</v>
      </c>
      <c r="AM5" s="260" t="s">
        <v>418</v>
      </c>
      <c r="AN5" s="260" t="s">
        <v>419</v>
      </c>
      <c r="AO5" s="260" t="s">
        <v>420</v>
      </c>
      <c r="AP5" s="260" t="s">
        <v>421</v>
      </c>
      <c r="AQ5" s="255">
        <v>2018</v>
      </c>
      <c r="AR5" s="255" t="s">
        <v>414</v>
      </c>
      <c r="AS5" s="255" t="s">
        <v>415</v>
      </c>
      <c r="AT5" s="260" t="s">
        <v>416</v>
      </c>
      <c r="AU5" s="260" t="s">
        <v>417</v>
      </c>
      <c r="AV5" s="260" t="s">
        <v>418</v>
      </c>
      <c r="AW5" s="260" t="s">
        <v>419</v>
      </c>
      <c r="AX5" s="260" t="s">
        <v>420</v>
      </c>
      <c r="AY5" s="260" t="s">
        <v>421</v>
      </c>
      <c r="AZ5" s="261">
        <v>2019</v>
      </c>
      <c r="BA5" s="261" t="s">
        <v>414</v>
      </c>
      <c r="BB5" s="261" t="s">
        <v>415</v>
      </c>
      <c r="BC5" s="262" t="s">
        <v>788</v>
      </c>
      <c r="BD5" s="262" t="s">
        <v>789</v>
      </c>
      <c r="BE5" s="262" t="s">
        <v>790</v>
      </c>
      <c r="BF5" s="262" t="s">
        <v>791</v>
      </c>
      <c r="BG5" s="262" t="s">
        <v>792</v>
      </c>
      <c r="BH5" s="262" t="s">
        <v>793</v>
      </c>
      <c r="BI5" s="255">
        <v>2020</v>
      </c>
      <c r="BJ5" s="255" t="s">
        <v>414</v>
      </c>
      <c r="BK5" s="255" t="s">
        <v>415</v>
      </c>
      <c r="BL5" s="260" t="s">
        <v>788</v>
      </c>
      <c r="BM5" s="260" t="s">
        <v>789</v>
      </c>
      <c r="BN5" s="260" t="s">
        <v>790</v>
      </c>
      <c r="BO5" s="260" t="s">
        <v>791</v>
      </c>
      <c r="BP5" s="260" t="s">
        <v>792</v>
      </c>
      <c r="BQ5" s="260" t="s">
        <v>793</v>
      </c>
      <c r="BR5" s="255">
        <v>2021</v>
      </c>
      <c r="BS5" s="255" t="s">
        <v>414</v>
      </c>
      <c r="BT5" s="255" t="s">
        <v>415</v>
      </c>
      <c r="BU5" s="260" t="s">
        <v>788</v>
      </c>
      <c r="BV5" s="260" t="s">
        <v>789</v>
      </c>
      <c r="BW5" s="260" t="s">
        <v>790</v>
      </c>
      <c r="BX5" s="260" t="s">
        <v>791</v>
      </c>
      <c r="BY5" s="260" t="s">
        <v>792</v>
      </c>
      <c r="BZ5" s="260" t="s">
        <v>793</v>
      </c>
      <c r="CA5" s="255">
        <v>2022</v>
      </c>
      <c r="CB5" s="255" t="s">
        <v>414</v>
      </c>
      <c r="CC5" s="255" t="s">
        <v>415</v>
      </c>
      <c r="CD5" s="260" t="s">
        <v>788</v>
      </c>
      <c r="CE5" s="260" t="s">
        <v>789</v>
      </c>
      <c r="CF5" s="260" t="s">
        <v>790</v>
      </c>
      <c r="CG5" s="260" t="s">
        <v>791</v>
      </c>
      <c r="CH5" s="260" t="s">
        <v>792</v>
      </c>
      <c r="CI5" s="260" t="s">
        <v>793</v>
      </c>
      <c r="CJ5" s="255">
        <v>2023</v>
      </c>
      <c r="CK5" s="255" t="s">
        <v>414</v>
      </c>
      <c r="CL5" s="255" t="s">
        <v>415</v>
      </c>
      <c r="CM5" s="260" t="s">
        <v>788</v>
      </c>
      <c r="CN5" s="260" t="s">
        <v>789</v>
      </c>
      <c r="CO5" s="260" t="s">
        <v>790</v>
      </c>
      <c r="CP5" s="260" t="s">
        <v>791</v>
      </c>
      <c r="CQ5" s="260" t="s">
        <v>792</v>
      </c>
      <c r="CR5" s="260" t="s">
        <v>793</v>
      </c>
    </row>
    <row r="6" spans="1:96" x14ac:dyDescent="0.3">
      <c r="A6" s="62" t="s">
        <v>29</v>
      </c>
      <c r="B6" s="245" t="s">
        <v>28</v>
      </c>
      <c r="C6" s="245" t="s">
        <v>573</v>
      </c>
      <c r="D6" s="245" t="s">
        <v>422</v>
      </c>
      <c r="E6" s="245" t="s">
        <v>794</v>
      </c>
      <c r="F6" s="245" t="s">
        <v>222</v>
      </c>
      <c r="G6" s="246" t="s">
        <v>410</v>
      </c>
      <c r="H6" s="247" t="s">
        <v>600</v>
      </c>
      <c r="I6" s="247" t="s">
        <v>600</v>
      </c>
      <c r="J6" s="247">
        <v>0.69199999999999995</v>
      </c>
      <c r="K6" s="247">
        <v>0.7</v>
      </c>
      <c r="L6" s="247">
        <v>0.71120000000000005</v>
      </c>
      <c r="M6" s="247">
        <v>0.71679999999999999</v>
      </c>
      <c r="N6" s="247">
        <v>0.67069999999999996</v>
      </c>
      <c r="O6" s="247">
        <v>0.70240000000000002</v>
      </c>
      <c r="P6" s="248" t="s">
        <v>410</v>
      </c>
      <c r="Q6" s="249" t="s">
        <v>801</v>
      </c>
      <c r="R6" s="249" t="s">
        <v>478</v>
      </c>
      <c r="S6" s="249">
        <v>0.68589999999999995</v>
      </c>
      <c r="T6" s="249">
        <v>0.69279999999999997</v>
      </c>
      <c r="U6" s="249">
        <v>0.69650000000000001</v>
      </c>
      <c r="V6" s="249">
        <v>0.69750000000000001</v>
      </c>
      <c r="W6" s="249">
        <v>0.66249999999999998</v>
      </c>
      <c r="X6" s="249">
        <v>0.69079999999999997</v>
      </c>
      <c r="Y6" s="204" t="s">
        <v>410</v>
      </c>
      <c r="Z6" s="200" t="s">
        <v>682</v>
      </c>
      <c r="AA6" s="200" t="s">
        <v>683</v>
      </c>
      <c r="AB6" s="203">
        <v>0.68140000000000001</v>
      </c>
      <c r="AC6" s="203">
        <v>0.69899999999999995</v>
      </c>
      <c r="AD6" s="203">
        <v>0.68679999999999997</v>
      </c>
      <c r="AE6" s="203">
        <v>0.70909999999999995</v>
      </c>
      <c r="AF6" s="203">
        <v>0.6764</v>
      </c>
      <c r="AG6" s="203">
        <v>0.69269999999999998</v>
      </c>
      <c r="AH6" s="226" t="s">
        <v>410</v>
      </c>
      <c r="AI6" s="200" t="s">
        <v>616</v>
      </c>
      <c r="AJ6" s="200" t="s">
        <v>600</v>
      </c>
      <c r="AK6" s="203">
        <v>0.68089999999999995</v>
      </c>
      <c r="AL6" s="203">
        <v>0.69450000000000001</v>
      </c>
      <c r="AM6" s="203">
        <v>0.69579999999999997</v>
      </c>
      <c r="AN6" s="203">
        <v>0.71789999999999998</v>
      </c>
      <c r="AO6" s="203">
        <v>0.68179999999999996</v>
      </c>
      <c r="AP6" s="203">
        <v>0.69610000000000005</v>
      </c>
      <c r="AQ6" s="205" t="s">
        <v>410</v>
      </c>
      <c r="AR6" s="200" t="s">
        <v>499</v>
      </c>
      <c r="AS6" s="200" t="s">
        <v>459</v>
      </c>
      <c r="AT6" s="203">
        <v>0.68600000000000005</v>
      </c>
      <c r="AU6" s="203">
        <v>0.69620000000000004</v>
      </c>
      <c r="AV6" s="203">
        <v>0.69550000000000001</v>
      </c>
      <c r="AW6" s="203">
        <v>0.72919999999999996</v>
      </c>
      <c r="AX6" s="203">
        <v>0.69350000000000001</v>
      </c>
      <c r="AY6" s="203">
        <v>0.70109999999999995</v>
      </c>
      <c r="AZ6" s="204" t="s">
        <v>410</v>
      </c>
      <c r="BA6" s="200" t="s">
        <v>649</v>
      </c>
      <c r="BB6" s="200" t="s">
        <v>499</v>
      </c>
      <c r="BC6" s="203">
        <v>0.68120000000000003</v>
      </c>
      <c r="BD6" s="203">
        <v>0.68720000000000003</v>
      </c>
      <c r="BE6" s="203">
        <v>0.68469999999999998</v>
      </c>
      <c r="BF6" s="203">
        <v>0.72589999999999999</v>
      </c>
      <c r="BG6" s="203">
        <v>0.68500000000000005</v>
      </c>
      <c r="BH6" s="203">
        <v>0.69399999999999995</v>
      </c>
      <c r="BI6" s="201" t="s">
        <v>410</v>
      </c>
      <c r="BJ6" s="222">
        <v>200</v>
      </c>
      <c r="BK6" s="222">
        <v>190</v>
      </c>
      <c r="BL6" s="203">
        <v>0.69320000000000004</v>
      </c>
      <c r="BM6" s="203">
        <v>0.67800000000000005</v>
      </c>
      <c r="BN6" s="203">
        <v>0.66700000000000004</v>
      </c>
      <c r="BO6" s="203">
        <v>0.71299999999999997</v>
      </c>
      <c r="BP6" s="203">
        <v>0.6694</v>
      </c>
      <c r="BQ6" s="203">
        <v>0.68640000000000001</v>
      </c>
      <c r="BR6" s="410" t="s">
        <v>410</v>
      </c>
      <c r="BS6" s="415">
        <v>203</v>
      </c>
      <c r="BT6" s="415">
        <v>201</v>
      </c>
      <c r="BU6" s="389">
        <v>0.70179999999999998</v>
      </c>
      <c r="BV6" s="389">
        <v>0.69069999999999998</v>
      </c>
      <c r="BW6" s="389">
        <v>0.67700000000000005</v>
      </c>
      <c r="BX6" s="389">
        <v>0.72670000000000001</v>
      </c>
      <c r="BY6" s="389">
        <v>0.6845</v>
      </c>
      <c r="BZ6" s="389">
        <v>0.69799999999999995</v>
      </c>
    </row>
    <row r="7" spans="1:96" x14ac:dyDescent="0.3">
      <c r="A7" s="62" t="s">
        <v>272</v>
      </c>
      <c r="B7" s="200" t="s">
        <v>274</v>
      </c>
      <c r="C7" s="200" t="s">
        <v>573</v>
      </c>
      <c r="D7" s="200" t="s">
        <v>422</v>
      </c>
      <c r="E7" s="200" t="s">
        <v>794</v>
      </c>
      <c r="F7" s="200" t="s">
        <v>222</v>
      </c>
      <c r="G7" s="242" t="s">
        <v>546</v>
      </c>
      <c r="H7" s="241" t="s">
        <v>607</v>
      </c>
      <c r="I7" s="241" t="s">
        <v>607</v>
      </c>
      <c r="J7" s="241">
        <v>0.64670000000000005</v>
      </c>
      <c r="K7" s="241">
        <v>0.63160000000000005</v>
      </c>
      <c r="L7" s="241">
        <v>0.63090000000000002</v>
      </c>
      <c r="M7" s="241">
        <v>0.66749999999999998</v>
      </c>
      <c r="N7" s="241">
        <v>0.63129999999999997</v>
      </c>
      <c r="O7" s="241">
        <v>0.64319999999999999</v>
      </c>
      <c r="P7" s="250" t="s">
        <v>546</v>
      </c>
      <c r="Q7" s="249" t="s">
        <v>518</v>
      </c>
      <c r="R7" s="249" t="s">
        <v>518</v>
      </c>
      <c r="S7" s="249">
        <v>0.63700000000000001</v>
      </c>
      <c r="T7" s="249">
        <v>0.62809999999999999</v>
      </c>
      <c r="U7" s="249">
        <v>0.64019999999999999</v>
      </c>
      <c r="V7" s="249">
        <v>0.66120000000000001</v>
      </c>
      <c r="W7" s="249">
        <v>0.64100000000000001</v>
      </c>
      <c r="X7" s="249">
        <v>0.64149999999999996</v>
      </c>
      <c r="Y7" s="207" t="s">
        <v>546</v>
      </c>
      <c r="Z7" s="200" t="s">
        <v>518</v>
      </c>
      <c r="AA7" s="200" t="s">
        <v>518</v>
      </c>
      <c r="AB7" s="203">
        <v>0.63700000000000001</v>
      </c>
      <c r="AC7" s="203">
        <v>0.62809999999999999</v>
      </c>
      <c r="AD7" s="203">
        <v>0.64019999999999999</v>
      </c>
      <c r="AE7" s="203">
        <v>0.66120000000000001</v>
      </c>
      <c r="AF7" s="203">
        <v>0.64100000000000001</v>
      </c>
      <c r="AG7" s="203">
        <v>0.64149999999999996</v>
      </c>
      <c r="AH7" s="227" t="s">
        <v>546</v>
      </c>
      <c r="AI7" s="200" t="s">
        <v>518</v>
      </c>
      <c r="AJ7" s="200" t="s">
        <v>518</v>
      </c>
      <c r="AK7" s="203">
        <v>0.63700000000000001</v>
      </c>
      <c r="AL7" s="203">
        <v>0.62809999999999999</v>
      </c>
      <c r="AM7" s="203">
        <v>0.64019999999999999</v>
      </c>
      <c r="AN7" s="203">
        <v>0.66120000000000001</v>
      </c>
      <c r="AO7" s="203">
        <v>0.64100000000000001</v>
      </c>
      <c r="AP7" s="203">
        <v>0.64149999999999996</v>
      </c>
      <c r="AQ7" s="208" t="s">
        <v>546</v>
      </c>
      <c r="AR7" s="200" t="s">
        <v>518</v>
      </c>
      <c r="AS7" s="200" t="s">
        <v>518</v>
      </c>
      <c r="AT7" s="203">
        <v>0.63700000000000001</v>
      </c>
      <c r="AU7" s="203">
        <v>0.62809999999999999</v>
      </c>
      <c r="AV7" s="203">
        <v>0.64019999999999999</v>
      </c>
      <c r="AW7" s="203">
        <v>0.66120000000000001</v>
      </c>
      <c r="AX7" s="203">
        <v>0.64100000000000001</v>
      </c>
      <c r="AY7" s="203">
        <v>0.64149999999999996</v>
      </c>
      <c r="AZ7" s="207" t="s">
        <v>546</v>
      </c>
      <c r="BA7" s="200" t="s">
        <v>518</v>
      </c>
      <c r="BB7" s="200" t="s">
        <v>518</v>
      </c>
      <c r="BC7" s="203">
        <v>0.63700000000000001</v>
      </c>
      <c r="BD7" s="203">
        <v>0.62809999999999999</v>
      </c>
      <c r="BE7" s="203">
        <v>0.64019999999999999</v>
      </c>
      <c r="BF7" s="203">
        <v>0.66120000000000001</v>
      </c>
      <c r="BG7" s="203">
        <v>0.64100000000000001</v>
      </c>
      <c r="BH7" s="203">
        <v>0.64149999999999996</v>
      </c>
      <c r="BI7" s="206" t="s">
        <v>546</v>
      </c>
      <c r="BJ7" s="222">
        <v>24</v>
      </c>
      <c r="BK7" s="222">
        <v>24</v>
      </c>
      <c r="BL7" s="203">
        <v>0.63700000000000001</v>
      </c>
      <c r="BM7" s="203">
        <v>0.62809999999999999</v>
      </c>
      <c r="BN7" s="203">
        <v>0.64019999999999999</v>
      </c>
      <c r="BO7" s="203">
        <v>0.66120000000000001</v>
      </c>
      <c r="BP7" s="203">
        <v>0.64100000000000001</v>
      </c>
      <c r="BQ7" s="203">
        <v>0.64149999999999996</v>
      </c>
      <c r="BR7" s="411" t="s">
        <v>562</v>
      </c>
      <c r="BS7" s="415">
        <v>30</v>
      </c>
      <c r="BT7" s="415">
        <v>26</v>
      </c>
      <c r="BU7" s="389">
        <v>0.64700000000000002</v>
      </c>
      <c r="BV7" s="389">
        <v>0.59860000000000002</v>
      </c>
      <c r="BW7" s="389">
        <v>0.5645</v>
      </c>
      <c r="BX7" s="389">
        <v>0.65069999999999995</v>
      </c>
      <c r="BY7" s="389">
        <v>0.62119999999999997</v>
      </c>
      <c r="BZ7" s="389">
        <v>0.61570000000000003</v>
      </c>
    </row>
    <row r="8" spans="1:96" x14ac:dyDescent="0.3">
      <c r="A8" s="567" t="s">
        <v>952</v>
      </c>
      <c r="B8" s="525" t="s">
        <v>951</v>
      </c>
      <c r="C8" s="200" t="s">
        <v>573</v>
      </c>
      <c r="D8" s="200" t="s">
        <v>422</v>
      </c>
      <c r="E8" s="525"/>
      <c r="F8" s="200" t="s">
        <v>222</v>
      </c>
      <c r="G8" s="526"/>
      <c r="H8" s="527"/>
      <c r="I8" s="527"/>
      <c r="J8" s="527"/>
      <c r="K8" s="527"/>
      <c r="L8" s="527"/>
      <c r="M8" s="527"/>
      <c r="N8" s="527"/>
      <c r="O8" s="527"/>
      <c r="P8" s="526"/>
      <c r="Q8" s="527"/>
      <c r="R8" s="527"/>
      <c r="S8" s="527"/>
      <c r="T8" s="527"/>
      <c r="U8" s="527"/>
      <c r="V8" s="527"/>
      <c r="W8" s="527"/>
      <c r="X8" s="527"/>
      <c r="Y8" s="528"/>
      <c r="Z8" s="525"/>
      <c r="AA8" s="525"/>
      <c r="AB8" s="529"/>
      <c r="AC8" s="529"/>
      <c r="AD8" s="529"/>
      <c r="AE8" s="529"/>
      <c r="AF8" s="529"/>
      <c r="AG8" s="529"/>
      <c r="AH8" s="530"/>
      <c r="AI8" s="525"/>
      <c r="AJ8" s="525"/>
      <c r="AK8" s="529"/>
      <c r="AL8" s="529"/>
      <c r="AM8" s="529"/>
      <c r="AN8" s="529"/>
      <c r="AO8" s="529"/>
      <c r="AP8" s="529"/>
      <c r="AQ8" s="531"/>
      <c r="AR8" s="525"/>
      <c r="AS8" s="525"/>
      <c r="AT8" s="529"/>
      <c r="AU8" s="529"/>
      <c r="AV8" s="529"/>
      <c r="AW8" s="529"/>
      <c r="AX8" s="529"/>
      <c r="AY8" s="529"/>
      <c r="AZ8" s="528"/>
      <c r="BA8" s="525"/>
      <c r="BB8" s="525"/>
      <c r="BC8" s="529"/>
      <c r="BD8" s="529"/>
      <c r="BE8" s="529"/>
      <c r="BF8" s="529"/>
      <c r="BG8" s="529"/>
      <c r="BH8" s="529"/>
      <c r="BI8" s="532"/>
      <c r="BJ8" s="533"/>
      <c r="BK8" s="533"/>
      <c r="BL8" s="529"/>
      <c r="BM8" s="529"/>
      <c r="BN8" s="529"/>
      <c r="BO8" s="529"/>
      <c r="BP8" s="529"/>
      <c r="BQ8" s="529"/>
      <c r="BR8" s="534"/>
      <c r="BS8" s="535"/>
      <c r="BT8" s="535"/>
      <c r="BU8" s="525"/>
      <c r="BV8" s="525"/>
      <c r="BW8" s="525"/>
      <c r="BX8" s="525"/>
      <c r="BY8" s="525"/>
      <c r="BZ8" s="525"/>
      <c r="CA8" s="536" t="s">
        <v>562</v>
      </c>
      <c r="CB8" s="537" t="s">
        <v>518</v>
      </c>
      <c r="CC8" s="537" t="s">
        <v>558</v>
      </c>
      <c r="CD8" s="538">
        <v>0.55549999999999999</v>
      </c>
      <c r="CE8" s="538">
        <v>0.55189999999999995</v>
      </c>
      <c r="CF8" s="538">
        <v>0.54120000000000001</v>
      </c>
      <c r="CG8" s="538">
        <v>0.61619999999999997</v>
      </c>
      <c r="CH8" s="538">
        <v>0.56159999999999999</v>
      </c>
      <c r="CI8" s="538">
        <v>0.56579999999999997</v>
      </c>
      <c r="CJ8" s="654" t="s">
        <v>562</v>
      </c>
      <c r="CK8" s="655">
        <v>42</v>
      </c>
      <c r="CL8" s="655">
        <v>33</v>
      </c>
      <c r="CM8" s="249">
        <v>0.54690000000000005</v>
      </c>
      <c r="CN8" s="249">
        <v>0.54149999999999998</v>
      </c>
      <c r="CO8" s="249">
        <v>0.51990000000000003</v>
      </c>
      <c r="CP8" s="249">
        <v>0.5877</v>
      </c>
      <c r="CQ8" s="249">
        <v>0.55640000000000001</v>
      </c>
      <c r="CR8" s="249">
        <v>0.54959999999999998</v>
      </c>
    </row>
    <row r="9" spans="1:96" x14ac:dyDescent="0.3">
      <c r="A9" s="62" t="s">
        <v>34</v>
      </c>
      <c r="B9" s="200" t="s">
        <v>519</v>
      </c>
      <c r="C9" s="200" t="s">
        <v>573</v>
      </c>
      <c r="D9" s="200" t="s">
        <v>422</v>
      </c>
      <c r="E9" s="200" t="s">
        <v>794</v>
      </c>
      <c r="F9" s="200" t="s">
        <v>222</v>
      </c>
      <c r="G9" s="240" t="s">
        <v>410</v>
      </c>
      <c r="H9" s="241" t="s">
        <v>541</v>
      </c>
      <c r="I9" s="241" t="s">
        <v>541</v>
      </c>
      <c r="J9" s="241">
        <v>0.68540000000000001</v>
      </c>
      <c r="K9" s="241">
        <v>0.66859999999999997</v>
      </c>
      <c r="L9" s="241">
        <v>0.66990000000000005</v>
      </c>
      <c r="M9" s="241">
        <v>0.69710000000000005</v>
      </c>
      <c r="N9" s="241">
        <v>0.69689999999999996</v>
      </c>
      <c r="O9" s="241">
        <v>0.68149999999999999</v>
      </c>
      <c r="P9" s="248" t="s">
        <v>410</v>
      </c>
      <c r="Q9" s="249" t="s">
        <v>802</v>
      </c>
      <c r="R9" s="249" t="s">
        <v>802</v>
      </c>
      <c r="S9" s="249">
        <v>0.69679999999999997</v>
      </c>
      <c r="T9" s="249">
        <v>0.68559999999999999</v>
      </c>
      <c r="U9" s="249">
        <v>0.67710000000000004</v>
      </c>
      <c r="V9" s="249">
        <v>0.70689999999999997</v>
      </c>
      <c r="W9" s="249">
        <v>0.7006</v>
      </c>
      <c r="X9" s="249">
        <v>0.69230000000000003</v>
      </c>
      <c r="Y9" s="204" t="s">
        <v>410</v>
      </c>
      <c r="Z9" s="200" t="s">
        <v>676</v>
      </c>
      <c r="AA9" s="200" t="s">
        <v>676</v>
      </c>
      <c r="AB9" s="203">
        <v>0.70150000000000001</v>
      </c>
      <c r="AC9" s="203">
        <v>0.70909999999999995</v>
      </c>
      <c r="AD9" s="203">
        <v>0.68689999999999996</v>
      </c>
      <c r="AE9" s="203">
        <v>0.7177</v>
      </c>
      <c r="AF9" s="203">
        <v>0.70720000000000005</v>
      </c>
      <c r="AG9" s="203">
        <v>0.70409999999999995</v>
      </c>
      <c r="AH9" s="226" t="s">
        <v>410</v>
      </c>
      <c r="AI9" s="200" t="s">
        <v>612</v>
      </c>
      <c r="AJ9" s="200" t="s">
        <v>472</v>
      </c>
      <c r="AK9" s="203">
        <v>0.69710000000000005</v>
      </c>
      <c r="AL9" s="203">
        <v>0.71120000000000005</v>
      </c>
      <c r="AM9" s="203">
        <v>0.69159999999999999</v>
      </c>
      <c r="AN9" s="203">
        <v>0.7208</v>
      </c>
      <c r="AO9" s="203">
        <v>0.69220000000000004</v>
      </c>
      <c r="AP9" s="203">
        <v>0.70420000000000005</v>
      </c>
      <c r="AQ9" s="205" t="s">
        <v>410</v>
      </c>
      <c r="AR9" s="200" t="s">
        <v>520</v>
      </c>
      <c r="AS9" s="200" t="s">
        <v>521</v>
      </c>
      <c r="AT9" s="203">
        <v>0.68130000000000002</v>
      </c>
      <c r="AU9" s="203">
        <v>0.69040000000000001</v>
      </c>
      <c r="AV9" s="203">
        <v>0.67079999999999995</v>
      </c>
      <c r="AW9" s="203">
        <v>0.72460000000000002</v>
      </c>
      <c r="AX9" s="203">
        <v>0.68930000000000002</v>
      </c>
      <c r="AY9" s="203">
        <v>0.69159999999999999</v>
      </c>
      <c r="AZ9" s="207" t="s">
        <v>546</v>
      </c>
      <c r="BA9" s="200" t="s">
        <v>520</v>
      </c>
      <c r="BB9" s="200" t="s">
        <v>711</v>
      </c>
      <c r="BC9" s="203">
        <v>0.66059999999999997</v>
      </c>
      <c r="BD9" s="203">
        <v>0.65720000000000001</v>
      </c>
      <c r="BE9" s="203">
        <v>0.63670000000000004</v>
      </c>
      <c r="BF9" s="203">
        <v>0.71560000000000001</v>
      </c>
      <c r="BG9" s="203">
        <v>0.66890000000000005</v>
      </c>
      <c r="BH9" s="203">
        <v>0.66759999999999997</v>
      </c>
      <c r="BI9" s="206" t="s">
        <v>546</v>
      </c>
      <c r="BJ9" s="222">
        <v>139</v>
      </c>
      <c r="BK9" s="222">
        <v>135</v>
      </c>
      <c r="BL9" s="203">
        <v>0.66979999999999995</v>
      </c>
      <c r="BM9" s="203">
        <v>0.63880000000000003</v>
      </c>
      <c r="BN9" s="203">
        <v>0.61939999999999995</v>
      </c>
      <c r="BO9" s="203">
        <v>0.71340000000000003</v>
      </c>
      <c r="BP9" s="203">
        <v>0.6694</v>
      </c>
      <c r="BQ9" s="203">
        <v>0.66100000000000003</v>
      </c>
      <c r="BR9" s="410" t="s">
        <v>410</v>
      </c>
      <c r="BS9" s="415">
        <v>129</v>
      </c>
      <c r="BT9" s="415">
        <v>129</v>
      </c>
      <c r="BU9" s="389">
        <v>0.68510000000000004</v>
      </c>
      <c r="BV9" s="389">
        <v>0.66020000000000001</v>
      </c>
      <c r="BW9" s="389">
        <v>0.64480000000000004</v>
      </c>
      <c r="BX9" s="389">
        <v>0.72460000000000002</v>
      </c>
      <c r="BY9" s="389">
        <v>0.68630000000000002</v>
      </c>
      <c r="BZ9" s="389">
        <v>0.67920000000000003</v>
      </c>
      <c r="CA9" s="539" t="s">
        <v>410</v>
      </c>
      <c r="CB9" s="537" t="s">
        <v>480</v>
      </c>
      <c r="CC9" s="537" t="s">
        <v>480</v>
      </c>
      <c r="CD9" s="538">
        <v>0.70189999999999997</v>
      </c>
      <c r="CE9" s="538">
        <v>0.67310000000000003</v>
      </c>
      <c r="CF9" s="538">
        <v>0.66290000000000004</v>
      </c>
      <c r="CG9" s="538">
        <v>0.72919999999999996</v>
      </c>
      <c r="CH9" s="538">
        <v>0.69359999999999999</v>
      </c>
      <c r="CI9" s="538">
        <v>0.69189999999999996</v>
      </c>
      <c r="CJ9" s="656" t="s">
        <v>410</v>
      </c>
      <c r="CK9" s="655">
        <v>96</v>
      </c>
      <c r="CL9" s="655">
        <v>96</v>
      </c>
      <c r="CM9" s="249">
        <v>0.70909999999999995</v>
      </c>
      <c r="CN9" s="249">
        <v>0.68640000000000001</v>
      </c>
      <c r="CO9" s="249">
        <v>0.67669999999999997</v>
      </c>
      <c r="CP9" s="249">
        <v>0.73819999999999997</v>
      </c>
      <c r="CQ9" s="249">
        <v>0.71460000000000001</v>
      </c>
      <c r="CR9" s="249">
        <v>0.70350000000000001</v>
      </c>
    </row>
    <row r="10" spans="1:96" x14ac:dyDescent="0.3">
      <c r="A10" s="62" t="s">
        <v>273</v>
      </c>
      <c r="B10" s="200" t="s">
        <v>55</v>
      </c>
      <c r="C10" s="200" t="s">
        <v>573</v>
      </c>
      <c r="D10" s="200" t="s">
        <v>422</v>
      </c>
      <c r="E10" s="200" t="s">
        <v>794</v>
      </c>
      <c r="F10" s="200" t="s">
        <v>222</v>
      </c>
      <c r="G10" s="242" t="s">
        <v>546</v>
      </c>
      <c r="H10" s="241" t="s">
        <v>804</v>
      </c>
      <c r="I10" s="241" t="s">
        <v>724</v>
      </c>
      <c r="J10" s="241">
        <v>0.66339999999999999</v>
      </c>
      <c r="K10" s="241">
        <v>0.65429999999999999</v>
      </c>
      <c r="L10" s="241">
        <v>0.65790000000000004</v>
      </c>
      <c r="M10" s="241">
        <v>0.64790000000000003</v>
      </c>
      <c r="N10" s="241">
        <v>0.64059999999999995</v>
      </c>
      <c r="O10" s="241">
        <v>0.65469999999999995</v>
      </c>
      <c r="P10" s="239"/>
      <c r="Q10" s="200"/>
      <c r="R10" s="200"/>
      <c r="S10" s="200"/>
      <c r="T10" s="200"/>
      <c r="U10" s="200"/>
      <c r="V10" s="200"/>
      <c r="W10" s="200"/>
      <c r="X10" s="200"/>
      <c r="Y10" s="200"/>
      <c r="Z10" s="200"/>
      <c r="AA10" s="200"/>
      <c r="AB10" s="203"/>
      <c r="AC10" s="203"/>
      <c r="AD10" s="203"/>
      <c r="AE10" s="203"/>
      <c r="AF10" s="203"/>
      <c r="AG10" s="203"/>
      <c r="AH10" s="228"/>
      <c r="AI10" s="200"/>
      <c r="AJ10" s="200"/>
      <c r="AK10" s="203"/>
      <c r="AL10" s="203"/>
      <c r="AM10" s="203"/>
      <c r="AN10" s="203"/>
      <c r="AO10" s="203"/>
      <c r="AP10" s="203"/>
      <c r="AQ10" s="208" t="s">
        <v>546</v>
      </c>
      <c r="AR10" s="200" t="s">
        <v>491</v>
      </c>
      <c r="AS10" s="200" t="s">
        <v>554</v>
      </c>
      <c r="AT10" s="203">
        <v>0.64839999999999998</v>
      </c>
      <c r="AU10" s="203">
        <v>0.64959999999999996</v>
      </c>
      <c r="AV10" s="203">
        <v>0.63670000000000004</v>
      </c>
      <c r="AW10" s="203">
        <v>0.69910000000000005</v>
      </c>
      <c r="AX10" s="203">
        <v>0.63619999999999999</v>
      </c>
      <c r="AY10" s="203">
        <v>0.65669999999999995</v>
      </c>
      <c r="AZ10" s="207" t="s">
        <v>546</v>
      </c>
      <c r="BA10" s="200" t="s">
        <v>445</v>
      </c>
      <c r="BB10" s="200" t="s">
        <v>467</v>
      </c>
      <c r="BC10" s="203">
        <v>0.64419999999999999</v>
      </c>
      <c r="BD10" s="203">
        <v>0.62980000000000003</v>
      </c>
      <c r="BE10" s="203">
        <v>0.62560000000000004</v>
      </c>
      <c r="BF10" s="203">
        <v>0.69950000000000001</v>
      </c>
      <c r="BG10" s="203">
        <v>0.61929999999999996</v>
      </c>
      <c r="BH10" s="203">
        <v>0.64749999999999996</v>
      </c>
      <c r="BI10" s="206" t="s">
        <v>546</v>
      </c>
      <c r="BJ10" s="222">
        <v>120</v>
      </c>
      <c r="BK10" s="222">
        <v>118</v>
      </c>
      <c r="BL10" s="203">
        <v>0.64900000000000002</v>
      </c>
      <c r="BM10" s="203">
        <v>0.63160000000000005</v>
      </c>
      <c r="BN10" s="203">
        <v>0.60750000000000004</v>
      </c>
      <c r="BO10" s="203">
        <v>0.69420000000000004</v>
      </c>
      <c r="BP10" s="203">
        <v>0.61339999999999995</v>
      </c>
      <c r="BQ10" s="203">
        <v>0.6431</v>
      </c>
      <c r="BR10" s="412" t="s">
        <v>546</v>
      </c>
      <c r="BS10" s="415">
        <v>124</v>
      </c>
      <c r="BT10" s="415">
        <v>123</v>
      </c>
      <c r="BU10" s="389">
        <v>0.64480000000000004</v>
      </c>
      <c r="BV10" s="389">
        <v>0.63300000000000001</v>
      </c>
      <c r="BW10" s="389">
        <v>0.61029999999999995</v>
      </c>
      <c r="BX10" s="389">
        <v>0.69430000000000003</v>
      </c>
      <c r="BY10" s="389">
        <v>0.61619999999999997</v>
      </c>
      <c r="BZ10" s="389">
        <v>0.64339999999999997</v>
      </c>
      <c r="CA10" s="540" t="s">
        <v>546</v>
      </c>
      <c r="CB10" s="537" t="s">
        <v>470</v>
      </c>
      <c r="CC10" s="537" t="s">
        <v>491</v>
      </c>
      <c r="CD10" s="538">
        <v>0.65310000000000001</v>
      </c>
      <c r="CE10" s="538">
        <v>0.61919999999999997</v>
      </c>
      <c r="CF10" s="538">
        <v>0.6079</v>
      </c>
      <c r="CG10" s="538">
        <v>0.69610000000000005</v>
      </c>
      <c r="CH10" s="538">
        <v>0.61770000000000003</v>
      </c>
      <c r="CI10" s="538">
        <v>0.64200000000000002</v>
      </c>
    </row>
    <row r="11" spans="1:96" x14ac:dyDescent="0.3">
      <c r="A11" s="62" t="s">
        <v>296</v>
      </c>
      <c r="B11" s="200" t="s">
        <v>495</v>
      </c>
      <c r="C11" s="200" t="s">
        <v>573</v>
      </c>
      <c r="D11" s="200" t="s">
        <v>422</v>
      </c>
      <c r="E11" s="200" t="s">
        <v>794</v>
      </c>
      <c r="F11" s="200" t="s">
        <v>222</v>
      </c>
      <c r="G11" s="200"/>
      <c r="H11" s="200"/>
      <c r="I11" s="200"/>
      <c r="J11" s="200"/>
      <c r="K11" s="200"/>
      <c r="L11" s="200"/>
      <c r="M11" s="200"/>
      <c r="N11" s="200"/>
      <c r="O11" s="200"/>
      <c r="P11" s="239"/>
      <c r="Q11" s="200"/>
      <c r="R11" s="200"/>
      <c r="S11" s="200"/>
      <c r="T11" s="200"/>
      <c r="U11" s="200"/>
      <c r="V11" s="200"/>
      <c r="W11" s="200"/>
      <c r="X11" s="200"/>
      <c r="Y11" s="200"/>
      <c r="Z11" s="200"/>
      <c r="AA11" s="200"/>
      <c r="AB11" s="203"/>
      <c r="AC11" s="203"/>
      <c r="AD11" s="203"/>
      <c r="AE11" s="203"/>
      <c r="AF11" s="203"/>
      <c r="AG11" s="203"/>
      <c r="AH11" s="228"/>
      <c r="AI11" s="200"/>
      <c r="AJ11" s="200"/>
      <c r="AK11" s="203"/>
      <c r="AL11" s="203"/>
      <c r="AM11" s="203"/>
      <c r="AN11" s="203"/>
      <c r="AO11" s="203"/>
      <c r="AP11" s="203"/>
      <c r="AQ11" s="205" t="s">
        <v>410</v>
      </c>
      <c r="AR11" s="200" t="s">
        <v>496</v>
      </c>
      <c r="AS11" s="200" t="s">
        <v>496</v>
      </c>
      <c r="AT11" s="203">
        <v>0.70820000000000005</v>
      </c>
      <c r="AU11" s="203">
        <v>0.72309999999999997</v>
      </c>
      <c r="AV11" s="203">
        <v>0.67430000000000001</v>
      </c>
      <c r="AW11" s="203">
        <v>0.72270000000000001</v>
      </c>
      <c r="AX11" s="203">
        <v>0.68</v>
      </c>
      <c r="AY11" s="203">
        <v>0.70499999999999996</v>
      </c>
      <c r="AZ11" s="204" t="s">
        <v>410</v>
      </c>
      <c r="BA11" s="200" t="s">
        <v>538</v>
      </c>
      <c r="BB11" s="200" t="s">
        <v>538</v>
      </c>
      <c r="BC11" s="203">
        <v>0.69469999999999998</v>
      </c>
      <c r="BD11" s="203">
        <v>0.69399999999999995</v>
      </c>
      <c r="BE11" s="203">
        <v>0.65769999999999995</v>
      </c>
      <c r="BF11" s="203">
        <v>0.70720000000000005</v>
      </c>
      <c r="BG11" s="203">
        <v>0.67130000000000001</v>
      </c>
      <c r="BH11" s="203">
        <v>0.68710000000000004</v>
      </c>
      <c r="BI11" s="201" t="s">
        <v>410</v>
      </c>
      <c r="BJ11" s="222">
        <v>56</v>
      </c>
      <c r="BK11" s="222">
        <v>55</v>
      </c>
      <c r="BL11" s="203">
        <v>0.68289999999999995</v>
      </c>
      <c r="BM11" s="203">
        <v>0.66830000000000001</v>
      </c>
      <c r="BN11" s="203">
        <v>0.64470000000000005</v>
      </c>
      <c r="BO11" s="203">
        <v>0.69230000000000003</v>
      </c>
      <c r="BP11" s="203">
        <v>0.66039999999999999</v>
      </c>
      <c r="BQ11" s="203">
        <v>0.67120000000000002</v>
      </c>
      <c r="BR11" s="410" t="s">
        <v>410</v>
      </c>
      <c r="BS11" s="415">
        <v>63</v>
      </c>
      <c r="BT11" s="415">
        <v>63</v>
      </c>
      <c r="BU11" s="389">
        <v>0.68440000000000001</v>
      </c>
      <c r="BV11" s="389">
        <v>0.6522</v>
      </c>
      <c r="BW11" s="389">
        <v>0.64629999999999999</v>
      </c>
      <c r="BX11" s="389">
        <v>0.70189999999999997</v>
      </c>
      <c r="BY11" s="389">
        <v>0.66779999999999995</v>
      </c>
      <c r="BZ11" s="389">
        <v>0.67090000000000005</v>
      </c>
      <c r="CA11" s="539" t="s">
        <v>410</v>
      </c>
      <c r="CB11" s="537" t="s">
        <v>640</v>
      </c>
      <c r="CC11" s="537" t="s">
        <v>640</v>
      </c>
      <c r="CD11" s="538">
        <v>0.70499999999999996</v>
      </c>
      <c r="CE11" s="538">
        <v>0.66020000000000001</v>
      </c>
      <c r="CF11" s="538">
        <v>0.66259999999999997</v>
      </c>
      <c r="CG11" s="538">
        <v>0.71870000000000001</v>
      </c>
      <c r="CH11" s="538">
        <v>0.69899999999999995</v>
      </c>
      <c r="CI11" s="538">
        <v>0.68759999999999999</v>
      </c>
      <c r="CJ11" s="656" t="s">
        <v>410</v>
      </c>
      <c r="CK11" s="655">
        <v>61</v>
      </c>
      <c r="CL11" s="655">
        <v>61</v>
      </c>
      <c r="CM11" s="249">
        <v>0.71599999999999997</v>
      </c>
      <c r="CN11" s="249">
        <v>0.68679999999999997</v>
      </c>
      <c r="CO11" s="249">
        <v>0.69399999999999995</v>
      </c>
      <c r="CP11" s="249">
        <v>0.74419999999999997</v>
      </c>
      <c r="CQ11" s="249">
        <v>0.72050000000000003</v>
      </c>
      <c r="CR11" s="249">
        <v>0.71099999999999997</v>
      </c>
    </row>
    <row r="12" spans="1:96" x14ac:dyDescent="0.3">
      <c r="A12" s="62" t="s">
        <v>269</v>
      </c>
      <c r="B12" s="200" t="s">
        <v>275</v>
      </c>
      <c r="C12" s="200" t="s">
        <v>573</v>
      </c>
      <c r="D12" s="200" t="s">
        <v>422</v>
      </c>
      <c r="E12" s="200" t="s">
        <v>794</v>
      </c>
      <c r="F12" s="200" t="s">
        <v>222</v>
      </c>
      <c r="G12" s="200"/>
      <c r="H12" s="200"/>
      <c r="I12" s="200"/>
      <c r="J12" s="200"/>
      <c r="K12" s="200"/>
      <c r="L12" s="200"/>
      <c r="M12" s="200"/>
      <c r="N12" s="200"/>
      <c r="O12" s="200"/>
      <c r="P12" s="251" t="s">
        <v>562</v>
      </c>
      <c r="Q12" s="249" t="s">
        <v>565</v>
      </c>
      <c r="R12" s="249" t="s">
        <v>566</v>
      </c>
      <c r="S12" s="249">
        <v>0.59299999999999997</v>
      </c>
      <c r="T12" s="249">
        <v>0.63929999999999998</v>
      </c>
      <c r="U12" s="249">
        <v>0.59119999999999995</v>
      </c>
      <c r="V12" s="249">
        <v>0.58679999999999999</v>
      </c>
      <c r="W12" s="249">
        <v>0.61029999999999995</v>
      </c>
      <c r="X12" s="249">
        <v>0.60319999999999996</v>
      </c>
      <c r="Y12" s="209" t="s">
        <v>562</v>
      </c>
      <c r="Z12" s="200" t="s">
        <v>565</v>
      </c>
      <c r="AA12" s="200" t="s">
        <v>566</v>
      </c>
      <c r="AB12" s="203">
        <v>0.59299999999999997</v>
      </c>
      <c r="AC12" s="203">
        <v>0.63929999999999998</v>
      </c>
      <c r="AD12" s="203">
        <v>0.59119999999999995</v>
      </c>
      <c r="AE12" s="203">
        <v>0.58679999999999999</v>
      </c>
      <c r="AF12" s="203">
        <v>0.61029999999999995</v>
      </c>
      <c r="AG12" s="203">
        <v>0.60319999999999996</v>
      </c>
      <c r="AH12" s="229" t="s">
        <v>562</v>
      </c>
      <c r="AI12" s="200" t="s">
        <v>565</v>
      </c>
      <c r="AJ12" s="200" t="s">
        <v>566</v>
      </c>
      <c r="AK12" s="203">
        <v>0.59299999999999997</v>
      </c>
      <c r="AL12" s="203">
        <v>0.63929999999999998</v>
      </c>
      <c r="AM12" s="203">
        <v>0.59119999999999995</v>
      </c>
      <c r="AN12" s="203">
        <v>0.58679999999999999</v>
      </c>
      <c r="AO12" s="203">
        <v>0.61029999999999995</v>
      </c>
      <c r="AP12" s="203">
        <v>0.60319999999999996</v>
      </c>
      <c r="AQ12" s="210" t="s">
        <v>562</v>
      </c>
      <c r="AR12" s="200" t="s">
        <v>565</v>
      </c>
      <c r="AS12" s="200" t="s">
        <v>566</v>
      </c>
      <c r="AT12" s="203">
        <v>0.59299999999999997</v>
      </c>
      <c r="AU12" s="203">
        <v>0.63929999999999998</v>
      </c>
      <c r="AV12" s="203">
        <v>0.59119999999999995</v>
      </c>
      <c r="AW12" s="203">
        <v>0.58679999999999999</v>
      </c>
      <c r="AX12" s="203">
        <v>0.61029999999999995</v>
      </c>
      <c r="AY12" s="203">
        <v>0.60319999999999996</v>
      </c>
      <c r="AZ12" s="209" t="s">
        <v>562</v>
      </c>
      <c r="BA12" s="200" t="s">
        <v>565</v>
      </c>
      <c r="BB12" s="200" t="s">
        <v>566</v>
      </c>
      <c r="BC12" s="203">
        <v>0.59299999999999997</v>
      </c>
      <c r="BD12" s="203">
        <v>0.63929999999999998</v>
      </c>
      <c r="BE12" s="203">
        <v>0.59119999999999995</v>
      </c>
      <c r="BF12" s="203">
        <v>0.58679999999999999</v>
      </c>
      <c r="BG12" s="203">
        <v>0.61029999999999995</v>
      </c>
      <c r="BH12" s="203">
        <v>0.60319999999999996</v>
      </c>
      <c r="BI12" s="200"/>
      <c r="BJ12" s="222"/>
      <c r="BK12" s="222"/>
      <c r="BL12" s="203"/>
      <c r="BM12" s="203"/>
      <c r="BN12" s="203"/>
      <c r="BO12" s="203"/>
      <c r="BP12" s="203"/>
      <c r="BQ12" s="203"/>
      <c r="BS12" s="389"/>
      <c r="BT12" s="389"/>
      <c r="BU12" s="389"/>
      <c r="BV12" s="389"/>
      <c r="BW12" s="389"/>
      <c r="BX12" s="389"/>
      <c r="BY12" s="389"/>
      <c r="BZ12" s="389"/>
      <c r="CJ12" s="656" t="s">
        <v>410</v>
      </c>
      <c r="CK12" s="655">
        <v>16</v>
      </c>
      <c r="CL12" s="655">
        <v>16</v>
      </c>
      <c r="CM12" s="249">
        <v>0.71840000000000004</v>
      </c>
      <c r="CN12" s="249">
        <v>0.68730000000000002</v>
      </c>
      <c r="CO12" s="249">
        <v>0.69040000000000001</v>
      </c>
      <c r="CP12" s="249">
        <v>0.74760000000000004</v>
      </c>
      <c r="CQ12" s="249">
        <v>0.72770000000000001</v>
      </c>
      <c r="CR12" s="249">
        <v>0.71220000000000006</v>
      </c>
    </row>
    <row r="13" spans="1:96" x14ac:dyDescent="0.3">
      <c r="A13" s="666" t="s">
        <v>1120</v>
      </c>
      <c r="B13" s="659" t="s">
        <v>953</v>
      </c>
      <c r="C13" s="659" t="s">
        <v>573</v>
      </c>
      <c r="D13" s="659" t="s">
        <v>222</v>
      </c>
      <c r="E13" s="200" t="s">
        <v>794</v>
      </c>
      <c r="F13" s="659" t="s">
        <v>222</v>
      </c>
      <c r="G13" s="657"/>
      <c r="H13" s="657"/>
      <c r="I13" s="657"/>
      <c r="J13" s="657"/>
      <c r="K13" s="657"/>
      <c r="L13" s="657"/>
      <c r="M13" s="657"/>
      <c r="N13" s="657"/>
      <c r="O13" s="657"/>
      <c r="P13" s="658"/>
      <c r="Q13" s="659"/>
      <c r="R13" s="659"/>
      <c r="S13" s="659"/>
      <c r="T13" s="659"/>
      <c r="U13" s="659"/>
      <c r="V13" s="659"/>
      <c r="W13" s="659"/>
      <c r="X13" s="659"/>
      <c r="Y13" s="660"/>
      <c r="Z13" s="657"/>
      <c r="AA13" s="657"/>
      <c r="AB13" s="661"/>
      <c r="AC13" s="661"/>
      <c r="AD13" s="661"/>
      <c r="AE13" s="661"/>
      <c r="AF13" s="661"/>
      <c r="AG13" s="661"/>
      <c r="AH13" s="662"/>
      <c r="AI13" s="657"/>
      <c r="AJ13" s="657"/>
      <c r="AK13" s="661"/>
      <c r="AL13" s="661"/>
      <c r="AM13" s="661"/>
      <c r="AN13" s="661"/>
      <c r="AO13" s="661"/>
      <c r="AP13" s="661"/>
      <c r="AQ13" s="663"/>
      <c r="AR13" s="657"/>
      <c r="AS13" s="657"/>
      <c r="AT13" s="661"/>
      <c r="AU13" s="661"/>
      <c r="AV13" s="661"/>
      <c r="AW13" s="661"/>
      <c r="AX13" s="661"/>
      <c r="AY13" s="661"/>
      <c r="AZ13" s="660"/>
      <c r="BA13" s="657"/>
      <c r="BB13" s="657"/>
      <c r="BC13" s="661"/>
      <c r="BD13" s="661"/>
      <c r="BE13" s="661"/>
      <c r="BF13" s="661"/>
      <c r="BG13" s="661"/>
      <c r="BH13" s="661"/>
      <c r="BI13" s="657"/>
      <c r="BJ13" s="664"/>
      <c r="BK13" s="664"/>
      <c r="BL13" s="661"/>
      <c r="BM13" s="661"/>
      <c r="BN13" s="661"/>
      <c r="BO13" s="661"/>
      <c r="BP13" s="661"/>
      <c r="BQ13" s="661"/>
      <c r="BS13" s="657"/>
      <c r="BT13" s="657"/>
      <c r="BU13" s="657"/>
      <c r="BV13" s="657"/>
      <c r="BW13" s="657"/>
      <c r="BX13" s="657"/>
      <c r="BY13" s="657"/>
      <c r="BZ13" s="657"/>
      <c r="CJ13" s="667" t="s">
        <v>409</v>
      </c>
      <c r="CK13" s="668">
        <v>10</v>
      </c>
      <c r="CL13" s="668">
        <v>10</v>
      </c>
      <c r="CM13" s="659">
        <v>0.73629999999999995</v>
      </c>
      <c r="CN13" s="659">
        <v>0.71040000000000003</v>
      </c>
      <c r="CO13" s="659">
        <v>0.70209999999999995</v>
      </c>
      <c r="CP13" s="659">
        <v>0.75519999999999998</v>
      </c>
      <c r="CQ13" s="659">
        <v>0.75949999999999995</v>
      </c>
      <c r="CR13" s="659">
        <v>0.72860000000000003</v>
      </c>
    </row>
    <row r="14" spans="1:96" x14ac:dyDescent="0.3">
      <c r="A14" s="62" t="s">
        <v>63</v>
      </c>
      <c r="B14" s="200" t="s">
        <v>62</v>
      </c>
      <c r="C14" s="200" t="s">
        <v>573</v>
      </c>
      <c r="D14" s="200" t="s">
        <v>422</v>
      </c>
      <c r="E14" s="200" t="s">
        <v>794</v>
      </c>
      <c r="F14" s="200" t="s">
        <v>222</v>
      </c>
      <c r="G14" s="242" t="s">
        <v>546</v>
      </c>
      <c r="H14" s="241" t="s">
        <v>468</v>
      </c>
      <c r="I14" s="241" t="s">
        <v>469</v>
      </c>
      <c r="J14" s="241">
        <v>0.63270000000000004</v>
      </c>
      <c r="K14" s="241">
        <v>0.63870000000000005</v>
      </c>
      <c r="L14" s="241">
        <v>0.65580000000000005</v>
      </c>
      <c r="M14" s="241">
        <v>0.65390000000000004</v>
      </c>
      <c r="N14" s="241">
        <v>0.62409999999999999</v>
      </c>
      <c r="O14" s="241">
        <v>0.64359999999999995</v>
      </c>
      <c r="P14" s="250" t="s">
        <v>546</v>
      </c>
      <c r="Q14" s="249" t="s">
        <v>82</v>
      </c>
      <c r="R14" s="249" t="s">
        <v>550</v>
      </c>
      <c r="S14" s="249">
        <v>0.61460000000000004</v>
      </c>
      <c r="T14" s="249">
        <v>0.61629999999999996</v>
      </c>
      <c r="U14" s="249">
        <v>0.62229999999999996</v>
      </c>
      <c r="V14" s="249">
        <v>0.63080000000000003</v>
      </c>
      <c r="W14" s="249">
        <v>0.61599999999999999</v>
      </c>
      <c r="X14" s="249">
        <v>0.62060000000000004</v>
      </c>
      <c r="Y14" s="207" t="s">
        <v>546</v>
      </c>
      <c r="Z14" s="200" t="s">
        <v>575</v>
      </c>
      <c r="AA14" s="200" t="s">
        <v>163</v>
      </c>
      <c r="AB14" s="203">
        <v>0.61860000000000004</v>
      </c>
      <c r="AC14" s="203">
        <v>0.63149999999999995</v>
      </c>
      <c r="AD14" s="203">
        <v>0.61250000000000004</v>
      </c>
      <c r="AE14" s="203">
        <v>0.63770000000000004</v>
      </c>
      <c r="AF14" s="203">
        <v>0.64029999999999998</v>
      </c>
      <c r="AG14" s="203">
        <v>0.62629999999999997</v>
      </c>
      <c r="AH14" s="227" t="s">
        <v>546</v>
      </c>
      <c r="AI14" s="200" t="s">
        <v>646</v>
      </c>
      <c r="AJ14" s="200" t="s">
        <v>647</v>
      </c>
      <c r="AK14" s="203">
        <v>0.60780000000000001</v>
      </c>
      <c r="AL14" s="203">
        <v>0.63390000000000002</v>
      </c>
      <c r="AM14" s="203">
        <v>0.60580000000000001</v>
      </c>
      <c r="AN14" s="203">
        <v>0.67279999999999995</v>
      </c>
      <c r="AO14" s="203">
        <v>0.64729999999999999</v>
      </c>
      <c r="AP14" s="203">
        <v>0.63139999999999996</v>
      </c>
      <c r="AQ14" s="205" t="s">
        <v>410</v>
      </c>
      <c r="AR14" s="200" t="s">
        <v>517</v>
      </c>
      <c r="AS14" s="200" t="s">
        <v>518</v>
      </c>
      <c r="AT14" s="203">
        <v>0.64280000000000004</v>
      </c>
      <c r="AU14" s="203">
        <v>0.70909999999999995</v>
      </c>
      <c r="AV14" s="203">
        <v>0.67120000000000002</v>
      </c>
      <c r="AW14" s="203">
        <v>0.74129999999999996</v>
      </c>
      <c r="AX14" s="203">
        <v>0.70240000000000002</v>
      </c>
      <c r="AY14" s="203">
        <v>0.69199999999999995</v>
      </c>
      <c r="AZ14" s="211" t="s">
        <v>409</v>
      </c>
      <c r="BA14" s="200" t="s">
        <v>517</v>
      </c>
      <c r="BB14" s="200" t="s">
        <v>517</v>
      </c>
      <c r="BC14" s="203">
        <v>0.70920000000000005</v>
      </c>
      <c r="BD14" s="203">
        <v>0.73380000000000001</v>
      </c>
      <c r="BE14" s="203">
        <v>0.71120000000000005</v>
      </c>
      <c r="BF14" s="203">
        <v>0.77829999999999999</v>
      </c>
      <c r="BG14" s="203">
        <v>0.72470000000000001</v>
      </c>
      <c r="BH14" s="203">
        <v>0.73250000000000004</v>
      </c>
      <c r="BI14" s="201" t="s">
        <v>410</v>
      </c>
      <c r="BJ14" s="222">
        <v>33</v>
      </c>
      <c r="BK14" s="222">
        <v>33</v>
      </c>
      <c r="BL14" s="203">
        <v>0.69230000000000003</v>
      </c>
      <c r="BM14" s="203">
        <v>0.69820000000000004</v>
      </c>
      <c r="BN14" s="203">
        <v>0.68169999999999997</v>
      </c>
      <c r="BO14" s="203">
        <v>0.74570000000000003</v>
      </c>
      <c r="BP14" s="203">
        <v>0.71240000000000003</v>
      </c>
      <c r="BQ14" s="203">
        <v>0.70509999999999995</v>
      </c>
      <c r="BR14" s="410" t="s">
        <v>410</v>
      </c>
      <c r="BS14" s="391">
        <v>45</v>
      </c>
      <c r="BT14" s="391">
        <v>44</v>
      </c>
      <c r="BU14" s="391">
        <v>0.6895</v>
      </c>
      <c r="BV14" s="391">
        <v>0.68179999999999996</v>
      </c>
      <c r="BW14" s="391">
        <v>0.69640000000000002</v>
      </c>
      <c r="BX14" s="391">
        <v>0.73729999999999996</v>
      </c>
      <c r="BY14" s="391">
        <v>0.69540000000000002</v>
      </c>
      <c r="BZ14" s="391">
        <v>0.70079999999999998</v>
      </c>
      <c r="CA14" s="539" t="s">
        <v>410</v>
      </c>
      <c r="CB14" s="537" t="s">
        <v>640</v>
      </c>
      <c r="CC14" s="537" t="s">
        <v>426</v>
      </c>
      <c r="CD14" s="538">
        <v>0.68200000000000005</v>
      </c>
      <c r="CE14" s="538">
        <v>0.66890000000000005</v>
      </c>
      <c r="CF14" s="538">
        <v>0.66990000000000005</v>
      </c>
      <c r="CG14" s="538">
        <v>0.72060000000000002</v>
      </c>
      <c r="CH14" s="538">
        <v>0.67779999999999996</v>
      </c>
      <c r="CI14" s="538">
        <v>0.68469999999999998</v>
      </c>
    </row>
    <row r="15" spans="1:96" x14ac:dyDescent="0.3">
      <c r="A15" s="62" t="s">
        <v>44</v>
      </c>
      <c r="B15" s="200" t="s">
        <v>43</v>
      </c>
      <c r="C15" s="200" t="s">
        <v>573</v>
      </c>
      <c r="D15" s="200" t="s">
        <v>422</v>
      </c>
      <c r="E15" s="200" t="s">
        <v>794</v>
      </c>
      <c r="F15" s="200" t="s">
        <v>222</v>
      </c>
      <c r="G15" s="242" t="s">
        <v>546</v>
      </c>
      <c r="H15" s="241" t="s">
        <v>469</v>
      </c>
      <c r="I15" s="241" t="s">
        <v>423</v>
      </c>
      <c r="J15" s="241">
        <v>0.64610000000000001</v>
      </c>
      <c r="K15" s="241">
        <v>0.64419999999999999</v>
      </c>
      <c r="L15" s="241">
        <v>0.66759999999999997</v>
      </c>
      <c r="M15" s="241">
        <v>0.65890000000000004</v>
      </c>
      <c r="N15" s="241">
        <v>0.67510000000000003</v>
      </c>
      <c r="O15" s="241">
        <v>0.65580000000000005</v>
      </c>
      <c r="P15" s="250" t="s">
        <v>546</v>
      </c>
      <c r="Q15" s="249" t="s">
        <v>469</v>
      </c>
      <c r="R15" s="249" t="s">
        <v>575</v>
      </c>
      <c r="S15" s="249">
        <v>0.64659999999999995</v>
      </c>
      <c r="T15" s="249">
        <v>0.63839999999999997</v>
      </c>
      <c r="U15" s="249">
        <v>0.64510000000000001</v>
      </c>
      <c r="V15" s="249">
        <v>0.64100000000000001</v>
      </c>
      <c r="W15" s="249">
        <v>0.65990000000000004</v>
      </c>
      <c r="X15" s="249">
        <v>0.64410000000000001</v>
      </c>
      <c r="Y15" s="207" t="s">
        <v>546</v>
      </c>
      <c r="Z15" s="200" t="s">
        <v>163</v>
      </c>
      <c r="AA15" s="200" t="s">
        <v>145</v>
      </c>
      <c r="AB15" s="203">
        <v>0.66569999999999996</v>
      </c>
      <c r="AC15" s="203">
        <v>0.65200000000000002</v>
      </c>
      <c r="AD15" s="203">
        <v>0.64119999999999999</v>
      </c>
      <c r="AE15" s="203">
        <v>0.65890000000000004</v>
      </c>
      <c r="AF15" s="203">
        <v>0.67149999999999999</v>
      </c>
      <c r="AG15" s="203">
        <v>0.65569999999999995</v>
      </c>
      <c r="AH15" s="227" t="s">
        <v>546</v>
      </c>
      <c r="AI15" s="200" t="s">
        <v>163</v>
      </c>
      <c r="AJ15" s="200" t="s">
        <v>145</v>
      </c>
      <c r="AK15" s="203">
        <v>0.66569999999999996</v>
      </c>
      <c r="AL15" s="203">
        <v>0.65200000000000002</v>
      </c>
      <c r="AM15" s="203">
        <v>0.64119999999999999</v>
      </c>
      <c r="AN15" s="203">
        <v>0.65890000000000004</v>
      </c>
      <c r="AO15" s="203">
        <v>0.67149999999999999</v>
      </c>
      <c r="AP15" s="203">
        <v>0.65569999999999995</v>
      </c>
      <c r="AQ15" s="208" t="s">
        <v>546</v>
      </c>
      <c r="AR15" s="200" t="s">
        <v>163</v>
      </c>
      <c r="AS15" s="200" t="s">
        <v>145</v>
      </c>
      <c r="AT15" s="203">
        <v>0.66569999999999996</v>
      </c>
      <c r="AU15" s="203">
        <v>0.65200000000000002</v>
      </c>
      <c r="AV15" s="203">
        <v>0.64119999999999999</v>
      </c>
      <c r="AW15" s="203">
        <v>0.65890000000000004</v>
      </c>
      <c r="AX15" s="203">
        <v>0.67149999999999999</v>
      </c>
      <c r="AY15" s="203">
        <v>0.65569999999999995</v>
      </c>
      <c r="AZ15" s="207" t="s">
        <v>546</v>
      </c>
      <c r="BA15" s="200" t="s">
        <v>163</v>
      </c>
      <c r="BB15" s="200" t="s">
        <v>145</v>
      </c>
      <c r="BC15" s="203">
        <v>0.66569999999999996</v>
      </c>
      <c r="BD15" s="203">
        <v>0.65200000000000002</v>
      </c>
      <c r="BE15" s="203">
        <v>0.64119999999999999</v>
      </c>
      <c r="BF15" s="203">
        <v>0.65890000000000004</v>
      </c>
      <c r="BG15" s="203">
        <v>0.67149999999999999</v>
      </c>
      <c r="BH15" s="203">
        <v>0.65569999999999995</v>
      </c>
      <c r="BI15" s="206" t="s">
        <v>546</v>
      </c>
      <c r="BJ15" s="222">
        <v>40</v>
      </c>
      <c r="BK15" s="222">
        <v>38</v>
      </c>
      <c r="BL15" s="203">
        <v>0.66569999999999996</v>
      </c>
      <c r="BM15" s="203">
        <v>0.65200000000000002</v>
      </c>
      <c r="BN15" s="203">
        <v>0.64119999999999999</v>
      </c>
      <c r="BO15" s="203">
        <v>0.65890000000000004</v>
      </c>
      <c r="BP15" s="203">
        <v>0.67149999999999999</v>
      </c>
      <c r="BQ15" s="203">
        <v>0.65569999999999995</v>
      </c>
      <c r="BS15" s="389"/>
      <c r="BT15" s="389"/>
      <c r="BU15" s="389"/>
      <c r="BV15" s="389"/>
      <c r="BW15" s="389"/>
      <c r="BX15" s="389"/>
      <c r="BY15" s="389"/>
      <c r="BZ15" s="389"/>
    </row>
    <row r="16" spans="1:96" x14ac:dyDescent="0.3">
      <c r="A16" s="62" t="s">
        <v>69</v>
      </c>
      <c r="B16" s="200" t="s">
        <v>68</v>
      </c>
      <c r="C16" s="200" t="s">
        <v>573</v>
      </c>
      <c r="D16" s="200" t="s">
        <v>422</v>
      </c>
      <c r="E16" s="200" t="s">
        <v>794</v>
      </c>
      <c r="F16" s="200" t="s">
        <v>222</v>
      </c>
      <c r="G16" s="242" t="s">
        <v>546</v>
      </c>
      <c r="H16" s="241" t="s">
        <v>82</v>
      </c>
      <c r="I16" s="241" t="s">
        <v>82</v>
      </c>
      <c r="J16" s="241">
        <v>0.64249999999999996</v>
      </c>
      <c r="K16" s="241">
        <v>0.64390000000000003</v>
      </c>
      <c r="L16" s="241">
        <v>0.65990000000000004</v>
      </c>
      <c r="M16" s="241">
        <v>0.64510000000000001</v>
      </c>
      <c r="N16" s="241">
        <v>0.624</v>
      </c>
      <c r="O16" s="241">
        <v>0.64600000000000002</v>
      </c>
      <c r="P16" s="250" t="s">
        <v>546</v>
      </c>
      <c r="Q16" s="249" t="s">
        <v>486</v>
      </c>
      <c r="R16" s="249" t="s">
        <v>486</v>
      </c>
      <c r="S16" s="249">
        <v>0.61650000000000005</v>
      </c>
      <c r="T16" s="249">
        <v>0.6321</v>
      </c>
      <c r="U16" s="249">
        <v>0.66059999999999997</v>
      </c>
      <c r="V16" s="249">
        <v>0.65820000000000001</v>
      </c>
      <c r="W16" s="249">
        <v>0.63439999999999996</v>
      </c>
      <c r="X16" s="249">
        <v>0.64129999999999998</v>
      </c>
      <c r="Y16" s="207" t="s">
        <v>546</v>
      </c>
      <c r="Z16" s="200" t="s">
        <v>145</v>
      </c>
      <c r="AA16" s="200" t="s">
        <v>145</v>
      </c>
      <c r="AB16" s="203">
        <v>0.60270000000000001</v>
      </c>
      <c r="AC16" s="203">
        <v>0.63649999999999995</v>
      </c>
      <c r="AD16" s="203">
        <v>0.629</v>
      </c>
      <c r="AE16" s="203">
        <v>0.67020000000000002</v>
      </c>
      <c r="AF16" s="203">
        <v>0.66420000000000001</v>
      </c>
      <c r="AG16" s="203">
        <v>0.63680000000000003</v>
      </c>
      <c r="AH16" s="227" t="s">
        <v>546</v>
      </c>
      <c r="AI16" s="200" t="s">
        <v>145</v>
      </c>
      <c r="AJ16" s="200" t="s">
        <v>145</v>
      </c>
      <c r="AK16" s="203">
        <v>0.60270000000000001</v>
      </c>
      <c r="AL16" s="203">
        <v>0.63649999999999995</v>
      </c>
      <c r="AM16" s="203">
        <v>0.629</v>
      </c>
      <c r="AN16" s="203">
        <v>0.67020000000000002</v>
      </c>
      <c r="AO16" s="203">
        <v>0.66420000000000001</v>
      </c>
      <c r="AP16" s="203">
        <v>0.63680000000000003</v>
      </c>
      <c r="AQ16" s="210" t="s">
        <v>562</v>
      </c>
      <c r="AR16" s="200" t="s">
        <v>558</v>
      </c>
      <c r="AS16" s="200" t="s">
        <v>548</v>
      </c>
      <c r="AT16" s="203">
        <v>0.61329999999999996</v>
      </c>
      <c r="AU16" s="203">
        <v>0.62970000000000004</v>
      </c>
      <c r="AV16" s="203">
        <v>0.55689999999999995</v>
      </c>
      <c r="AW16" s="203">
        <v>0.64870000000000005</v>
      </c>
      <c r="AX16" s="203">
        <v>0.68479999999999996</v>
      </c>
      <c r="AY16" s="203">
        <v>0.61770000000000003</v>
      </c>
      <c r="AZ16" s="207" t="s">
        <v>546</v>
      </c>
      <c r="BA16" s="200" t="s">
        <v>535</v>
      </c>
      <c r="BB16" s="200" t="s">
        <v>558</v>
      </c>
      <c r="BC16" s="203">
        <v>0.64770000000000005</v>
      </c>
      <c r="BD16" s="203">
        <v>0.625</v>
      </c>
      <c r="BE16" s="203">
        <v>0.55659999999999998</v>
      </c>
      <c r="BF16" s="203">
        <v>0.69620000000000004</v>
      </c>
      <c r="BG16" s="203">
        <v>0.69240000000000002</v>
      </c>
      <c r="BH16" s="203">
        <v>0.6361</v>
      </c>
      <c r="BI16" s="206" t="s">
        <v>546</v>
      </c>
      <c r="BJ16" s="222">
        <v>30</v>
      </c>
      <c r="BK16" s="222">
        <v>26</v>
      </c>
      <c r="BL16" s="203">
        <v>0.65900000000000003</v>
      </c>
      <c r="BM16" s="203">
        <v>0.63329999999999997</v>
      </c>
      <c r="BN16" s="203">
        <v>0.58950000000000002</v>
      </c>
      <c r="BO16" s="203">
        <v>0.7006</v>
      </c>
      <c r="BP16" s="203">
        <v>0.67779999999999996</v>
      </c>
      <c r="BQ16" s="203">
        <v>0.64810000000000001</v>
      </c>
      <c r="BR16" s="410" t="s">
        <v>410</v>
      </c>
      <c r="BS16" s="391">
        <v>31</v>
      </c>
      <c r="BT16" s="391">
        <v>31</v>
      </c>
      <c r="BU16" s="391">
        <v>0.68240000000000001</v>
      </c>
      <c r="BV16" s="391">
        <v>0.65600000000000003</v>
      </c>
      <c r="BW16" s="391">
        <v>0.64929999999999999</v>
      </c>
      <c r="BX16" s="391">
        <v>0.73729999999999996</v>
      </c>
      <c r="BY16" s="391">
        <v>0.67320000000000002</v>
      </c>
      <c r="BZ16" s="391">
        <v>0.68069999999999997</v>
      </c>
    </row>
    <row r="17" spans="1:96" x14ac:dyDescent="0.3">
      <c r="A17" s="62" t="s">
        <v>270</v>
      </c>
      <c r="B17" s="200" t="s">
        <v>276</v>
      </c>
      <c r="C17" s="200" t="s">
        <v>573</v>
      </c>
      <c r="D17" s="200" t="s">
        <v>422</v>
      </c>
      <c r="E17" s="200" t="s">
        <v>794</v>
      </c>
      <c r="F17" s="200" t="s">
        <v>222</v>
      </c>
      <c r="G17" s="200"/>
      <c r="H17" s="200"/>
      <c r="I17" s="200"/>
      <c r="J17" s="200"/>
      <c r="K17" s="200"/>
      <c r="L17" s="200"/>
      <c r="M17" s="200"/>
      <c r="N17" s="200"/>
      <c r="O17" s="200"/>
      <c r="P17" s="239"/>
      <c r="Q17" s="200"/>
      <c r="R17" s="200"/>
      <c r="S17" s="200"/>
      <c r="T17" s="200"/>
      <c r="U17" s="200"/>
      <c r="V17" s="200"/>
      <c r="W17" s="200"/>
      <c r="X17" s="200"/>
      <c r="Y17" s="200"/>
      <c r="Z17" s="200"/>
      <c r="AA17" s="200"/>
      <c r="AB17" s="203"/>
      <c r="AC17" s="203"/>
      <c r="AD17" s="203"/>
      <c r="AE17" s="203"/>
      <c r="AF17" s="203"/>
      <c r="AG17" s="203"/>
      <c r="AH17" s="228"/>
      <c r="AI17" s="200"/>
      <c r="AJ17" s="200"/>
      <c r="AK17" s="203"/>
      <c r="AL17" s="203"/>
      <c r="AM17" s="203"/>
      <c r="AN17" s="203"/>
      <c r="AO17" s="203"/>
      <c r="AP17" s="203"/>
      <c r="AQ17" s="200"/>
      <c r="AR17" s="200"/>
      <c r="AS17" s="200"/>
      <c r="AT17" s="203"/>
      <c r="AU17" s="203"/>
      <c r="AV17" s="203"/>
      <c r="AW17" s="203"/>
      <c r="AX17" s="203"/>
      <c r="AY17" s="203"/>
      <c r="AZ17" s="200"/>
      <c r="BA17" s="200"/>
      <c r="BB17" s="200"/>
      <c r="BC17" s="203"/>
      <c r="BD17" s="203"/>
      <c r="BE17" s="203"/>
      <c r="BF17" s="203"/>
      <c r="BG17" s="203"/>
      <c r="BH17" s="203"/>
      <c r="BI17" s="206" t="s">
        <v>546</v>
      </c>
      <c r="BJ17" s="222">
        <v>26</v>
      </c>
      <c r="BK17" s="222">
        <v>25</v>
      </c>
      <c r="BL17" s="203">
        <v>0.67859999999999998</v>
      </c>
      <c r="BM17" s="203">
        <v>0.62080000000000002</v>
      </c>
      <c r="BN17" s="203">
        <v>0.65090000000000003</v>
      </c>
      <c r="BO17" s="203">
        <v>0.68110000000000004</v>
      </c>
      <c r="BP17" s="203">
        <v>0.60899999999999999</v>
      </c>
      <c r="BQ17" s="203">
        <v>0.65410000000000001</v>
      </c>
      <c r="BR17" s="410" t="s">
        <v>410</v>
      </c>
      <c r="BS17" s="391">
        <v>51</v>
      </c>
      <c r="BT17" s="391">
        <v>51</v>
      </c>
      <c r="BU17" s="391">
        <v>0.69830000000000003</v>
      </c>
      <c r="BV17" s="391">
        <v>0.65680000000000005</v>
      </c>
      <c r="BW17" s="391">
        <v>0.67710000000000004</v>
      </c>
      <c r="BX17" s="391">
        <v>0.72299999999999998</v>
      </c>
      <c r="BY17" s="391">
        <v>0.65739999999999998</v>
      </c>
      <c r="BZ17" s="391">
        <v>0.68640000000000001</v>
      </c>
      <c r="CA17" s="540" t="s">
        <v>546</v>
      </c>
      <c r="CB17" s="537" t="s">
        <v>453</v>
      </c>
      <c r="CC17" s="537" t="s">
        <v>453</v>
      </c>
      <c r="CD17" s="538">
        <v>0.66639999999999999</v>
      </c>
      <c r="CE17" s="538">
        <v>0.62970000000000004</v>
      </c>
      <c r="CF17" s="538">
        <v>0.6633</v>
      </c>
      <c r="CG17" s="538">
        <v>0.71250000000000002</v>
      </c>
      <c r="CH17" s="538">
        <v>0.65410000000000001</v>
      </c>
      <c r="CI17" s="538">
        <v>0.66690000000000005</v>
      </c>
      <c r="CJ17" s="669" t="s">
        <v>410</v>
      </c>
      <c r="CK17" s="668">
        <v>86</v>
      </c>
      <c r="CL17" s="668">
        <v>86</v>
      </c>
      <c r="CM17" s="659">
        <v>0.67330000000000001</v>
      </c>
      <c r="CN17" s="659">
        <v>0.64680000000000004</v>
      </c>
      <c r="CO17" s="659">
        <v>0.66930000000000001</v>
      </c>
      <c r="CP17" s="659">
        <v>0.7349</v>
      </c>
      <c r="CQ17" s="659">
        <v>0.67910000000000004</v>
      </c>
      <c r="CR17" s="659">
        <v>0.68089999999999995</v>
      </c>
    </row>
    <row r="18" spans="1:96" x14ac:dyDescent="0.3">
      <c r="A18" s="62" t="s">
        <v>225</v>
      </c>
      <c r="B18" s="200" t="s">
        <v>542</v>
      </c>
      <c r="C18" s="200" t="s">
        <v>573</v>
      </c>
      <c r="D18" s="200" t="s">
        <v>422</v>
      </c>
      <c r="E18" s="200" t="s">
        <v>794</v>
      </c>
      <c r="F18" s="200" t="s">
        <v>220</v>
      </c>
      <c r="G18" s="200"/>
      <c r="H18" s="200"/>
      <c r="I18" s="200"/>
      <c r="J18" s="200"/>
      <c r="K18" s="200"/>
      <c r="L18" s="200"/>
      <c r="M18" s="200"/>
      <c r="N18" s="200"/>
      <c r="O18" s="200"/>
      <c r="P18" s="239"/>
      <c r="Q18" s="200"/>
      <c r="R18" s="200"/>
      <c r="S18" s="200"/>
      <c r="T18" s="200"/>
      <c r="U18" s="200"/>
      <c r="V18" s="200"/>
      <c r="W18" s="200"/>
      <c r="X18" s="200"/>
      <c r="Y18" s="200"/>
      <c r="Z18" s="200"/>
      <c r="AA18" s="200"/>
      <c r="AB18" s="203"/>
      <c r="AC18" s="203"/>
      <c r="AD18" s="203"/>
      <c r="AE18" s="203"/>
      <c r="AF18" s="203"/>
      <c r="AG18" s="203"/>
      <c r="AH18" s="226" t="s">
        <v>410</v>
      </c>
      <c r="AI18" s="200" t="s">
        <v>491</v>
      </c>
      <c r="AJ18" s="200" t="s">
        <v>491</v>
      </c>
      <c r="AK18" s="203">
        <v>0.68220000000000003</v>
      </c>
      <c r="AL18" s="203">
        <v>0.70140000000000002</v>
      </c>
      <c r="AM18" s="203">
        <v>0.6946</v>
      </c>
      <c r="AN18" s="203">
        <v>0.73209999999999997</v>
      </c>
      <c r="AO18" s="203">
        <v>0.64070000000000005</v>
      </c>
      <c r="AP18" s="203">
        <v>0.69779999999999998</v>
      </c>
      <c r="AQ18" s="205" t="s">
        <v>410</v>
      </c>
      <c r="AR18" s="200" t="s">
        <v>543</v>
      </c>
      <c r="AS18" s="200" t="s">
        <v>544</v>
      </c>
      <c r="AT18" s="203">
        <v>0.67100000000000004</v>
      </c>
      <c r="AU18" s="203">
        <v>0.67769999999999997</v>
      </c>
      <c r="AV18" s="203">
        <v>0.66720000000000002</v>
      </c>
      <c r="AW18" s="203">
        <v>0.71970000000000001</v>
      </c>
      <c r="AX18" s="203">
        <v>0.64910000000000001</v>
      </c>
      <c r="AY18" s="203">
        <v>0.68120000000000003</v>
      </c>
      <c r="AZ18" s="459" t="s">
        <v>410</v>
      </c>
      <c r="BA18" s="458" t="s">
        <v>845</v>
      </c>
      <c r="BB18" s="458" t="s">
        <v>950</v>
      </c>
      <c r="BC18" s="458">
        <v>0.6774</v>
      </c>
      <c r="BD18" s="458">
        <v>0.6724</v>
      </c>
      <c r="BE18" s="458">
        <v>0.64829999999999999</v>
      </c>
      <c r="BF18" s="458">
        <v>0.7137</v>
      </c>
      <c r="BG18" s="458">
        <v>0.64710000000000001</v>
      </c>
      <c r="BH18" s="458">
        <v>0.67559999999999998</v>
      </c>
      <c r="BI18" s="206" t="s">
        <v>546</v>
      </c>
      <c r="BJ18" s="222">
        <v>421</v>
      </c>
      <c r="BK18" s="222">
        <v>414</v>
      </c>
      <c r="BL18" s="203">
        <v>0.67290000000000005</v>
      </c>
      <c r="BM18" s="203">
        <v>0.65180000000000005</v>
      </c>
      <c r="BN18" s="203">
        <v>0.62380000000000002</v>
      </c>
      <c r="BO18" s="203">
        <v>0.69479999999999997</v>
      </c>
      <c r="BP18" s="203">
        <v>0.63600000000000001</v>
      </c>
      <c r="BQ18" s="203">
        <v>0.65890000000000004</v>
      </c>
      <c r="BR18" s="412" t="s">
        <v>546</v>
      </c>
      <c r="BS18" s="391">
        <v>449</v>
      </c>
      <c r="BT18" s="391">
        <v>443</v>
      </c>
      <c r="BU18" s="391">
        <v>0.67269999999999996</v>
      </c>
      <c r="BV18" s="391">
        <v>0.64759999999999995</v>
      </c>
      <c r="BW18" s="391">
        <v>0.62160000000000004</v>
      </c>
      <c r="BX18" s="391">
        <v>0.69169999999999998</v>
      </c>
      <c r="BY18" s="391">
        <v>0.62339999999999995</v>
      </c>
      <c r="BZ18" s="391">
        <v>0.65569999999999995</v>
      </c>
      <c r="CA18" s="540" t="s">
        <v>546</v>
      </c>
      <c r="CB18" s="537" t="s">
        <v>976</v>
      </c>
      <c r="CC18" s="537" t="s">
        <v>837</v>
      </c>
      <c r="CD18" s="538">
        <v>0.66159999999999997</v>
      </c>
      <c r="CE18" s="538">
        <v>0.63980000000000004</v>
      </c>
      <c r="CF18" s="538">
        <v>0.62849999999999995</v>
      </c>
      <c r="CG18" s="538">
        <v>0.69099999999999995</v>
      </c>
      <c r="CH18" s="538">
        <v>0.62009999999999998</v>
      </c>
      <c r="CI18" s="538">
        <v>0.65249999999999997</v>
      </c>
      <c r="CJ18" s="670" t="s">
        <v>546</v>
      </c>
      <c r="CK18" s="668">
        <v>417</v>
      </c>
      <c r="CL18" s="668">
        <v>404</v>
      </c>
      <c r="CM18" s="659">
        <v>0.66420000000000001</v>
      </c>
      <c r="CN18" s="659">
        <v>0.65310000000000001</v>
      </c>
      <c r="CO18" s="659">
        <v>0.63849999999999996</v>
      </c>
      <c r="CP18" s="659">
        <v>0.70240000000000002</v>
      </c>
      <c r="CQ18" s="659">
        <v>0.64549999999999996</v>
      </c>
      <c r="CR18" s="659">
        <v>0.66310000000000002</v>
      </c>
    </row>
    <row r="19" spans="1:96" x14ac:dyDescent="0.3">
      <c r="A19" s="62" t="s">
        <v>126</v>
      </c>
      <c r="B19" s="200" t="s">
        <v>125</v>
      </c>
      <c r="C19" s="200" t="s">
        <v>573</v>
      </c>
      <c r="D19" s="200" t="s">
        <v>422</v>
      </c>
      <c r="E19" s="200" t="s">
        <v>794</v>
      </c>
      <c r="F19" s="200" t="s">
        <v>222</v>
      </c>
      <c r="G19" s="243" t="s">
        <v>409</v>
      </c>
      <c r="H19" s="241" t="s">
        <v>805</v>
      </c>
      <c r="I19" s="241" t="s">
        <v>806</v>
      </c>
      <c r="J19" s="241">
        <v>0.74439999999999995</v>
      </c>
      <c r="K19" s="241">
        <v>0.75800000000000001</v>
      </c>
      <c r="L19" s="241">
        <v>0.75370000000000004</v>
      </c>
      <c r="M19" s="241">
        <v>0.76060000000000005</v>
      </c>
      <c r="N19" s="241">
        <v>0.752</v>
      </c>
      <c r="O19" s="241">
        <v>0.754</v>
      </c>
      <c r="P19" s="252" t="s">
        <v>409</v>
      </c>
      <c r="Q19" s="249" t="s">
        <v>842</v>
      </c>
      <c r="R19" s="249" t="s">
        <v>843</v>
      </c>
      <c r="S19" s="249">
        <v>0.745</v>
      </c>
      <c r="T19" s="249">
        <v>0.75460000000000005</v>
      </c>
      <c r="U19" s="249">
        <v>0.74490000000000001</v>
      </c>
      <c r="V19" s="249">
        <v>0.75190000000000001</v>
      </c>
      <c r="W19" s="249">
        <v>0.75119999999999998</v>
      </c>
      <c r="X19" s="249">
        <v>0.74919999999999998</v>
      </c>
      <c r="Y19" s="211" t="s">
        <v>409</v>
      </c>
      <c r="Z19" s="200" t="s">
        <v>651</v>
      </c>
      <c r="AA19" s="200" t="s">
        <v>652</v>
      </c>
      <c r="AB19" s="203">
        <v>0.75770000000000004</v>
      </c>
      <c r="AC19" s="203">
        <v>0.76670000000000005</v>
      </c>
      <c r="AD19" s="203">
        <v>0.75739999999999996</v>
      </c>
      <c r="AE19" s="203">
        <v>0.75949999999999995</v>
      </c>
      <c r="AF19" s="203">
        <v>0.77239999999999998</v>
      </c>
      <c r="AG19" s="203">
        <v>0.76119999999999999</v>
      </c>
      <c r="AH19" s="230" t="s">
        <v>409</v>
      </c>
      <c r="AI19" s="200" t="s">
        <v>579</v>
      </c>
      <c r="AJ19" s="200" t="s">
        <v>580</v>
      </c>
      <c r="AK19" s="203">
        <v>0.76329999999999998</v>
      </c>
      <c r="AL19" s="203">
        <v>0.77090000000000003</v>
      </c>
      <c r="AM19" s="203">
        <v>0.76080000000000003</v>
      </c>
      <c r="AN19" s="203">
        <v>0.76300000000000001</v>
      </c>
      <c r="AO19" s="203">
        <v>0.78290000000000004</v>
      </c>
      <c r="AP19" s="203">
        <v>0.76590000000000003</v>
      </c>
      <c r="AQ19" s="214" t="s">
        <v>408</v>
      </c>
      <c r="AR19" s="200" t="s">
        <v>432</v>
      </c>
      <c r="AS19" s="200" t="s">
        <v>433</v>
      </c>
      <c r="AT19" s="203">
        <v>0.77580000000000005</v>
      </c>
      <c r="AU19" s="203">
        <v>0.78120000000000001</v>
      </c>
      <c r="AV19" s="203">
        <v>0.77249999999999996</v>
      </c>
      <c r="AW19" s="203">
        <v>0.78120000000000001</v>
      </c>
      <c r="AX19" s="203">
        <v>0.79010000000000002</v>
      </c>
      <c r="AY19" s="203">
        <v>0.77859999999999996</v>
      </c>
      <c r="AZ19" s="213" t="s">
        <v>408</v>
      </c>
      <c r="BA19" s="200" t="s">
        <v>748</v>
      </c>
      <c r="BB19" s="200" t="s">
        <v>722</v>
      </c>
      <c r="BC19" s="203">
        <v>0.78110000000000002</v>
      </c>
      <c r="BD19" s="203">
        <v>0.76849999999999996</v>
      </c>
      <c r="BE19" s="203">
        <v>0.75670000000000004</v>
      </c>
      <c r="BF19" s="203">
        <v>0.78180000000000005</v>
      </c>
      <c r="BG19" s="203">
        <v>0.78300000000000003</v>
      </c>
      <c r="BH19" s="203">
        <v>0.77290000000000003</v>
      </c>
      <c r="BI19" s="212" t="s">
        <v>408</v>
      </c>
      <c r="BJ19" s="222">
        <v>333</v>
      </c>
      <c r="BK19" s="222">
        <v>327</v>
      </c>
      <c r="BL19" s="203">
        <v>0.78590000000000004</v>
      </c>
      <c r="BM19" s="203">
        <v>0.76180000000000003</v>
      </c>
      <c r="BN19" s="203">
        <v>0.76229999999999998</v>
      </c>
      <c r="BO19" s="203">
        <v>0.78720000000000001</v>
      </c>
      <c r="BP19" s="203">
        <v>0.78039999999999998</v>
      </c>
      <c r="BQ19" s="203">
        <v>0.77480000000000004</v>
      </c>
      <c r="BR19" s="413" t="s">
        <v>408</v>
      </c>
      <c r="BS19" s="391">
        <v>326</v>
      </c>
      <c r="BT19" s="391">
        <v>325</v>
      </c>
      <c r="BU19" s="391">
        <v>0.78710000000000002</v>
      </c>
      <c r="BV19" s="391">
        <v>0.75119999999999998</v>
      </c>
      <c r="BW19" s="391">
        <v>0.75619999999999998</v>
      </c>
      <c r="BX19" s="391">
        <v>0.78990000000000005</v>
      </c>
      <c r="BY19" s="391">
        <v>0.79590000000000005</v>
      </c>
      <c r="BZ19" s="391">
        <v>0.77300000000000002</v>
      </c>
      <c r="CA19" s="541" t="s">
        <v>408</v>
      </c>
      <c r="CB19" s="537" t="s">
        <v>754</v>
      </c>
      <c r="CC19" s="537" t="s">
        <v>977</v>
      </c>
      <c r="CD19" s="538">
        <v>0.78669999999999995</v>
      </c>
      <c r="CE19" s="538">
        <v>0.75049999999999994</v>
      </c>
      <c r="CF19" s="538">
        <v>0.76300000000000001</v>
      </c>
      <c r="CG19" s="538">
        <v>0.79810000000000003</v>
      </c>
      <c r="CH19" s="538">
        <v>0.80300000000000005</v>
      </c>
      <c r="CI19" s="538">
        <v>0.77669999999999995</v>
      </c>
      <c r="CJ19" s="671" t="s">
        <v>408</v>
      </c>
      <c r="CK19" s="668">
        <v>350</v>
      </c>
      <c r="CL19" s="668">
        <v>349</v>
      </c>
      <c r="CM19" s="659">
        <v>0.78710000000000002</v>
      </c>
      <c r="CN19" s="659">
        <v>0.75239999999999996</v>
      </c>
      <c r="CO19" s="659">
        <v>0.75449999999999995</v>
      </c>
      <c r="CP19" s="659">
        <v>0.7954</v>
      </c>
      <c r="CQ19" s="659">
        <v>0.81710000000000005</v>
      </c>
      <c r="CR19" s="659">
        <v>0.77580000000000005</v>
      </c>
    </row>
    <row r="20" spans="1:96" x14ac:dyDescent="0.3">
      <c r="A20" s="399" t="s">
        <v>271</v>
      </c>
      <c r="B20" s="566">
        <v>325754005331</v>
      </c>
      <c r="C20" s="200" t="s">
        <v>573</v>
      </c>
      <c r="D20" s="200" t="s">
        <v>422</v>
      </c>
      <c r="E20" s="200" t="s">
        <v>794</v>
      </c>
      <c r="F20" s="200" t="s">
        <v>222</v>
      </c>
      <c r="G20" s="390"/>
      <c r="H20" s="391"/>
      <c r="I20" s="391"/>
      <c r="J20" s="391"/>
      <c r="K20" s="391"/>
      <c r="L20" s="391"/>
      <c r="M20" s="391"/>
      <c r="N20" s="391"/>
      <c r="O20" s="391"/>
      <c r="P20" s="390"/>
      <c r="Q20" s="391"/>
      <c r="R20" s="391"/>
      <c r="S20" s="391"/>
      <c r="T20" s="391"/>
      <c r="U20" s="391"/>
      <c r="V20" s="391"/>
      <c r="W20" s="391"/>
      <c r="X20" s="391"/>
      <c r="Y20" s="392"/>
      <c r="Z20" s="389"/>
      <c r="AA20" s="389"/>
      <c r="AB20" s="393"/>
      <c r="AC20" s="393"/>
      <c r="AD20" s="393"/>
      <c r="AE20" s="393"/>
      <c r="AF20" s="393"/>
      <c r="AG20" s="393"/>
      <c r="AH20" s="394"/>
      <c r="AI20" s="389"/>
      <c r="AJ20" s="389"/>
      <c r="AK20" s="393"/>
      <c r="AL20" s="393"/>
      <c r="AM20" s="393"/>
      <c r="AN20" s="393"/>
      <c r="AO20" s="393"/>
      <c r="AP20" s="393"/>
      <c r="AQ20" s="395"/>
      <c r="AR20" s="389"/>
      <c r="AS20" s="389"/>
      <c r="AT20" s="393"/>
      <c r="AU20" s="393"/>
      <c r="AV20" s="393"/>
      <c r="AW20" s="393"/>
      <c r="AX20" s="393"/>
      <c r="AY20" s="393"/>
      <c r="AZ20" s="396"/>
      <c r="BA20" s="389"/>
      <c r="BB20" s="389"/>
      <c r="BC20" s="393"/>
      <c r="BD20" s="393"/>
      <c r="BE20" s="393"/>
      <c r="BF20" s="393"/>
      <c r="BG20" s="393"/>
      <c r="BH20" s="393"/>
      <c r="BI20" s="397"/>
      <c r="BJ20" s="398"/>
      <c r="BK20" s="398"/>
      <c r="BL20" s="393"/>
      <c r="BM20" s="393"/>
      <c r="BN20" s="393"/>
      <c r="BO20" s="393"/>
      <c r="BP20" s="393"/>
      <c r="BQ20" s="393"/>
      <c r="BR20" s="412" t="s">
        <v>546</v>
      </c>
      <c r="BS20" s="391">
        <v>77</v>
      </c>
      <c r="BT20" s="391">
        <v>70</v>
      </c>
      <c r="BU20" s="391">
        <v>0.63580000000000003</v>
      </c>
      <c r="BV20" s="391">
        <v>0.59409999999999996</v>
      </c>
      <c r="BW20" s="391">
        <v>0.58850000000000002</v>
      </c>
      <c r="BX20" s="391">
        <v>0.68889999999999996</v>
      </c>
      <c r="BY20" s="391">
        <v>0.61399999999999999</v>
      </c>
      <c r="BZ20" s="391">
        <v>0.62590000000000001</v>
      </c>
      <c r="CA20" s="540" t="s">
        <v>546</v>
      </c>
      <c r="CB20" s="537" t="s">
        <v>474</v>
      </c>
      <c r="CC20" s="537" t="s">
        <v>82</v>
      </c>
      <c r="CD20" s="538">
        <v>0.63870000000000005</v>
      </c>
      <c r="CE20" s="538">
        <v>0.59899999999999998</v>
      </c>
      <c r="CF20" s="538">
        <v>0.6048</v>
      </c>
      <c r="CG20" s="538">
        <v>0.69210000000000005</v>
      </c>
      <c r="CH20" s="538">
        <v>0.62470000000000003</v>
      </c>
      <c r="CI20" s="538">
        <v>0.63300000000000001</v>
      </c>
    </row>
    <row r="21" spans="1:96" x14ac:dyDescent="0.3">
      <c r="A21" s="62" t="s">
        <v>134</v>
      </c>
      <c r="B21" s="200" t="s">
        <v>133</v>
      </c>
      <c r="C21" s="200" t="s">
        <v>573</v>
      </c>
      <c r="D21" s="200" t="s">
        <v>422</v>
      </c>
      <c r="E21" s="200" t="s">
        <v>794</v>
      </c>
      <c r="F21" s="200" t="s">
        <v>222</v>
      </c>
      <c r="G21" s="240" t="s">
        <v>410</v>
      </c>
      <c r="H21" s="241" t="s">
        <v>574</v>
      </c>
      <c r="I21" s="241" t="s">
        <v>574</v>
      </c>
      <c r="J21" s="241">
        <v>0.70199999999999996</v>
      </c>
      <c r="K21" s="241">
        <v>0.72460000000000002</v>
      </c>
      <c r="L21" s="241">
        <v>0.70550000000000002</v>
      </c>
      <c r="M21" s="241">
        <v>0.74270000000000003</v>
      </c>
      <c r="N21" s="241">
        <v>0.71389999999999998</v>
      </c>
      <c r="O21" s="241">
        <v>0.71830000000000005</v>
      </c>
      <c r="P21" s="248" t="s">
        <v>410</v>
      </c>
      <c r="Q21" s="249" t="s">
        <v>713</v>
      </c>
      <c r="R21" s="249" t="s">
        <v>713</v>
      </c>
      <c r="S21" s="249">
        <v>0.70030000000000003</v>
      </c>
      <c r="T21" s="249">
        <v>0.71630000000000005</v>
      </c>
      <c r="U21" s="249">
        <v>0.69940000000000002</v>
      </c>
      <c r="V21" s="249">
        <v>0.71779999999999999</v>
      </c>
      <c r="W21" s="249">
        <v>0.70509999999999995</v>
      </c>
      <c r="X21" s="249">
        <v>0.70820000000000005</v>
      </c>
      <c r="Y21" s="204" t="s">
        <v>410</v>
      </c>
      <c r="Z21" s="200" t="s">
        <v>574</v>
      </c>
      <c r="AA21" s="200" t="s">
        <v>574</v>
      </c>
      <c r="AB21" s="203">
        <v>0.70430000000000004</v>
      </c>
      <c r="AC21" s="203">
        <v>0.71430000000000005</v>
      </c>
      <c r="AD21" s="203">
        <v>0.71040000000000003</v>
      </c>
      <c r="AE21" s="203">
        <v>0.71750000000000003</v>
      </c>
      <c r="AF21" s="203">
        <v>0.72989999999999999</v>
      </c>
      <c r="AG21" s="203">
        <v>0.71299999999999997</v>
      </c>
      <c r="AH21" s="230" t="s">
        <v>409</v>
      </c>
      <c r="AI21" s="200" t="s">
        <v>601</v>
      </c>
      <c r="AJ21" s="200" t="s">
        <v>601</v>
      </c>
      <c r="AK21" s="203">
        <v>0.72309999999999997</v>
      </c>
      <c r="AL21" s="203">
        <v>0.72319999999999995</v>
      </c>
      <c r="AM21" s="203">
        <v>0.72670000000000001</v>
      </c>
      <c r="AN21" s="203">
        <v>0.72550000000000003</v>
      </c>
      <c r="AO21" s="203">
        <v>0.74550000000000005</v>
      </c>
      <c r="AP21" s="203">
        <v>0.72619999999999996</v>
      </c>
      <c r="AQ21" s="216" t="s">
        <v>409</v>
      </c>
      <c r="AR21" s="200" t="s">
        <v>426</v>
      </c>
      <c r="AS21" s="200" t="s">
        <v>426</v>
      </c>
      <c r="AT21" s="203">
        <v>0.74299999999999999</v>
      </c>
      <c r="AU21" s="203">
        <v>0.72060000000000002</v>
      </c>
      <c r="AV21" s="203">
        <v>0.71989999999999998</v>
      </c>
      <c r="AW21" s="203">
        <v>0.74299999999999999</v>
      </c>
      <c r="AX21" s="203">
        <v>0.74460000000000004</v>
      </c>
      <c r="AY21" s="203">
        <v>0.73260000000000003</v>
      </c>
      <c r="AZ21" s="211" t="s">
        <v>409</v>
      </c>
      <c r="BA21" s="200" t="s">
        <v>601</v>
      </c>
      <c r="BB21" s="200" t="s">
        <v>601</v>
      </c>
      <c r="BC21" s="203">
        <v>0.76239999999999997</v>
      </c>
      <c r="BD21" s="203">
        <v>0.71640000000000004</v>
      </c>
      <c r="BE21" s="203">
        <v>0.72270000000000001</v>
      </c>
      <c r="BF21" s="203">
        <v>0.76039999999999996</v>
      </c>
      <c r="BG21" s="203">
        <v>0.74109999999999998</v>
      </c>
      <c r="BH21" s="203">
        <v>0.74050000000000005</v>
      </c>
      <c r="BI21" s="215" t="s">
        <v>409</v>
      </c>
      <c r="BJ21" s="222">
        <v>58</v>
      </c>
      <c r="BK21" s="222">
        <v>58</v>
      </c>
      <c r="BL21" s="203">
        <v>0.76629999999999998</v>
      </c>
      <c r="BM21" s="203">
        <v>0.72119999999999995</v>
      </c>
      <c r="BN21" s="203">
        <v>0.7298</v>
      </c>
      <c r="BO21" s="203">
        <v>0.76419999999999999</v>
      </c>
      <c r="BP21" s="203">
        <v>0.72860000000000003</v>
      </c>
      <c r="BQ21" s="203">
        <v>0.74409999999999998</v>
      </c>
      <c r="BR21" s="414" t="s">
        <v>409</v>
      </c>
      <c r="BS21" s="391">
        <v>61</v>
      </c>
      <c r="BT21" s="391">
        <v>61</v>
      </c>
      <c r="BU21" s="391">
        <v>0.77280000000000004</v>
      </c>
      <c r="BV21" s="391">
        <v>0.74409999999999998</v>
      </c>
      <c r="BW21" s="391">
        <v>0.75839999999999996</v>
      </c>
      <c r="BX21" s="391">
        <v>0.79159999999999997</v>
      </c>
      <c r="BY21" s="391">
        <v>0.75629999999999997</v>
      </c>
      <c r="BZ21" s="391">
        <v>0.76590000000000003</v>
      </c>
      <c r="CA21" s="541" t="s">
        <v>408</v>
      </c>
      <c r="CB21" s="537" t="s">
        <v>602</v>
      </c>
      <c r="CC21" s="537" t="s">
        <v>602</v>
      </c>
      <c r="CD21" s="538">
        <v>0.77200000000000002</v>
      </c>
      <c r="CE21" s="538">
        <v>0.75390000000000001</v>
      </c>
      <c r="CF21" s="538">
        <v>0.76600000000000001</v>
      </c>
      <c r="CG21" s="538">
        <v>0.79239999999999999</v>
      </c>
      <c r="CH21" s="538">
        <v>0.77139999999999997</v>
      </c>
      <c r="CI21" s="538">
        <v>0.77110000000000001</v>
      </c>
      <c r="CJ21" s="667" t="s">
        <v>409</v>
      </c>
      <c r="CK21" s="668">
        <v>60</v>
      </c>
      <c r="CL21" s="668">
        <v>60</v>
      </c>
      <c r="CM21" s="659">
        <v>0.76200000000000001</v>
      </c>
      <c r="CN21" s="659">
        <v>0.75449999999999995</v>
      </c>
      <c r="CO21" s="659">
        <v>0.75570000000000004</v>
      </c>
      <c r="CP21" s="659">
        <v>0.79379999999999995</v>
      </c>
      <c r="CQ21" s="659">
        <v>0.78949999999999998</v>
      </c>
      <c r="CR21" s="659">
        <v>0.76829999999999998</v>
      </c>
    </row>
    <row r="22" spans="1:96" x14ac:dyDescent="0.3">
      <c r="A22" s="567" t="s">
        <v>956</v>
      </c>
      <c r="B22" s="525" t="s">
        <v>955</v>
      </c>
      <c r="C22" s="200" t="s">
        <v>573</v>
      </c>
      <c r="D22" s="200" t="s">
        <v>422</v>
      </c>
      <c r="E22" s="525"/>
      <c r="F22" s="200" t="s">
        <v>222</v>
      </c>
      <c r="G22" s="542"/>
      <c r="H22" s="527"/>
      <c r="I22" s="527"/>
      <c r="J22" s="527"/>
      <c r="K22" s="527"/>
      <c r="L22" s="527"/>
      <c r="M22" s="527"/>
      <c r="N22" s="527"/>
      <c r="O22" s="527"/>
      <c r="P22" s="542"/>
      <c r="Q22" s="527"/>
      <c r="R22" s="527"/>
      <c r="S22" s="527"/>
      <c r="T22" s="527"/>
      <c r="U22" s="527"/>
      <c r="V22" s="527"/>
      <c r="W22" s="527"/>
      <c r="X22" s="527"/>
      <c r="Y22" s="543"/>
      <c r="Z22" s="525"/>
      <c r="AA22" s="525"/>
      <c r="AB22" s="529"/>
      <c r="AC22" s="529"/>
      <c r="AD22" s="529"/>
      <c r="AE22" s="529"/>
      <c r="AF22" s="529"/>
      <c r="AG22" s="529"/>
      <c r="AH22" s="544"/>
      <c r="AI22" s="525"/>
      <c r="AJ22" s="525"/>
      <c r="AK22" s="529"/>
      <c r="AL22" s="529"/>
      <c r="AM22" s="529"/>
      <c r="AN22" s="529"/>
      <c r="AO22" s="529"/>
      <c r="AP22" s="529"/>
      <c r="AQ22" s="545"/>
      <c r="AR22" s="525"/>
      <c r="AS22" s="525"/>
      <c r="AT22" s="529"/>
      <c r="AU22" s="529"/>
      <c r="AV22" s="529"/>
      <c r="AW22" s="529"/>
      <c r="AX22" s="529"/>
      <c r="AY22" s="529"/>
      <c r="AZ22" s="546"/>
      <c r="BA22" s="525"/>
      <c r="BB22" s="525"/>
      <c r="BC22" s="529"/>
      <c r="BD22" s="529"/>
      <c r="BE22" s="529"/>
      <c r="BF22" s="529"/>
      <c r="BG22" s="529"/>
      <c r="BH22" s="529"/>
      <c r="BI22" s="547"/>
      <c r="BJ22" s="533"/>
      <c r="BK22" s="533"/>
      <c r="BL22" s="529"/>
      <c r="BM22" s="529"/>
      <c r="BN22" s="529"/>
      <c r="BO22" s="529"/>
      <c r="BP22" s="529"/>
      <c r="BQ22" s="529"/>
      <c r="BR22" s="548"/>
      <c r="BS22" s="527"/>
      <c r="BT22" s="527"/>
      <c r="BU22" s="527"/>
      <c r="BV22" s="527"/>
      <c r="BW22" s="527"/>
      <c r="BX22" s="527"/>
      <c r="BY22" s="527"/>
      <c r="BZ22" s="527"/>
      <c r="CA22" s="541" t="s">
        <v>408</v>
      </c>
      <c r="CB22" s="537" t="s">
        <v>639</v>
      </c>
      <c r="CC22" s="537" t="s">
        <v>639</v>
      </c>
      <c r="CD22" s="538">
        <v>0.7994</v>
      </c>
      <c r="CE22" s="538">
        <v>0.78759999999999997</v>
      </c>
      <c r="CF22" s="538">
        <v>0.7893</v>
      </c>
      <c r="CG22" s="538">
        <v>0.81689999999999996</v>
      </c>
      <c r="CH22" s="538">
        <v>0.83250000000000002</v>
      </c>
      <c r="CI22" s="538">
        <v>0.80089999999999995</v>
      </c>
      <c r="CJ22" s="671" t="s">
        <v>408</v>
      </c>
      <c r="CK22" s="668">
        <v>44</v>
      </c>
      <c r="CL22" s="668">
        <v>43</v>
      </c>
      <c r="CM22" s="659">
        <v>0.79430000000000001</v>
      </c>
      <c r="CN22" s="659">
        <v>0.76819999999999999</v>
      </c>
      <c r="CO22" s="659">
        <v>0.79179999999999995</v>
      </c>
      <c r="CP22" s="659">
        <v>0.81989999999999996</v>
      </c>
      <c r="CQ22" s="659">
        <v>0.81030000000000002</v>
      </c>
      <c r="CR22" s="659">
        <v>0.79479999999999995</v>
      </c>
    </row>
    <row r="23" spans="1:96" x14ac:dyDescent="0.3">
      <c r="A23" s="62" t="s">
        <v>101</v>
      </c>
      <c r="B23" s="200" t="s">
        <v>100</v>
      </c>
      <c r="C23" s="200" t="s">
        <v>573</v>
      </c>
      <c r="D23" s="200" t="s">
        <v>422</v>
      </c>
      <c r="E23" s="200" t="s">
        <v>794</v>
      </c>
      <c r="F23" s="200" t="s">
        <v>222</v>
      </c>
      <c r="G23" s="240" t="s">
        <v>410</v>
      </c>
      <c r="H23" s="241" t="s">
        <v>676</v>
      </c>
      <c r="I23" s="241" t="s">
        <v>520</v>
      </c>
      <c r="J23" s="241">
        <v>0.67430000000000001</v>
      </c>
      <c r="K23" s="241">
        <v>0.67879999999999996</v>
      </c>
      <c r="L23" s="241">
        <v>0.67649999999999999</v>
      </c>
      <c r="M23" s="241">
        <v>0.6915</v>
      </c>
      <c r="N23" s="241">
        <v>0.67530000000000001</v>
      </c>
      <c r="O23" s="241">
        <v>0.67989999999999995</v>
      </c>
      <c r="P23" s="248" t="s">
        <v>410</v>
      </c>
      <c r="Q23" s="249" t="s">
        <v>441</v>
      </c>
      <c r="R23" s="249" t="s">
        <v>699</v>
      </c>
      <c r="S23" s="249">
        <v>0.68230000000000002</v>
      </c>
      <c r="T23" s="249">
        <v>0.68559999999999999</v>
      </c>
      <c r="U23" s="249">
        <v>0.67479999999999996</v>
      </c>
      <c r="V23" s="249">
        <v>0.6885</v>
      </c>
      <c r="W23" s="249">
        <v>0.66820000000000002</v>
      </c>
      <c r="X23" s="249">
        <v>0.68169999999999997</v>
      </c>
      <c r="Y23" s="204" t="s">
        <v>410</v>
      </c>
      <c r="Z23" s="200" t="s">
        <v>637</v>
      </c>
      <c r="AA23" s="200" t="s">
        <v>673</v>
      </c>
      <c r="AB23" s="203">
        <v>0.71879999999999999</v>
      </c>
      <c r="AC23" s="203">
        <v>0.7167</v>
      </c>
      <c r="AD23" s="203">
        <v>0.7</v>
      </c>
      <c r="AE23" s="203">
        <v>0.7097</v>
      </c>
      <c r="AF23" s="203">
        <v>0.68320000000000003</v>
      </c>
      <c r="AG23" s="203">
        <v>0.70909999999999995</v>
      </c>
      <c r="AH23" s="231" t="s">
        <v>410</v>
      </c>
      <c r="AI23" s="200" t="s">
        <v>609</v>
      </c>
      <c r="AJ23" s="200" t="s">
        <v>441</v>
      </c>
      <c r="AK23" s="203">
        <v>0.7278</v>
      </c>
      <c r="AL23" s="203">
        <v>0.71350000000000002</v>
      </c>
      <c r="AM23" s="203">
        <v>0.70030000000000003</v>
      </c>
      <c r="AN23" s="203">
        <v>0.72040000000000004</v>
      </c>
      <c r="AO23" s="203">
        <v>0.69059999999999999</v>
      </c>
      <c r="AP23" s="203">
        <v>0.71360000000000001</v>
      </c>
      <c r="AQ23" s="216" t="s">
        <v>409</v>
      </c>
      <c r="AR23" s="200" t="s">
        <v>472</v>
      </c>
      <c r="AS23" s="200" t="s">
        <v>473</v>
      </c>
      <c r="AT23" s="203">
        <v>0.73629999999999995</v>
      </c>
      <c r="AU23" s="203">
        <v>0.71689999999999998</v>
      </c>
      <c r="AV23" s="203">
        <v>0.70709999999999995</v>
      </c>
      <c r="AW23" s="203">
        <v>0.74460000000000004</v>
      </c>
      <c r="AX23" s="203">
        <v>0.71250000000000002</v>
      </c>
      <c r="AY23" s="203">
        <v>0.72519999999999996</v>
      </c>
      <c r="AZ23" s="211" t="s">
        <v>409</v>
      </c>
      <c r="BA23" s="200" t="s">
        <v>761</v>
      </c>
      <c r="BB23" s="200" t="s">
        <v>762</v>
      </c>
      <c r="BC23" s="203">
        <v>0.74260000000000004</v>
      </c>
      <c r="BD23" s="203">
        <v>0.71030000000000004</v>
      </c>
      <c r="BE23" s="203">
        <v>0.69850000000000001</v>
      </c>
      <c r="BF23" s="203">
        <v>0.74870000000000003</v>
      </c>
      <c r="BG23" s="203">
        <v>0.70820000000000005</v>
      </c>
      <c r="BH23" s="203">
        <v>0.72370000000000001</v>
      </c>
      <c r="BI23" s="215" t="s">
        <v>409</v>
      </c>
      <c r="BJ23" s="222">
        <v>174</v>
      </c>
      <c r="BK23" s="222">
        <v>169</v>
      </c>
      <c r="BL23" s="203">
        <v>0.74619999999999997</v>
      </c>
      <c r="BM23" s="203">
        <v>0.70599999999999996</v>
      </c>
      <c r="BN23" s="203">
        <v>0.69550000000000001</v>
      </c>
      <c r="BO23" s="203">
        <v>0.74309999999999998</v>
      </c>
      <c r="BP23" s="203">
        <v>0.6976</v>
      </c>
      <c r="BQ23" s="203">
        <v>0.7208</v>
      </c>
      <c r="BR23" s="410" t="s">
        <v>410</v>
      </c>
      <c r="BS23" s="391">
        <v>172</v>
      </c>
      <c r="BT23" s="391">
        <v>172</v>
      </c>
      <c r="BU23" s="391">
        <v>0.75149999999999995</v>
      </c>
      <c r="BV23" s="391">
        <v>0.70430000000000004</v>
      </c>
      <c r="BW23" s="391">
        <v>0.69030000000000002</v>
      </c>
      <c r="BX23" s="391">
        <v>0.7389</v>
      </c>
      <c r="BY23" s="391">
        <v>0.7046</v>
      </c>
      <c r="BZ23" s="391">
        <v>0.72</v>
      </c>
      <c r="CA23" s="539" t="s">
        <v>410</v>
      </c>
      <c r="CB23" s="537" t="s">
        <v>604</v>
      </c>
      <c r="CC23" s="537" t="s">
        <v>762</v>
      </c>
      <c r="CD23" s="538">
        <v>0.74729999999999996</v>
      </c>
      <c r="CE23" s="538">
        <v>0.6976</v>
      </c>
      <c r="CF23" s="538">
        <v>0.69359999999999999</v>
      </c>
      <c r="CG23" s="538">
        <v>0.73629999999999995</v>
      </c>
      <c r="CH23" s="538">
        <v>0.69799999999999995</v>
      </c>
      <c r="CI23" s="538">
        <v>0.71709999999999996</v>
      </c>
      <c r="CJ23" s="667" t="s">
        <v>409</v>
      </c>
      <c r="CK23" s="668">
        <v>169</v>
      </c>
      <c r="CL23" s="668">
        <v>164</v>
      </c>
      <c r="CM23" s="659">
        <v>0.74750000000000005</v>
      </c>
      <c r="CN23" s="659">
        <v>0.70320000000000005</v>
      </c>
      <c r="CO23" s="659">
        <v>0.6915</v>
      </c>
      <c r="CP23" s="659">
        <v>0.73860000000000003</v>
      </c>
      <c r="CQ23" s="659">
        <v>0.71830000000000005</v>
      </c>
      <c r="CR23" s="659">
        <v>0.72</v>
      </c>
    </row>
    <row r="24" spans="1:96" x14ac:dyDescent="0.3">
      <c r="A24" s="62" t="s">
        <v>231</v>
      </c>
      <c r="B24" s="200" t="s">
        <v>772</v>
      </c>
      <c r="C24" s="200" t="s">
        <v>573</v>
      </c>
      <c r="D24" s="200" t="s">
        <v>422</v>
      </c>
      <c r="E24" s="200" t="s">
        <v>794</v>
      </c>
      <c r="F24" s="200" t="s">
        <v>222</v>
      </c>
      <c r="G24" s="200"/>
      <c r="H24" s="200"/>
      <c r="I24" s="200"/>
      <c r="J24" s="200"/>
      <c r="K24" s="200"/>
      <c r="L24" s="200"/>
      <c r="M24" s="200"/>
      <c r="N24" s="200"/>
      <c r="O24" s="200"/>
      <c r="P24" s="239"/>
      <c r="Q24" s="200"/>
      <c r="R24" s="200"/>
      <c r="S24" s="200"/>
      <c r="T24" s="200"/>
      <c r="U24" s="200"/>
      <c r="V24" s="200"/>
      <c r="W24" s="200"/>
      <c r="X24" s="200"/>
      <c r="Y24" s="200"/>
      <c r="Z24" s="200"/>
      <c r="AA24" s="200"/>
      <c r="AB24" s="203"/>
      <c r="AC24" s="203"/>
      <c r="AD24" s="203"/>
      <c r="AE24" s="203"/>
      <c r="AF24" s="203"/>
      <c r="AG24" s="203"/>
      <c r="AH24" s="228"/>
      <c r="AI24" s="200"/>
      <c r="AJ24" s="200"/>
      <c r="AK24" s="203"/>
      <c r="AL24" s="203"/>
      <c r="AM24" s="203"/>
      <c r="AN24" s="203"/>
      <c r="AO24" s="203"/>
      <c r="AP24" s="203"/>
      <c r="AQ24" s="200"/>
      <c r="AR24" s="200"/>
      <c r="AS24" s="200"/>
      <c r="AT24" s="203"/>
      <c r="AU24" s="203"/>
      <c r="AV24" s="203"/>
      <c r="AW24" s="203"/>
      <c r="AX24" s="203"/>
      <c r="AY24" s="203"/>
      <c r="AZ24" s="204" t="s">
        <v>410</v>
      </c>
      <c r="BA24" s="200" t="s">
        <v>639</v>
      </c>
      <c r="BB24" s="200" t="s">
        <v>639</v>
      </c>
      <c r="BC24" s="203">
        <v>0.69259999999999999</v>
      </c>
      <c r="BD24" s="203">
        <v>0.66269999999999996</v>
      </c>
      <c r="BE24" s="203">
        <v>0.67010000000000003</v>
      </c>
      <c r="BF24" s="203">
        <v>0.72289999999999999</v>
      </c>
      <c r="BG24" s="203">
        <v>0.70660000000000001</v>
      </c>
      <c r="BH24" s="203">
        <v>0.68859999999999999</v>
      </c>
      <c r="BI24" s="201" t="s">
        <v>410</v>
      </c>
      <c r="BJ24" s="222">
        <v>26</v>
      </c>
      <c r="BK24" s="222">
        <v>26</v>
      </c>
      <c r="BL24" s="203">
        <v>0.71209999999999996</v>
      </c>
      <c r="BM24" s="203">
        <v>0.66449999999999998</v>
      </c>
      <c r="BN24" s="203">
        <v>0.67679999999999996</v>
      </c>
      <c r="BO24" s="203">
        <v>0.7218</v>
      </c>
      <c r="BP24" s="203">
        <v>0.67159999999999997</v>
      </c>
      <c r="BQ24" s="203">
        <v>0.69210000000000005</v>
      </c>
      <c r="BR24" s="410" t="s">
        <v>410</v>
      </c>
      <c r="BS24" s="391">
        <v>22</v>
      </c>
      <c r="BT24" s="391">
        <v>22</v>
      </c>
      <c r="BU24" s="391">
        <v>0.72540000000000004</v>
      </c>
      <c r="BV24" s="391">
        <v>0.66669999999999996</v>
      </c>
      <c r="BW24" s="391">
        <v>0.67</v>
      </c>
      <c r="BX24" s="391">
        <v>0.7107</v>
      </c>
      <c r="BY24" s="391">
        <v>0.65900000000000003</v>
      </c>
      <c r="BZ24" s="391">
        <v>0.69059999999999999</v>
      </c>
      <c r="CA24" s="539" t="s">
        <v>410</v>
      </c>
      <c r="CB24" s="537" t="s">
        <v>535</v>
      </c>
      <c r="CC24" s="537" t="s">
        <v>535</v>
      </c>
      <c r="CD24" s="538">
        <v>0.74329999999999996</v>
      </c>
      <c r="CE24" s="538">
        <v>0.68189999999999995</v>
      </c>
      <c r="CF24" s="538">
        <v>0.69420000000000004</v>
      </c>
      <c r="CG24" s="538">
        <v>0.75929999999999997</v>
      </c>
      <c r="CH24" s="538">
        <v>0.68810000000000004</v>
      </c>
      <c r="CI24" s="538">
        <v>0.71719999999999995</v>
      </c>
      <c r="CJ24" s="667" t="s">
        <v>409</v>
      </c>
      <c r="CK24" s="668">
        <v>32</v>
      </c>
      <c r="CL24" s="668">
        <v>32</v>
      </c>
      <c r="CM24" s="659">
        <v>0.74680000000000002</v>
      </c>
      <c r="CN24" s="659">
        <v>0.72909999999999997</v>
      </c>
      <c r="CO24" s="659">
        <v>0.71879999999999999</v>
      </c>
      <c r="CP24" s="659">
        <v>0.78310000000000002</v>
      </c>
      <c r="CQ24" s="659">
        <v>0.73219999999999996</v>
      </c>
      <c r="CR24" s="659">
        <v>0.74350000000000005</v>
      </c>
    </row>
    <row r="25" spans="1:96" x14ac:dyDescent="0.3">
      <c r="A25" s="62" t="s">
        <v>116</v>
      </c>
      <c r="B25" s="200" t="s">
        <v>115</v>
      </c>
      <c r="C25" s="200" t="s">
        <v>573</v>
      </c>
      <c r="D25" s="200" t="s">
        <v>422</v>
      </c>
      <c r="E25" s="200" t="s">
        <v>794</v>
      </c>
      <c r="F25" s="200" t="s">
        <v>222</v>
      </c>
      <c r="G25" s="240" t="s">
        <v>410</v>
      </c>
      <c r="H25" s="241" t="s">
        <v>807</v>
      </c>
      <c r="I25" s="241" t="s">
        <v>714</v>
      </c>
      <c r="J25" s="241">
        <v>0.70079999999999998</v>
      </c>
      <c r="K25" s="241">
        <v>0.71730000000000005</v>
      </c>
      <c r="L25" s="241">
        <v>0.68899999999999995</v>
      </c>
      <c r="M25" s="241">
        <v>0.69399999999999995</v>
      </c>
      <c r="N25" s="241">
        <v>0.69679999999999997</v>
      </c>
      <c r="O25" s="241">
        <v>0.7</v>
      </c>
      <c r="P25" s="248" t="s">
        <v>410</v>
      </c>
      <c r="Q25" s="249" t="s">
        <v>844</v>
      </c>
      <c r="R25" s="249" t="s">
        <v>716</v>
      </c>
      <c r="S25" s="249">
        <v>0.70399999999999996</v>
      </c>
      <c r="T25" s="249">
        <v>0.72030000000000005</v>
      </c>
      <c r="U25" s="249">
        <v>0.69099999999999995</v>
      </c>
      <c r="V25" s="249">
        <v>0.68979999999999997</v>
      </c>
      <c r="W25" s="249">
        <v>0.6915</v>
      </c>
      <c r="X25" s="249">
        <v>0.70050000000000001</v>
      </c>
      <c r="Y25" s="204" t="s">
        <v>410</v>
      </c>
      <c r="Z25" s="200" t="s">
        <v>672</v>
      </c>
      <c r="AA25" s="200" t="s">
        <v>530</v>
      </c>
      <c r="AB25" s="203">
        <v>0.7016</v>
      </c>
      <c r="AC25" s="203">
        <v>0.7339</v>
      </c>
      <c r="AD25" s="203">
        <v>0.70279999999999998</v>
      </c>
      <c r="AE25" s="203">
        <v>0.70150000000000001</v>
      </c>
      <c r="AF25" s="203">
        <v>0.70679999999999998</v>
      </c>
      <c r="AG25" s="203">
        <v>0.7097</v>
      </c>
      <c r="AH25" s="230" t="s">
        <v>409</v>
      </c>
      <c r="AI25" s="200" t="s">
        <v>603</v>
      </c>
      <c r="AJ25" s="200" t="s">
        <v>604</v>
      </c>
      <c r="AK25" s="203">
        <v>0.71789999999999998</v>
      </c>
      <c r="AL25" s="203">
        <v>0.73770000000000002</v>
      </c>
      <c r="AM25" s="203">
        <v>0.70860000000000001</v>
      </c>
      <c r="AN25" s="203">
        <v>0.7198</v>
      </c>
      <c r="AO25" s="203">
        <v>0.7107</v>
      </c>
      <c r="AP25" s="203">
        <v>0.72019999999999995</v>
      </c>
      <c r="AQ25" s="205" t="s">
        <v>410</v>
      </c>
      <c r="AR25" s="200" t="s">
        <v>478</v>
      </c>
      <c r="AS25" s="200" t="s">
        <v>479</v>
      </c>
      <c r="AT25" s="203">
        <v>0.71460000000000001</v>
      </c>
      <c r="AU25" s="203">
        <v>0.72160000000000002</v>
      </c>
      <c r="AV25" s="203">
        <v>0.69689999999999996</v>
      </c>
      <c r="AW25" s="203">
        <v>0.73329999999999995</v>
      </c>
      <c r="AX25" s="203">
        <v>0.71240000000000003</v>
      </c>
      <c r="AY25" s="203">
        <v>0.71630000000000005</v>
      </c>
      <c r="AZ25" s="204" t="s">
        <v>410</v>
      </c>
      <c r="BA25" s="200" t="s">
        <v>666</v>
      </c>
      <c r="BB25" s="200" t="s">
        <v>435</v>
      </c>
      <c r="BC25" s="203">
        <v>0.73419999999999996</v>
      </c>
      <c r="BD25" s="203">
        <v>0.70599999999999996</v>
      </c>
      <c r="BE25" s="203">
        <v>0.69089999999999996</v>
      </c>
      <c r="BF25" s="203">
        <v>0.74399999999999999</v>
      </c>
      <c r="BG25" s="203">
        <v>0.70889999999999997</v>
      </c>
      <c r="BH25" s="203">
        <v>0.71799999999999997</v>
      </c>
      <c r="BI25" s="201" t="s">
        <v>410</v>
      </c>
      <c r="BJ25" s="222">
        <v>215</v>
      </c>
      <c r="BK25" s="222">
        <v>213</v>
      </c>
      <c r="BL25" s="203">
        <v>0.73399999999999999</v>
      </c>
      <c r="BM25" s="203">
        <v>0.68120000000000003</v>
      </c>
      <c r="BN25" s="203">
        <v>0.68120000000000003</v>
      </c>
      <c r="BO25" s="203">
        <v>0.73740000000000006</v>
      </c>
      <c r="BP25" s="203">
        <v>0.68489999999999995</v>
      </c>
      <c r="BQ25" s="203">
        <v>0.70660000000000001</v>
      </c>
      <c r="BR25" s="414" t="s">
        <v>409</v>
      </c>
      <c r="BS25" s="391">
        <v>200</v>
      </c>
      <c r="BT25" s="391">
        <v>200</v>
      </c>
      <c r="BU25" s="391">
        <v>0.74880000000000002</v>
      </c>
      <c r="BV25" s="391">
        <v>0.69369999999999998</v>
      </c>
      <c r="BW25" s="391">
        <v>0.69850000000000001</v>
      </c>
      <c r="BX25" s="391">
        <v>0.75560000000000005</v>
      </c>
      <c r="BY25" s="391">
        <v>0.69599999999999995</v>
      </c>
      <c r="BZ25" s="391">
        <v>0.72199999999999998</v>
      </c>
      <c r="CA25" s="549" t="s">
        <v>409</v>
      </c>
      <c r="CB25" s="537" t="s">
        <v>458</v>
      </c>
      <c r="CC25" s="537" t="s">
        <v>458</v>
      </c>
      <c r="CD25" s="538">
        <v>0.75280000000000002</v>
      </c>
      <c r="CE25" s="538">
        <v>0.7026</v>
      </c>
      <c r="CF25" s="538">
        <v>0.7097</v>
      </c>
      <c r="CG25" s="538">
        <v>0.76370000000000005</v>
      </c>
      <c r="CH25" s="538">
        <v>0.70960000000000001</v>
      </c>
      <c r="CI25" s="538">
        <v>0.73050000000000004</v>
      </c>
      <c r="CJ25" s="667" t="s">
        <v>409</v>
      </c>
      <c r="CK25" s="668">
        <v>219</v>
      </c>
      <c r="CL25" s="668">
        <v>219</v>
      </c>
      <c r="CM25" s="659">
        <v>0.76480000000000004</v>
      </c>
      <c r="CN25" s="659">
        <v>0.72770000000000001</v>
      </c>
      <c r="CO25" s="659">
        <v>0.7228</v>
      </c>
      <c r="CP25" s="659">
        <v>0.7752</v>
      </c>
      <c r="CQ25" s="659">
        <v>0.75600000000000001</v>
      </c>
      <c r="CR25" s="659">
        <v>0.74829999999999997</v>
      </c>
    </row>
    <row r="26" spans="1:96" x14ac:dyDescent="0.3">
      <c r="A26" s="62" t="s">
        <v>151</v>
      </c>
      <c r="B26" s="200" t="s">
        <v>150</v>
      </c>
      <c r="C26" s="200" t="s">
        <v>573</v>
      </c>
      <c r="D26" s="200" t="s">
        <v>422</v>
      </c>
      <c r="E26" s="200" t="s">
        <v>794</v>
      </c>
      <c r="F26" s="200" t="s">
        <v>222</v>
      </c>
      <c r="G26" s="240" t="s">
        <v>410</v>
      </c>
      <c r="H26" s="241" t="s">
        <v>571</v>
      </c>
      <c r="I26" s="241" t="s">
        <v>571</v>
      </c>
      <c r="J26" s="241">
        <v>0.7137</v>
      </c>
      <c r="K26" s="241">
        <v>0.68959999999999999</v>
      </c>
      <c r="L26" s="241">
        <v>0.7369</v>
      </c>
      <c r="M26" s="241">
        <v>0.72840000000000005</v>
      </c>
      <c r="N26" s="241">
        <v>0.73080000000000001</v>
      </c>
      <c r="O26" s="241">
        <v>0.71819999999999995</v>
      </c>
      <c r="P26" s="248" t="s">
        <v>410</v>
      </c>
      <c r="Q26" s="249" t="s">
        <v>556</v>
      </c>
      <c r="R26" s="249" t="s">
        <v>163</v>
      </c>
      <c r="S26" s="249">
        <v>0.68520000000000003</v>
      </c>
      <c r="T26" s="249">
        <v>0.68710000000000004</v>
      </c>
      <c r="U26" s="249">
        <v>0.71319999999999995</v>
      </c>
      <c r="V26" s="249">
        <v>0.70889999999999997</v>
      </c>
      <c r="W26" s="249">
        <v>0.70660000000000001</v>
      </c>
      <c r="X26" s="249">
        <v>0.69920000000000004</v>
      </c>
      <c r="Y26" s="211" t="s">
        <v>409</v>
      </c>
      <c r="Z26" s="200" t="s">
        <v>601</v>
      </c>
      <c r="AA26" s="200" t="s">
        <v>664</v>
      </c>
      <c r="AB26" s="203">
        <v>0.70860000000000001</v>
      </c>
      <c r="AC26" s="203">
        <v>0.71850000000000003</v>
      </c>
      <c r="AD26" s="203">
        <v>0.72629999999999995</v>
      </c>
      <c r="AE26" s="203">
        <v>0.73150000000000004</v>
      </c>
      <c r="AF26" s="203">
        <v>0.73409999999999997</v>
      </c>
      <c r="AG26" s="203">
        <v>0.72219999999999995</v>
      </c>
      <c r="AH26" s="230" t="s">
        <v>409</v>
      </c>
      <c r="AI26" s="200" t="s">
        <v>602</v>
      </c>
      <c r="AJ26" s="200" t="s">
        <v>503</v>
      </c>
      <c r="AK26" s="203">
        <v>0.70740000000000003</v>
      </c>
      <c r="AL26" s="203">
        <v>0.72119999999999995</v>
      </c>
      <c r="AM26" s="203">
        <v>0.73050000000000004</v>
      </c>
      <c r="AN26" s="203">
        <v>0.7329</v>
      </c>
      <c r="AO26" s="203">
        <v>0.7268</v>
      </c>
      <c r="AP26" s="203">
        <v>0.72330000000000005</v>
      </c>
      <c r="AQ26" s="216" t="s">
        <v>409</v>
      </c>
      <c r="AR26" s="200" t="s">
        <v>474</v>
      </c>
      <c r="AS26" s="200" t="s">
        <v>475</v>
      </c>
      <c r="AT26" s="203">
        <v>0.70760000000000001</v>
      </c>
      <c r="AU26" s="203">
        <v>0.72040000000000004</v>
      </c>
      <c r="AV26" s="203">
        <v>0.71799999999999997</v>
      </c>
      <c r="AW26" s="203">
        <v>0.74480000000000002</v>
      </c>
      <c r="AX26" s="203">
        <v>0.73670000000000002</v>
      </c>
      <c r="AY26" s="203">
        <v>0.7238</v>
      </c>
      <c r="AZ26" s="204" t="s">
        <v>410</v>
      </c>
      <c r="BA26" s="200" t="s">
        <v>426</v>
      </c>
      <c r="BB26" s="200" t="s">
        <v>426</v>
      </c>
      <c r="BC26" s="203">
        <v>0.68320000000000003</v>
      </c>
      <c r="BD26" s="203">
        <v>0.67369999999999997</v>
      </c>
      <c r="BE26" s="203">
        <v>0.68069999999999997</v>
      </c>
      <c r="BF26" s="203">
        <v>0.7329</v>
      </c>
      <c r="BG26" s="203">
        <v>0.70120000000000005</v>
      </c>
      <c r="BH26" s="203">
        <v>0.69330000000000003</v>
      </c>
      <c r="BI26" s="201" t="s">
        <v>410</v>
      </c>
      <c r="BJ26" s="222">
        <v>76</v>
      </c>
      <c r="BK26" s="222">
        <v>74</v>
      </c>
      <c r="BL26" s="203">
        <v>0.71460000000000001</v>
      </c>
      <c r="BM26" s="203">
        <v>0.67759999999999998</v>
      </c>
      <c r="BN26" s="203">
        <v>0.68389999999999995</v>
      </c>
      <c r="BO26" s="203">
        <v>0.73850000000000005</v>
      </c>
      <c r="BP26" s="203">
        <v>0.70189999999999997</v>
      </c>
      <c r="BQ26" s="203">
        <v>0.70350000000000001</v>
      </c>
      <c r="BR26" s="410" t="s">
        <v>410</v>
      </c>
      <c r="BS26" s="391">
        <v>98</v>
      </c>
      <c r="BT26" s="391">
        <v>97</v>
      </c>
      <c r="BU26" s="391">
        <v>0.70950000000000002</v>
      </c>
      <c r="BV26" s="391">
        <v>0.67249999999999999</v>
      </c>
      <c r="BW26" s="391">
        <v>0.67410000000000003</v>
      </c>
      <c r="BX26" s="391">
        <v>0.74919999999999998</v>
      </c>
      <c r="BY26" s="391">
        <v>0.69599999999999995</v>
      </c>
      <c r="BZ26" s="391">
        <v>0.70089999999999997</v>
      </c>
      <c r="CA26" s="539" t="s">
        <v>410</v>
      </c>
      <c r="CB26" s="537" t="s">
        <v>541</v>
      </c>
      <c r="CC26" s="537" t="s">
        <v>480</v>
      </c>
      <c r="CD26" s="538">
        <v>0.69920000000000004</v>
      </c>
      <c r="CE26" s="538">
        <v>0.66479999999999995</v>
      </c>
      <c r="CF26" s="538">
        <v>0.66469999999999996</v>
      </c>
      <c r="CG26" s="538">
        <v>0.73580000000000001</v>
      </c>
      <c r="CH26" s="538">
        <v>0.67889999999999995</v>
      </c>
      <c r="CI26" s="538">
        <v>0.69020000000000004</v>
      </c>
    </row>
    <row r="27" spans="1:96" x14ac:dyDescent="0.3">
      <c r="A27" s="62" t="s">
        <v>795</v>
      </c>
      <c r="B27" s="200" t="s">
        <v>569</v>
      </c>
      <c r="C27" s="200" t="s">
        <v>573</v>
      </c>
      <c r="D27" s="200" t="s">
        <v>422</v>
      </c>
      <c r="E27" s="200" t="s">
        <v>794</v>
      </c>
      <c r="F27" s="200" t="s">
        <v>222</v>
      </c>
      <c r="G27" s="244" t="s">
        <v>562</v>
      </c>
      <c r="H27" s="241" t="s">
        <v>808</v>
      </c>
      <c r="I27" s="241" t="s">
        <v>647</v>
      </c>
      <c r="J27" s="241">
        <v>0.60360000000000003</v>
      </c>
      <c r="K27" s="241">
        <v>0.60670000000000002</v>
      </c>
      <c r="L27" s="241">
        <v>0.59819999999999995</v>
      </c>
      <c r="M27" s="241">
        <v>0.60940000000000005</v>
      </c>
      <c r="N27" s="241">
        <v>0.6169</v>
      </c>
      <c r="O27" s="241">
        <v>0.60540000000000005</v>
      </c>
      <c r="P27" s="251" t="s">
        <v>562</v>
      </c>
      <c r="Q27" s="249" t="s">
        <v>570</v>
      </c>
      <c r="R27" s="249" t="s">
        <v>571</v>
      </c>
      <c r="S27" s="249">
        <v>0.5655</v>
      </c>
      <c r="T27" s="249">
        <v>0.59419999999999995</v>
      </c>
      <c r="U27" s="249">
        <v>0.57750000000000001</v>
      </c>
      <c r="V27" s="249">
        <v>0.61</v>
      </c>
      <c r="W27" s="249">
        <v>0.60709999999999997</v>
      </c>
      <c r="X27" s="249">
        <v>0.58840000000000003</v>
      </c>
      <c r="Y27" s="209" t="s">
        <v>562</v>
      </c>
      <c r="Z27" s="200" t="s">
        <v>570</v>
      </c>
      <c r="AA27" s="200" t="s">
        <v>571</v>
      </c>
      <c r="AB27" s="203">
        <v>0.5655</v>
      </c>
      <c r="AC27" s="203">
        <v>0.59419999999999995</v>
      </c>
      <c r="AD27" s="203">
        <v>0.57750000000000001</v>
      </c>
      <c r="AE27" s="203">
        <v>0.61</v>
      </c>
      <c r="AF27" s="203">
        <v>0.60709999999999997</v>
      </c>
      <c r="AG27" s="203">
        <v>0.58840000000000003</v>
      </c>
      <c r="AH27" s="229" t="s">
        <v>562</v>
      </c>
      <c r="AI27" s="200" t="s">
        <v>570</v>
      </c>
      <c r="AJ27" s="200" t="s">
        <v>571</v>
      </c>
      <c r="AK27" s="203">
        <v>0.5655</v>
      </c>
      <c r="AL27" s="203">
        <v>0.59419999999999995</v>
      </c>
      <c r="AM27" s="203">
        <v>0.57750000000000001</v>
      </c>
      <c r="AN27" s="203">
        <v>0.61</v>
      </c>
      <c r="AO27" s="203">
        <v>0.60709999999999997</v>
      </c>
      <c r="AP27" s="203">
        <v>0.58840000000000003</v>
      </c>
      <c r="AQ27" s="210" t="s">
        <v>562</v>
      </c>
      <c r="AR27" s="200" t="s">
        <v>570</v>
      </c>
      <c r="AS27" s="200" t="s">
        <v>571</v>
      </c>
      <c r="AT27" s="203">
        <v>0.5655</v>
      </c>
      <c r="AU27" s="203">
        <v>0.59419999999999995</v>
      </c>
      <c r="AV27" s="203">
        <v>0.57750000000000001</v>
      </c>
      <c r="AW27" s="203">
        <v>0.61</v>
      </c>
      <c r="AX27" s="203">
        <v>0.60709999999999997</v>
      </c>
      <c r="AY27" s="203">
        <v>0.58840000000000003</v>
      </c>
      <c r="AZ27" s="209" t="s">
        <v>562</v>
      </c>
      <c r="BA27" s="200" t="s">
        <v>570</v>
      </c>
      <c r="BB27" s="200" t="s">
        <v>571</v>
      </c>
      <c r="BC27" s="203">
        <v>0.5655</v>
      </c>
      <c r="BD27" s="203">
        <v>0.59419999999999995</v>
      </c>
      <c r="BE27" s="203">
        <v>0.57750000000000001</v>
      </c>
      <c r="BF27" s="203">
        <v>0.61</v>
      </c>
      <c r="BG27" s="203">
        <v>0.60709999999999997</v>
      </c>
      <c r="BH27" s="203">
        <v>0.58840000000000003</v>
      </c>
      <c r="BI27" s="217" t="s">
        <v>562</v>
      </c>
      <c r="BJ27" s="222">
        <v>34</v>
      </c>
      <c r="BK27" s="222">
        <v>32</v>
      </c>
      <c r="BL27" s="203">
        <v>0.5655</v>
      </c>
      <c r="BM27" s="203">
        <v>0.59419999999999995</v>
      </c>
      <c r="BN27" s="203">
        <v>0.57750000000000001</v>
      </c>
      <c r="BO27" s="203">
        <v>0.61</v>
      </c>
      <c r="BP27" s="203">
        <v>0.60709999999999997</v>
      </c>
      <c r="BQ27" s="203">
        <v>0.58840000000000003</v>
      </c>
      <c r="BS27" s="389"/>
      <c r="BT27" s="389"/>
      <c r="BU27" s="389"/>
      <c r="BV27" s="389"/>
      <c r="BW27" s="389"/>
      <c r="BX27" s="389"/>
      <c r="BY27" s="389"/>
      <c r="BZ27" s="389"/>
    </row>
    <row r="28" spans="1:96" x14ac:dyDescent="0.3">
      <c r="A28" s="62" t="s">
        <v>200</v>
      </c>
      <c r="B28" s="200" t="s">
        <v>199</v>
      </c>
      <c r="C28" s="200" t="s">
        <v>573</v>
      </c>
      <c r="D28" s="200" t="s">
        <v>422</v>
      </c>
      <c r="E28" s="200" t="s">
        <v>794</v>
      </c>
      <c r="F28" s="200" t="s">
        <v>222</v>
      </c>
      <c r="G28" s="240" t="s">
        <v>410</v>
      </c>
      <c r="H28" s="241" t="s">
        <v>664</v>
      </c>
      <c r="I28" s="241" t="s">
        <v>713</v>
      </c>
      <c r="J28" s="241">
        <v>0.70540000000000003</v>
      </c>
      <c r="K28" s="241">
        <v>0.7389</v>
      </c>
      <c r="L28" s="241">
        <v>0.70979999999999999</v>
      </c>
      <c r="M28" s="241">
        <v>0.7268</v>
      </c>
      <c r="N28" s="241">
        <v>0.68440000000000001</v>
      </c>
      <c r="O28" s="241">
        <v>0.71750000000000003</v>
      </c>
      <c r="P28" s="252" t="s">
        <v>409</v>
      </c>
      <c r="Q28" s="249" t="s">
        <v>638</v>
      </c>
      <c r="R28" s="249" t="s">
        <v>804</v>
      </c>
      <c r="S28" s="249">
        <v>0.7198</v>
      </c>
      <c r="T28" s="249">
        <v>0.73609999999999998</v>
      </c>
      <c r="U28" s="249">
        <v>0.72750000000000004</v>
      </c>
      <c r="V28" s="249">
        <v>0.72750000000000004</v>
      </c>
      <c r="W28" s="249">
        <v>0.70409999999999995</v>
      </c>
      <c r="X28" s="249">
        <v>0.72589999999999999</v>
      </c>
      <c r="Y28" s="211" t="s">
        <v>409</v>
      </c>
      <c r="Z28" s="200" t="s">
        <v>618</v>
      </c>
      <c r="AA28" s="200" t="s">
        <v>654</v>
      </c>
      <c r="AB28" s="203">
        <v>0.73309999999999997</v>
      </c>
      <c r="AC28" s="203">
        <v>0.74339999999999995</v>
      </c>
      <c r="AD28" s="203">
        <v>0.72709999999999997</v>
      </c>
      <c r="AE28" s="203">
        <v>0.73680000000000001</v>
      </c>
      <c r="AF28" s="203">
        <v>0.73150000000000004</v>
      </c>
      <c r="AG28" s="203">
        <v>0.73480000000000001</v>
      </c>
      <c r="AH28" s="230" t="s">
        <v>409</v>
      </c>
      <c r="AI28" s="200" t="s">
        <v>582</v>
      </c>
      <c r="AJ28" s="200" t="s">
        <v>583</v>
      </c>
      <c r="AK28" s="203">
        <v>0.74390000000000001</v>
      </c>
      <c r="AL28" s="203">
        <v>0.75160000000000005</v>
      </c>
      <c r="AM28" s="203">
        <v>0.73899999999999999</v>
      </c>
      <c r="AN28" s="203">
        <v>0.75739999999999996</v>
      </c>
      <c r="AO28" s="203">
        <v>0.75019999999999998</v>
      </c>
      <c r="AP28" s="203">
        <v>0.74809999999999999</v>
      </c>
      <c r="AQ28" s="216" t="s">
        <v>409</v>
      </c>
      <c r="AR28" s="200" t="s">
        <v>442</v>
      </c>
      <c r="AS28" s="200" t="s">
        <v>443</v>
      </c>
      <c r="AT28" s="203">
        <v>0.75239999999999996</v>
      </c>
      <c r="AU28" s="203">
        <v>0.75219999999999998</v>
      </c>
      <c r="AV28" s="203">
        <v>0.73</v>
      </c>
      <c r="AW28" s="203">
        <v>0.76680000000000004</v>
      </c>
      <c r="AX28" s="203">
        <v>0.76180000000000003</v>
      </c>
      <c r="AY28" s="203">
        <v>0.75119999999999998</v>
      </c>
      <c r="AZ28" s="211" t="s">
        <v>409</v>
      </c>
      <c r="BA28" s="200" t="s">
        <v>751</v>
      </c>
      <c r="BB28" s="200" t="s">
        <v>752</v>
      </c>
      <c r="BC28" s="203">
        <v>0.76080000000000003</v>
      </c>
      <c r="BD28" s="203">
        <v>0.74309999999999998</v>
      </c>
      <c r="BE28" s="203">
        <v>0.72699999999999998</v>
      </c>
      <c r="BF28" s="203">
        <v>0.77290000000000003</v>
      </c>
      <c r="BG28" s="203">
        <v>0.75880000000000003</v>
      </c>
      <c r="BH28" s="203">
        <v>0.75149999999999995</v>
      </c>
      <c r="BI28" s="215" t="s">
        <v>409</v>
      </c>
      <c r="BJ28" s="222">
        <v>475</v>
      </c>
      <c r="BK28" s="222">
        <v>469</v>
      </c>
      <c r="BL28" s="203">
        <v>0.76680000000000004</v>
      </c>
      <c r="BM28" s="203">
        <v>0.7349</v>
      </c>
      <c r="BN28" s="203">
        <v>0.73099999999999998</v>
      </c>
      <c r="BO28" s="203">
        <v>0.77139999999999997</v>
      </c>
      <c r="BP28" s="203">
        <v>0.73899999999999999</v>
      </c>
      <c r="BQ28" s="203">
        <v>0.75009999999999999</v>
      </c>
      <c r="BR28" s="414" t="s">
        <v>409</v>
      </c>
      <c r="BS28" s="391">
        <v>453</v>
      </c>
      <c r="BT28" s="391">
        <v>451</v>
      </c>
      <c r="BU28" s="391">
        <v>0.76959999999999995</v>
      </c>
      <c r="BV28" s="391">
        <v>0.73109999999999997</v>
      </c>
      <c r="BW28" s="391">
        <v>0.74239999999999995</v>
      </c>
      <c r="BX28" s="391">
        <v>0.77969999999999995</v>
      </c>
      <c r="BY28" s="391">
        <v>0.7379</v>
      </c>
      <c r="BZ28" s="391">
        <v>0.75429999999999997</v>
      </c>
      <c r="CA28" s="549" t="s">
        <v>409</v>
      </c>
      <c r="CB28" s="537" t="s">
        <v>704</v>
      </c>
      <c r="CC28" s="537" t="s">
        <v>978</v>
      </c>
      <c r="CD28" s="538">
        <v>0.78139999999999998</v>
      </c>
      <c r="CE28" s="538">
        <v>0.73960000000000004</v>
      </c>
      <c r="CF28" s="538">
        <v>0.76190000000000002</v>
      </c>
      <c r="CG28" s="538">
        <v>0.78649999999999998</v>
      </c>
      <c r="CH28" s="538">
        <v>0.75119999999999998</v>
      </c>
      <c r="CI28" s="538">
        <v>0.7661</v>
      </c>
      <c r="CJ28" s="667" t="s">
        <v>409</v>
      </c>
      <c r="CK28" s="668">
        <v>539</v>
      </c>
      <c r="CL28" s="668">
        <v>538</v>
      </c>
      <c r="CM28" s="659">
        <v>0.78510000000000002</v>
      </c>
      <c r="CN28" s="659">
        <v>0.74229999999999996</v>
      </c>
      <c r="CO28" s="659">
        <v>0.75600000000000001</v>
      </c>
      <c r="CP28" s="659">
        <v>0.78600000000000003</v>
      </c>
      <c r="CQ28" s="659">
        <v>0.77839999999999998</v>
      </c>
      <c r="CR28" s="659">
        <v>0.76819999999999999</v>
      </c>
    </row>
    <row r="29" spans="1:96" x14ac:dyDescent="0.3">
      <c r="A29" s="62" t="s">
        <v>175</v>
      </c>
      <c r="B29" s="200" t="s">
        <v>174</v>
      </c>
      <c r="C29" s="200" t="s">
        <v>573</v>
      </c>
      <c r="D29" s="200" t="s">
        <v>422</v>
      </c>
      <c r="E29" s="200" t="s">
        <v>794</v>
      </c>
      <c r="F29" s="200" t="s">
        <v>222</v>
      </c>
      <c r="G29" s="240" t="s">
        <v>410</v>
      </c>
      <c r="H29" s="241" t="s">
        <v>425</v>
      </c>
      <c r="I29" s="241" t="s">
        <v>425</v>
      </c>
      <c r="J29" s="241">
        <v>0.66579999999999995</v>
      </c>
      <c r="K29" s="241">
        <v>0.67149999999999999</v>
      </c>
      <c r="L29" s="241">
        <v>0.6915</v>
      </c>
      <c r="M29" s="241">
        <v>0.69679999999999997</v>
      </c>
      <c r="N29" s="241">
        <v>0.65890000000000004</v>
      </c>
      <c r="O29" s="241">
        <v>0.67969999999999997</v>
      </c>
      <c r="P29" s="248" t="s">
        <v>410</v>
      </c>
      <c r="Q29" s="249" t="s">
        <v>528</v>
      </c>
      <c r="R29" s="249" t="s">
        <v>528</v>
      </c>
      <c r="S29" s="249">
        <v>0.67290000000000005</v>
      </c>
      <c r="T29" s="249">
        <v>0.67359999999999998</v>
      </c>
      <c r="U29" s="249">
        <v>0.70130000000000003</v>
      </c>
      <c r="V29" s="249">
        <v>0.6976</v>
      </c>
      <c r="W29" s="249">
        <v>0.66469999999999996</v>
      </c>
      <c r="X29" s="249">
        <v>0.68469999999999998</v>
      </c>
      <c r="Y29" s="204" t="s">
        <v>410</v>
      </c>
      <c r="Z29" s="200" t="s">
        <v>541</v>
      </c>
      <c r="AA29" s="200" t="s">
        <v>541</v>
      </c>
      <c r="AB29" s="203">
        <v>0.68030000000000002</v>
      </c>
      <c r="AC29" s="203">
        <v>0.68120000000000003</v>
      </c>
      <c r="AD29" s="203">
        <v>0.69879999999999998</v>
      </c>
      <c r="AE29" s="203">
        <v>0.70330000000000004</v>
      </c>
      <c r="AF29" s="203">
        <v>0.68340000000000001</v>
      </c>
      <c r="AG29" s="203">
        <v>0.69030000000000002</v>
      </c>
      <c r="AH29" s="231" t="s">
        <v>410</v>
      </c>
      <c r="AI29" s="200" t="s">
        <v>456</v>
      </c>
      <c r="AJ29" s="200" t="s">
        <v>457</v>
      </c>
      <c r="AK29" s="203">
        <v>0.68330000000000002</v>
      </c>
      <c r="AL29" s="203">
        <v>0.68310000000000004</v>
      </c>
      <c r="AM29" s="203">
        <v>0.67859999999999998</v>
      </c>
      <c r="AN29" s="203">
        <v>0.70320000000000005</v>
      </c>
      <c r="AO29" s="203">
        <v>0.67689999999999995</v>
      </c>
      <c r="AP29" s="203">
        <v>0.68620000000000003</v>
      </c>
      <c r="AQ29" s="205" t="s">
        <v>410</v>
      </c>
      <c r="AR29" s="200" t="s">
        <v>528</v>
      </c>
      <c r="AS29" s="200" t="s">
        <v>529</v>
      </c>
      <c r="AT29" s="203">
        <v>0.69130000000000003</v>
      </c>
      <c r="AU29" s="203">
        <v>0.68540000000000001</v>
      </c>
      <c r="AV29" s="203">
        <v>0.66139999999999999</v>
      </c>
      <c r="AW29" s="203">
        <v>0.71950000000000003</v>
      </c>
      <c r="AX29" s="203">
        <v>0.69289999999999996</v>
      </c>
      <c r="AY29" s="203">
        <v>0.68969999999999998</v>
      </c>
      <c r="AZ29" s="204" t="s">
        <v>410</v>
      </c>
      <c r="BA29" s="200" t="s">
        <v>439</v>
      </c>
      <c r="BB29" s="200" t="s">
        <v>552</v>
      </c>
      <c r="BC29" s="203">
        <v>0.69820000000000004</v>
      </c>
      <c r="BD29" s="203">
        <v>0.68240000000000001</v>
      </c>
      <c r="BE29" s="203">
        <v>0.6583</v>
      </c>
      <c r="BF29" s="203">
        <v>0.73109999999999997</v>
      </c>
      <c r="BG29" s="203">
        <v>0.70040000000000002</v>
      </c>
      <c r="BH29" s="203">
        <v>0.69310000000000005</v>
      </c>
      <c r="BI29" s="201" t="s">
        <v>410</v>
      </c>
      <c r="BJ29" s="222">
        <v>100</v>
      </c>
      <c r="BK29" s="222">
        <v>98</v>
      </c>
      <c r="BL29" s="203">
        <v>0.71760000000000002</v>
      </c>
      <c r="BM29" s="203">
        <v>0.68269999999999997</v>
      </c>
      <c r="BN29" s="203">
        <v>0.67569999999999997</v>
      </c>
      <c r="BO29" s="203">
        <v>0.74039999999999995</v>
      </c>
      <c r="BP29" s="203">
        <v>0.70140000000000002</v>
      </c>
      <c r="BQ29" s="203">
        <v>0.70389999999999997</v>
      </c>
      <c r="BR29" s="410" t="s">
        <v>410</v>
      </c>
      <c r="BS29" s="391">
        <v>94</v>
      </c>
      <c r="BT29" s="391">
        <v>94</v>
      </c>
      <c r="BU29" s="391">
        <v>0.7097</v>
      </c>
      <c r="BV29" s="391">
        <v>0.68520000000000003</v>
      </c>
      <c r="BW29" s="391">
        <v>0.68100000000000005</v>
      </c>
      <c r="BX29" s="391">
        <v>0.74509999999999998</v>
      </c>
      <c r="BY29" s="391">
        <v>0.72170000000000001</v>
      </c>
      <c r="BZ29" s="391">
        <v>0.70650000000000002</v>
      </c>
      <c r="CA29" s="539" t="s">
        <v>410</v>
      </c>
      <c r="CB29" s="537" t="s">
        <v>560</v>
      </c>
      <c r="CC29" s="537" t="s">
        <v>560</v>
      </c>
      <c r="CD29" s="538">
        <v>0.71830000000000005</v>
      </c>
      <c r="CE29" s="538">
        <v>0.69550000000000001</v>
      </c>
      <c r="CF29" s="538">
        <v>0.69499999999999995</v>
      </c>
      <c r="CG29" s="538">
        <v>0.74850000000000005</v>
      </c>
      <c r="CH29" s="538">
        <v>0.7389</v>
      </c>
      <c r="CI29" s="538">
        <v>0.71619999999999995</v>
      </c>
      <c r="CJ29" s="667" t="s">
        <v>409</v>
      </c>
      <c r="CK29" s="668">
        <v>103</v>
      </c>
      <c r="CL29" s="668">
        <v>103</v>
      </c>
      <c r="CM29" s="659">
        <v>0.71899999999999997</v>
      </c>
      <c r="CN29" s="659">
        <v>0.71040000000000003</v>
      </c>
      <c r="CO29" s="659">
        <v>0.72219999999999995</v>
      </c>
      <c r="CP29" s="659">
        <v>0.75170000000000003</v>
      </c>
      <c r="CQ29" s="659">
        <v>0.76839999999999997</v>
      </c>
      <c r="CR29" s="659">
        <v>0.72909999999999997</v>
      </c>
    </row>
    <row r="30" spans="1:96" x14ac:dyDescent="0.3">
      <c r="A30" s="62" t="s">
        <v>84</v>
      </c>
      <c r="B30" s="200" t="s">
        <v>83</v>
      </c>
      <c r="C30" s="200" t="s">
        <v>573</v>
      </c>
      <c r="D30" s="200" t="s">
        <v>422</v>
      </c>
      <c r="E30" s="200" t="s">
        <v>794</v>
      </c>
      <c r="F30" s="200" t="s">
        <v>222</v>
      </c>
      <c r="G30" s="243" t="s">
        <v>409</v>
      </c>
      <c r="H30" s="241" t="s">
        <v>551</v>
      </c>
      <c r="I30" s="241" t="s">
        <v>551</v>
      </c>
      <c r="J30" s="241">
        <v>0.72660000000000002</v>
      </c>
      <c r="K30" s="241">
        <v>0.75229999999999997</v>
      </c>
      <c r="L30" s="241">
        <v>0.75249999999999995</v>
      </c>
      <c r="M30" s="241">
        <v>0.77010000000000001</v>
      </c>
      <c r="N30" s="241">
        <v>0.72030000000000005</v>
      </c>
      <c r="O30" s="241">
        <v>0.74809999999999999</v>
      </c>
      <c r="P30" s="252" t="s">
        <v>409</v>
      </c>
      <c r="Q30" s="249" t="s">
        <v>589</v>
      </c>
      <c r="R30" s="249" t="s">
        <v>589</v>
      </c>
      <c r="S30" s="249">
        <v>0.72419999999999995</v>
      </c>
      <c r="T30" s="249">
        <v>0.73880000000000001</v>
      </c>
      <c r="U30" s="249">
        <v>0.74360000000000004</v>
      </c>
      <c r="V30" s="249">
        <v>0.75170000000000003</v>
      </c>
      <c r="W30" s="249">
        <v>0.72709999999999997</v>
      </c>
      <c r="X30" s="249">
        <v>0.73860000000000003</v>
      </c>
      <c r="Y30" s="211" t="s">
        <v>409</v>
      </c>
      <c r="Z30" s="200" t="s">
        <v>429</v>
      </c>
      <c r="AA30" s="200" t="s">
        <v>429</v>
      </c>
      <c r="AB30" s="203">
        <v>0.73939999999999995</v>
      </c>
      <c r="AC30" s="203">
        <v>0.75029999999999997</v>
      </c>
      <c r="AD30" s="203">
        <v>0.75060000000000004</v>
      </c>
      <c r="AE30" s="203">
        <v>0.75180000000000002</v>
      </c>
      <c r="AF30" s="203">
        <v>0.74309999999999998</v>
      </c>
      <c r="AG30" s="203">
        <v>0.74760000000000004</v>
      </c>
      <c r="AH30" s="230" t="s">
        <v>409</v>
      </c>
      <c r="AI30" s="200" t="s">
        <v>581</v>
      </c>
      <c r="AJ30" s="200" t="s">
        <v>490</v>
      </c>
      <c r="AK30" s="203">
        <v>0.74490000000000001</v>
      </c>
      <c r="AL30" s="203">
        <v>0.75449999999999995</v>
      </c>
      <c r="AM30" s="203">
        <v>0.75409999999999999</v>
      </c>
      <c r="AN30" s="203">
        <v>0.77229999999999999</v>
      </c>
      <c r="AO30" s="203">
        <v>0.75890000000000002</v>
      </c>
      <c r="AP30" s="203">
        <v>0.75660000000000005</v>
      </c>
      <c r="AQ30" s="214" t="s">
        <v>408</v>
      </c>
      <c r="AR30" s="200" t="s">
        <v>426</v>
      </c>
      <c r="AS30" s="200" t="s">
        <v>427</v>
      </c>
      <c r="AT30" s="203">
        <v>0.76670000000000005</v>
      </c>
      <c r="AU30" s="203">
        <v>0.76959999999999995</v>
      </c>
      <c r="AV30" s="203">
        <v>0.78400000000000003</v>
      </c>
      <c r="AW30" s="203">
        <v>0.80210000000000004</v>
      </c>
      <c r="AX30" s="203">
        <v>0.78810000000000002</v>
      </c>
      <c r="AY30" s="203">
        <v>0.78120000000000001</v>
      </c>
      <c r="AZ30" s="213" t="s">
        <v>408</v>
      </c>
      <c r="BA30" s="200" t="s">
        <v>426</v>
      </c>
      <c r="BB30" s="200" t="s">
        <v>574</v>
      </c>
      <c r="BC30" s="203">
        <v>0.76749999999999996</v>
      </c>
      <c r="BD30" s="203">
        <v>0.75560000000000005</v>
      </c>
      <c r="BE30" s="203">
        <v>0.7651</v>
      </c>
      <c r="BF30" s="203">
        <v>0.79649999999999999</v>
      </c>
      <c r="BG30" s="203">
        <v>0.77580000000000005</v>
      </c>
      <c r="BH30" s="203">
        <v>0.77149999999999996</v>
      </c>
      <c r="BI30" s="215" t="s">
        <v>409</v>
      </c>
      <c r="BJ30" s="222">
        <v>67</v>
      </c>
      <c r="BK30" s="222">
        <v>65</v>
      </c>
      <c r="BL30" s="203">
        <v>0.76359999999999995</v>
      </c>
      <c r="BM30" s="203">
        <v>0.74919999999999998</v>
      </c>
      <c r="BN30" s="203">
        <v>0.7702</v>
      </c>
      <c r="BO30" s="203">
        <v>0.7883</v>
      </c>
      <c r="BP30" s="203">
        <v>0.748</v>
      </c>
      <c r="BQ30" s="203">
        <v>0.76629999999999998</v>
      </c>
      <c r="BR30" s="414" t="s">
        <v>409</v>
      </c>
      <c r="BS30" s="391">
        <v>71</v>
      </c>
      <c r="BT30" s="391">
        <v>70</v>
      </c>
      <c r="BU30" s="391">
        <v>0.76370000000000005</v>
      </c>
      <c r="BV30" s="391">
        <v>0.73650000000000004</v>
      </c>
      <c r="BW30" s="391">
        <v>0.755</v>
      </c>
      <c r="BX30" s="391">
        <v>0.77849999999999997</v>
      </c>
      <c r="BY30" s="391">
        <v>0.74539999999999995</v>
      </c>
      <c r="BZ30" s="391">
        <v>0.75739999999999996</v>
      </c>
      <c r="CA30" s="549" t="s">
        <v>409</v>
      </c>
      <c r="CB30" s="537" t="s">
        <v>429</v>
      </c>
      <c r="CC30" s="537" t="s">
        <v>429</v>
      </c>
      <c r="CD30" s="538">
        <v>0.76729999999999998</v>
      </c>
      <c r="CE30" s="538">
        <v>0.74309999999999998</v>
      </c>
      <c r="CF30" s="538">
        <v>0.76959999999999995</v>
      </c>
      <c r="CG30" s="538">
        <v>0.7903</v>
      </c>
      <c r="CH30" s="538">
        <v>0.7591</v>
      </c>
      <c r="CI30" s="538">
        <v>0.76690000000000003</v>
      </c>
      <c r="CJ30" s="671" t="s">
        <v>408</v>
      </c>
      <c r="CK30" s="668">
        <v>57</v>
      </c>
      <c r="CL30" s="668">
        <v>57</v>
      </c>
      <c r="CM30" s="659">
        <v>0.77229999999999999</v>
      </c>
      <c r="CN30" s="659">
        <v>0.74250000000000005</v>
      </c>
      <c r="CO30" s="659">
        <v>0.7702</v>
      </c>
      <c r="CP30" s="659">
        <v>0.79859999999999998</v>
      </c>
      <c r="CQ30" s="659">
        <v>0.78969999999999996</v>
      </c>
      <c r="CR30" s="659">
        <v>0.77229999999999999</v>
      </c>
    </row>
    <row r="31" spans="1:96" x14ac:dyDescent="0.3">
      <c r="A31" s="62" t="s">
        <v>186</v>
      </c>
      <c r="B31" s="200" t="s">
        <v>185</v>
      </c>
      <c r="C31" s="200" t="s">
        <v>573</v>
      </c>
      <c r="D31" s="200" t="s">
        <v>422</v>
      </c>
      <c r="E31" s="200" t="s">
        <v>794</v>
      </c>
      <c r="F31" s="200" t="s">
        <v>222</v>
      </c>
      <c r="G31" s="242" t="s">
        <v>546</v>
      </c>
      <c r="H31" s="241" t="s">
        <v>808</v>
      </c>
      <c r="I31" s="241" t="s">
        <v>518</v>
      </c>
      <c r="J31" s="241">
        <v>0.62539999999999996</v>
      </c>
      <c r="K31" s="241">
        <v>0.63200000000000001</v>
      </c>
      <c r="L31" s="241">
        <v>0.6351</v>
      </c>
      <c r="M31" s="241">
        <v>0.60460000000000003</v>
      </c>
      <c r="N31" s="241">
        <v>0.62039999999999995</v>
      </c>
      <c r="O31" s="241">
        <v>0.624</v>
      </c>
      <c r="P31" s="250" t="s">
        <v>546</v>
      </c>
      <c r="Q31" s="249" t="s">
        <v>484</v>
      </c>
      <c r="R31" s="249" t="s">
        <v>449</v>
      </c>
      <c r="S31" s="249">
        <v>0.63570000000000004</v>
      </c>
      <c r="T31" s="249">
        <v>0.63660000000000005</v>
      </c>
      <c r="U31" s="249">
        <v>0.64070000000000005</v>
      </c>
      <c r="V31" s="249">
        <v>0.62160000000000004</v>
      </c>
      <c r="W31" s="249">
        <v>0.62270000000000003</v>
      </c>
      <c r="X31" s="249">
        <v>0.63280000000000003</v>
      </c>
      <c r="Y31" s="207" t="s">
        <v>546</v>
      </c>
      <c r="Z31" s="200" t="s">
        <v>484</v>
      </c>
      <c r="AA31" s="200" t="s">
        <v>449</v>
      </c>
      <c r="AB31" s="203">
        <v>0.64300000000000002</v>
      </c>
      <c r="AC31" s="203">
        <v>0.65149999999999997</v>
      </c>
      <c r="AD31" s="203">
        <v>0.61819999999999997</v>
      </c>
      <c r="AE31" s="203">
        <v>0.64139999999999997</v>
      </c>
      <c r="AF31" s="203">
        <v>0.62619999999999998</v>
      </c>
      <c r="AG31" s="203">
        <v>0.63759999999999994</v>
      </c>
      <c r="AH31" s="227" t="s">
        <v>546</v>
      </c>
      <c r="AI31" s="200" t="s">
        <v>538</v>
      </c>
      <c r="AJ31" s="200" t="s">
        <v>571</v>
      </c>
      <c r="AK31" s="203">
        <v>0.63160000000000005</v>
      </c>
      <c r="AL31" s="203">
        <v>0.6653</v>
      </c>
      <c r="AM31" s="203">
        <v>0.61419999999999997</v>
      </c>
      <c r="AN31" s="203">
        <v>0.67700000000000005</v>
      </c>
      <c r="AO31" s="203">
        <v>0.62839999999999996</v>
      </c>
      <c r="AP31" s="203">
        <v>0.64559999999999995</v>
      </c>
      <c r="AQ31" s="208" t="s">
        <v>546</v>
      </c>
      <c r="AR31" s="200" t="s">
        <v>486</v>
      </c>
      <c r="AS31" s="200" t="s">
        <v>484</v>
      </c>
      <c r="AT31" s="203">
        <v>0.61529999999999996</v>
      </c>
      <c r="AU31" s="203">
        <v>0.66910000000000003</v>
      </c>
      <c r="AV31" s="203">
        <v>0.59860000000000002</v>
      </c>
      <c r="AW31" s="203">
        <v>0.68059999999999998</v>
      </c>
      <c r="AX31" s="203">
        <v>0.62409999999999999</v>
      </c>
      <c r="AY31" s="203">
        <v>0.63959999999999995</v>
      </c>
      <c r="AZ31" s="209" t="s">
        <v>562</v>
      </c>
      <c r="BA31" s="200" t="s">
        <v>550</v>
      </c>
      <c r="BB31" s="200" t="s">
        <v>613</v>
      </c>
      <c r="BC31" s="203">
        <v>0.59440000000000004</v>
      </c>
      <c r="BD31" s="203">
        <v>0.63190000000000002</v>
      </c>
      <c r="BE31" s="203">
        <v>0.57609999999999995</v>
      </c>
      <c r="BF31" s="203">
        <v>0.66180000000000005</v>
      </c>
      <c r="BG31" s="203">
        <v>0.59499999999999997</v>
      </c>
      <c r="BH31" s="203">
        <v>0.61439999999999995</v>
      </c>
      <c r="BI31" s="217" t="s">
        <v>562</v>
      </c>
      <c r="BJ31" s="222">
        <v>55</v>
      </c>
      <c r="BK31" s="222">
        <v>52</v>
      </c>
      <c r="BL31" s="203">
        <v>0.61499999999999999</v>
      </c>
      <c r="BM31" s="203">
        <v>0.60629999999999995</v>
      </c>
      <c r="BN31" s="203">
        <v>0.5696</v>
      </c>
      <c r="BO31" s="203">
        <v>0.67290000000000005</v>
      </c>
      <c r="BP31" s="203">
        <v>0.60289999999999999</v>
      </c>
      <c r="BQ31" s="203">
        <v>0.61499999999999999</v>
      </c>
      <c r="BR31" s="411" t="s">
        <v>562</v>
      </c>
      <c r="BS31" s="391">
        <v>50</v>
      </c>
      <c r="BT31" s="391">
        <v>50</v>
      </c>
      <c r="BU31" s="391">
        <v>0.62209999999999999</v>
      </c>
      <c r="BV31" s="391">
        <v>0.59799999999999998</v>
      </c>
      <c r="BW31" s="391">
        <v>0.56820000000000004</v>
      </c>
      <c r="BX31" s="391">
        <v>0.67710000000000004</v>
      </c>
      <c r="BY31" s="391">
        <v>0.62160000000000004</v>
      </c>
      <c r="BZ31" s="391">
        <v>0.61670000000000003</v>
      </c>
      <c r="CA31" s="540" t="s">
        <v>546</v>
      </c>
      <c r="CB31" s="537" t="s">
        <v>550</v>
      </c>
      <c r="CC31" s="537" t="s">
        <v>550</v>
      </c>
      <c r="CD31" s="538">
        <v>0.63929999999999998</v>
      </c>
      <c r="CE31" s="538">
        <v>0.59830000000000005</v>
      </c>
      <c r="CF31" s="538">
        <v>0.57350000000000001</v>
      </c>
      <c r="CG31" s="538">
        <v>0.69069999999999998</v>
      </c>
      <c r="CH31" s="538">
        <v>0.64359999999999995</v>
      </c>
      <c r="CI31" s="538">
        <v>0.62690000000000001</v>
      </c>
    </row>
    <row r="32" spans="1:96" x14ac:dyDescent="0.3">
      <c r="A32" s="62" t="s">
        <v>162</v>
      </c>
      <c r="B32" s="200" t="s">
        <v>161</v>
      </c>
      <c r="C32" s="200" t="s">
        <v>573</v>
      </c>
      <c r="D32" s="200" t="s">
        <v>422</v>
      </c>
      <c r="E32" s="200" t="s">
        <v>794</v>
      </c>
      <c r="F32" s="200" t="s">
        <v>222</v>
      </c>
      <c r="G32" s="240" t="s">
        <v>410</v>
      </c>
      <c r="H32" s="241" t="s">
        <v>673</v>
      </c>
      <c r="I32" s="241" t="s">
        <v>673</v>
      </c>
      <c r="J32" s="241">
        <v>0.67579999999999996</v>
      </c>
      <c r="K32" s="241">
        <v>0.68189999999999995</v>
      </c>
      <c r="L32" s="241">
        <v>0.67530000000000001</v>
      </c>
      <c r="M32" s="241">
        <v>0.68510000000000004</v>
      </c>
      <c r="N32" s="241">
        <v>0.65400000000000003</v>
      </c>
      <c r="O32" s="241">
        <v>0.67759999999999998</v>
      </c>
      <c r="P32" s="248" t="s">
        <v>410</v>
      </c>
      <c r="Q32" s="249" t="s">
        <v>584</v>
      </c>
      <c r="R32" s="249" t="s">
        <v>463</v>
      </c>
      <c r="S32" s="249">
        <v>0.67779999999999996</v>
      </c>
      <c r="T32" s="249">
        <v>0.6895</v>
      </c>
      <c r="U32" s="249">
        <v>0.67179999999999995</v>
      </c>
      <c r="V32" s="249">
        <v>0.67359999999999998</v>
      </c>
      <c r="W32" s="249">
        <v>0.65869999999999995</v>
      </c>
      <c r="X32" s="249">
        <v>0.67669999999999997</v>
      </c>
      <c r="Y32" s="204" t="s">
        <v>410</v>
      </c>
      <c r="Z32" s="200" t="s">
        <v>584</v>
      </c>
      <c r="AA32" s="200" t="s">
        <v>463</v>
      </c>
      <c r="AB32" s="203">
        <v>0.69220000000000004</v>
      </c>
      <c r="AC32" s="203">
        <v>0.69810000000000005</v>
      </c>
      <c r="AD32" s="203">
        <v>0.67220000000000002</v>
      </c>
      <c r="AE32" s="203">
        <v>0.68679999999999997</v>
      </c>
      <c r="AF32" s="203">
        <v>0.68420000000000003</v>
      </c>
      <c r="AG32" s="203">
        <v>0.68710000000000004</v>
      </c>
      <c r="AH32" s="231" t="s">
        <v>410</v>
      </c>
      <c r="AI32" s="200" t="s">
        <v>559</v>
      </c>
      <c r="AJ32" s="200" t="s">
        <v>614</v>
      </c>
      <c r="AK32" s="203">
        <v>0.70889999999999997</v>
      </c>
      <c r="AL32" s="203">
        <v>0.71760000000000002</v>
      </c>
      <c r="AM32" s="203">
        <v>0.6774</v>
      </c>
      <c r="AN32" s="203">
        <v>0.70879999999999999</v>
      </c>
      <c r="AO32" s="203">
        <v>0.68210000000000004</v>
      </c>
      <c r="AP32" s="203">
        <v>0.7016</v>
      </c>
      <c r="AQ32" s="205" t="s">
        <v>410</v>
      </c>
      <c r="AR32" s="200" t="s">
        <v>467</v>
      </c>
      <c r="AS32" s="200" t="s">
        <v>489</v>
      </c>
      <c r="AT32" s="203">
        <v>0.72289999999999999</v>
      </c>
      <c r="AU32" s="203">
        <v>0.71179999999999999</v>
      </c>
      <c r="AV32" s="203">
        <v>0.68179999999999996</v>
      </c>
      <c r="AW32" s="203">
        <v>0.71970000000000001</v>
      </c>
      <c r="AX32" s="203">
        <v>0.6915</v>
      </c>
      <c r="AY32" s="203">
        <v>0.7077</v>
      </c>
      <c r="AZ32" s="204" t="s">
        <v>410</v>
      </c>
      <c r="BA32" s="200" t="s">
        <v>673</v>
      </c>
      <c r="BB32" s="200" t="s">
        <v>539</v>
      </c>
      <c r="BC32" s="203">
        <v>0.72450000000000003</v>
      </c>
      <c r="BD32" s="203">
        <v>0.69550000000000001</v>
      </c>
      <c r="BE32" s="203">
        <v>0.66410000000000002</v>
      </c>
      <c r="BF32" s="203">
        <v>0.72160000000000002</v>
      </c>
      <c r="BG32" s="203">
        <v>0.67279999999999995</v>
      </c>
      <c r="BH32" s="203">
        <v>0.69920000000000004</v>
      </c>
      <c r="BI32" s="201" t="s">
        <v>410</v>
      </c>
      <c r="BJ32" s="222">
        <v>121</v>
      </c>
      <c r="BK32" s="222">
        <v>121</v>
      </c>
      <c r="BL32" s="203">
        <v>0.7409</v>
      </c>
      <c r="BM32" s="203">
        <v>0.68520000000000003</v>
      </c>
      <c r="BN32" s="203">
        <v>0.67789999999999995</v>
      </c>
      <c r="BO32" s="203">
        <v>0.72040000000000004</v>
      </c>
      <c r="BP32" s="203">
        <v>0.67859999999999998</v>
      </c>
      <c r="BQ32" s="203">
        <v>0.70399999999999996</v>
      </c>
      <c r="BR32" s="410" t="s">
        <v>410</v>
      </c>
      <c r="BS32" s="391">
        <v>118</v>
      </c>
      <c r="BT32" s="391">
        <v>118</v>
      </c>
      <c r="BU32" s="391">
        <v>0.73839999999999995</v>
      </c>
      <c r="BV32" s="391">
        <v>0.68700000000000006</v>
      </c>
      <c r="BW32" s="391">
        <v>0.67379999999999995</v>
      </c>
      <c r="BX32" s="391">
        <v>0.72640000000000005</v>
      </c>
      <c r="BY32" s="391">
        <v>0.67810000000000004</v>
      </c>
      <c r="BZ32" s="391">
        <v>0.70420000000000005</v>
      </c>
      <c r="CA32" s="539" t="s">
        <v>410</v>
      </c>
      <c r="CB32" s="537" t="s">
        <v>540</v>
      </c>
      <c r="CC32" s="537" t="s">
        <v>540</v>
      </c>
      <c r="CD32" s="538">
        <v>0.73160000000000003</v>
      </c>
      <c r="CE32" s="538">
        <v>0.68730000000000002</v>
      </c>
      <c r="CF32" s="538">
        <v>0.69240000000000002</v>
      </c>
      <c r="CG32" s="538">
        <v>0.73089999999999999</v>
      </c>
      <c r="CH32" s="538">
        <v>0.69179999999999997</v>
      </c>
      <c r="CI32" s="538">
        <v>0.70909999999999995</v>
      </c>
      <c r="CJ32" s="669" t="s">
        <v>410</v>
      </c>
      <c r="CK32" s="668">
        <v>119</v>
      </c>
      <c r="CL32" s="668">
        <v>119</v>
      </c>
      <c r="CM32" s="659">
        <v>0.73099999999999998</v>
      </c>
      <c r="CN32" s="659">
        <v>0.69699999999999995</v>
      </c>
      <c r="CO32" s="659">
        <v>0.68400000000000005</v>
      </c>
      <c r="CP32" s="659">
        <v>0.7409</v>
      </c>
      <c r="CQ32" s="659">
        <v>0.70199999999999996</v>
      </c>
      <c r="CR32" s="659">
        <v>0.71240000000000003</v>
      </c>
    </row>
    <row r="33" spans="1:96" x14ac:dyDescent="0.3">
      <c r="A33" s="62" t="s">
        <v>114</v>
      </c>
      <c r="B33" s="200" t="s">
        <v>113</v>
      </c>
      <c r="C33" s="200" t="s">
        <v>573</v>
      </c>
      <c r="D33" s="200" t="s">
        <v>422</v>
      </c>
      <c r="E33" s="200" t="s">
        <v>794</v>
      </c>
      <c r="F33" s="200" t="s">
        <v>222</v>
      </c>
      <c r="G33" s="240" t="s">
        <v>410</v>
      </c>
      <c r="H33" s="241" t="s">
        <v>589</v>
      </c>
      <c r="I33" s="241" t="s">
        <v>581</v>
      </c>
      <c r="J33" s="241">
        <v>0.69169999999999998</v>
      </c>
      <c r="K33" s="241">
        <v>0.69669999999999999</v>
      </c>
      <c r="L33" s="241">
        <v>0.69740000000000002</v>
      </c>
      <c r="M33" s="241">
        <v>0.71160000000000001</v>
      </c>
      <c r="N33" s="241">
        <v>0.70950000000000002</v>
      </c>
      <c r="O33" s="241">
        <v>0.70009999999999994</v>
      </c>
      <c r="P33" s="248" t="s">
        <v>410</v>
      </c>
      <c r="Q33" s="249" t="s">
        <v>425</v>
      </c>
      <c r="R33" s="249" t="s">
        <v>448</v>
      </c>
      <c r="S33" s="249">
        <v>0.71220000000000006</v>
      </c>
      <c r="T33" s="249">
        <v>0.71089999999999998</v>
      </c>
      <c r="U33" s="249">
        <v>0.72009999999999996</v>
      </c>
      <c r="V33" s="249">
        <v>0.72650000000000003</v>
      </c>
      <c r="W33" s="249">
        <v>0.72499999999999998</v>
      </c>
      <c r="X33" s="249">
        <v>0.71799999999999997</v>
      </c>
      <c r="Y33" s="211" t="s">
        <v>409</v>
      </c>
      <c r="Z33" s="200" t="s">
        <v>663</v>
      </c>
      <c r="AA33" s="200" t="s">
        <v>584</v>
      </c>
      <c r="AB33" s="203">
        <v>0.71360000000000001</v>
      </c>
      <c r="AC33" s="203">
        <v>0.72260000000000002</v>
      </c>
      <c r="AD33" s="203">
        <v>0.71870000000000001</v>
      </c>
      <c r="AE33" s="203">
        <v>0.73070000000000002</v>
      </c>
      <c r="AF33" s="203">
        <v>0.73540000000000005</v>
      </c>
      <c r="AG33" s="203">
        <v>0.72250000000000003</v>
      </c>
      <c r="AH33" s="230" t="s">
        <v>409</v>
      </c>
      <c r="AI33" s="200" t="s">
        <v>584</v>
      </c>
      <c r="AJ33" s="200" t="s">
        <v>584</v>
      </c>
      <c r="AK33" s="203">
        <v>0.74060000000000004</v>
      </c>
      <c r="AL33" s="203">
        <v>0.74380000000000002</v>
      </c>
      <c r="AM33" s="203">
        <v>0.7399</v>
      </c>
      <c r="AN33" s="203">
        <v>0.75890000000000002</v>
      </c>
      <c r="AO33" s="203">
        <v>0.74870000000000003</v>
      </c>
      <c r="AP33" s="203">
        <v>0.746</v>
      </c>
      <c r="AQ33" s="216" t="s">
        <v>409</v>
      </c>
      <c r="AR33" s="200" t="s">
        <v>445</v>
      </c>
      <c r="AS33" s="200" t="s">
        <v>445</v>
      </c>
      <c r="AT33" s="203">
        <v>0.75180000000000002</v>
      </c>
      <c r="AU33" s="203">
        <v>0.74299999999999999</v>
      </c>
      <c r="AV33" s="203">
        <v>0.73419999999999996</v>
      </c>
      <c r="AW33" s="203">
        <v>0.76959999999999995</v>
      </c>
      <c r="AX33" s="203">
        <v>0.74919999999999998</v>
      </c>
      <c r="AY33" s="203">
        <v>0.74960000000000004</v>
      </c>
      <c r="AZ33" s="211" t="s">
        <v>409</v>
      </c>
      <c r="BA33" s="200" t="s">
        <v>663</v>
      </c>
      <c r="BB33" s="200" t="s">
        <v>663</v>
      </c>
      <c r="BC33" s="203">
        <v>0.75519999999999998</v>
      </c>
      <c r="BD33" s="203">
        <v>0.73209999999999997</v>
      </c>
      <c r="BE33" s="203">
        <v>0.73829999999999996</v>
      </c>
      <c r="BF33" s="203">
        <v>0.77969999999999995</v>
      </c>
      <c r="BG33" s="203">
        <v>0.72889999999999999</v>
      </c>
      <c r="BH33" s="203">
        <v>0.74960000000000004</v>
      </c>
      <c r="BI33" s="215" t="s">
        <v>409</v>
      </c>
      <c r="BJ33" s="222">
        <v>123</v>
      </c>
      <c r="BK33" s="222">
        <v>122</v>
      </c>
      <c r="BL33" s="203">
        <v>0.75209999999999999</v>
      </c>
      <c r="BM33" s="203">
        <v>0.72150000000000003</v>
      </c>
      <c r="BN33" s="203">
        <v>0.7389</v>
      </c>
      <c r="BO33" s="203">
        <v>0.77569999999999995</v>
      </c>
      <c r="BP33" s="203">
        <v>0.70960000000000001</v>
      </c>
      <c r="BQ33" s="203">
        <v>0.74419999999999997</v>
      </c>
      <c r="BR33" s="414" t="s">
        <v>409</v>
      </c>
      <c r="BS33" s="391">
        <v>134</v>
      </c>
      <c r="BT33" s="391">
        <v>133</v>
      </c>
      <c r="BU33" s="391">
        <v>0.74429999999999996</v>
      </c>
      <c r="BV33" s="391">
        <v>0.72419999999999995</v>
      </c>
      <c r="BW33" s="391">
        <v>0.7419</v>
      </c>
      <c r="BX33" s="391">
        <v>0.7792</v>
      </c>
      <c r="BY33" s="391">
        <v>0.71399999999999997</v>
      </c>
      <c r="BZ33" s="391">
        <v>0.74480000000000002</v>
      </c>
      <c r="CA33" s="549" t="s">
        <v>409</v>
      </c>
      <c r="CB33" s="537" t="s">
        <v>699</v>
      </c>
      <c r="CC33" s="537" t="s">
        <v>674</v>
      </c>
      <c r="CD33" s="538">
        <v>0.75829999999999997</v>
      </c>
      <c r="CE33" s="538">
        <v>0.73409999999999997</v>
      </c>
      <c r="CF33" s="538">
        <v>0.75129999999999997</v>
      </c>
      <c r="CG33" s="538">
        <v>0.78580000000000005</v>
      </c>
      <c r="CH33" s="538">
        <v>0.74199999999999999</v>
      </c>
      <c r="CI33" s="538">
        <v>0.75619999999999998</v>
      </c>
      <c r="CJ33" s="667" t="s">
        <v>409</v>
      </c>
      <c r="CK33" s="668">
        <v>175</v>
      </c>
      <c r="CL33" s="668">
        <v>173</v>
      </c>
      <c r="CM33" s="659">
        <v>0.76100000000000001</v>
      </c>
      <c r="CN33" s="659">
        <v>0.74070000000000003</v>
      </c>
      <c r="CO33" s="659">
        <v>0.74839999999999995</v>
      </c>
      <c r="CP33" s="659">
        <v>0.78900000000000003</v>
      </c>
      <c r="CQ33" s="659">
        <v>0.76300000000000001</v>
      </c>
      <c r="CR33" s="659">
        <v>0.76</v>
      </c>
    </row>
    <row r="34" spans="1:96" x14ac:dyDescent="0.3">
      <c r="A34" s="62" t="s">
        <v>128</v>
      </c>
      <c r="B34" s="200" t="s">
        <v>127</v>
      </c>
      <c r="C34" s="200" t="s">
        <v>573</v>
      </c>
      <c r="D34" s="200" t="s">
        <v>422</v>
      </c>
      <c r="E34" s="200" t="s">
        <v>794</v>
      </c>
      <c r="F34" s="200" t="s">
        <v>222</v>
      </c>
      <c r="G34" s="240" t="s">
        <v>410</v>
      </c>
      <c r="H34" s="241" t="s">
        <v>490</v>
      </c>
      <c r="I34" s="241" t="s">
        <v>490</v>
      </c>
      <c r="J34" s="241">
        <v>0.68320000000000003</v>
      </c>
      <c r="K34" s="241">
        <v>0.70589999999999997</v>
      </c>
      <c r="L34" s="241">
        <v>0.71360000000000001</v>
      </c>
      <c r="M34" s="241">
        <v>0.73150000000000004</v>
      </c>
      <c r="N34" s="241">
        <v>0.71889999999999998</v>
      </c>
      <c r="O34" s="241">
        <v>0.70930000000000004</v>
      </c>
      <c r="P34" s="248" t="s">
        <v>410</v>
      </c>
      <c r="Q34" s="249" t="s">
        <v>429</v>
      </c>
      <c r="R34" s="249" t="s">
        <v>429</v>
      </c>
      <c r="S34" s="249">
        <v>0.69940000000000002</v>
      </c>
      <c r="T34" s="249">
        <v>0.71230000000000004</v>
      </c>
      <c r="U34" s="249">
        <v>0.71279999999999999</v>
      </c>
      <c r="V34" s="249">
        <v>0.72570000000000001</v>
      </c>
      <c r="W34" s="249">
        <v>0.72150000000000003</v>
      </c>
      <c r="X34" s="249">
        <v>0.71319999999999995</v>
      </c>
      <c r="Y34" s="211" t="s">
        <v>409</v>
      </c>
      <c r="Z34" s="200" t="s">
        <v>424</v>
      </c>
      <c r="AA34" s="200" t="s">
        <v>424</v>
      </c>
      <c r="AB34" s="203">
        <v>0.71360000000000001</v>
      </c>
      <c r="AC34" s="203">
        <v>0.7288</v>
      </c>
      <c r="AD34" s="203">
        <v>0.72289999999999999</v>
      </c>
      <c r="AE34" s="203">
        <v>0.73819999999999997</v>
      </c>
      <c r="AF34" s="203">
        <v>0.74619999999999997</v>
      </c>
      <c r="AG34" s="203">
        <v>0.72740000000000005</v>
      </c>
      <c r="AH34" s="230" t="s">
        <v>409</v>
      </c>
      <c r="AI34" s="200" t="s">
        <v>589</v>
      </c>
      <c r="AJ34" s="200" t="s">
        <v>589</v>
      </c>
      <c r="AK34" s="203">
        <v>0.74590000000000001</v>
      </c>
      <c r="AL34" s="203">
        <v>0.73060000000000003</v>
      </c>
      <c r="AM34" s="203">
        <v>0.73170000000000002</v>
      </c>
      <c r="AN34" s="203">
        <v>0.73699999999999999</v>
      </c>
      <c r="AO34" s="203">
        <v>0.7671</v>
      </c>
      <c r="AP34" s="203">
        <v>0.73860000000000003</v>
      </c>
      <c r="AQ34" s="216" t="s">
        <v>409</v>
      </c>
      <c r="AR34" s="200" t="s">
        <v>444</v>
      </c>
      <c r="AS34" s="200" t="s">
        <v>448</v>
      </c>
      <c r="AT34" s="203">
        <v>0.72840000000000005</v>
      </c>
      <c r="AU34" s="203">
        <v>0.73480000000000001</v>
      </c>
      <c r="AV34" s="203">
        <v>0.74219999999999997</v>
      </c>
      <c r="AW34" s="203">
        <v>0.75449999999999995</v>
      </c>
      <c r="AX34" s="203">
        <v>0.77910000000000001</v>
      </c>
      <c r="AY34" s="203">
        <v>0.74299999999999999</v>
      </c>
      <c r="AZ34" s="211" t="s">
        <v>409</v>
      </c>
      <c r="BA34" s="200" t="s">
        <v>684</v>
      </c>
      <c r="BB34" s="200" t="s">
        <v>490</v>
      </c>
      <c r="BC34" s="203">
        <v>0.73760000000000003</v>
      </c>
      <c r="BD34" s="203">
        <v>0.73029999999999995</v>
      </c>
      <c r="BE34" s="203">
        <v>0.73950000000000005</v>
      </c>
      <c r="BF34" s="203">
        <v>0.75819999999999999</v>
      </c>
      <c r="BG34" s="203">
        <v>0.77769999999999995</v>
      </c>
      <c r="BH34" s="203">
        <v>0.74419999999999997</v>
      </c>
      <c r="BI34" s="215" t="s">
        <v>409</v>
      </c>
      <c r="BJ34" s="222">
        <v>70</v>
      </c>
      <c r="BK34" s="222">
        <v>67</v>
      </c>
      <c r="BL34" s="203">
        <v>0.73360000000000003</v>
      </c>
      <c r="BM34" s="203">
        <v>0.73429999999999995</v>
      </c>
      <c r="BN34" s="203">
        <v>0.74250000000000005</v>
      </c>
      <c r="BO34" s="203">
        <v>0.75639999999999996</v>
      </c>
      <c r="BP34" s="203">
        <v>0.75929999999999997</v>
      </c>
      <c r="BQ34" s="203">
        <v>0.74299999999999999</v>
      </c>
      <c r="BR34" s="414" t="s">
        <v>409</v>
      </c>
      <c r="BS34" s="391">
        <v>58</v>
      </c>
      <c r="BT34" s="391">
        <v>58</v>
      </c>
      <c r="BU34" s="391">
        <v>0.75039999999999996</v>
      </c>
      <c r="BV34" s="391">
        <v>0.7268</v>
      </c>
      <c r="BW34" s="391">
        <v>0.73350000000000004</v>
      </c>
      <c r="BX34" s="391">
        <v>0.76300000000000001</v>
      </c>
      <c r="BY34" s="391">
        <v>0.75280000000000002</v>
      </c>
      <c r="BZ34" s="391">
        <v>0.74419999999999997</v>
      </c>
      <c r="CA34" s="549" t="s">
        <v>409</v>
      </c>
      <c r="CB34" s="537" t="s">
        <v>429</v>
      </c>
      <c r="CC34" s="537" t="s">
        <v>429</v>
      </c>
      <c r="CD34" s="538">
        <v>0.74129999999999996</v>
      </c>
      <c r="CE34" s="538">
        <v>0.72350000000000003</v>
      </c>
      <c r="CF34" s="538">
        <v>0.7268</v>
      </c>
      <c r="CG34" s="538">
        <v>0.76119999999999999</v>
      </c>
      <c r="CH34" s="538">
        <v>0.75890000000000002</v>
      </c>
      <c r="CI34" s="538">
        <v>0.73980000000000001</v>
      </c>
      <c r="CJ34" s="667" t="s">
        <v>409</v>
      </c>
      <c r="CK34" s="668">
        <v>75</v>
      </c>
      <c r="CL34" s="668">
        <v>75</v>
      </c>
      <c r="CM34" s="659">
        <v>0.73880000000000001</v>
      </c>
      <c r="CN34" s="659">
        <v>0.72840000000000005</v>
      </c>
      <c r="CO34" s="659">
        <v>0.7258</v>
      </c>
      <c r="CP34" s="659">
        <v>0.76790000000000003</v>
      </c>
      <c r="CQ34" s="659">
        <v>0.77649999999999997</v>
      </c>
      <c r="CR34" s="659">
        <v>0.74299999999999999</v>
      </c>
    </row>
    <row r="35" spans="1:96" x14ac:dyDescent="0.3">
      <c r="A35" s="62" t="s">
        <v>160</v>
      </c>
      <c r="B35" s="200" t="s">
        <v>159</v>
      </c>
      <c r="C35" s="200" t="s">
        <v>573</v>
      </c>
      <c r="D35" s="200" t="s">
        <v>422</v>
      </c>
      <c r="E35" s="200" t="s">
        <v>794</v>
      </c>
      <c r="F35" s="200" t="s">
        <v>222</v>
      </c>
      <c r="G35" s="240" t="s">
        <v>410</v>
      </c>
      <c r="H35" s="241" t="s">
        <v>474</v>
      </c>
      <c r="I35" s="241" t="s">
        <v>474</v>
      </c>
      <c r="J35" s="241">
        <v>0.68889999999999996</v>
      </c>
      <c r="K35" s="241">
        <v>0.70269999999999999</v>
      </c>
      <c r="L35" s="241">
        <v>0.70720000000000005</v>
      </c>
      <c r="M35" s="241">
        <v>0.72009999999999996</v>
      </c>
      <c r="N35" s="241">
        <v>0.6694</v>
      </c>
      <c r="O35" s="241">
        <v>0.70199999999999996</v>
      </c>
      <c r="P35" s="248" t="s">
        <v>410</v>
      </c>
      <c r="Q35" s="249" t="s">
        <v>551</v>
      </c>
      <c r="R35" s="249" t="s">
        <v>551</v>
      </c>
      <c r="S35" s="249">
        <v>0.67659999999999998</v>
      </c>
      <c r="T35" s="249">
        <v>0.69630000000000003</v>
      </c>
      <c r="U35" s="249">
        <v>0.69520000000000004</v>
      </c>
      <c r="V35" s="249">
        <v>0.70899999999999996</v>
      </c>
      <c r="W35" s="249">
        <v>0.6673</v>
      </c>
      <c r="X35" s="249">
        <v>0.69220000000000004</v>
      </c>
      <c r="Y35" s="204" t="s">
        <v>410</v>
      </c>
      <c r="Z35" s="200" t="s">
        <v>669</v>
      </c>
      <c r="AA35" s="200" t="s">
        <v>669</v>
      </c>
      <c r="AB35" s="203">
        <v>0.69230000000000003</v>
      </c>
      <c r="AC35" s="203">
        <v>0.72799999999999998</v>
      </c>
      <c r="AD35" s="203">
        <v>0.70030000000000003</v>
      </c>
      <c r="AE35" s="203">
        <v>0.72829999999999995</v>
      </c>
      <c r="AF35" s="203">
        <v>0.69820000000000004</v>
      </c>
      <c r="AG35" s="203">
        <v>0.71120000000000005</v>
      </c>
      <c r="AH35" s="231" t="s">
        <v>410</v>
      </c>
      <c r="AI35" s="200" t="s">
        <v>606</v>
      </c>
      <c r="AJ35" s="200" t="s">
        <v>606</v>
      </c>
      <c r="AK35" s="203">
        <v>0.70579999999999998</v>
      </c>
      <c r="AL35" s="203">
        <v>0.7349</v>
      </c>
      <c r="AM35" s="203">
        <v>0.69689999999999996</v>
      </c>
      <c r="AN35" s="203">
        <v>0.73609999999999998</v>
      </c>
      <c r="AO35" s="203">
        <v>0.71799999999999997</v>
      </c>
      <c r="AP35" s="203">
        <v>0.71840000000000004</v>
      </c>
      <c r="AQ35" s="216" t="s">
        <v>409</v>
      </c>
      <c r="AR35" s="200" t="s">
        <v>440</v>
      </c>
      <c r="AS35" s="200" t="s">
        <v>440</v>
      </c>
      <c r="AT35" s="203">
        <v>0.75929999999999997</v>
      </c>
      <c r="AU35" s="203">
        <v>0.77100000000000002</v>
      </c>
      <c r="AV35" s="203">
        <v>0.73719999999999997</v>
      </c>
      <c r="AW35" s="203">
        <v>0.77380000000000004</v>
      </c>
      <c r="AX35" s="203">
        <v>0.75560000000000005</v>
      </c>
      <c r="AY35" s="203">
        <v>0.75990000000000002</v>
      </c>
      <c r="AZ35" s="211" t="s">
        <v>409</v>
      </c>
      <c r="BA35" s="200" t="s">
        <v>581</v>
      </c>
      <c r="BB35" s="200" t="s">
        <v>581</v>
      </c>
      <c r="BC35" s="203">
        <v>0.78380000000000005</v>
      </c>
      <c r="BD35" s="203">
        <v>0.75370000000000004</v>
      </c>
      <c r="BE35" s="203">
        <v>0.75190000000000001</v>
      </c>
      <c r="BF35" s="203">
        <v>0.79159999999999997</v>
      </c>
      <c r="BG35" s="203">
        <v>0.75680000000000003</v>
      </c>
      <c r="BH35" s="203">
        <v>0.76919999999999999</v>
      </c>
      <c r="BI35" s="212" t="s">
        <v>408</v>
      </c>
      <c r="BJ35" s="222">
        <v>62</v>
      </c>
      <c r="BK35" s="222">
        <v>62</v>
      </c>
      <c r="BL35" s="203">
        <v>0.79759999999999998</v>
      </c>
      <c r="BM35" s="203">
        <v>0.76390000000000002</v>
      </c>
      <c r="BN35" s="203">
        <v>0.7601</v>
      </c>
      <c r="BO35" s="203">
        <v>0.79190000000000005</v>
      </c>
      <c r="BP35" s="203">
        <v>0.76049999999999995</v>
      </c>
      <c r="BQ35" s="203">
        <v>0.77700000000000002</v>
      </c>
      <c r="BR35" s="414" t="s">
        <v>409</v>
      </c>
      <c r="BS35" s="391">
        <v>79</v>
      </c>
      <c r="BT35" s="391">
        <v>79</v>
      </c>
      <c r="BU35" s="391">
        <v>0.77529999999999999</v>
      </c>
      <c r="BV35" s="391">
        <v>0.74350000000000005</v>
      </c>
      <c r="BW35" s="391">
        <v>0.74860000000000004</v>
      </c>
      <c r="BX35" s="391">
        <v>0.78029999999999999</v>
      </c>
      <c r="BY35" s="391">
        <v>0.7429</v>
      </c>
      <c r="BZ35" s="391">
        <v>0.76049999999999995</v>
      </c>
      <c r="CA35" s="541" t="s">
        <v>408</v>
      </c>
      <c r="CB35" s="537" t="s">
        <v>653</v>
      </c>
      <c r="CC35" s="537" t="s">
        <v>653</v>
      </c>
      <c r="CD35" s="538">
        <v>0.78059999999999996</v>
      </c>
      <c r="CE35" s="538">
        <v>0.75349999999999995</v>
      </c>
      <c r="CF35" s="538">
        <v>0.76739999999999997</v>
      </c>
      <c r="CG35" s="538">
        <v>0.79610000000000003</v>
      </c>
      <c r="CH35" s="538">
        <v>0.753</v>
      </c>
      <c r="CI35" s="538">
        <v>0.77280000000000004</v>
      </c>
      <c r="CJ35" s="671" t="s">
        <v>408</v>
      </c>
      <c r="CK35" s="668">
        <v>114</v>
      </c>
      <c r="CL35" s="668">
        <v>114</v>
      </c>
      <c r="CM35" s="659">
        <v>0.78239999999999998</v>
      </c>
      <c r="CN35" s="659">
        <v>0.74909999999999999</v>
      </c>
      <c r="CO35" s="659">
        <v>0.76800000000000002</v>
      </c>
      <c r="CP35" s="659">
        <v>0.80320000000000003</v>
      </c>
      <c r="CQ35" s="659">
        <v>0.75739999999999996</v>
      </c>
      <c r="CR35" s="659">
        <v>0.77429999999999999</v>
      </c>
    </row>
    <row r="36" spans="1:96" x14ac:dyDescent="0.3">
      <c r="A36" s="62" t="s">
        <v>59</v>
      </c>
      <c r="B36" s="200" t="s">
        <v>58</v>
      </c>
      <c r="C36" s="200" t="s">
        <v>573</v>
      </c>
      <c r="D36" s="200" t="s">
        <v>422</v>
      </c>
      <c r="E36" s="200" t="s">
        <v>794</v>
      </c>
      <c r="F36" s="200" t="s">
        <v>222</v>
      </c>
      <c r="G36" s="240" t="s">
        <v>410</v>
      </c>
      <c r="H36" s="241" t="s">
        <v>646</v>
      </c>
      <c r="I36" s="241" t="s">
        <v>646</v>
      </c>
      <c r="J36" s="241">
        <v>0.66180000000000005</v>
      </c>
      <c r="K36" s="241">
        <v>0.6754</v>
      </c>
      <c r="L36" s="241">
        <v>0.68140000000000001</v>
      </c>
      <c r="M36" s="241">
        <v>0.68130000000000002</v>
      </c>
      <c r="N36" s="241">
        <v>0.69699999999999995</v>
      </c>
      <c r="O36" s="241">
        <v>0.67659999999999998</v>
      </c>
      <c r="P36" s="248" t="s">
        <v>410</v>
      </c>
      <c r="Q36" s="249" t="s">
        <v>561</v>
      </c>
      <c r="R36" s="249" t="s">
        <v>561</v>
      </c>
      <c r="S36" s="249">
        <v>0.6593</v>
      </c>
      <c r="T36" s="249">
        <v>0.68030000000000002</v>
      </c>
      <c r="U36" s="249">
        <v>0.67859999999999998</v>
      </c>
      <c r="V36" s="249">
        <v>0.66510000000000002</v>
      </c>
      <c r="W36" s="249">
        <v>0.6784</v>
      </c>
      <c r="X36" s="249">
        <v>0.6714</v>
      </c>
      <c r="Y36" s="204" t="s">
        <v>410</v>
      </c>
      <c r="Z36" s="200" t="s">
        <v>145</v>
      </c>
      <c r="AA36" s="200" t="s">
        <v>145</v>
      </c>
      <c r="AB36" s="203">
        <v>0.69950000000000001</v>
      </c>
      <c r="AC36" s="203">
        <v>0.70979999999999999</v>
      </c>
      <c r="AD36" s="203">
        <v>0.70320000000000005</v>
      </c>
      <c r="AE36" s="203">
        <v>0.70509999999999995</v>
      </c>
      <c r="AF36" s="203">
        <v>0.72950000000000004</v>
      </c>
      <c r="AG36" s="203">
        <v>0.70630000000000004</v>
      </c>
      <c r="AH36" s="231" t="s">
        <v>410</v>
      </c>
      <c r="AI36" s="200" t="s">
        <v>475</v>
      </c>
      <c r="AJ36" s="200" t="s">
        <v>503</v>
      </c>
      <c r="AK36" s="203">
        <v>0.67549999999999999</v>
      </c>
      <c r="AL36" s="203">
        <v>0.68869999999999998</v>
      </c>
      <c r="AM36" s="203">
        <v>0.64810000000000001</v>
      </c>
      <c r="AN36" s="203">
        <v>0.68359999999999999</v>
      </c>
      <c r="AO36" s="203">
        <v>0.69020000000000004</v>
      </c>
      <c r="AP36" s="203">
        <v>0.67520000000000002</v>
      </c>
      <c r="AQ36" s="208" t="s">
        <v>546</v>
      </c>
      <c r="AR36" s="200" t="s">
        <v>551</v>
      </c>
      <c r="AS36" s="200" t="s">
        <v>428</v>
      </c>
      <c r="AT36" s="203">
        <v>0.66869999999999996</v>
      </c>
      <c r="AU36" s="203">
        <v>0.67300000000000004</v>
      </c>
      <c r="AV36" s="203">
        <v>0.62709999999999999</v>
      </c>
      <c r="AW36" s="203">
        <v>0.68659999999999999</v>
      </c>
      <c r="AX36" s="203">
        <v>0.69769999999999999</v>
      </c>
      <c r="AY36" s="203">
        <v>0.66649999999999998</v>
      </c>
      <c r="AZ36" s="207" t="s">
        <v>546</v>
      </c>
      <c r="BA36" s="200" t="s">
        <v>453</v>
      </c>
      <c r="BB36" s="200" t="s">
        <v>444</v>
      </c>
      <c r="BC36" s="203">
        <v>0.66549999999999998</v>
      </c>
      <c r="BD36" s="203">
        <v>0.65090000000000003</v>
      </c>
      <c r="BE36" s="203">
        <v>0.6048</v>
      </c>
      <c r="BF36" s="203">
        <v>0.67900000000000005</v>
      </c>
      <c r="BG36" s="203">
        <v>0.6835</v>
      </c>
      <c r="BH36" s="203">
        <v>0.65259999999999996</v>
      </c>
      <c r="BI36" s="206" t="s">
        <v>546</v>
      </c>
      <c r="BJ36" s="222">
        <v>76</v>
      </c>
      <c r="BK36" s="222">
        <v>73</v>
      </c>
      <c r="BL36" s="203">
        <v>0.66139999999999999</v>
      </c>
      <c r="BM36" s="203">
        <v>0.62649999999999995</v>
      </c>
      <c r="BN36" s="203">
        <v>0.5958</v>
      </c>
      <c r="BO36" s="203">
        <v>0.68389999999999995</v>
      </c>
      <c r="BP36" s="203">
        <v>0.68010000000000004</v>
      </c>
      <c r="BQ36" s="203">
        <v>0.64480000000000004</v>
      </c>
      <c r="BR36" s="412" t="s">
        <v>546</v>
      </c>
      <c r="BS36" s="391">
        <v>79</v>
      </c>
      <c r="BT36" s="391">
        <v>78</v>
      </c>
      <c r="BU36" s="391">
        <v>0.66559999999999997</v>
      </c>
      <c r="BV36" s="391">
        <v>0.63129999999999997</v>
      </c>
      <c r="BW36" s="391">
        <v>0.60799999999999998</v>
      </c>
      <c r="BX36" s="391">
        <v>0.69089999999999996</v>
      </c>
      <c r="BY36" s="391">
        <v>0.6734</v>
      </c>
      <c r="BZ36" s="391">
        <v>0.65090000000000003</v>
      </c>
      <c r="CA36" s="540" t="s">
        <v>546</v>
      </c>
      <c r="CB36" s="537" t="s">
        <v>425</v>
      </c>
      <c r="CC36" s="537" t="s">
        <v>425</v>
      </c>
      <c r="CD36" s="538">
        <v>0.66239999999999999</v>
      </c>
      <c r="CE36" s="538">
        <v>0.64470000000000005</v>
      </c>
      <c r="CF36" s="538">
        <v>0.61560000000000004</v>
      </c>
      <c r="CG36" s="538">
        <v>0.68640000000000001</v>
      </c>
      <c r="CH36" s="538">
        <v>0.65359999999999996</v>
      </c>
      <c r="CI36" s="538">
        <v>0.65239999999999998</v>
      </c>
      <c r="CJ36" s="670" t="s">
        <v>546</v>
      </c>
      <c r="CK36" s="668">
        <v>77</v>
      </c>
      <c r="CL36" s="668">
        <v>77</v>
      </c>
      <c r="CM36" s="659">
        <v>0.67030000000000001</v>
      </c>
      <c r="CN36" s="659">
        <v>0.6532</v>
      </c>
      <c r="CO36" s="659">
        <v>0.63700000000000001</v>
      </c>
      <c r="CP36" s="659">
        <v>0.69620000000000004</v>
      </c>
      <c r="CQ36" s="659">
        <v>0.66569999999999996</v>
      </c>
      <c r="CR36" s="659">
        <v>0.6643</v>
      </c>
    </row>
    <row r="37" spans="1:96" x14ac:dyDescent="0.3">
      <c r="A37" s="62" t="s">
        <v>132</v>
      </c>
      <c r="B37" s="200" t="s">
        <v>131</v>
      </c>
      <c r="C37" s="200" t="s">
        <v>573</v>
      </c>
      <c r="D37" s="200" t="s">
        <v>422</v>
      </c>
      <c r="E37" s="200" t="s">
        <v>794</v>
      </c>
      <c r="F37" s="200" t="s">
        <v>222</v>
      </c>
      <c r="G37" s="243" t="s">
        <v>409</v>
      </c>
      <c r="H37" s="241" t="s">
        <v>480</v>
      </c>
      <c r="I37" s="241" t="s">
        <v>480</v>
      </c>
      <c r="J37" s="241">
        <v>0.72119999999999995</v>
      </c>
      <c r="K37" s="241">
        <v>0.74</v>
      </c>
      <c r="L37" s="241">
        <v>0.73980000000000001</v>
      </c>
      <c r="M37" s="241">
        <v>0.73819999999999997</v>
      </c>
      <c r="N37" s="241">
        <v>0.71360000000000001</v>
      </c>
      <c r="O37" s="241">
        <v>0.73319999999999996</v>
      </c>
      <c r="P37" s="252" t="s">
        <v>409</v>
      </c>
      <c r="Q37" s="249" t="s">
        <v>457</v>
      </c>
      <c r="R37" s="249" t="s">
        <v>457</v>
      </c>
      <c r="S37" s="249">
        <v>0.72960000000000003</v>
      </c>
      <c r="T37" s="249">
        <v>0.75309999999999999</v>
      </c>
      <c r="U37" s="249">
        <v>0.74439999999999995</v>
      </c>
      <c r="V37" s="249">
        <v>0.73880000000000001</v>
      </c>
      <c r="W37" s="249">
        <v>0.70730000000000004</v>
      </c>
      <c r="X37" s="249">
        <v>0.73880000000000001</v>
      </c>
      <c r="Y37" s="211" t="s">
        <v>409</v>
      </c>
      <c r="Z37" s="200" t="s">
        <v>504</v>
      </c>
      <c r="AA37" s="200" t="s">
        <v>504</v>
      </c>
      <c r="AB37" s="203">
        <v>0.75639999999999996</v>
      </c>
      <c r="AC37" s="203">
        <v>0.76890000000000003</v>
      </c>
      <c r="AD37" s="203">
        <v>0.75519999999999998</v>
      </c>
      <c r="AE37" s="203">
        <v>0.75260000000000005</v>
      </c>
      <c r="AF37" s="203">
        <v>0.72250000000000003</v>
      </c>
      <c r="AG37" s="203">
        <v>0.75549999999999995</v>
      </c>
      <c r="AH37" s="230" t="s">
        <v>409</v>
      </c>
      <c r="AI37" s="200" t="s">
        <v>470</v>
      </c>
      <c r="AJ37" s="200" t="s">
        <v>470</v>
      </c>
      <c r="AK37" s="203">
        <v>0.75439999999999996</v>
      </c>
      <c r="AL37" s="203">
        <v>0.76439999999999997</v>
      </c>
      <c r="AM37" s="203">
        <v>0.75339999999999996</v>
      </c>
      <c r="AN37" s="203">
        <v>0.75419999999999998</v>
      </c>
      <c r="AO37" s="203">
        <v>0.73680000000000001</v>
      </c>
      <c r="AP37" s="203">
        <v>0.75509999999999999</v>
      </c>
      <c r="AQ37" s="216" t="s">
        <v>409</v>
      </c>
      <c r="AR37" s="200" t="s">
        <v>441</v>
      </c>
      <c r="AS37" s="200" t="s">
        <v>441</v>
      </c>
      <c r="AT37" s="203">
        <v>0.75560000000000005</v>
      </c>
      <c r="AU37" s="203">
        <v>0.75660000000000005</v>
      </c>
      <c r="AV37" s="203">
        <v>0.74909999999999999</v>
      </c>
      <c r="AW37" s="203">
        <v>0.76749999999999996</v>
      </c>
      <c r="AX37" s="203">
        <v>0.74860000000000004</v>
      </c>
      <c r="AY37" s="203">
        <v>0.75649999999999995</v>
      </c>
      <c r="AZ37" s="211" t="s">
        <v>409</v>
      </c>
      <c r="BA37" s="200" t="s">
        <v>531</v>
      </c>
      <c r="BB37" s="200" t="s">
        <v>715</v>
      </c>
      <c r="BC37" s="203">
        <v>0.75139999999999996</v>
      </c>
      <c r="BD37" s="203">
        <v>0.74150000000000005</v>
      </c>
      <c r="BE37" s="203">
        <v>0.72460000000000002</v>
      </c>
      <c r="BF37" s="203">
        <v>0.76300000000000001</v>
      </c>
      <c r="BG37" s="203">
        <v>0.74409999999999998</v>
      </c>
      <c r="BH37" s="203">
        <v>0.745</v>
      </c>
      <c r="BI37" s="215" t="s">
        <v>409</v>
      </c>
      <c r="BJ37" s="222">
        <v>164</v>
      </c>
      <c r="BK37" s="222">
        <v>162</v>
      </c>
      <c r="BL37" s="203">
        <v>0.75419999999999998</v>
      </c>
      <c r="BM37" s="203">
        <v>0.72870000000000001</v>
      </c>
      <c r="BN37" s="203">
        <v>0.70440000000000003</v>
      </c>
      <c r="BO37" s="203">
        <v>0.76559999999999995</v>
      </c>
      <c r="BP37" s="203">
        <v>0.71250000000000002</v>
      </c>
      <c r="BQ37" s="203">
        <v>0.73619999999999997</v>
      </c>
      <c r="BR37" s="414" t="s">
        <v>409</v>
      </c>
      <c r="BS37" s="391">
        <v>135</v>
      </c>
      <c r="BT37" s="391">
        <v>135</v>
      </c>
      <c r="BU37" s="391">
        <v>0.75829999999999997</v>
      </c>
      <c r="BV37" s="391">
        <v>0.72640000000000005</v>
      </c>
      <c r="BW37" s="391">
        <v>0.70350000000000001</v>
      </c>
      <c r="BX37" s="391">
        <v>0.7641</v>
      </c>
      <c r="BY37" s="391">
        <v>0.71609999999999996</v>
      </c>
      <c r="BZ37" s="391">
        <v>0.73640000000000005</v>
      </c>
      <c r="CA37" s="549" t="s">
        <v>409</v>
      </c>
      <c r="CB37" s="537" t="s">
        <v>539</v>
      </c>
      <c r="CC37" s="537" t="s">
        <v>539</v>
      </c>
      <c r="CD37" s="538">
        <v>0.76780000000000004</v>
      </c>
      <c r="CE37" s="538">
        <v>0.73780000000000001</v>
      </c>
      <c r="CF37" s="538">
        <v>0.72860000000000003</v>
      </c>
      <c r="CG37" s="538">
        <v>0.78449999999999998</v>
      </c>
      <c r="CH37" s="538">
        <v>0.71379999999999999</v>
      </c>
      <c r="CI37" s="538">
        <v>0.75149999999999995</v>
      </c>
      <c r="CJ37" s="671" t="s">
        <v>408</v>
      </c>
      <c r="CK37" s="668">
        <v>128</v>
      </c>
      <c r="CL37" s="668">
        <v>128</v>
      </c>
      <c r="CM37" s="659">
        <v>0.78239999999999998</v>
      </c>
      <c r="CN37" s="659">
        <v>0.76219999999999999</v>
      </c>
      <c r="CO37" s="659">
        <v>0.748</v>
      </c>
      <c r="CP37" s="659">
        <v>0.79339999999999999</v>
      </c>
      <c r="CQ37" s="659">
        <v>0.76229999999999998</v>
      </c>
      <c r="CR37" s="659">
        <v>0.77080000000000004</v>
      </c>
    </row>
    <row r="38" spans="1:96" x14ac:dyDescent="0.3">
      <c r="A38" s="62" t="s">
        <v>179</v>
      </c>
      <c r="B38" s="200" t="s">
        <v>178</v>
      </c>
      <c r="C38" s="200" t="s">
        <v>573</v>
      </c>
      <c r="D38" s="200" t="s">
        <v>422</v>
      </c>
      <c r="E38" s="200" t="s">
        <v>794</v>
      </c>
      <c r="F38" s="200" t="s">
        <v>222</v>
      </c>
      <c r="G38" s="240" t="s">
        <v>410</v>
      </c>
      <c r="H38" s="241" t="s">
        <v>809</v>
      </c>
      <c r="I38" s="241" t="s">
        <v>809</v>
      </c>
      <c r="J38" s="241">
        <v>0.71450000000000002</v>
      </c>
      <c r="K38" s="241">
        <v>0.71560000000000001</v>
      </c>
      <c r="L38" s="241">
        <v>0.70509999999999995</v>
      </c>
      <c r="M38" s="241">
        <v>0.70740000000000003</v>
      </c>
      <c r="N38" s="241">
        <v>0.69169999999999998</v>
      </c>
      <c r="O38" s="241">
        <v>0.70920000000000005</v>
      </c>
      <c r="P38" s="248" t="s">
        <v>410</v>
      </c>
      <c r="Q38" s="249" t="s">
        <v>845</v>
      </c>
      <c r="R38" s="249" t="s">
        <v>845</v>
      </c>
      <c r="S38" s="249">
        <v>0.72850000000000004</v>
      </c>
      <c r="T38" s="249">
        <v>0.72960000000000003</v>
      </c>
      <c r="U38" s="249">
        <v>0.70860000000000001</v>
      </c>
      <c r="V38" s="249">
        <v>0.71009999999999995</v>
      </c>
      <c r="W38" s="249">
        <v>0.70989999999999998</v>
      </c>
      <c r="X38" s="249">
        <v>0.71850000000000003</v>
      </c>
      <c r="Y38" s="211" t="s">
        <v>409</v>
      </c>
      <c r="Z38" s="200" t="s">
        <v>660</v>
      </c>
      <c r="AA38" s="200" t="s">
        <v>661</v>
      </c>
      <c r="AB38" s="203">
        <v>0.74070000000000003</v>
      </c>
      <c r="AC38" s="203">
        <v>0.7349</v>
      </c>
      <c r="AD38" s="203">
        <v>0.71299999999999997</v>
      </c>
      <c r="AE38" s="203">
        <v>0.7117</v>
      </c>
      <c r="AF38" s="203">
        <v>0.73170000000000002</v>
      </c>
      <c r="AG38" s="203">
        <v>0.72560000000000002</v>
      </c>
      <c r="AH38" s="230" t="s">
        <v>409</v>
      </c>
      <c r="AI38" s="200" t="s">
        <v>592</v>
      </c>
      <c r="AJ38" s="200" t="s">
        <v>593</v>
      </c>
      <c r="AK38" s="203">
        <v>0.75209999999999999</v>
      </c>
      <c r="AL38" s="203">
        <v>0.74380000000000002</v>
      </c>
      <c r="AM38" s="203">
        <v>0.71330000000000005</v>
      </c>
      <c r="AN38" s="203">
        <v>0.72440000000000004</v>
      </c>
      <c r="AO38" s="203">
        <v>0.747</v>
      </c>
      <c r="AP38" s="203">
        <v>0.73440000000000005</v>
      </c>
      <c r="AQ38" s="216" t="s">
        <v>409</v>
      </c>
      <c r="AR38" s="200" t="s">
        <v>460</v>
      </c>
      <c r="AS38" s="200" t="s">
        <v>461</v>
      </c>
      <c r="AT38" s="203">
        <v>0.75060000000000004</v>
      </c>
      <c r="AU38" s="203">
        <v>0.73870000000000002</v>
      </c>
      <c r="AV38" s="203">
        <v>0.70530000000000004</v>
      </c>
      <c r="AW38" s="203">
        <v>0.73650000000000004</v>
      </c>
      <c r="AX38" s="203">
        <v>0.76290000000000002</v>
      </c>
      <c r="AY38" s="203">
        <v>0.73509999999999998</v>
      </c>
      <c r="AZ38" s="211" t="s">
        <v>409</v>
      </c>
      <c r="BA38" s="200" t="s">
        <v>591</v>
      </c>
      <c r="BB38" s="200" t="s">
        <v>755</v>
      </c>
      <c r="BC38" s="203">
        <v>0.75449999999999995</v>
      </c>
      <c r="BD38" s="203">
        <v>0.72150000000000003</v>
      </c>
      <c r="BE38" s="203">
        <v>0.69030000000000002</v>
      </c>
      <c r="BF38" s="203">
        <v>0.74729999999999996</v>
      </c>
      <c r="BG38" s="203">
        <v>0.75409999999999999</v>
      </c>
      <c r="BH38" s="203">
        <v>0.73040000000000005</v>
      </c>
      <c r="BI38" s="215" t="s">
        <v>409</v>
      </c>
      <c r="BJ38" s="222">
        <v>296</v>
      </c>
      <c r="BK38" s="222">
        <v>292</v>
      </c>
      <c r="BL38" s="203">
        <v>0.75519999999999998</v>
      </c>
      <c r="BM38" s="203">
        <v>0.70450000000000002</v>
      </c>
      <c r="BN38" s="203">
        <v>0.69479999999999997</v>
      </c>
      <c r="BO38" s="203">
        <v>0.75280000000000002</v>
      </c>
      <c r="BP38" s="203">
        <v>0.73909999999999998</v>
      </c>
      <c r="BQ38" s="203">
        <v>0.72770000000000001</v>
      </c>
      <c r="BR38" s="414" t="s">
        <v>409</v>
      </c>
      <c r="BS38" s="391">
        <v>300</v>
      </c>
      <c r="BT38" s="391">
        <v>299</v>
      </c>
      <c r="BU38" s="391">
        <v>0.74309999999999998</v>
      </c>
      <c r="BV38" s="391">
        <v>0.69579999999999997</v>
      </c>
      <c r="BW38" s="391">
        <v>0.68769999999999998</v>
      </c>
      <c r="BX38" s="391">
        <v>0.75449999999999995</v>
      </c>
      <c r="BY38" s="391">
        <v>0.73070000000000002</v>
      </c>
      <c r="BZ38" s="391">
        <v>0.72109999999999996</v>
      </c>
      <c r="CA38" s="539" t="s">
        <v>410</v>
      </c>
      <c r="CB38" s="537" t="s">
        <v>461</v>
      </c>
      <c r="CC38" s="537" t="s">
        <v>979</v>
      </c>
      <c r="CD38" s="538">
        <v>0.73180000000000001</v>
      </c>
      <c r="CE38" s="538">
        <v>0.69520000000000004</v>
      </c>
      <c r="CF38" s="538">
        <v>0.69320000000000004</v>
      </c>
      <c r="CG38" s="538">
        <v>0.75429999999999997</v>
      </c>
      <c r="CH38" s="538">
        <v>0.73540000000000005</v>
      </c>
      <c r="CI38" s="538">
        <v>0.71989999999999998</v>
      </c>
      <c r="CJ38" s="667" t="s">
        <v>409</v>
      </c>
      <c r="CK38" s="668">
        <v>333</v>
      </c>
      <c r="CL38" s="668">
        <v>332</v>
      </c>
      <c r="CM38" s="659">
        <v>0.73089999999999999</v>
      </c>
      <c r="CN38" s="659">
        <v>0.70499999999999996</v>
      </c>
      <c r="CO38" s="659">
        <v>0.68720000000000003</v>
      </c>
      <c r="CP38" s="659">
        <v>0.75060000000000004</v>
      </c>
      <c r="CQ38" s="659">
        <v>0.74960000000000004</v>
      </c>
      <c r="CR38" s="659">
        <v>0.7208</v>
      </c>
    </row>
    <row r="39" spans="1:96" ht="16.5" customHeight="1" x14ac:dyDescent="0.3">
      <c r="A39" s="62" t="s">
        <v>75</v>
      </c>
      <c r="B39" s="200" t="s">
        <v>74</v>
      </c>
      <c r="C39" s="200" t="s">
        <v>573</v>
      </c>
      <c r="D39" s="200" t="s">
        <v>422</v>
      </c>
      <c r="E39" s="200" t="s">
        <v>794</v>
      </c>
      <c r="F39" s="200" t="s">
        <v>222</v>
      </c>
      <c r="G39" s="240" t="s">
        <v>410</v>
      </c>
      <c r="H39" s="241" t="s">
        <v>451</v>
      </c>
      <c r="I39" s="241" t="s">
        <v>451</v>
      </c>
      <c r="J39" s="241">
        <v>0.66559999999999997</v>
      </c>
      <c r="K39" s="241">
        <v>0.68240000000000001</v>
      </c>
      <c r="L39" s="241">
        <v>0.69179999999999997</v>
      </c>
      <c r="M39" s="241">
        <v>0.68730000000000002</v>
      </c>
      <c r="N39" s="241">
        <v>0.65820000000000001</v>
      </c>
      <c r="O39" s="241">
        <v>0.68</v>
      </c>
      <c r="P39" s="248" t="s">
        <v>410</v>
      </c>
      <c r="Q39" s="249" t="s">
        <v>451</v>
      </c>
      <c r="R39" s="249" t="s">
        <v>451</v>
      </c>
      <c r="S39" s="249">
        <v>0.67310000000000003</v>
      </c>
      <c r="T39" s="249">
        <v>0.69179999999999997</v>
      </c>
      <c r="U39" s="249">
        <v>0.69299999999999995</v>
      </c>
      <c r="V39" s="249">
        <v>0.68600000000000005</v>
      </c>
      <c r="W39" s="249">
        <v>0.67520000000000002</v>
      </c>
      <c r="X39" s="249">
        <v>0.68520000000000003</v>
      </c>
      <c r="Y39" s="204" t="s">
        <v>410</v>
      </c>
      <c r="Z39" s="200" t="s">
        <v>439</v>
      </c>
      <c r="AA39" s="200" t="s">
        <v>439</v>
      </c>
      <c r="AB39" s="203">
        <v>0.67689999999999995</v>
      </c>
      <c r="AC39" s="203">
        <v>0.69779999999999998</v>
      </c>
      <c r="AD39" s="203">
        <v>0.67310000000000003</v>
      </c>
      <c r="AE39" s="203">
        <v>0.6835</v>
      </c>
      <c r="AF39" s="203">
        <v>0.69089999999999996</v>
      </c>
      <c r="AG39" s="203">
        <v>0.6835</v>
      </c>
      <c r="AH39" s="231" t="s">
        <v>410</v>
      </c>
      <c r="AI39" s="200" t="s">
        <v>505</v>
      </c>
      <c r="AJ39" s="200" t="s">
        <v>505</v>
      </c>
      <c r="AK39" s="203">
        <v>0.68110000000000004</v>
      </c>
      <c r="AL39" s="203">
        <v>0.69950000000000001</v>
      </c>
      <c r="AM39" s="203">
        <v>0.66320000000000001</v>
      </c>
      <c r="AN39" s="203">
        <v>0.69399999999999995</v>
      </c>
      <c r="AO39" s="203">
        <v>0.70850000000000002</v>
      </c>
      <c r="AP39" s="203">
        <v>0.68630000000000002</v>
      </c>
      <c r="AQ39" s="205" t="s">
        <v>410</v>
      </c>
      <c r="AR39" s="200" t="s">
        <v>505</v>
      </c>
      <c r="AS39" s="200" t="s">
        <v>505</v>
      </c>
      <c r="AT39" s="203">
        <v>0.69469999999999998</v>
      </c>
      <c r="AU39" s="203">
        <v>0.69899999999999995</v>
      </c>
      <c r="AV39" s="203">
        <v>0.66249999999999998</v>
      </c>
      <c r="AW39" s="203">
        <v>0.71079999999999999</v>
      </c>
      <c r="AX39" s="203">
        <v>0.70540000000000003</v>
      </c>
      <c r="AY39" s="203">
        <v>0.69279999999999997</v>
      </c>
      <c r="AZ39" s="204" t="s">
        <v>410</v>
      </c>
      <c r="BA39" s="200" t="s">
        <v>505</v>
      </c>
      <c r="BB39" s="200" t="s">
        <v>505</v>
      </c>
      <c r="BC39" s="203">
        <v>0.71279999999999999</v>
      </c>
      <c r="BD39" s="203">
        <v>0.68869999999999998</v>
      </c>
      <c r="BE39" s="203">
        <v>0.64959999999999996</v>
      </c>
      <c r="BF39" s="203">
        <v>0.71350000000000002</v>
      </c>
      <c r="BG39" s="203">
        <v>0.69010000000000005</v>
      </c>
      <c r="BH39" s="203">
        <v>0.69110000000000005</v>
      </c>
      <c r="BI39" s="201" t="s">
        <v>410</v>
      </c>
      <c r="BJ39" s="222">
        <v>98</v>
      </c>
      <c r="BK39" s="222">
        <v>98</v>
      </c>
      <c r="BL39" s="203">
        <v>0.72109999999999996</v>
      </c>
      <c r="BM39" s="203">
        <v>0.68340000000000001</v>
      </c>
      <c r="BN39" s="203">
        <v>0.6532</v>
      </c>
      <c r="BO39" s="203">
        <v>0.70889999999999997</v>
      </c>
      <c r="BP39" s="203">
        <v>0.67230000000000001</v>
      </c>
      <c r="BQ39" s="203">
        <v>0.69020000000000004</v>
      </c>
      <c r="BR39" s="410" t="s">
        <v>410</v>
      </c>
      <c r="BS39" s="391">
        <v>104</v>
      </c>
      <c r="BT39" s="391">
        <v>104</v>
      </c>
      <c r="BU39" s="391">
        <v>0.72819999999999996</v>
      </c>
      <c r="BV39" s="391">
        <v>0.68359999999999999</v>
      </c>
      <c r="BW39" s="391">
        <v>0.66120000000000001</v>
      </c>
      <c r="BX39" s="391">
        <v>0.7137</v>
      </c>
      <c r="BY39" s="391">
        <v>0.67589999999999995</v>
      </c>
      <c r="BZ39" s="391">
        <v>0.69510000000000005</v>
      </c>
      <c r="CA39" s="539" t="s">
        <v>410</v>
      </c>
      <c r="CB39" s="537" t="s">
        <v>477</v>
      </c>
      <c r="CC39" s="537" t="s">
        <v>477</v>
      </c>
      <c r="CD39" s="538">
        <v>0.7208</v>
      </c>
      <c r="CE39" s="538">
        <v>0.69430000000000003</v>
      </c>
      <c r="CF39" s="538">
        <v>0.67859999999999998</v>
      </c>
      <c r="CG39" s="538">
        <v>0.72250000000000003</v>
      </c>
      <c r="CH39" s="538">
        <v>0.68730000000000002</v>
      </c>
      <c r="CI39" s="538">
        <v>0.70269999999999999</v>
      </c>
      <c r="CJ39" s="669" t="s">
        <v>410</v>
      </c>
      <c r="CK39" s="668">
        <v>94</v>
      </c>
      <c r="CL39" s="668">
        <v>94</v>
      </c>
      <c r="CM39" s="659">
        <v>0.69950000000000001</v>
      </c>
      <c r="CN39" s="659">
        <v>0.68149999999999999</v>
      </c>
      <c r="CO39" s="659">
        <v>0.65790000000000004</v>
      </c>
      <c r="CP39" s="659">
        <v>0.71930000000000005</v>
      </c>
      <c r="CQ39" s="659">
        <v>0.69810000000000005</v>
      </c>
      <c r="CR39" s="659">
        <v>0.69020000000000004</v>
      </c>
    </row>
    <row r="40" spans="1:96" x14ac:dyDescent="0.3">
      <c r="A40" s="62" t="s">
        <v>25</v>
      </c>
      <c r="B40" s="200" t="s">
        <v>24</v>
      </c>
      <c r="C40" s="200" t="s">
        <v>573</v>
      </c>
      <c r="D40" s="200" t="s">
        <v>422</v>
      </c>
      <c r="E40" s="200" t="s">
        <v>794</v>
      </c>
      <c r="F40" s="200" t="s">
        <v>222</v>
      </c>
      <c r="G40" s="240" t="s">
        <v>410</v>
      </c>
      <c r="H40" s="241" t="s">
        <v>459</v>
      </c>
      <c r="I40" s="241" t="s">
        <v>459</v>
      </c>
      <c r="J40" s="241">
        <v>0.68279999999999996</v>
      </c>
      <c r="K40" s="241">
        <v>0.69950000000000001</v>
      </c>
      <c r="L40" s="241">
        <v>0.70350000000000001</v>
      </c>
      <c r="M40" s="241">
        <v>0.70599999999999996</v>
      </c>
      <c r="N40" s="241">
        <v>0.67610000000000003</v>
      </c>
      <c r="O40" s="241">
        <v>0.69630000000000003</v>
      </c>
      <c r="P40" s="248" t="s">
        <v>410</v>
      </c>
      <c r="Q40" s="249" t="s">
        <v>578</v>
      </c>
      <c r="R40" s="249" t="s">
        <v>846</v>
      </c>
      <c r="S40" s="249">
        <v>0.68910000000000005</v>
      </c>
      <c r="T40" s="249">
        <v>0.69440000000000002</v>
      </c>
      <c r="U40" s="249">
        <v>0.70220000000000005</v>
      </c>
      <c r="V40" s="249">
        <v>0.7</v>
      </c>
      <c r="W40" s="249">
        <v>0.67030000000000001</v>
      </c>
      <c r="X40" s="249">
        <v>0.69440000000000002</v>
      </c>
      <c r="Y40" s="204" t="s">
        <v>410</v>
      </c>
      <c r="Z40" s="200" t="s">
        <v>674</v>
      </c>
      <c r="AA40" s="200" t="s">
        <v>675</v>
      </c>
      <c r="AB40" s="203">
        <v>0.7056</v>
      </c>
      <c r="AC40" s="203">
        <v>0.71140000000000003</v>
      </c>
      <c r="AD40" s="203">
        <v>0.70899999999999996</v>
      </c>
      <c r="AE40" s="203">
        <v>0.71350000000000002</v>
      </c>
      <c r="AF40" s="203">
        <v>0.68430000000000002</v>
      </c>
      <c r="AG40" s="203">
        <v>0.70789999999999997</v>
      </c>
      <c r="AH40" s="231" t="s">
        <v>410</v>
      </c>
      <c r="AI40" s="200" t="s">
        <v>491</v>
      </c>
      <c r="AJ40" s="200" t="s">
        <v>445</v>
      </c>
      <c r="AK40" s="203">
        <v>0.71260000000000001</v>
      </c>
      <c r="AL40" s="203">
        <v>0.7238</v>
      </c>
      <c r="AM40" s="203">
        <v>0.71679999999999999</v>
      </c>
      <c r="AN40" s="203">
        <v>0.72660000000000002</v>
      </c>
      <c r="AO40" s="203">
        <v>0.69089999999999996</v>
      </c>
      <c r="AP40" s="203">
        <v>0.7177</v>
      </c>
      <c r="AQ40" s="216" t="s">
        <v>409</v>
      </c>
      <c r="AR40" s="200" t="s">
        <v>476</v>
      </c>
      <c r="AS40" s="200" t="s">
        <v>477</v>
      </c>
      <c r="AT40" s="203">
        <v>0.71840000000000004</v>
      </c>
      <c r="AU40" s="203">
        <v>0.72430000000000005</v>
      </c>
      <c r="AV40" s="203">
        <v>0.70789999999999997</v>
      </c>
      <c r="AW40" s="203">
        <v>0.73829999999999996</v>
      </c>
      <c r="AX40" s="203">
        <v>0.70840000000000003</v>
      </c>
      <c r="AY40" s="203">
        <v>0.72119999999999995</v>
      </c>
      <c r="AZ40" s="204" t="s">
        <v>410</v>
      </c>
      <c r="BA40" s="200" t="s">
        <v>669</v>
      </c>
      <c r="BB40" s="200" t="s">
        <v>452</v>
      </c>
      <c r="BC40" s="203">
        <v>0.72240000000000004</v>
      </c>
      <c r="BD40" s="203">
        <v>0.70520000000000005</v>
      </c>
      <c r="BE40" s="203">
        <v>0.68240000000000001</v>
      </c>
      <c r="BF40" s="203">
        <v>0.74039999999999995</v>
      </c>
      <c r="BG40" s="203">
        <v>0.70050000000000001</v>
      </c>
      <c r="BH40" s="203">
        <v>0.7117</v>
      </c>
      <c r="BI40" s="201" t="s">
        <v>410</v>
      </c>
      <c r="BJ40" s="222">
        <v>122</v>
      </c>
      <c r="BK40" s="222">
        <v>121</v>
      </c>
      <c r="BL40" s="203">
        <v>0.73819999999999997</v>
      </c>
      <c r="BM40" s="203">
        <v>0.69259999999999999</v>
      </c>
      <c r="BN40" s="203">
        <v>0.69220000000000004</v>
      </c>
      <c r="BO40" s="203">
        <v>0.73970000000000002</v>
      </c>
      <c r="BP40" s="203">
        <v>0.68489999999999995</v>
      </c>
      <c r="BQ40" s="203">
        <v>0.71330000000000005</v>
      </c>
      <c r="BR40" s="410" t="s">
        <v>410</v>
      </c>
      <c r="BS40" s="391">
        <v>130</v>
      </c>
      <c r="BT40" s="391">
        <v>129</v>
      </c>
      <c r="BU40" s="391">
        <v>0.74219999999999997</v>
      </c>
      <c r="BV40" s="391">
        <v>0.69789999999999996</v>
      </c>
      <c r="BW40" s="391">
        <v>0.69640000000000002</v>
      </c>
      <c r="BX40" s="391">
        <v>0.75280000000000002</v>
      </c>
      <c r="BY40" s="391">
        <v>0.69159999999999999</v>
      </c>
      <c r="BZ40" s="391">
        <v>0.71989999999999998</v>
      </c>
      <c r="CA40" s="549" t="s">
        <v>409</v>
      </c>
      <c r="CB40" s="537" t="s">
        <v>521</v>
      </c>
      <c r="CC40" s="537" t="s">
        <v>699</v>
      </c>
      <c r="CD40" s="538">
        <v>0.73609999999999998</v>
      </c>
      <c r="CE40" s="538">
        <v>0.70440000000000003</v>
      </c>
      <c r="CF40" s="538">
        <v>0.70469999999999999</v>
      </c>
      <c r="CG40" s="538">
        <v>0.76349999999999996</v>
      </c>
      <c r="CH40" s="538">
        <v>0.70899999999999996</v>
      </c>
      <c r="CI40" s="538">
        <v>0.7258</v>
      </c>
      <c r="CJ40" s="667" t="s">
        <v>409</v>
      </c>
      <c r="CK40" s="668">
        <v>141</v>
      </c>
      <c r="CL40" s="668">
        <v>140</v>
      </c>
      <c r="CM40" s="659">
        <v>0.72809999999999997</v>
      </c>
      <c r="CN40" s="659">
        <v>0.70650000000000002</v>
      </c>
      <c r="CO40" s="659">
        <v>0.6996</v>
      </c>
      <c r="CP40" s="659">
        <v>0.76500000000000001</v>
      </c>
      <c r="CQ40" s="659">
        <v>0.73870000000000002</v>
      </c>
      <c r="CR40" s="659">
        <v>0.72589999999999999</v>
      </c>
    </row>
    <row r="41" spans="1:96" x14ac:dyDescent="0.3">
      <c r="A41" s="62" t="s">
        <v>94</v>
      </c>
      <c r="B41" s="200" t="s">
        <v>93</v>
      </c>
      <c r="C41" s="200" t="s">
        <v>573</v>
      </c>
      <c r="D41" s="200" t="s">
        <v>422</v>
      </c>
      <c r="E41" s="200" t="s">
        <v>794</v>
      </c>
      <c r="F41" s="200" t="s">
        <v>222</v>
      </c>
      <c r="G41" s="242" t="s">
        <v>546</v>
      </c>
      <c r="H41" s="241" t="s">
        <v>570</v>
      </c>
      <c r="I41" s="241" t="s">
        <v>570</v>
      </c>
      <c r="J41" s="241">
        <v>0.64490000000000003</v>
      </c>
      <c r="K41" s="241">
        <v>0.63739999999999997</v>
      </c>
      <c r="L41" s="241">
        <v>0.65500000000000003</v>
      </c>
      <c r="M41" s="241">
        <v>0.64359999999999995</v>
      </c>
      <c r="N41" s="241">
        <v>0.63800000000000001</v>
      </c>
      <c r="O41" s="241">
        <v>0.64459999999999995</v>
      </c>
      <c r="P41" s="250" t="s">
        <v>546</v>
      </c>
      <c r="Q41" s="249" t="s">
        <v>484</v>
      </c>
      <c r="R41" s="249" t="s">
        <v>484</v>
      </c>
      <c r="S41" s="249">
        <v>0.64839999999999998</v>
      </c>
      <c r="T41" s="249">
        <v>0.63700000000000001</v>
      </c>
      <c r="U41" s="249">
        <v>0.64339999999999997</v>
      </c>
      <c r="V41" s="249">
        <v>0.6331</v>
      </c>
      <c r="W41" s="249">
        <v>0.63880000000000003</v>
      </c>
      <c r="X41" s="249">
        <v>0.64029999999999998</v>
      </c>
      <c r="Y41" s="200"/>
      <c r="Z41" s="200"/>
      <c r="AA41" s="200"/>
      <c r="AB41" s="203"/>
      <c r="AC41" s="203"/>
      <c r="AD41" s="203"/>
      <c r="AE41" s="203"/>
      <c r="AF41" s="203"/>
      <c r="AG41" s="203"/>
      <c r="AH41" s="231" t="s">
        <v>410</v>
      </c>
      <c r="AI41" s="200" t="s">
        <v>545</v>
      </c>
      <c r="AJ41" s="200" t="s">
        <v>545</v>
      </c>
      <c r="AK41" s="203">
        <v>0.67979999999999996</v>
      </c>
      <c r="AL41" s="203">
        <v>0.68840000000000001</v>
      </c>
      <c r="AM41" s="203">
        <v>0.66810000000000003</v>
      </c>
      <c r="AN41" s="203">
        <v>0.65110000000000001</v>
      </c>
      <c r="AO41" s="203">
        <v>0.65549999999999997</v>
      </c>
      <c r="AP41" s="203">
        <v>0.67059999999999997</v>
      </c>
      <c r="AQ41" s="205" t="s">
        <v>410</v>
      </c>
      <c r="AR41" s="200" t="s">
        <v>545</v>
      </c>
      <c r="AS41" s="200" t="s">
        <v>545</v>
      </c>
      <c r="AT41" s="203">
        <v>0.67979999999999996</v>
      </c>
      <c r="AU41" s="203">
        <v>0.68840000000000001</v>
      </c>
      <c r="AV41" s="203">
        <v>0.66810000000000003</v>
      </c>
      <c r="AW41" s="203">
        <v>0.65110000000000001</v>
      </c>
      <c r="AX41" s="203">
        <v>0.65549999999999997</v>
      </c>
      <c r="AY41" s="203">
        <v>0.67059999999999997</v>
      </c>
      <c r="AZ41" s="200"/>
      <c r="BA41" s="200"/>
      <c r="BB41" s="200"/>
      <c r="BC41" s="203"/>
      <c r="BD41" s="203"/>
      <c r="BE41" s="203"/>
      <c r="BF41" s="203"/>
      <c r="BG41" s="203"/>
      <c r="BH41" s="203"/>
      <c r="BI41" s="217" t="s">
        <v>562</v>
      </c>
      <c r="BJ41" s="222">
        <v>10</v>
      </c>
      <c r="BK41" s="222">
        <v>10</v>
      </c>
      <c r="BL41" s="203">
        <v>0.63959999999999995</v>
      </c>
      <c r="BM41" s="203">
        <v>0.59379999999999999</v>
      </c>
      <c r="BN41" s="203">
        <v>0.55489999999999995</v>
      </c>
      <c r="BO41" s="203">
        <v>0.62619999999999998</v>
      </c>
      <c r="BP41" s="203">
        <v>0.57950000000000002</v>
      </c>
      <c r="BQ41" s="203">
        <v>0.60170000000000001</v>
      </c>
      <c r="BS41" s="389"/>
      <c r="BT41" s="389"/>
      <c r="BU41" s="389"/>
      <c r="BV41" s="389"/>
      <c r="BW41" s="389"/>
      <c r="BX41" s="389"/>
      <c r="BY41" s="389"/>
      <c r="BZ41" s="389"/>
    </row>
    <row r="42" spans="1:96" x14ac:dyDescent="0.3">
      <c r="A42" s="62" t="s">
        <v>914</v>
      </c>
      <c r="B42" s="377" t="s">
        <v>913</v>
      </c>
      <c r="C42" s="200" t="s">
        <v>573</v>
      </c>
      <c r="D42" s="200" t="s">
        <v>422</v>
      </c>
      <c r="E42" s="200" t="s">
        <v>794</v>
      </c>
      <c r="F42" s="200" t="s">
        <v>222</v>
      </c>
      <c r="G42" s="400"/>
      <c r="H42" s="391"/>
      <c r="I42" s="391"/>
      <c r="J42" s="391"/>
      <c r="K42" s="391"/>
      <c r="L42" s="391"/>
      <c r="M42" s="391"/>
      <c r="N42" s="391"/>
      <c r="O42" s="391"/>
      <c r="P42" s="400"/>
      <c r="Q42" s="391"/>
      <c r="R42" s="391"/>
      <c r="S42" s="391"/>
      <c r="T42" s="391"/>
      <c r="U42" s="391"/>
      <c r="V42" s="391"/>
      <c r="W42" s="391"/>
      <c r="X42" s="391"/>
      <c r="Y42" s="389"/>
      <c r="Z42" s="389"/>
      <c r="AA42" s="389"/>
      <c r="AB42" s="393"/>
      <c r="AC42" s="393"/>
      <c r="AD42" s="393"/>
      <c r="AE42" s="393"/>
      <c r="AF42" s="393"/>
      <c r="AG42" s="393"/>
      <c r="AH42" s="401"/>
      <c r="AI42" s="389"/>
      <c r="AJ42" s="389"/>
      <c r="AK42" s="393"/>
      <c r="AL42" s="393"/>
      <c r="AM42" s="393"/>
      <c r="AN42" s="393"/>
      <c r="AO42" s="393"/>
      <c r="AP42" s="393"/>
      <c r="AQ42" s="402"/>
      <c r="AR42" s="389"/>
      <c r="AS42" s="389"/>
      <c r="AT42" s="393"/>
      <c r="AU42" s="393"/>
      <c r="AV42" s="393"/>
      <c r="AW42" s="393"/>
      <c r="AX42" s="393"/>
      <c r="AY42" s="393"/>
      <c r="AZ42" s="389"/>
      <c r="BA42" s="389"/>
      <c r="BB42" s="389"/>
      <c r="BC42" s="393"/>
      <c r="BD42" s="393"/>
      <c r="BE42" s="393"/>
      <c r="BF42" s="393"/>
      <c r="BG42" s="393"/>
      <c r="BH42" s="393"/>
      <c r="BI42" s="403"/>
      <c r="BJ42" s="398"/>
      <c r="BK42" s="398"/>
      <c r="BL42" s="393"/>
      <c r="BM42" s="393"/>
      <c r="BN42" s="393"/>
      <c r="BO42" s="393"/>
      <c r="BP42" s="393"/>
      <c r="BQ42" s="393"/>
      <c r="BR42" s="412" t="s">
        <v>546</v>
      </c>
      <c r="BS42" s="391">
        <v>19</v>
      </c>
      <c r="BT42" s="391">
        <v>18</v>
      </c>
      <c r="BU42" s="391">
        <v>0.67879999999999996</v>
      </c>
      <c r="BV42" s="391">
        <v>0.64180000000000004</v>
      </c>
      <c r="BW42" s="391">
        <v>0.59750000000000003</v>
      </c>
      <c r="BX42" s="391">
        <v>0.72170000000000001</v>
      </c>
      <c r="BY42" s="391">
        <v>0.68359999999999999</v>
      </c>
      <c r="BZ42" s="391">
        <v>0.66180000000000005</v>
      </c>
      <c r="CA42" s="540" t="s">
        <v>546</v>
      </c>
      <c r="CB42" s="537" t="s">
        <v>549</v>
      </c>
      <c r="CC42" s="537" t="s">
        <v>550</v>
      </c>
      <c r="CD42" s="538">
        <v>0.68</v>
      </c>
      <c r="CE42" s="538">
        <v>0.65559999999999996</v>
      </c>
      <c r="CF42" s="538">
        <v>0.60209999999999997</v>
      </c>
      <c r="CG42" s="538">
        <v>0.71450000000000002</v>
      </c>
      <c r="CH42" s="538">
        <v>0.69430000000000003</v>
      </c>
      <c r="CI42" s="538">
        <v>0.66549999999999998</v>
      </c>
    </row>
    <row r="43" spans="1:96" x14ac:dyDescent="0.3">
      <c r="A43" s="62" t="s">
        <v>167</v>
      </c>
      <c r="B43" s="200" t="s">
        <v>166</v>
      </c>
      <c r="C43" s="200" t="s">
        <v>573</v>
      </c>
      <c r="D43" s="200" t="s">
        <v>422</v>
      </c>
      <c r="E43" s="200" t="s">
        <v>794</v>
      </c>
      <c r="F43" s="200" t="s">
        <v>222</v>
      </c>
      <c r="G43" s="242" t="s">
        <v>546</v>
      </c>
      <c r="H43" s="241" t="s">
        <v>810</v>
      </c>
      <c r="I43" s="241" t="s">
        <v>500</v>
      </c>
      <c r="J43" s="241">
        <v>0.64400000000000002</v>
      </c>
      <c r="K43" s="241">
        <v>0.65639999999999998</v>
      </c>
      <c r="L43" s="241">
        <v>0.6462</v>
      </c>
      <c r="M43" s="241">
        <v>0.66820000000000002</v>
      </c>
      <c r="N43" s="241">
        <v>0.64780000000000004</v>
      </c>
      <c r="O43" s="241">
        <v>0.65329999999999999</v>
      </c>
      <c r="P43" s="250" t="s">
        <v>546</v>
      </c>
      <c r="Q43" s="249" t="s">
        <v>587</v>
      </c>
      <c r="R43" s="249" t="s">
        <v>444</v>
      </c>
      <c r="S43" s="249">
        <v>0.64249999999999996</v>
      </c>
      <c r="T43" s="249">
        <v>0.64980000000000004</v>
      </c>
      <c r="U43" s="249">
        <v>0.63900000000000001</v>
      </c>
      <c r="V43" s="249">
        <v>0.67120000000000002</v>
      </c>
      <c r="W43" s="249">
        <v>0.6482</v>
      </c>
      <c r="X43" s="249">
        <v>0.65039999999999998</v>
      </c>
      <c r="Y43" s="207" t="s">
        <v>546</v>
      </c>
      <c r="Z43" s="200" t="s">
        <v>475</v>
      </c>
      <c r="AA43" s="200" t="s">
        <v>640</v>
      </c>
      <c r="AB43" s="203">
        <v>0.62660000000000005</v>
      </c>
      <c r="AC43" s="203">
        <v>0.63590000000000002</v>
      </c>
      <c r="AD43" s="203">
        <v>0.628</v>
      </c>
      <c r="AE43" s="203">
        <v>0.66259999999999997</v>
      </c>
      <c r="AF43" s="203">
        <v>0.64270000000000005</v>
      </c>
      <c r="AG43" s="203">
        <v>0.63859999999999995</v>
      </c>
      <c r="AH43" s="227" t="s">
        <v>546</v>
      </c>
      <c r="AI43" s="200" t="s">
        <v>640</v>
      </c>
      <c r="AJ43" s="200" t="s">
        <v>640</v>
      </c>
      <c r="AK43" s="203">
        <v>0.64900000000000002</v>
      </c>
      <c r="AL43" s="203">
        <v>0.65069999999999995</v>
      </c>
      <c r="AM43" s="203">
        <v>0.65510000000000002</v>
      </c>
      <c r="AN43" s="203">
        <v>0.69450000000000001</v>
      </c>
      <c r="AO43" s="203">
        <v>0.63649999999999995</v>
      </c>
      <c r="AP43" s="203">
        <v>0.66039999999999999</v>
      </c>
      <c r="AQ43" s="205" t="s">
        <v>410</v>
      </c>
      <c r="AR43" s="200" t="s">
        <v>503</v>
      </c>
      <c r="AS43" s="200" t="s">
        <v>427</v>
      </c>
      <c r="AT43" s="203">
        <v>0.6825</v>
      </c>
      <c r="AU43" s="203">
        <v>0.69079999999999997</v>
      </c>
      <c r="AV43" s="203">
        <v>0.69540000000000002</v>
      </c>
      <c r="AW43" s="203">
        <v>0.73470000000000002</v>
      </c>
      <c r="AX43" s="203">
        <v>0.66300000000000003</v>
      </c>
      <c r="AY43" s="203">
        <v>0.69789999999999996</v>
      </c>
      <c r="AZ43" s="204" t="s">
        <v>410</v>
      </c>
      <c r="BA43" s="200" t="s">
        <v>429</v>
      </c>
      <c r="BB43" s="200" t="s">
        <v>581</v>
      </c>
      <c r="BC43" s="203">
        <v>0.70220000000000005</v>
      </c>
      <c r="BD43" s="203">
        <v>0.68330000000000002</v>
      </c>
      <c r="BE43" s="203">
        <v>0.70340000000000003</v>
      </c>
      <c r="BF43" s="203">
        <v>0.75009999999999999</v>
      </c>
      <c r="BG43" s="203">
        <v>0.6794</v>
      </c>
      <c r="BH43" s="203">
        <v>0.70740000000000003</v>
      </c>
      <c r="BI43" s="201" t="s">
        <v>410</v>
      </c>
      <c r="BJ43" s="222">
        <v>70</v>
      </c>
      <c r="BK43" s="222">
        <v>67</v>
      </c>
      <c r="BL43" s="203">
        <v>0.70040000000000002</v>
      </c>
      <c r="BM43" s="203">
        <v>0.67989999999999995</v>
      </c>
      <c r="BN43" s="203">
        <v>0.6865</v>
      </c>
      <c r="BO43" s="203">
        <v>0.75009999999999999</v>
      </c>
      <c r="BP43" s="203">
        <v>0.67759999999999998</v>
      </c>
      <c r="BQ43" s="203">
        <v>0.70220000000000005</v>
      </c>
      <c r="BR43" s="410" t="s">
        <v>410</v>
      </c>
      <c r="BS43" s="391">
        <v>63</v>
      </c>
      <c r="BT43" s="391">
        <v>61</v>
      </c>
      <c r="BU43" s="391">
        <v>0.68459999999999999</v>
      </c>
      <c r="BV43" s="391">
        <v>0.64949999999999997</v>
      </c>
      <c r="BW43" s="391">
        <v>0.64100000000000001</v>
      </c>
      <c r="BX43" s="391">
        <v>0.72709999999999997</v>
      </c>
      <c r="BY43" s="391">
        <v>0.64700000000000002</v>
      </c>
      <c r="BZ43" s="391">
        <v>0.67330000000000001</v>
      </c>
      <c r="CA43" s="539" t="s">
        <v>410</v>
      </c>
      <c r="CB43" s="537" t="s">
        <v>429</v>
      </c>
      <c r="CC43" s="537" t="s">
        <v>684</v>
      </c>
      <c r="CD43" s="538">
        <v>0.69199999999999995</v>
      </c>
      <c r="CE43" s="538">
        <v>0.65680000000000005</v>
      </c>
      <c r="CF43" s="538">
        <v>0.64829999999999999</v>
      </c>
      <c r="CG43" s="538">
        <v>0.73250000000000004</v>
      </c>
      <c r="CH43" s="538">
        <v>0.66239999999999999</v>
      </c>
      <c r="CI43" s="538">
        <v>0.68089999999999995</v>
      </c>
      <c r="CJ43" s="669" t="s">
        <v>410</v>
      </c>
      <c r="CK43" s="668">
        <v>65</v>
      </c>
      <c r="CL43" s="668">
        <v>65</v>
      </c>
      <c r="CM43" s="659">
        <v>0.72640000000000005</v>
      </c>
      <c r="CN43" s="659">
        <v>0.68340000000000001</v>
      </c>
      <c r="CO43" s="659">
        <v>0.69210000000000005</v>
      </c>
      <c r="CP43" s="659">
        <v>0.75880000000000003</v>
      </c>
      <c r="CQ43" s="659">
        <v>0.74119999999999997</v>
      </c>
      <c r="CR43" s="659">
        <v>0.71719999999999995</v>
      </c>
    </row>
    <row r="44" spans="1:96" x14ac:dyDescent="0.3">
      <c r="A44" s="62" t="s">
        <v>204</v>
      </c>
      <c r="B44" s="200" t="s">
        <v>203</v>
      </c>
      <c r="C44" s="200" t="s">
        <v>573</v>
      </c>
      <c r="D44" s="200" t="s">
        <v>422</v>
      </c>
      <c r="E44" s="200" t="s">
        <v>794</v>
      </c>
      <c r="F44" s="200" t="s">
        <v>222</v>
      </c>
      <c r="G44" s="200"/>
      <c r="H44" s="200"/>
      <c r="I44" s="200"/>
      <c r="J44" s="200"/>
      <c r="K44" s="200"/>
      <c r="L44" s="200"/>
      <c r="M44" s="200"/>
      <c r="N44" s="200"/>
      <c r="O44" s="200"/>
      <c r="P44" s="250" t="s">
        <v>546</v>
      </c>
      <c r="Q44" s="249" t="s">
        <v>494</v>
      </c>
      <c r="R44" s="249" t="s">
        <v>545</v>
      </c>
      <c r="S44" s="249">
        <v>0.62090000000000001</v>
      </c>
      <c r="T44" s="249">
        <v>0.64239999999999997</v>
      </c>
      <c r="U44" s="249">
        <v>0.65510000000000002</v>
      </c>
      <c r="V44" s="249">
        <v>0.66149999999999998</v>
      </c>
      <c r="W44" s="249">
        <v>0.67259999999999998</v>
      </c>
      <c r="X44" s="249">
        <v>0.64710000000000001</v>
      </c>
      <c r="Y44" s="204" t="s">
        <v>410</v>
      </c>
      <c r="Z44" s="200" t="s">
        <v>557</v>
      </c>
      <c r="AA44" s="200" t="s">
        <v>607</v>
      </c>
      <c r="AB44" s="203">
        <v>0.65469999999999995</v>
      </c>
      <c r="AC44" s="203">
        <v>0.68710000000000004</v>
      </c>
      <c r="AD44" s="203">
        <v>0.6663</v>
      </c>
      <c r="AE44" s="203">
        <v>0.68130000000000002</v>
      </c>
      <c r="AF44" s="203">
        <v>0.68259999999999998</v>
      </c>
      <c r="AG44" s="203">
        <v>0.67310000000000003</v>
      </c>
      <c r="AH44" s="231" t="s">
        <v>410</v>
      </c>
      <c r="AI44" s="200" t="s">
        <v>613</v>
      </c>
      <c r="AJ44" s="200" t="s">
        <v>163</v>
      </c>
      <c r="AK44" s="203">
        <v>0.65939999999999999</v>
      </c>
      <c r="AL44" s="203">
        <v>0.6875</v>
      </c>
      <c r="AM44" s="203">
        <v>0.67120000000000002</v>
      </c>
      <c r="AN44" s="203">
        <v>0.67779999999999996</v>
      </c>
      <c r="AO44" s="203">
        <v>0.68200000000000005</v>
      </c>
      <c r="AP44" s="203">
        <v>0.67459999999999998</v>
      </c>
      <c r="AQ44" s="205" t="s">
        <v>410</v>
      </c>
      <c r="AR44" s="200" t="s">
        <v>438</v>
      </c>
      <c r="AS44" s="200" t="s">
        <v>538</v>
      </c>
      <c r="AT44" s="203">
        <v>0.6804</v>
      </c>
      <c r="AU44" s="203">
        <v>0.70420000000000005</v>
      </c>
      <c r="AV44" s="203">
        <v>0.66779999999999995</v>
      </c>
      <c r="AW44" s="203">
        <v>0.67969999999999997</v>
      </c>
      <c r="AX44" s="203">
        <v>0.68540000000000001</v>
      </c>
      <c r="AY44" s="203">
        <v>0.68320000000000003</v>
      </c>
      <c r="AZ44" s="204" t="s">
        <v>410</v>
      </c>
      <c r="BA44" s="200" t="s">
        <v>647</v>
      </c>
      <c r="BB44" s="200" t="s">
        <v>655</v>
      </c>
      <c r="BC44" s="203">
        <v>0.69130000000000003</v>
      </c>
      <c r="BD44" s="203">
        <v>0.66139999999999999</v>
      </c>
      <c r="BE44" s="203">
        <v>0.6603</v>
      </c>
      <c r="BF44" s="203">
        <v>0.68969999999999998</v>
      </c>
      <c r="BG44" s="203">
        <v>0.67210000000000003</v>
      </c>
      <c r="BH44" s="203">
        <v>0.6754</v>
      </c>
      <c r="BI44" s="201" t="s">
        <v>410</v>
      </c>
      <c r="BJ44" s="222">
        <v>26</v>
      </c>
      <c r="BK44" s="222">
        <v>25</v>
      </c>
      <c r="BL44" s="203">
        <v>0.70669999999999999</v>
      </c>
      <c r="BM44" s="203">
        <v>0.67230000000000001</v>
      </c>
      <c r="BN44" s="203">
        <v>0.6623</v>
      </c>
      <c r="BO44" s="203">
        <v>0.69620000000000004</v>
      </c>
      <c r="BP44" s="203">
        <v>0.66849999999999998</v>
      </c>
      <c r="BQ44" s="203">
        <v>0.68320000000000003</v>
      </c>
      <c r="BR44" s="410" t="s">
        <v>410</v>
      </c>
      <c r="BS44" s="391">
        <v>28</v>
      </c>
      <c r="BT44" s="391">
        <v>28</v>
      </c>
      <c r="BU44" s="391">
        <v>0.72019999999999995</v>
      </c>
      <c r="BV44" s="391">
        <v>0.68869999999999998</v>
      </c>
      <c r="BW44" s="391">
        <v>0.6885</v>
      </c>
      <c r="BX44" s="391">
        <v>0.7177</v>
      </c>
      <c r="BY44" s="391">
        <v>0.68430000000000002</v>
      </c>
      <c r="BZ44" s="391">
        <v>0.70230000000000004</v>
      </c>
      <c r="CA44" s="539" t="s">
        <v>410</v>
      </c>
      <c r="CB44" s="537" t="s">
        <v>483</v>
      </c>
      <c r="CC44" s="537" t="s">
        <v>483</v>
      </c>
      <c r="CD44" s="538">
        <v>0.71199999999999997</v>
      </c>
      <c r="CE44" s="538">
        <v>0.70379999999999998</v>
      </c>
      <c r="CF44" s="538">
        <v>0.68610000000000004</v>
      </c>
      <c r="CG44" s="538">
        <v>0.71440000000000003</v>
      </c>
      <c r="CH44" s="538">
        <v>0.70850000000000002</v>
      </c>
      <c r="CI44" s="538">
        <v>0.70440000000000003</v>
      </c>
      <c r="CJ44" s="669" t="s">
        <v>410</v>
      </c>
      <c r="CK44" s="668">
        <v>56</v>
      </c>
      <c r="CL44" s="668">
        <v>56</v>
      </c>
      <c r="CM44" s="659">
        <v>0.72519999999999996</v>
      </c>
      <c r="CN44" s="659">
        <v>0.69679999999999997</v>
      </c>
      <c r="CO44" s="659">
        <v>0.68359999999999999</v>
      </c>
      <c r="CP44" s="659">
        <v>0.72550000000000003</v>
      </c>
      <c r="CQ44" s="659">
        <v>0.73280000000000001</v>
      </c>
      <c r="CR44" s="659">
        <v>0.7097</v>
      </c>
    </row>
    <row r="45" spans="1:96" x14ac:dyDescent="0.3">
      <c r="A45" s="494" t="s">
        <v>980</v>
      </c>
      <c r="B45" s="525" t="s">
        <v>957</v>
      </c>
      <c r="C45" s="200" t="s">
        <v>573</v>
      </c>
      <c r="D45" s="200" t="s">
        <v>422</v>
      </c>
      <c r="E45" s="525"/>
      <c r="F45" s="200" t="s">
        <v>222</v>
      </c>
      <c r="G45" s="525"/>
      <c r="H45" s="525"/>
      <c r="I45" s="525"/>
      <c r="J45" s="525"/>
      <c r="K45" s="525"/>
      <c r="L45" s="525"/>
      <c r="M45" s="525"/>
      <c r="N45" s="525"/>
      <c r="O45" s="525"/>
      <c r="P45" s="550"/>
      <c r="Q45" s="527"/>
      <c r="R45" s="527"/>
      <c r="S45" s="527"/>
      <c r="T45" s="527"/>
      <c r="U45" s="527"/>
      <c r="V45" s="527"/>
      <c r="W45" s="527"/>
      <c r="X45" s="527"/>
      <c r="Y45" s="543"/>
      <c r="Z45" s="525"/>
      <c r="AA45" s="525"/>
      <c r="AB45" s="529"/>
      <c r="AC45" s="529"/>
      <c r="AD45" s="529"/>
      <c r="AE45" s="529"/>
      <c r="AF45" s="529"/>
      <c r="AG45" s="529"/>
      <c r="AH45" s="551"/>
      <c r="AI45" s="525"/>
      <c r="AJ45" s="525"/>
      <c r="AK45" s="529"/>
      <c r="AL45" s="529"/>
      <c r="AM45" s="529"/>
      <c r="AN45" s="529"/>
      <c r="AO45" s="529"/>
      <c r="AP45" s="529"/>
      <c r="AQ45" s="552"/>
      <c r="AR45" s="525"/>
      <c r="AS45" s="525"/>
      <c r="AT45" s="529"/>
      <c r="AU45" s="529"/>
      <c r="AV45" s="529"/>
      <c r="AW45" s="529"/>
      <c r="AX45" s="529"/>
      <c r="AY45" s="529"/>
      <c r="AZ45" s="543"/>
      <c r="BA45" s="525"/>
      <c r="BB45" s="525"/>
      <c r="BC45" s="529"/>
      <c r="BD45" s="529"/>
      <c r="BE45" s="529"/>
      <c r="BF45" s="529"/>
      <c r="BG45" s="529"/>
      <c r="BH45" s="529"/>
      <c r="BI45" s="553"/>
      <c r="BJ45" s="533"/>
      <c r="BK45" s="533"/>
      <c r="BL45" s="529"/>
      <c r="BM45" s="529"/>
      <c r="BN45" s="529"/>
      <c r="BO45" s="529"/>
      <c r="BP45" s="529"/>
      <c r="BQ45" s="529"/>
      <c r="BR45" s="554"/>
      <c r="BS45" s="527"/>
      <c r="BT45" s="527"/>
      <c r="BU45" s="527"/>
      <c r="BV45" s="527"/>
      <c r="BW45" s="527"/>
      <c r="BX45" s="527"/>
      <c r="BY45" s="527"/>
      <c r="BZ45" s="527"/>
      <c r="CA45" s="539" t="s">
        <v>410</v>
      </c>
      <c r="CB45" s="537" t="s">
        <v>545</v>
      </c>
      <c r="CC45" s="537" t="s">
        <v>545</v>
      </c>
      <c r="CD45" s="538">
        <v>0.6925</v>
      </c>
      <c r="CE45" s="538">
        <v>0.70930000000000004</v>
      </c>
      <c r="CF45" s="538">
        <v>0.67259999999999998</v>
      </c>
      <c r="CG45" s="538">
        <v>0.7147</v>
      </c>
      <c r="CH45" s="538">
        <v>0.72529999999999994</v>
      </c>
      <c r="CI45" s="538">
        <v>0.69940000000000002</v>
      </c>
      <c r="CJ45" s="669" t="s">
        <v>410</v>
      </c>
      <c r="CK45" s="668">
        <v>36</v>
      </c>
      <c r="CL45" s="668">
        <v>36</v>
      </c>
      <c r="CM45" s="659">
        <v>0.69620000000000004</v>
      </c>
      <c r="CN45" s="659">
        <v>0.69769999999999999</v>
      </c>
      <c r="CO45" s="659">
        <v>0.66649999999999998</v>
      </c>
      <c r="CP45" s="659">
        <v>0.71440000000000003</v>
      </c>
      <c r="CQ45" s="659">
        <v>0.72340000000000004</v>
      </c>
      <c r="CR45" s="659">
        <v>0.69599999999999995</v>
      </c>
    </row>
    <row r="46" spans="1:96" x14ac:dyDescent="0.3">
      <c r="A46" s="62" t="s">
        <v>81</v>
      </c>
      <c r="B46" s="200" t="s">
        <v>80</v>
      </c>
      <c r="C46" s="200" t="s">
        <v>573</v>
      </c>
      <c r="D46" s="200" t="s">
        <v>422</v>
      </c>
      <c r="E46" s="200" t="s">
        <v>794</v>
      </c>
      <c r="F46" s="200" t="s">
        <v>222</v>
      </c>
      <c r="G46" s="240" t="s">
        <v>410</v>
      </c>
      <c r="H46" s="241" t="s">
        <v>811</v>
      </c>
      <c r="I46" s="241" t="s">
        <v>811</v>
      </c>
      <c r="J46" s="241">
        <v>0.68240000000000001</v>
      </c>
      <c r="K46" s="241">
        <v>0.63170000000000004</v>
      </c>
      <c r="L46" s="241">
        <v>0.69679999999999997</v>
      </c>
      <c r="M46" s="241">
        <v>0.69469999999999998</v>
      </c>
      <c r="N46" s="241">
        <v>0.66600000000000004</v>
      </c>
      <c r="O46" s="241">
        <v>0.67559999999999998</v>
      </c>
      <c r="P46" s="239"/>
      <c r="Q46" s="200"/>
      <c r="R46" s="200"/>
      <c r="S46" s="200"/>
      <c r="T46" s="200"/>
      <c r="U46" s="200"/>
      <c r="V46" s="200"/>
      <c r="W46" s="200"/>
      <c r="X46" s="200"/>
      <c r="Y46" s="200"/>
      <c r="Z46" s="200"/>
      <c r="AA46" s="200"/>
      <c r="AB46" s="203"/>
      <c r="AC46" s="203"/>
      <c r="AD46" s="203"/>
      <c r="AE46" s="203"/>
      <c r="AF46" s="203"/>
      <c r="AG46" s="203"/>
      <c r="AH46" s="227" t="s">
        <v>546</v>
      </c>
      <c r="AI46" s="200" t="s">
        <v>494</v>
      </c>
      <c r="AJ46" s="200" t="s">
        <v>639</v>
      </c>
      <c r="AK46" s="203">
        <v>0.64080000000000004</v>
      </c>
      <c r="AL46" s="203">
        <v>0.66990000000000005</v>
      </c>
      <c r="AM46" s="203">
        <v>0.63519999999999999</v>
      </c>
      <c r="AN46" s="203">
        <v>0.73019999999999996</v>
      </c>
      <c r="AO46" s="203">
        <v>0.65620000000000001</v>
      </c>
      <c r="AP46" s="203">
        <v>0.66800000000000004</v>
      </c>
      <c r="AQ46" s="205" t="s">
        <v>410</v>
      </c>
      <c r="AR46" s="200" t="s">
        <v>534</v>
      </c>
      <c r="AS46" s="200" t="s">
        <v>535</v>
      </c>
      <c r="AT46" s="203">
        <v>0.66659999999999997</v>
      </c>
      <c r="AU46" s="203">
        <v>0.67659999999999998</v>
      </c>
      <c r="AV46" s="203">
        <v>0.65349999999999997</v>
      </c>
      <c r="AW46" s="203">
        <v>0.74560000000000004</v>
      </c>
      <c r="AX46" s="203">
        <v>0.6996</v>
      </c>
      <c r="AY46" s="203">
        <v>0.68659999999999999</v>
      </c>
      <c r="AZ46" s="207" t="s">
        <v>546</v>
      </c>
      <c r="BA46" s="200" t="s">
        <v>494</v>
      </c>
      <c r="BB46" s="200" t="s">
        <v>639</v>
      </c>
      <c r="BC46" s="203">
        <v>0.64080000000000004</v>
      </c>
      <c r="BD46" s="203">
        <v>0.66990000000000005</v>
      </c>
      <c r="BE46" s="203">
        <v>0.63519999999999999</v>
      </c>
      <c r="BF46" s="203">
        <v>0.73019999999999996</v>
      </c>
      <c r="BG46" s="203">
        <v>0.65620000000000001</v>
      </c>
      <c r="BH46" s="203">
        <v>0.66800000000000004</v>
      </c>
      <c r="BI46" s="206" t="s">
        <v>546</v>
      </c>
      <c r="BJ46" s="222">
        <v>17</v>
      </c>
      <c r="BK46" s="222">
        <v>16</v>
      </c>
      <c r="BL46" s="203">
        <v>0.64080000000000004</v>
      </c>
      <c r="BM46" s="203">
        <v>0.66990000000000005</v>
      </c>
      <c r="BN46" s="203">
        <v>0.63519999999999999</v>
      </c>
      <c r="BO46" s="203">
        <v>0.73019999999999996</v>
      </c>
      <c r="BP46" s="203">
        <v>0.65620000000000001</v>
      </c>
      <c r="BQ46" s="203">
        <v>0.66800000000000004</v>
      </c>
      <c r="BR46" s="412" t="s">
        <v>546</v>
      </c>
      <c r="BS46" s="391">
        <v>71</v>
      </c>
      <c r="BT46" s="391">
        <v>69</v>
      </c>
      <c r="BU46" s="391">
        <v>0.61539999999999995</v>
      </c>
      <c r="BV46" s="391">
        <v>0.61529999999999996</v>
      </c>
      <c r="BW46" s="391">
        <v>0.57840000000000003</v>
      </c>
      <c r="BX46" s="391">
        <v>0.67349999999999999</v>
      </c>
      <c r="BY46" s="391">
        <v>0.63129999999999997</v>
      </c>
      <c r="BZ46" s="391">
        <v>0.62150000000000005</v>
      </c>
    </row>
    <row r="47" spans="1:96" x14ac:dyDescent="0.3">
      <c r="A47" s="62" t="s">
        <v>169</v>
      </c>
      <c r="B47" s="200" t="s">
        <v>168</v>
      </c>
      <c r="C47" s="200" t="s">
        <v>573</v>
      </c>
      <c r="D47" s="200" t="s">
        <v>422</v>
      </c>
      <c r="E47" s="200" t="s">
        <v>794</v>
      </c>
      <c r="F47" s="200" t="s">
        <v>222</v>
      </c>
      <c r="G47" s="244" t="s">
        <v>562</v>
      </c>
      <c r="H47" s="241" t="s">
        <v>561</v>
      </c>
      <c r="I47" s="241" t="s">
        <v>647</v>
      </c>
      <c r="J47" s="241">
        <v>0.61829999999999996</v>
      </c>
      <c r="K47" s="241">
        <v>0.60929999999999995</v>
      </c>
      <c r="L47" s="241">
        <v>0.61129999999999995</v>
      </c>
      <c r="M47" s="241">
        <v>0.58740000000000003</v>
      </c>
      <c r="N47" s="241">
        <v>0.62980000000000003</v>
      </c>
      <c r="O47" s="241">
        <v>0.60829999999999995</v>
      </c>
      <c r="P47" s="251" t="s">
        <v>562</v>
      </c>
      <c r="Q47" s="249" t="s">
        <v>438</v>
      </c>
      <c r="R47" s="249" t="s">
        <v>571</v>
      </c>
      <c r="S47" s="249">
        <v>0.61339999999999995</v>
      </c>
      <c r="T47" s="249">
        <v>0.61560000000000004</v>
      </c>
      <c r="U47" s="249">
        <v>0.61439999999999995</v>
      </c>
      <c r="V47" s="249">
        <v>0.60319999999999996</v>
      </c>
      <c r="W47" s="249">
        <v>0.64690000000000003</v>
      </c>
      <c r="X47" s="249">
        <v>0.61439999999999995</v>
      </c>
      <c r="Y47" s="200"/>
      <c r="Z47" s="200"/>
      <c r="AA47" s="200"/>
      <c r="AB47" s="203"/>
      <c r="AC47" s="203"/>
      <c r="AD47" s="203"/>
      <c r="AE47" s="203"/>
      <c r="AF47" s="203"/>
      <c r="AG47" s="203"/>
      <c r="AH47" s="229" t="s">
        <v>562</v>
      </c>
      <c r="AI47" s="200" t="s">
        <v>145</v>
      </c>
      <c r="AJ47" s="200" t="s">
        <v>607</v>
      </c>
      <c r="AK47" s="203">
        <v>0.59109999999999996</v>
      </c>
      <c r="AL47" s="203">
        <v>0.64349999999999996</v>
      </c>
      <c r="AM47" s="203">
        <v>0.61339999999999995</v>
      </c>
      <c r="AN47" s="203">
        <v>0.624</v>
      </c>
      <c r="AO47" s="203">
        <v>0.63739999999999997</v>
      </c>
      <c r="AP47" s="203">
        <v>0.61950000000000005</v>
      </c>
      <c r="AQ47" s="208" t="s">
        <v>546</v>
      </c>
      <c r="AR47" s="200" t="s">
        <v>561</v>
      </c>
      <c r="AS47" s="200" t="s">
        <v>518</v>
      </c>
      <c r="AT47" s="203">
        <v>0.60189999999999999</v>
      </c>
      <c r="AU47" s="203">
        <v>0.64449999999999996</v>
      </c>
      <c r="AV47" s="203">
        <v>0.6079</v>
      </c>
      <c r="AW47" s="203">
        <v>0.63029999999999997</v>
      </c>
      <c r="AX47" s="203">
        <v>0.62990000000000002</v>
      </c>
      <c r="AY47" s="203">
        <v>0.62180000000000002</v>
      </c>
      <c r="AZ47" s="207" t="s">
        <v>546</v>
      </c>
      <c r="BA47" s="200" t="s">
        <v>647</v>
      </c>
      <c r="BB47" s="200" t="s">
        <v>655</v>
      </c>
      <c r="BC47" s="203">
        <v>0.6502</v>
      </c>
      <c r="BD47" s="203">
        <v>0.65290000000000004</v>
      </c>
      <c r="BE47" s="203">
        <v>0.62329999999999997</v>
      </c>
      <c r="BF47" s="203">
        <v>0.68010000000000004</v>
      </c>
      <c r="BG47" s="203">
        <v>0.66359999999999997</v>
      </c>
      <c r="BH47" s="203">
        <v>0.65249999999999997</v>
      </c>
      <c r="BI47" s="206" t="s">
        <v>546</v>
      </c>
      <c r="BJ47" s="222">
        <v>35</v>
      </c>
      <c r="BK47" s="222">
        <v>30</v>
      </c>
      <c r="BL47" s="203">
        <v>0.62219999999999998</v>
      </c>
      <c r="BM47" s="203">
        <v>0.63570000000000004</v>
      </c>
      <c r="BN47" s="203">
        <v>0.59740000000000004</v>
      </c>
      <c r="BO47" s="203">
        <v>0.67420000000000002</v>
      </c>
      <c r="BP47" s="203">
        <v>0.62670000000000003</v>
      </c>
      <c r="BQ47" s="203">
        <v>0.63190000000000002</v>
      </c>
      <c r="BR47" s="412" t="s">
        <v>546</v>
      </c>
      <c r="BS47" s="391">
        <v>37</v>
      </c>
      <c r="BT47" s="391">
        <v>37</v>
      </c>
      <c r="BU47" s="391">
        <v>0.65849999999999997</v>
      </c>
      <c r="BV47" s="391">
        <v>0.65810000000000002</v>
      </c>
      <c r="BW47" s="391">
        <v>0.62819999999999998</v>
      </c>
      <c r="BX47" s="391">
        <v>0.70789999999999997</v>
      </c>
      <c r="BY47" s="391">
        <v>0.66859999999999997</v>
      </c>
      <c r="BZ47" s="391">
        <v>0.66359999999999997</v>
      </c>
      <c r="CA47" s="540" t="s">
        <v>546</v>
      </c>
      <c r="CB47" s="537" t="s">
        <v>575</v>
      </c>
      <c r="CC47" s="537" t="s">
        <v>575</v>
      </c>
      <c r="CD47" s="538">
        <v>0.65480000000000005</v>
      </c>
      <c r="CE47" s="538">
        <v>0.64339999999999997</v>
      </c>
      <c r="CF47" s="538">
        <v>0.63949999999999996</v>
      </c>
      <c r="CG47" s="538">
        <v>0.70179999999999998</v>
      </c>
      <c r="CH47" s="538">
        <v>0.66510000000000002</v>
      </c>
      <c r="CI47" s="538">
        <v>0.6603</v>
      </c>
    </row>
    <row r="48" spans="1:96" x14ac:dyDescent="0.3">
      <c r="A48" s="62" t="s">
        <v>232</v>
      </c>
      <c r="B48" s="200" t="s">
        <v>437</v>
      </c>
      <c r="C48" s="200" t="s">
        <v>573</v>
      </c>
      <c r="D48" s="200" t="s">
        <v>422</v>
      </c>
      <c r="E48" s="200" t="s">
        <v>794</v>
      </c>
      <c r="F48" s="200" t="s">
        <v>222</v>
      </c>
      <c r="G48" s="200"/>
      <c r="H48" s="200"/>
      <c r="I48" s="200"/>
      <c r="J48" s="200"/>
      <c r="K48" s="200"/>
      <c r="L48" s="200"/>
      <c r="M48" s="200"/>
      <c r="N48" s="200"/>
      <c r="O48" s="200"/>
      <c r="P48" s="239"/>
      <c r="Q48" s="200"/>
      <c r="R48" s="200"/>
      <c r="S48" s="200"/>
      <c r="T48" s="200"/>
      <c r="U48" s="200"/>
      <c r="V48" s="200"/>
      <c r="W48" s="200"/>
      <c r="X48" s="200"/>
      <c r="Y48" s="200"/>
      <c r="Z48" s="200"/>
      <c r="AA48" s="200"/>
      <c r="AB48" s="203"/>
      <c r="AC48" s="203"/>
      <c r="AD48" s="203"/>
      <c r="AE48" s="203"/>
      <c r="AF48" s="203"/>
      <c r="AG48" s="203"/>
      <c r="AH48" s="232" t="s">
        <v>408</v>
      </c>
      <c r="AI48" s="200" t="s">
        <v>534</v>
      </c>
      <c r="AJ48" s="200" t="s">
        <v>534</v>
      </c>
      <c r="AK48" s="203">
        <v>0.74099999999999999</v>
      </c>
      <c r="AL48" s="203">
        <v>0.77029999999999998</v>
      </c>
      <c r="AM48" s="203">
        <v>0.77659999999999996</v>
      </c>
      <c r="AN48" s="203">
        <v>0.80769999999999997</v>
      </c>
      <c r="AO48" s="203">
        <v>0.78410000000000002</v>
      </c>
      <c r="AP48" s="203">
        <v>0.77470000000000006</v>
      </c>
      <c r="AQ48" s="216" t="s">
        <v>409</v>
      </c>
      <c r="AR48" s="200" t="s">
        <v>145</v>
      </c>
      <c r="AS48" s="200" t="s">
        <v>438</v>
      </c>
      <c r="AT48" s="203">
        <v>0.75160000000000005</v>
      </c>
      <c r="AU48" s="203">
        <v>0.76339999999999997</v>
      </c>
      <c r="AV48" s="203">
        <v>0.76649999999999996</v>
      </c>
      <c r="AW48" s="203">
        <v>0.79459999999999997</v>
      </c>
      <c r="AX48" s="203">
        <v>0.76790000000000003</v>
      </c>
      <c r="AY48" s="203">
        <v>0.76890000000000003</v>
      </c>
      <c r="AZ48" s="211" t="s">
        <v>409</v>
      </c>
      <c r="BA48" s="200" t="s">
        <v>82</v>
      </c>
      <c r="BB48" s="200" t="s">
        <v>664</v>
      </c>
      <c r="BC48" s="203">
        <v>0.75819999999999999</v>
      </c>
      <c r="BD48" s="203">
        <v>0.76629999999999998</v>
      </c>
      <c r="BE48" s="203">
        <v>0.76900000000000002</v>
      </c>
      <c r="BF48" s="203">
        <v>0.78310000000000002</v>
      </c>
      <c r="BG48" s="203">
        <v>0.77510000000000001</v>
      </c>
      <c r="BH48" s="203">
        <v>0.76959999999999995</v>
      </c>
      <c r="BI48" s="212" t="s">
        <v>408</v>
      </c>
      <c r="BJ48" s="222">
        <v>47</v>
      </c>
      <c r="BK48" s="222">
        <v>46</v>
      </c>
      <c r="BL48" s="203">
        <v>0.79149999999999998</v>
      </c>
      <c r="BM48" s="203">
        <v>0.77410000000000001</v>
      </c>
      <c r="BN48" s="203">
        <v>0.78569999999999995</v>
      </c>
      <c r="BO48" s="203">
        <v>0.78959999999999997</v>
      </c>
      <c r="BP48" s="203">
        <v>0.77529999999999999</v>
      </c>
      <c r="BQ48" s="203">
        <v>0.78439999999999999</v>
      </c>
      <c r="BR48" s="413" t="s">
        <v>408</v>
      </c>
      <c r="BS48" s="391">
        <v>52</v>
      </c>
      <c r="BT48" s="391">
        <v>52</v>
      </c>
      <c r="BU48" s="391">
        <v>0.81679999999999997</v>
      </c>
      <c r="BV48" s="391">
        <v>0.79349999999999998</v>
      </c>
      <c r="BW48" s="391">
        <v>0.8054</v>
      </c>
      <c r="BX48" s="391">
        <v>0.80989999999999995</v>
      </c>
      <c r="BY48" s="391">
        <v>0.81</v>
      </c>
      <c r="BZ48" s="391">
        <v>0.80669999999999997</v>
      </c>
      <c r="CA48" s="541" t="s">
        <v>408</v>
      </c>
      <c r="CB48" s="537" t="s">
        <v>475</v>
      </c>
      <c r="CC48" s="537" t="s">
        <v>475</v>
      </c>
      <c r="CD48" s="538">
        <v>0.82410000000000005</v>
      </c>
      <c r="CE48" s="538">
        <v>0.79949999999999999</v>
      </c>
      <c r="CF48" s="538">
        <v>0.80989999999999995</v>
      </c>
      <c r="CG48" s="538">
        <v>0.82340000000000002</v>
      </c>
      <c r="CH48" s="538">
        <v>0.82750000000000001</v>
      </c>
      <c r="CI48" s="538">
        <v>0.81520000000000004</v>
      </c>
      <c r="CJ48" s="671" t="s">
        <v>408</v>
      </c>
      <c r="CK48" s="668">
        <v>75</v>
      </c>
      <c r="CL48" s="668">
        <v>75</v>
      </c>
      <c r="CM48" s="659">
        <v>0.82479999999999998</v>
      </c>
      <c r="CN48" s="659">
        <v>0.7913</v>
      </c>
      <c r="CO48" s="659">
        <v>0.79710000000000003</v>
      </c>
      <c r="CP48" s="659">
        <v>0.81689999999999996</v>
      </c>
      <c r="CQ48" s="659">
        <v>0.84319999999999995</v>
      </c>
      <c r="CR48" s="659">
        <v>0.81030000000000002</v>
      </c>
    </row>
    <row r="49" spans="1:96" x14ac:dyDescent="0.3">
      <c r="A49" s="62" t="s">
        <v>42</v>
      </c>
      <c r="B49" s="200" t="s">
        <v>41</v>
      </c>
      <c r="C49" s="200" t="s">
        <v>573</v>
      </c>
      <c r="D49" s="200" t="s">
        <v>422</v>
      </c>
      <c r="E49" s="200" t="s">
        <v>794</v>
      </c>
      <c r="F49" s="200" t="s">
        <v>222</v>
      </c>
      <c r="G49" s="240" t="s">
        <v>410</v>
      </c>
      <c r="H49" s="241" t="s">
        <v>424</v>
      </c>
      <c r="I49" s="241" t="s">
        <v>424</v>
      </c>
      <c r="J49" s="241">
        <v>0.69740000000000002</v>
      </c>
      <c r="K49" s="241">
        <v>0.72060000000000002</v>
      </c>
      <c r="L49" s="241">
        <v>0.70820000000000005</v>
      </c>
      <c r="M49" s="241">
        <v>0.71179999999999999</v>
      </c>
      <c r="N49" s="241">
        <v>0.67600000000000005</v>
      </c>
      <c r="O49" s="241">
        <v>0.70699999999999996</v>
      </c>
      <c r="P49" s="248" t="s">
        <v>410</v>
      </c>
      <c r="Q49" s="249" t="s">
        <v>606</v>
      </c>
      <c r="R49" s="249" t="s">
        <v>606</v>
      </c>
      <c r="S49" s="249">
        <v>0.6986</v>
      </c>
      <c r="T49" s="249">
        <v>0.72540000000000004</v>
      </c>
      <c r="U49" s="249">
        <v>0.70420000000000005</v>
      </c>
      <c r="V49" s="249">
        <v>0.70950000000000002</v>
      </c>
      <c r="W49" s="249">
        <v>0.69589999999999996</v>
      </c>
      <c r="X49" s="249">
        <v>0.70840000000000003</v>
      </c>
      <c r="Y49" s="211" t="s">
        <v>409</v>
      </c>
      <c r="Z49" s="200" t="s">
        <v>606</v>
      </c>
      <c r="AA49" s="200" t="s">
        <v>586</v>
      </c>
      <c r="AB49" s="203">
        <v>0.71930000000000005</v>
      </c>
      <c r="AC49" s="203">
        <v>0.73250000000000004</v>
      </c>
      <c r="AD49" s="203">
        <v>0.73080000000000001</v>
      </c>
      <c r="AE49" s="203">
        <v>0.73060000000000003</v>
      </c>
      <c r="AF49" s="203">
        <v>0.71479999999999999</v>
      </c>
      <c r="AG49" s="203">
        <v>0.72729999999999995</v>
      </c>
      <c r="AH49" s="230" t="s">
        <v>409</v>
      </c>
      <c r="AI49" s="200" t="s">
        <v>586</v>
      </c>
      <c r="AJ49" s="200" t="s">
        <v>587</v>
      </c>
      <c r="AK49" s="203">
        <v>0.73329999999999995</v>
      </c>
      <c r="AL49" s="203">
        <v>0.74150000000000005</v>
      </c>
      <c r="AM49" s="203">
        <v>0.74570000000000003</v>
      </c>
      <c r="AN49" s="203">
        <v>0.75470000000000004</v>
      </c>
      <c r="AO49" s="203">
        <v>0.73470000000000002</v>
      </c>
      <c r="AP49" s="203">
        <v>0.74309999999999998</v>
      </c>
      <c r="AQ49" s="216" t="s">
        <v>409</v>
      </c>
      <c r="AR49" s="200" t="s">
        <v>450</v>
      </c>
      <c r="AS49" s="200" t="s">
        <v>451</v>
      </c>
      <c r="AT49" s="203">
        <v>0.73660000000000003</v>
      </c>
      <c r="AU49" s="203">
        <v>0.7238</v>
      </c>
      <c r="AV49" s="203">
        <v>0.74609999999999999</v>
      </c>
      <c r="AW49" s="203">
        <v>0.76459999999999995</v>
      </c>
      <c r="AX49" s="203">
        <v>0.71360000000000001</v>
      </c>
      <c r="AY49" s="203">
        <v>0.74050000000000005</v>
      </c>
      <c r="AZ49" s="211" t="s">
        <v>409</v>
      </c>
      <c r="BA49" s="200" t="s">
        <v>451</v>
      </c>
      <c r="BB49" s="200" t="s">
        <v>669</v>
      </c>
      <c r="BC49" s="203">
        <v>0.73550000000000004</v>
      </c>
      <c r="BD49" s="203">
        <v>0.71450000000000002</v>
      </c>
      <c r="BE49" s="203">
        <v>0.73460000000000003</v>
      </c>
      <c r="BF49" s="203">
        <v>0.76359999999999995</v>
      </c>
      <c r="BG49" s="203">
        <v>0.71260000000000001</v>
      </c>
      <c r="BH49" s="203">
        <v>0.73519999999999996</v>
      </c>
      <c r="BI49" s="215" t="s">
        <v>409</v>
      </c>
      <c r="BJ49" s="222">
        <v>92</v>
      </c>
      <c r="BK49" s="222">
        <v>88</v>
      </c>
      <c r="BL49" s="203">
        <v>0.74790000000000001</v>
      </c>
      <c r="BM49" s="203">
        <v>0.70899999999999996</v>
      </c>
      <c r="BN49" s="203">
        <v>0.73560000000000003</v>
      </c>
      <c r="BO49" s="203">
        <v>0.76129999999999998</v>
      </c>
      <c r="BP49" s="203">
        <v>0.70089999999999997</v>
      </c>
      <c r="BQ49" s="203">
        <v>0.73560000000000003</v>
      </c>
      <c r="BR49" s="414" t="s">
        <v>409</v>
      </c>
      <c r="BS49" s="391">
        <v>101</v>
      </c>
      <c r="BT49" s="391">
        <v>100</v>
      </c>
      <c r="BU49" s="391">
        <v>0.75780000000000003</v>
      </c>
      <c r="BV49" s="391">
        <v>0.7147</v>
      </c>
      <c r="BW49" s="391">
        <v>0.72960000000000003</v>
      </c>
      <c r="BX49" s="391">
        <v>0.75639999999999996</v>
      </c>
      <c r="BY49" s="391">
        <v>0.7077</v>
      </c>
      <c r="BZ49" s="391">
        <v>0.73719999999999997</v>
      </c>
      <c r="CA49" s="549" t="s">
        <v>409</v>
      </c>
      <c r="CB49" s="537" t="s">
        <v>615</v>
      </c>
      <c r="CC49" s="537" t="s">
        <v>615</v>
      </c>
      <c r="CD49" s="538">
        <v>0.77159999999999995</v>
      </c>
      <c r="CE49" s="538">
        <v>0.73150000000000004</v>
      </c>
      <c r="CF49" s="538">
        <v>0.73870000000000002</v>
      </c>
      <c r="CG49" s="538">
        <v>0.76539999999999997</v>
      </c>
      <c r="CH49" s="538">
        <v>0.71779999999999999</v>
      </c>
      <c r="CI49" s="538">
        <v>0.74919999999999998</v>
      </c>
      <c r="CJ49" s="667" t="s">
        <v>409</v>
      </c>
      <c r="CK49" s="668">
        <v>110</v>
      </c>
      <c r="CL49" s="668">
        <v>109</v>
      </c>
      <c r="CM49" s="659">
        <v>0.78220000000000001</v>
      </c>
      <c r="CN49" s="659">
        <v>0.73650000000000004</v>
      </c>
      <c r="CO49" s="659">
        <v>0.74129999999999996</v>
      </c>
      <c r="CP49" s="659">
        <v>0.77190000000000003</v>
      </c>
      <c r="CQ49" s="659">
        <v>0.72799999999999998</v>
      </c>
      <c r="CR49" s="659">
        <v>0.75570000000000004</v>
      </c>
    </row>
    <row r="50" spans="1:96" x14ac:dyDescent="0.3">
      <c r="A50" s="494" t="s">
        <v>981</v>
      </c>
      <c r="B50" s="525" t="s">
        <v>959</v>
      </c>
      <c r="C50" s="200" t="s">
        <v>573</v>
      </c>
      <c r="D50" s="200" t="s">
        <v>422</v>
      </c>
      <c r="E50" s="525"/>
      <c r="F50" s="200" t="s">
        <v>222</v>
      </c>
      <c r="G50" s="542"/>
      <c r="H50" s="527"/>
      <c r="I50" s="527"/>
      <c r="J50" s="527"/>
      <c r="K50" s="527"/>
      <c r="L50" s="527"/>
      <c r="M50" s="527"/>
      <c r="N50" s="527"/>
      <c r="O50" s="527"/>
      <c r="P50" s="542"/>
      <c r="Q50" s="527"/>
      <c r="R50" s="527"/>
      <c r="S50" s="527"/>
      <c r="T50" s="527"/>
      <c r="U50" s="527"/>
      <c r="V50" s="527"/>
      <c r="W50" s="527"/>
      <c r="X50" s="527"/>
      <c r="Y50" s="546"/>
      <c r="Z50" s="525"/>
      <c r="AA50" s="525"/>
      <c r="AB50" s="529"/>
      <c r="AC50" s="529"/>
      <c r="AD50" s="529"/>
      <c r="AE50" s="529"/>
      <c r="AF50" s="529"/>
      <c r="AG50" s="529"/>
      <c r="AH50" s="544"/>
      <c r="AI50" s="525"/>
      <c r="AJ50" s="525"/>
      <c r="AK50" s="529"/>
      <c r="AL50" s="529"/>
      <c r="AM50" s="529"/>
      <c r="AN50" s="529"/>
      <c r="AO50" s="529"/>
      <c r="AP50" s="529"/>
      <c r="AQ50" s="545"/>
      <c r="AR50" s="525"/>
      <c r="AS50" s="525"/>
      <c r="AT50" s="529"/>
      <c r="AU50" s="529"/>
      <c r="AV50" s="529"/>
      <c r="AW50" s="529"/>
      <c r="AX50" s="529"/>
      <c r="AY50" s="529"/>
      <c r="AZ50" s="546"/>
      <c r="BA50" s="525"/>
      <c r="BB50" s="525"/>
      <c r="BC50" s="529"/>
      <c r="BD50" s="529"/>
      <c r="BE50" s="529"/>
      <c r="BF50" s="529"/>
      <c r="BG50" s="529"/>
      <c r="BH50" s="529"/>
      <c r="BI50" s="547"/>
      <c r="BJ50" s="533"/>
      <c r="BK50" s="533"/>
      <c r="BL50" s="529"/>
      <c r="BM50" s="529"/>
      <c r="BN50" s="529"/>
      <c r="BO50" s="529"/>
      <c r="BP50" s="529"/>
      <c r="BQ50" s="529"/>
      <c r="BR50" s="555"/>
      <c r="BS50" s="527"/>
      <c r="BT50" s="527"/>
      <c r="BU50" s="527"/>
      <c r="BV50" s="527"/>
      <c r="BW50" s="527"/>
      <c r="BX50" s="527"/>
      <c r="BY50" s="527"/>
      <c r="BZ50" s="527"/>
      <c r="CA50" s="549" t="s">
        <v>409</v>
      </c>
      <c r="CB50" s="537" t="s">
        <v>668</v>
      </c>
      <c r="CC50" s="537" t="s">
        <v>668</v>
      </c>
      <c r="CD50" s="538">
        <v>0.75439999999999996</v>
      </c>
      <c r="CE50" s="538">
        <v>0.71319999999999995</v>
      </c>
      <c r="CF50" s="538">
        <v>0.71909999999999996</v>
      </c>
      <c r="CG50" s="538">
        <v>0.7621</v>
      </c>
      <c r="CH50" s="538">
        <v>0.81169999999999998</v>
      </c>
      <c r="CI50" s="538">
        <v>0.7429</v>
      </c>
      <c r="CJ50" s="669" t="s">
        <v>410</v>
      </c>
      <c r="CK50" s="668">
        <v>34</v>
      </c>
      <c r="CL50" s="668">
        <v>34</v>
      </c>
      <c r="CM50" s="659">
        <v>0.71530000000000005</v>
      </c>
      <c r="CN50" s="659">
        <v>0.67449999999999999</v>
      </c>
      <c r="CO50" s="659">
        <v>0.64839999999999998</v>
      </c>
      <c r="CP50" s="659">
        <v>0.70879999999999999</v>
      </c>
      <c r="CQ50" s="659">
        <v>0.75019999999999998</v>
      </c>
      <c r="CR50" s="659">
        <v>0.69159999999999999</v>
      </c>
    </row>
    <row r="51" spans="1:96" x14ac:dyDescent="0.3">
      <c r="A51" s="62" t="s">
        <v>796</v>
      </c>
      <c r="B51" s="200" t="s">
        <v>567</v>
      </c>
      <c r="C51" s="200" t="s">
        <v>573</v>
      </c>
      <c r="D51" s="200" t="s">
        <v>422</v>
      </c>
      <c r="E51" s="200" t="s">
        <v>794</v>
      </c>
      <c r="F51" s="200" t="s">
        <v>222</v>
      </c>
      <c r="G51" s="200"/>
      <c r="H51" s="200"/>
      <c r="I51" s="200"/>
      <c r="J51" s="200"/>
      <c r="K51" s="200"/>
      <c r="L51" s="200"/>
      <c r="M51" s="200"/>
      <c r="N51" s="200"/>
      <c r="O51" s="200"/>
      <c r="P51" s="251" t="s">
        <v>562</v>
      </c>
      <c r="Q51" s="249" t="s">
        <v>566</v>
      </c>
      <c r="R51" s="249" t="s">
        <v>568</v>
      </c>
      <c r="S51" s="249">
        <v>0.54900000000000004</v>
      </c>
      <c r="T51" s="249">
        <v>0.61070000000000002</v>
      </c>
      <c r="U51" s="249">
        <v>0.59619999999999995</v>
      </c>
      <c r="V51" s="249">
        <v>0.61829999999999996</v>
      </c>
      <c r="W51" s="249">
        <v>0.64639999999999997</v>
      </c>
      <c r="X51" s="249">
        <v>0.59760000000000002</v>
      </c>
      <c r="Y51" s="209" t="s">
        <v>562</v>
      </c>
      <c r="Z51" s="200" t="s">
        <v>566</v>
      </c>
      <c r="AA51" s="200" t="s">
        <v>568</v>
      </c>
      <c r="AB51" s="203">
        <v>0.54900000000000004</v>
      </c>
      <c r="AC51" s="203">
        <v>0.61070000000000002</v>
      </c>
      <c r="AD51" s="203">
        <v>0.59619999999999995</v>
      </c>
      <c r="AE51" s="203">
        <v>0.61829999999999996</v>
      </c>
      <c r="AF51" s="203">
        <v>0.64639999999999997</v>
      </c>
      <c r="AG51" s="203">
        <v>0.59760000000000002</v>
      </c>
      <c r="AH51" s="229" t="s">
        <v>562</v>
      </c>
      <c r="AI51" s="200" t="s">
        <v>566</v>
      </c>
      <c r="AJ51" s="200" t="s">
        <v>568</v>
      </c>
      <c r="AK51" s="203">
        <v>0.54900000000000004</v>
      </c>
      <c r="AL51" s="203">
        <v>0.61070000000000002</v>
      </c>
      <c r="AM51" s="203">
        <v>0.59619999999999995</v>
      </c>
      <c r="AN51" s="203">
        <v>0.61829999999999996</v>
      </c>
      <c r="AO51" s="203">
        <v>0.64639999999999997</v>
      </c>
      <c r="AP51" s="203">
        <v>0.59760000000000002</v>
      </c>
      <c r="AQ51" s="210" t="s">
        <v>562</v>
      </c>
      <c r="AR51" s="200" t="s">
        <v>566</v>
      </c>
      <c r="AS51" s="200" t="s">
        <v>568</v>
      </c>
      <c r="AT51" s="203">
        <v>0.54900000000000004</v>
      </c>
      <c r="AU51" s="203">
        <v>0.61070000000000002</v>
      </c>
      <c r="AV51" s="203">
        <v>0.59619999999999995</v>
      </c>
      <c r="AW51" s="203">
        <v>0.61829999999999996</v>
      </c>
      <c r="AX51" s="203">
        <v>0.64639999999999997</v>
      </c>
      <c r="AY51" s="203">
        <v>0.59760000000000002</v>
      </c>
      <c r="AZ51" s="209" t="s">
        <v>562</v>
      </c>
      <c r="BA51" s="200" t="s">
        <v>566</v>
      </c>
      <c r="BB51" s="200" t="s">
        <v>568</v>
      </c>
      <c r="BC51" s="203">
        <v>0.54900000000000004</v>
      </c>
      <c r="BD51" s="203">
        <v>0.61070000000000002</v>
      </c>
      <c r="BE51" s="203">
        <v>0.59619999999999995</v>
      </c>
      <c r="BF51" s="203">
        <v>0.61829999999999996</v>
      </c>
      <c r="BG51" s="203">
        <v>0.64639999999999997</v>
      </c>
      <c r="BH51" s="203">
        <v>0.59760000000000002</v>
      </c>
      <c r="BI51" s="217" t="s">
        <v>562</v>
      </c>
      <c r="BJ51" s="222">
        <v>12</v>
      </c>
      <c r="BK51" s="222">
        <v>11</v>
      </c>
      <c r="BL51" s="203">
        <v>0.54900000000000004</v>
      </c>
      <c r="BM51" s="203">
        <v>0.61070000000000002</v>
      </c>
      <c r="BN51" s="203">
        <v>0.59619999999999995</v>
      </c>
      <c r="BO51" s="203">
        <v>0.61829999999999996</v>
      </c>
      <c r="BP51" s="203">
        <v>0.64639999999999997</v>
      </c>
      <c r="BQ51" s="203">
        <v>0.59760000000000002</v>
      </c>
      <c r="BS51" s="389"/>
      <c r="BT51" s="389"/>
      <c r="BU51" s="389"/>
      <c r="BV51" s="389"/>
      <c r="BW51" s="389"/>
      <c r="BX51" s="389"/>
      <c r="BY51" s="389"/>
      <c r="BZ51" s="389"/>
    </row>
    <row r="52" spans="1:96" x14ac:dyDescent="0.3">
      <c r="A52" s="62" t="s">
        <v>108</v>
      </c>
      <c r="B52" s="200" t="s">
        <v>107</v>
      </c>
      <c r="C52" s="200" t="s">
        <v>573</v>
      </c>
      <c r="D52" s="200" t="s">
        <v>422</v>
      </c>
      <c r="E52" s="200" t="s">
        <v>794</v>
      </c>
      <c r="F52" s="200" t="s">
        <v>222</v>
      </c>
      <c r="G52" s="243" t="s">
        <v>409</v>
      </c>
      <c r="H52" s="241" t="s">
        <v>601</v>
      </c>
      <c r="I52" s="241" t="s">
        <v>82</v>
      </c>
      <c r="J52" s="241">
        <v>0.70179999999999998</v>
      </c>
      <c r="K52" s="241">
        <v>0.71609999999999996</v>
      </c>
      <c r="L52" s="241">
        <v>0.73980000000000001</v>
      </c>
      <c r="M52" s="241">
        <v>0.75060000000000004</v>
      </c>
      <c r="N52" s="241">
        <v>0.72260000000000002</v>
      </c>
      <c r="O52" s="241">
        <v>0.72670000000000001</v>
      </c>
      <c r="P52" s="248" t="s">
        <v>410</v>
      </c>
      <c r="Q52" s="249" t="s">
        <v>423</v>
      </c>
      <c r="R52" s="249" t="s">
        <v>575</v>
      </c>
      <c r="S52" s="249">
        <v>0.70760000000000001</v>
      </c>
      <c r="T52" s="249">
        <v>0.71279999999999999</v>
      </c>
      <c r="U52" s="249">
        <v>0.72319999999999995</v>
      </c>
      <c r="V52" s="249">
        <v>0.73019999999999996</v>
      </c>
      <c r="W52" s="249">
        <v>0.72040000000000004</v>
      </c>
      <c r="X52" s="249">
        <v>0.71860000000000002</v>
      </c>
      <c r="Y52" s="211" t="s">
        <v>409</v>
      </c>
      <c r="Z52" s="200" t="s">
        <v>613</v>
      </c>
      <c r="AA52" s="200" t="s">
        <v>485</v>
      </c>
      <c r="AB52" s="203">
        <v>0.71079999999999999</v>
      </c>
      <c r="AC52" s="203">
        <v>0.73839999999999995</v>
      </c>
      <c r="AD52" s="203">
        <v>0.74770000000000003</v>
      </c>
      <c r="AE52" s="203">
        <v>0.74199999999999999</v>
      </c>
      <c r="AF52" s="203">
        <v>0.72970000000000002</v>
      </c>
      <c r="AG52" s="203">
        <v>0.73429999999999995</v>
      </c>
      <c r="AH52" s="231" t="s">
        <v>410</v>
      </c>
      <c r="AI52" s="200" t="s">
        <v>550</v>
      </c>
      <c r="AJ52" s="200" t="s">
        <v>469</v>
      </c>
      <c r="AK52" s="203">
        <v>0.68879999999999997</v>
      </c>
      <c r="AL52" s="203">
        <v>0.70650000000000002</v>
      </c>
      <c r="AM52" s="203">
        <v>0.7097</v>
      </c>
      <c r="AN52" s="203">
        <v>0.72509999999999997</v>
      </c>
      <c r="AO52" s="203">
        <v>0.71809999999999996</v>
      </c>
      <c r="AP52" s="203">
        <v>0.70830000000000004</v>
      </c>
      <c r="AQ52" s="205" t="s">
        <v>410</v>
      </c>
      <c r="AR52" s="200" t="s">
        <v>485</v>
      </c>
      <c r="AS52" s="200" t="s">
        <v>486</v>
      </c>
      <c r="AT52" s="203">
        <v>0.68820000000000003</v>
      </c>
      <c r="AU52" s="203">
        <v>0.70089999999999997</v>
      </c>
      <c r="AV52" s="203">
        <v>0.70240000000000002</v>
      </c>
      <c r="AW52" s="203">
        <v>0.74239999999999995</v>
      </c>
      <c r="AX52" s="203">
        <v>0.73409999999999997</v>
      </c>
      <c r="AY52" s="203">
        <v>0.71050000000000002</v>
      </c>
      <c r="AZ52" s="204" t="s">
        <v>410</v>
      </c>
      <c r="BA52" s="200" t="s">
        <v>613</v>
      </c>
      <c r="BB52" s="200" t="s">
        <v>485</v>
      </c>
      <c r="BC52" s="203">
        <v>0.69799999999999995</v>
      </c>
      <c r="BD52" s="203">
        <v>0.68889999999999996</v>
      </c>
      <c r="BE52" s="203">
        <v>0.68740000000000001</v>
      </c>
      <c r="BF52" s="203">
        <v>0.74280000000000002</v>
      </c>
      <c r="BG52" s="203">
        <v>0.73229999999999995</v>
      </c>
      <c r="BH52" s="203">
        <v>0.70640000000000003</v>
      </c>
      <c r="BI52" s="201" t="s">
        <v>410</v>
      </c>
      <c r="BJ52" s="222">
        <v>46</v>
      </c>
      <c r="BK52" s="222">
        <v>46</v>
      </c>
      <c r="BL52" s="203">
        <v>0.71789999999999998</v>
      </c>
      <c r="BM52" s="203">
        <v>0.69940000000000002</v>
      </c>
      <c r="BN52" s="203">
        <v>0.70309999999999995</v>
      </c>
      <c r="BO52" s="203">
        <v>0.745</v>
      </c>
      <c r="BP52" s="203">
        <v>0.71340000000000003</v>
      </c>
      <c r="BQ52" s="203">
        <v>0.71619999999999995</v>
      </c>
      <c r="BR52" s="410" t="s">
        <v>410</v>
      </c>
      <c r="BS52" s="391">
        <v>48</v>
      </c>
      <c r="BT52" s="391">
        <v>48</v>
      </c>
      <c r="BU52" s="391">
        <v>0.72309999999999997</v>
      </c>
      <c r="BV52" s="391">
        <v>0.70350000000000001</v>
      </c>
      <c r="BW52" s="391">
        <v>0.69330000000000003</v>
      </c>
      <c r="BX52" s="391">
        <v>0.73529999999999995</v>
      </c>
      <c r="BY52" s="391">
        <v>0.71379999999999999</v>
      </c>
      <c r="BZ52" s="391">
        <v>0.71379999999999999</v>
      </c>
      <c r="CA52" s="539" t="s">
        <v>410</v>
      </c>
      <c r="CB52" s="537" t="s">
        <v>483</v>
      </c>
      <c r="CC52" s="537" t="s">
        <v>483</v>
      </c>
      <c r="CD52" s="538">
        <v>0.70240000000000002</v>
      </c>
      <c r="CE52" s="538">
        <v>0.67259999999999998</v>
      </c>
      <c r="CF52" s="538">
        <v>0.67200000000000004</v>
      </c>
      <c r="CG52" s="538">
        <v>0.71799999999999997</v>
      </c>
      <c r="CH52" s="538">
        <v>0.6986</v>
      </c>
      <c r="CI52" s="538">
        <v>0.69179999999999997</v>
      </c>
    </row>
    <row r="53" spans="1:96" x14ac:dyDescent="0.3">
      <c r="A53" s="62" t="s">
        <v>38</v>
      </c>
      <c r="B53" s="200" t="s">
        <v>37</v>
      </c>
      <c r="C53" s="200" t="s">
        <v>573</v>
      </c>
      <c r="D53" s="200" t="s">
        <v>422</v>
      </c>
      <c r="E53" s="200" t="s">
        <v>794</v>
      </c>
      <c r="F53" s="200" t="s">
        <v>222</v>
      </c>
      <c r="G53" s="240" t="s">
        <v>410</v>
      </c>
      <c r="H53" s="241" t="s">
        <v>588</v>
      </c>
      <c r="I53" s="241" t="s">
        <v>552</v>
      </c>
      <c r="J53" s="241">
        <v>0.70230000000000004</v>
      </c>
      <c r="K53" s="241">
        <v>0.71340000000000003</v>
      </c>
      <c r="L53" s="241">
        <v>0.70009999999999994</v>
      </c>
      <c r="M53" s="241">
        <v>0.70540000000000003</v>
      </c>
      <c r="N53" s="241">
        <v>0.6895</v>
      </c>
      <c r="O53" s="241">
        <v>0.70409999999999995</v>
      </c>
      <c r="P53" s="248" t="s">
        <v>410</v>
      </c>
      <c r="Q53" s="249" t="s">
        <v>605</v>
      </c>
      <c r="R53" s="249" t="s">
        <v>477</v>
      </c>
      <c r="S53" s="249">
        <v>0.71550000000000002</v>
      </c>
      <c r="T53" s="249">
        <v>0.71960000000000002</v>
      </c>
      <c r="U53" s="249">
        <v>0.71750000000000003</v>
      </c>
      <c r="V53" s="249">
        <v>0.70760000000000001</v>
      </c>
      <c r="W53" s="249">
        <v>0.6946</v>
      </c>
      <c r="X53" s="249">
        <v>0.71350000000000002</v>
      </c>
      <c r="Y53" s="211" t="s">
        <v>409</v>
      </c>
      <c r="Z53" s="200" t="s">
        <v>528</v>
      </c>
      <c r="AA53" s="200" t="s">
        <v>605</v>
      </c>
      <c r="AB53" s="203">
        <v>0.72760000000000002</v>
      </c>
      <c r="AC53" s="203">
        <v>0.74470000000000003</v>
      </c>
      <c r="AD53" s="203">
        <v>0.72770000000000001</v>
      </c>
      <c r="AE53" s="203">
        <v>0.72450000000000003</v>
      </c>
      <c r="AF53" s="203">
        <v>0.71619999999999995</v>
      </c>
      <c r="AG53" s="203">
        <v>0.73</v>
      </c>
      <c r="AH53" s="231" t="s">
        <v>410</v>
      </c>
      <c r="AI53" s="200" t="s">
        <v>560</v>
      </c>
      <c r="AJ53" s="200" t="s">
        <v>605</v>
      </c>
      <c r="AK53" s="203">
        <v>0.70699999999999996</v>
      </c>
      <c r="AL53" s="203">
        <v>0.73780000000000001</v>
      </c>
      <c r="AM53" s="203">
        <v>0.71530000000000005</v>
      </c>
      <c r="AN53" s="203">
        <v>0.72089999999999999</v>
      </c>
      <c r="AO53" s="203">
        <v>0.70909999999999995</v>
      </c>
      <c r="AP53" s="203">
        <v>0.71940000000000004</v>
      </c>
      <c r="AQ53" s="205" t="s">
        <v>410</v>
      </c>
      <c r="AR53" s="200" t="s">
        <v>456</v>
      </c>
      <c r="AS53" s="200" t="s">
        <v>480</v>
      </c>
      <c r="AT53" s="203">
        <v>0.7087</v>
      </c>
      <c r="AU53" s="203">
        <v>0.72650000000000003</v>
      </c>
      <c r="AV53" s="203">
        <v>0.69510000000000005</v>
      </c>
      <c r="AW53" s="203">
        <v>0.73670000000000002</v>
      </c>
      <c r="AX53" s="203">
        <v>0.70920000000000005</v>
      </c>
      <c r="AY53" s="203">
        <v>0.71619999999999995</v>
      </c>
      <c r="AZ53" s="204" t="s">
        <v>410</v>
      </c>
      <c r="BA53" s="200" t="s">
        <v>720</v>
      </c>
      <c r="BB53" s="200" t="s">
        <v>720</v>
      </c>
      <c r="BC53" s="203">
        <v>0.71719999999999995</v>
      </c>
      <c r="BD53" s="203">
        <v>0.69930000000000003</v>
      </c>
      <c r="BE53" s="203">
        <v>0.67449999999999999</v>
      </c>
      <c r="BF53" s="203">
        <v>0.73719999999999997</v>
      </c>
      <c r="BG53" s="203">
        <v>0.71479999999999999</v>
      </c>
      <c r="BH53" s="203">
        <v>0.70760000000000001</v>
      </c>
      <c r="BI53" s="201" t="s">
        <v>410</v>
      </c>
      <c r="BJ53" s="222">
        <v>179</v>
      </c>
      <c r="BK53" s="222">
        <v>178</v>
      </c>
      <c r="BL53" s="203">
        <v>0.72130000000000005</v>
      </c>
      <c r="BM53" s="203">
        <v>0.67520000000000002</v>
      </c>
      <c r="BN53" s="203">
        <v>0.67669999999999997</v>
      </c>
      <c r="BO53" s="203">
        <v>0.74</v>
      </c>
      <c r="BP53" s="203">
        <v>0.68410000000000004</v>
      </c>
      <c r="BQ53" s="203">
        <v>0.70179999999999998</v>
      </c>
      <c r="BR53" s="410" t="s">
        <v>410</v>
      </c>
      <c r="BS53" s="391">
        <v>201</v>
      </c>
      <c r="BT53" s="391">
        <v>201</v>
      </c>
      <c r="BU53" s="391">
        <v>0.71240000000000003</v>
      </c>
      <c r="BV53" s="391">
        <v>0.66469999999999996</v>
      </c>
      <c r="BW53" s="391">
        <v>0.66710000000000003</v>
      </c>
      <c r="BX53" s="391">
        <v>0.73570000000000002</v>
      </c>
      <c r="BY53" s="391">
        <v>0.68259999999999998</v>
      </c>
      <c r="BZ53" s="391">
        <v>0.69399999999999995</v>
      </c>
      <c r="CA53" s="539" t="s">
        <v>410</v>
      </c>
      <c r="CB53" s="537" t="s">
        <v>458</v>
      </c>
      <c r="CC53" s="537" t="s">
        <v>982</v>
      </c>
      <c r="CD53" s="538">
        <v>0.70020000000000004</v>
      </c>
      <c r="CE53" s="538">
        <v>0.65769999999999995</v>
      </c>
      <c r="CF53" s="538">
        <v>0.6583</v>
      </c>
      <c r="CG53" s="538">
        <v>0.73040000000000005</v>
      </c>
      <c r="CH53" s="538">
        <v>0.67679999999999996</v>
      </c>
      <c r="CI53" s="538">
        <v>0.68589999999999995</v>
      </c>
      <c r="CJ53" s="669" t="s">
        <v>410</v>
      </c>
      <c r="CK53" s="668">
        <v>225</v>
      </c>
      <c r="CL53" s="668">
        <v>222</v>
      </c>
      <c r="CM53" s="659">
        <v>0.69699999999999995</v>
      </c>
      <c r="CN53" s="659">
        <v>0.66679999999999995</v>
      </c>
      <c r="CO53" s="659">
        <v>0.66420000000000001</v>
      </c>
      <c r="CP53" s="659">
        <v>0.73299999999999998</v>
      </c>
      <c r="CQ53" s="659">
        <v>0.70520000000000005</v>
      </c>
      <c r="CR53" s="659">
        <v>0.69140000000000001</v>
      </c>
    </row>
    <row r="54" spans="1:96" x14ac:dyDescent="0.3">
      <c r="A54" s="62" t="s">
        <v>184</v>
      </c>
      <c r="B54" s="200" t="s">
        <v>183</v>
      </c>
      <c r="C54" s="200" t="s">
        <v>573</v>
      </c>
      <c r="D54" s="200" t="s">
        <v>422</v>
      </c>
      <c r="E54" s="200" t="s">
        <v>794</v>
      </c>
      <c r="F54" s="200" t="s">
        <v>222</v>
      </c>
      <c r="G54" s="240" t="s">
        <v>410</v>
      </c>
      <c r="H54" s="241" t="s">
        <v>535</v>
      </c>
      <c r="I54" s="241" t="s">
        <v>535</v>
      </c>
      <c r="J54" s="241">
        <v>0.65939999999999999</v>
      </c>
      <c r="K54" s="241">
        <v>0.69030000000000002</v>
      </c>
      <c r="L54" s="241">
        <v>0.68240000000000001</v>
      </c>
      <c r="M54" s="241">
        <v>0.68679999999999997</v>
      </c>
      <c r="N54" s="241">
        <v>0.67210000000000003</v>
      </c>
      <c r="O54" s="241">
        <v>0.67910000000000004</v>
      </c>
      <c r="P54" s="248" t="s">
        <v>410</v>
      </c>
      <c r="Q54" s="249" t="s">
        <v>486</v>
      </c>
      <c r="R54" s="249" t="s">
        <v>556</v>
      </c>
      <c r="S54" s="249">
        <v>0.65239999999999998</v>
      </c>
      <c r="T54" s="249">
        <v>0.68520000000000003</v>
      </c>
      <c r="U54" s="249">
        <v>0.67459999999999998</v>
      </c>
      <c r="V54" s="249">
        <v>0.66779999999999995</v>
      </c>
      <c r="W54" s="249">
        <v>0.67300000000000004</v>
      </c>
      <c r="X54" s="249">
        <v>0.67020000000000002</v>
      </c>
      <c r="Y54" s="204" t="s">
        <v>410</v>
      </c>
      <c r="Z54" s="200" t="s">
        <v>664</v>
      </c>
      <c r="AA54" s="200" t="s">
        <v>468</v>
      </c>
      <c r="AB54" s="203">
        <v>0.68110000000000004</v>
      </c>
      <c r="AC54" s="203">
        <v>0.71870000000000001</v>
      </c>
      <c r="AD54" s="203">
        <v>0.69679999999999997</v>
      </c>
      <c r="AE54" s="203">
        <v>0.69440000000000002</v>
      </c>
      <c r="AF54" s="203">
        <v>0.71409999999999996</v>
      </c>
      <c r="AG54" s="203">
        <v>0.69899999999999995</v>
      </c>
      <c r="AH54" s="231" t="s">
        <v>410</v>
      </c>
      <c r="AI54" s="200" t="s">
        <v>429</v>
      </c>
      <c r="AJ54" s="200" t="s">
        <v>581</v>
      </c>
      <c r="AK54" s="203">
        <v>0.68030000000000002</v>
      </c>
      <c r="AL54" s="203">
        <v>0.70979999999999999</v>
      </c>
      <c r="AM54" s="203">
        <v>0.68430000000000002</v>
      </c>
      <c r="AN54" s="203">
        <v>0.69910000000000005</v>
      </c>
      <c r="AO54" s="203">
        <v>0.69599999999999995</v>
      </c>
      <c r="AP54" s="203">
        <v>0.69359999999999999</v>
      </c>
      <c r="AQ54" s="205" t="s">
        <v>410</v>
      </c>
      <c r="AR54" s="200" t="s">
        <v>490</v>
      </c>
      <c r="AS54" s="200" t="s">
        <v>490</v>
      </c>
      <c r="AT54" s="203">
        <v>0.69079999999999997</v>
      </c>
      <c r="AU54" s="203">
        <v>0.71460000000000001</v>
      </c>
      <c r="AV54" s="203">
        <v>0.69099999999999995</v>
      </c>
      <c r="AW54" s="203">
        <v>0.72840000000000005</v>
      </c>
      <c r="AX54" s="203">
        <v>0.7077</v>
      </c>
      <c r="AY54" s="203">
        <v>0.70630000000000004</v>
      </c>
      <c r="AZ54" s="204" t="s">
        <v>410</v>
      </c>
      <c r="BA54" s="200" t="s">
        <v>640</v>
      </c>
      <c r="BB54" s="200" t="s">
        <v>602</v>
      </c>
      <c r="BC54" s="203">
        <v>0.67359999999999998</v>
      </c>
      <c r="BD54" s="203">
        <v>0.69330000000000003</v>
      </c>
      <c r="BE54" s="203">
        <v>0.66820000000000002</v>
      </c>
      <c r="BF54" s="203">
        <v>0.72440000000000004</v>
      </c>
      <c r="BG54" s="203">
        <v>0.68920000000000003</v>
      </c>
      <c r="BH54" s="203">
        <v>0.68979999999999997</v>
      </c>
      <c r="BI54" s="201" t="s">
        <v>410</v>
      </c>
      <c r="BJ54" s="222">
        <v>61</v>
      </c>
      <c r="BK54" s="222">
        <v>56</v>
      </c>
      <c r="BL54" s="203">
        <v>0.67879999999999996</v>
      </c>
      <c r="BM54" s="203">
        <v>0.69799999999999995</v>
      </c>
      <c r="BN54" s="203">
        <v>0.67869999999999997</v>
      </c>
      <c r="BO54" s="203">
        <v>0.7298</v>
      </c>
      <c r="BP54" s="203">
        <v>0.71819999999999995</v>
      </c>
      <c r="BQ54" s="203">
        <v>0.69799999999999995</v>
      </c>
      <c r="BR54" s="410" t="s">
        <v>410</v>
      </c>
      <c r="BS54" s="391">
        <v>70</v>
      </c>
      <c r="BT54" s="391">
        <v>70</v>
      </c>
      <c r="BU54" s="391">
        <v>0.69179999999999997</v>
      </c>
      <c r="BV54" s="391">
        <v>0.7026</v>
      </c>
      <c r="BW54" s="391">
        <v>0.67989999999999995</v>
      </c>
      <c r="BX54" s="391">
        <v>0.73399999999999999</v>
      </c>
      <c r="BY54" s="391">
        <v>0.74580000000000002</v>
      </c>
      <c r="BZ54" s="391">
        <v>0.70540000000000003</v>
      </c>
      <c r="CA54" s="539" t="s">
        <v>410</v>
      </c>
      <c r="CB54" s="537" t="s">
        <v>429</v>
      </c>
      <c r="CC54" s="537" t="s">
        <v>429</v>
      </c>
      <c r="CD54" s="538">
        <v>0.69479999999999997</v>
      </c>
      <c r="CE54" s="538">
        <v>0.69720000000000004</v>
      </c>
      <c r="CF54" s="538">
        <v>0.68579999999999997</v>
      </c>
      <c r="CG54" s="538">
        <v>0.73470000000000002</v>
      </c>
      <c r="CH54" s="538">
        <v>0.74099999999999999</v>
      </c>
      <c r="CI54" s="538">
        <v>0.70599999999999996</v>
      </c>
      <c r="CJ54" s="669" t="s">
        <v>410</v>
      </c>
      <c r="CK54" s="668">
        <v>61</v>
      </c>
      <c r="CL54" s="668">
        <v>61</v>
      </c>
      <c r="CM54" s="659">
        <v>0.6784</v>
      </c>
      <c r="CN54" s="659">
        <v>0.68230000000000002</v>
      </c>
      <c r="CO54" s="659">
        <v>0.66910000000000003</v>
      </c>
      <c r="CP54" s="659">
        <v>0.72330000000000005</v>
      </c>
      <c r="CQ54" s="659">
        <v>0.72840000000000005</v>
      </c>
      <c r="CR54" s="659">
        <v>0.69140000000000001</v>
      </c>
    </row>
    <row r="55" spans="1:96" x14ac:dyDescent="0.3">
      <c r="A55" s="62" t="s">
        <v>110</v>
      </c>
      <c r="B55" s="200" t="s">
        <v>109</v>
      </c>
      <c r="C55" s="200" t="s">
        <v>573</v>
      </c>
      <c r="D55" s="200" t="s">
        <v>422</v>
      </c>
      <c r="E55" s="200" t="s">
        <v>794</v>
      </c>
      <c r="F55" s="200" t="s">
        <v>222</v>
      </c>
      <c r="G55" s="243" t="s">
        <v>409</v>
      </c>
      <c r="H55" s="241" t="s">
        <v>812</v>
      </c>
      <c r="I55" s="241" t="s">
        <v>813</v>
      </c>
      <c r="J55" s="241">
        <v>0.74780000000000002</v>
      </c>
      <c r="K55" s="241">
        <v>0.76190000000000002</v>
      </c>
      <c r="L55" s="241">
        <v>0.77129999999999999</v>
      </c>
      <c r="M55" s="241">
        <v>0.78200000000000003</v>
      </c>
      <c r="N55" s="241">
        <v>0.79630000000000001</v>
      </c>
      <c r="O55" s="241">
        <v>0.7681</v>
      </c>
      <c r="P55" s="252" t="s">
        <v>409</v>
      </c>
      <c r="Q55" s="249" t="s">
        <v>617</v>
      </c>
      <c r="R55" s="249" t="s">
        <v>543</v>
      </c>
      <c r="S55" s="249">
        <v>0.74709999999999999</v>
      </c>
      <c r="T55" s="249">
        <v>0.76359999999999995</v>
      </c>
      <c r="U55" s="249">
        <v>0.76729999999999998</v>
      </c>
      <c r="V55" s="249">
        <v>0.76680000000000004</v>
      </c>
      <c r="W55" s="249">
        <v>0.80800000000000005</v>
      </c>
      <c r="X55" s="249">
        <v>0.76480000000000004</v>
      </c>
      <c r="Y55" s="213" t="s">
        <v>408</v>
      </c>
      <c r="Z55" s="200" t="s">
        <v>649</v>
      </c>
      <c r="AA55" s="200" t="s">
        <v>650</v>
      </c>
      <c r="AB55" s="203">
        <v>0.75690000000000002</v>
      </c>
      <c r="AC55" s="203">
        <v>0.77439999999999998</v>
      </c>
      <c r="AD55" s="203">
        <v>0.76819999999999999</v>
      </c>
      <c r="AE55" s="203">
        <v>0.7742</v>
      </c>
      <c r="AF55" s="203">
        <v>0.83020000000000005</v>
      </c>
      <c r="AG55" s="203">
        <v>0.7732</v>
      </c>
      <c r="AH55" s="233" t="s">
        <v>408</v>
      </c>
      <c r="AI55" s="200" t="s">
        <v>576</v>
      </c>
      <c r="AJ55" s="200" t="s">
        <v>487</v>
      </c>
      <c r="AK55" s="203">
        <v>0.76180000000000003</v>
      </c>
      <c r="AL55" s="203">
        <v>0.77459999999999996</v>
      </c>
      <c r="AM55" s="203">
        <v>0.76600000000000001</v>
      </c>
      <c r="AN55" s="203">
        <v>0.77569999999999995</v>
      </c>
      <c r="AO55" s="203">
        <v>0.83120000000000005</v>
      </c>
      <c r="AP55" s="203">
        <v>0.77429999999999999</v>
      </c>
      <c r="AQ55" s="214" t="s">
        <v>408</v>
      </c>
      <c r="AR55" s="200" t="s">
        <v>430</v>
      </c>
      <c r="AS55" s="200" t="s">
        <v>431</v>
      </c>
      <c r="AT55" s="203">
        <v>0.7661</v>
      </c>
      <c r="AU55" s="203">
        <v>0.77439999999999998</v>
      </c>
      <c r="AV55" s="203">
        <v>0.76390000000000002</v>
      </c>
      <c r="AW55" s="203">
        <v>0.79290000000000005</v>
      </c>
      <c r="AX55" s="203">
        <v>0.83099999999999996</v>
      </c>
      <c r="AY55" s="203">
        <v>0.77869999999999995</v>
      </c>
      <c r="AZ55" s="213" t="s">
        <v>408</v>
      </c>
      <c r="BA55" s="200" t="s">
        <v>472</v>
      </c>
      <c r="BB55" s="200" t="s">
        <v>603</v>
      </c>
      <c r="BC55" s="203">
        <v>0.77190000000000003</v>
      </c>
      <c r="BD55" s="203">
        <v>0.76700000000000002</v>
      </c>
      <c r="BE55" s="203">
        <v>0.76129999999999998</v>
      </c>
      <c r="BF55" s="203">
        <v>0.79349999999999998</v>
      </c>
      <c r="BG55" s="203">
        <v>0.82869999999999999</v>
      </c>
      <c r="BH55" s="203">
        <v>0.77769999999999995</v>
      </c>
      <c r="BI55" s="212" t="s">
        <v>408</v>
      </c>
      <c r="BJ55" s="222">
        <v>135</v>
      </c>
      <c r="BK55" s="222">
        <v>131</v>
      </c>
      <c r="BL55" s="203">
        <v>0.79320000000000002</v>
      </c>
      <c r="BM55" s="203">
        <v>0.76600000000000001</v>
      </c>
      <c r="BN55" s="203">
        <v>0.77239999999999998</v>
      </c>
      <c r="BO55" s="203">
        <v>0.79710000000000003</v>
      </c>
      <c r="BP55" s="203">
        <v>0.83240000000000003</v>
      </c>
      <c r="BQ55" s="203">
        <v>0.78600000000000003</v>
      </c>
      <c r="BR55" s="413" t="s">
        <v>408</v>
      </c>
      <c r="BS55" s="391">
        <v>120</v>
      </c>
      <c r="BT55" s="391">
        <v>120</v>
      </c>
      <c r="BU55" s="391">
        <v>0.80100000000000005</v>
      </c>
      <c r="BV55" s="391">
        <v>0.77259999999999995</v>
      </c>
      <c r="BW55" s="391">
        <v>0.77680000000000005</v>
      </c>
      <c r="BX55" s="391">
        <v>0.80689999999999995</v>
      </c>
      <c r="BY55" s="391">
        <v>0.84370000000000001</v>
      </c>
      <c r="BZ55" s="391">
        <v>0.79349999999999998</v>
      </c>
      <c r="CA55" s="541" t="s">
        <v>408</v>
      </c>
      <c r="CB55" s="537" t="s">
        <v>605</v>
      </c>
      <c r="CC55" s="537" t="s">
        <v>605</v>
      </c>
      <c r="CD55" s="538">
        <v>0.80510000000000004</v>
      </c>
      <c r="CE55" s="538">
        <v>0.77580000000000005</v>
      </c>
      <c r="CF55" s="538">
        <v>0.78339999999999999</v>
      </c>
      <c r="CG55" s="538">
        <v>0.81740000000000002</v>
      </c>
      <c r="CH55" s="538">
        <v>0.84899999999999998</v>
      </c>
      <c r="CI55" s="538">
        <v>0.79949999999999999</v>
      </c>
      <c r="CJ55" s="671" t="s">
        <v>408</v>
      </c>
      <c r="CK55" s="668">
        <v>78</v>
      </c>
      <c r="CL55" s="668">
        <v>78</v>
      </c>
      <c r="CM55" s="659">
        <v>0.80430000000000001</v>
      </c>
      <c r="CN55" s="659">
        <v>0.7843</v>
      </c>
      <c r="CO55" s="659">
        <v>0.78820000000000001</v>
      </c>
      <c r="CP55" s="659">
        <v>0.82899999999999996</v>
      </c>
      <c r="CQ55" s="659">
        <v>0.8659</v>
      </c>
      <c r="CR55" s="659">
        <v>0.80640000000000001</v>
      </c>
    </row>
    <row r="56" spans="1:96" x14ac:dyDescent="0.3">
      <c r="A56" s="567" t="s">
        <v>962</v>
      </c>
      <c r="B56" s="220" t="s">
        <v>961</v>
      </c>
      <c r="C56" s="200" t="s">
        <v>573</v>
      </c>
      <c r="D56" s="200" t="s">
        <v>422</v>
      </c>
      <c r="E56" s="525"/>
      <c r="F56" s="200" t="s">
        <v>222</v>
      </c>
      <c r="G56" s="556"/>
      <c r="H56" s="527"/>
      <c r="I56" s="527"/>
      <c r="J56" s="527"/>
      <c r="K56" s="527"/>
      <c r="L56" s="527"/>
      <c r="M56" s="527"/>
      <c r="N56" s="527"/>
      <c r="O56" s="527"/>
      <c r="P56" s="557"/>
      <c r="Q56" s="527"/>
      <c r="R56" s="527"/>
      <c r="S56" s="527"/>
      <c r="T56" s="527"/>
      <c r="U56" s="527"/>
      <c r="V56" s="527"/>
      <c r="W56" s="527"/>
      <c r="X56" s="527"/>
      <c r="Y56" s="558"/>
      <c r="Z56" s="525"/>
      <c r="AA56" s="525"/>
      <c r="AB56" s="529"/>
      <c r="AC56" s="529"/>
      <c r="AD56" s="529"/>
      <c r="AE56" s="529"/>
      <c r="AF56" s="529"/>
      <c r="AG56" s="529"/>
      <c r="AH56" s="559"/>
      <c r="AI56" s="525"/>
      <c r="AJ56" s="525"/>
      <c r="AK56" s="529"/>
      <c r="AL56" s="529"/>
      <c r="AM56" s="529"/>
      <c r="AN56" s="529"/>
      <c r="AO56" s="529"/>
      <c r="AP56" s="529"/>
      <c r="AQ56" s="560"/>
      <c r="AR56" s="525"/>
      <c r="AS56" s="525"/>
      <c r="AT56" s="529"/>
      <c r="AU56" s="529"/>
      <c r="AV56" s="529"/>
      <c r="AW56" s="529"/>
      <c r="AX56" s="529"/>
      <c r="AY56" s="529"/>
      <c r="AZ56" s="558"/>
      <c r="BA56" s="525"/>
      <c r="BB56" s="525"/>
      <c r="BC56" s="529"/>
      <c r="BD56" s="529"/>
      <c r="BE56" s="529"/>
      <c r="BF56" s="529"/>
      <c r="BG56" s="529"/>
      <c r="BH56" s="529"/>
      <c r="BI56" s="561"/>
      <c r="BJ56" s="533"/>
      <c r="BK56" s="533"/>
      <c r="BL56" s="529"/>
      <c r="BM56" s="529"/>
      <c r="BN56" s="529"/>
      <c r="BO56" s="529"/>
      <c r="BP56" s="529"/>
      <c r="BQ56" s="529"/>
      <c r="BR56" s="562"/>
      <c r="BS56" s="527"/>
      <c r="BT56" s="527"/>
      <c r="BU56" s="527"/>
      <c r="BV56" s="527"/>
      <c r="BW56" s="527"/>
      <c r="BX56" s="527"/>
      <c r="BY56" s="527"/>
      <c r="BZ56" s="527"/>
      <c r="CA56" s="536" t="s">
        <v>562</v>
      </c>
      <c r="CB56" s="537" t="s">
        <v>496</v>
      </c>
      <c r="CC56" s="537" t="s">
        <v>494</v>
      </c>
      <c r="CD56" s="538">
        <v>0.57450000000000001</v>
      </c>
      <c r="CE56" s="538">
        <v>0.55610000000000004</v>
      </c>
      <c r="CF56" s="538">
        <v>0.5746</v>
      </c>
      <c r="CG56" s="538">
        <v>0.63500000000000001</v>
      </c>
      <c r="CH56" s="538">
        <v>0.60980000000000001</v>
      </c>
      <c r="CI56" s="538">
        <v>0.58699999999999997</v>
      </c>
    </row>
    <row r="57" spans="1:96" x14ac:dyDescent="0.3">
      <c r="A57" s="189" t="s">
        <v>268</v>
      </c>
      <c r="B57" s="377" t="s">
        <v>278</v>
      </c>
      <c r="C57" s="200" t="s">
        <v>573</v>
      </c>
      <c r="D57" s="200" t="s">
        <v>422</v>
      </c>
      <c r="E57" s="200" t="s">
        <v>794</v>
      </c>
      <c r="F57" s="200" t="s">
        <v>222</v>
      </c>
      <c r="G57" s="390"/>
      <c r="H57" s="391"/>
      <c r="I57" s="391"/>
      <c r="J57" s="391"/>
      <c r="K57" s="391"/>
      <c r="L57" s="391"/>
      <c r="M57" s="391"/>
      <c r="N57" s="391"/>
      <c r="O57" s="391"/>
      <c r="P57" s="404"/>
      <c r="Q57" s="391"/>
      <c r="R57" s="391"/>
      <c r="S57" s="391"/>
      <c r="T57" s="391"/>
      <c r="U57" s="391"/>
      <c r="V57" s="391"/>
      <c r="W57" s="391"/>
      <c r="X57" s="391"/>
      <c r="Y57" s="396"/>
      <c r="Z57" s="389"/>
      <c r="AA57" s="389"/>
      <c r="AB57" s="393"/>
      <c r="AC57" s="393"/>
      <c r="AD57" s="393"/>
      <c r="AE57" s="393"/>
      <c r="AF57" s="393"/>
      <c r="AG57" s="393"/>
      <c r="AH57" s="405"/>
      <c r="AI57" s="389"/>
      <c r="AJ57" s="389"/>
      <c r="AK57" s="393"/>
      <c r="AL57" s="393"/>
      <c r="AM57" s="393"/>
      <c r="AN57" s="393"/>
      <c r="AO57" s="393"/>
      <c r="AP57" s="393"/>
      <c r="AQ57" s="395"/>
      <c r="AR57" s="389"/>
      <c r="AS57" s="389"/>
      <c r="AT57" s="393"/>
      <c r="AU57" s="393"/>
      <c r="AV57" s="393"/>
      <c r="AW57" s="393"/>
      <c r="AX57" s="393"/>
      <c r="AY57" s="393"/>
      <c r="AZ57" s="396"/>
      <c r="BA57" s="389"/>
      <c r="BB57" s="389"/>
      <c r="BC57" s="393"/>
      <c r="BD57" s="393"/>
      <c r="BE57" s="393"/>
      <c r="BF57" s="393"/>
      <c r="BG57" s="393"/>
      <c r="BH57" s="393"/>
      <c r="BI57" s="397"/>
      <c r="BJ57" s="398"/>
      <c r="BK57" s="398"/>
      <c r="BL57" s="393"/>
      <c r="BM57" s="393"/>
      <c r="BN57" s="393"/>
      <c r="BO57" s="393"/>
      <c r="BP57" s="393"/>
      <c r="BQ57" s="393"/>
      <c r="BR57" s="414" t="s">
        <v>409</v>
      </c>
      <c r="BS57" s="391">
        <v>18</v>
      </c>
      <c r="BT57" s="391">
        <v>17</v>
      </c>
      <c r="BU57" s="391">
        <v>0.79590000000000005</v>
      </c>
      <c r="BV57" s="391">
        <v>0.72340000000000004</v>
      </c>
      <c r="BW57" s="391">
        <v>0.71299999999999997</v>
      </c>
      <c r="BX57" s="391">
        <v>0.78559999999999997</v>
      </c>
      <c r="BY57" s="391">
        <v>0.73550000000000004</v>
      </c>
      <c r="BZ57" s="391">
        <v>0.753</v>
      </c>
      <c r="CA57" s="541" t="s">
        <v>408</v>
      </c>
      <c r="CB57" s="537" t="s">
        <v>557</v>
      </c>
      <c r="CC57" s="537" t="s">
        <v>449</v>
      </c>
      <c r="CD57" s="538">
        <v>0.78449999999999998</v>
      </c>
      <c r="CE57" s="538">
        <v>0.74299999999999999</v>
      </c>
      <c r="CF57" s="538">
        <v>0.75890000000000002</v>
      </c>
      <c r="CG57" s="538">
        <v>0.8075</v>
      </c>
      <c r="CH57" s="538">
        <v>0.80879999999999996</v>
      </c>
      <c r="CI57" s="538">
        <v>0.7762</v>
      </c>
      <c r="CJ57" s="671" t="s">
        <v>408</v>
      </c>
      <c r="CK57" s="668">
        <v>37</v>
      </c>
      <c r="CL57" s="668">
        <v>37</v>
      </c>
      <c r="CM57" s="659">
        <v>0.78739999999999999</v>
      </c>
      <c r="CN57" s="659">
        <v>0.76639999999999997</v>
      </c>
      <c r="CO57" s="659">
        <v>0.77259999999999995</v>
      </c>
      <c r="CP57" s="659">
        <v>0.8165</v>
      </c>
      <c r="CQ57" s="659">
        <v>0.84340000000000004</v>
      </c>
      <c r="CR57" s="659">
        <v>0.79020000000000001</v>
      </c>
    </row>
    <row r="58" spans="1:96" x14ac:dyDescent="0.3">
      <c r="A58" s="62" t="s">
        <v>234</v>
      </c>
      <c r="B58" s="200" t="s">
        <v>236</v>
      </c>
      <c r="C58" s="200" t="s">
        <v>573</v>
      </c>
      <c r="D58" s="200" t="s">
        <v>422</v>
      </c>
      <c r="E58" s="200" t="s">
        <v>794</v>
      </c>
      <c r="F58" s="200" t="s">
        <v>222</v>
      </c>
      <c r="G58" s="200"/>
      <c r="H58" s="200"/>
      <c r="I58" s="200"/>
      <c r="J58" s="200"/>
      <c r="K58" s="200"/>
      <c r="L58" s="200"/>
      <c r="M58" s="200"/>
      <c r="N58" s="200"/>
      <c r="O58" s="200"/>
      <c r="P58" s="239"/>
      <c r="Q58" s="200"/>
      <c r="R58" s="200"/>
      <c r="S58" s="200"/>
      <c r="T58" s="200"/>
      <c r="U58" s="200"/>
      <c r="V58" s="200"/>
      <c r="W58" s="200"/>
      <c r="X58" s="200"/>
      <c r="Y58" s="200"/>
      <c r="Z58" s="200"/>
      <c r="AA58" s="200"/>
      <c r="AB58" s="203"/>
      <c r="AC58" s="203"/>
      <c r="AD58" s="203"/>
      <c r="AE58" s="203"/>
      <c r="AF58" s="203"/>
      <c r="AG58" s="203"/>
      <c r="AH58" s="228"/>
      <c r="AI58" s="200"/>
      <c r="AJ58" s="200"/>
      <c r="AK58" s="203"/>
      <c r="AL58" s="203"/>
      <c r="AM58" s="203"/>
      <c r="AN58" s="203"/>
      <c r="AO58" s="203"/>
      <c r="AP58" s="203"/>
      <c r="AQ58" s="200"/>
      <c r="AR58" s="200"/>
      <c r="AS58" s="200"/>
      <c r="AT58" s="203"/>
      <c r="AU58" s="203"/>
      <c r="AV58" s="203"/>
      <c r="AW58" s="203"/>
      <c r="AX58" s="203"/>
      <c r="AY58" s="203"/>
      <c r="AZ58" s="209" t="s">
        <v>562</v>
      </c>
      <c r="BA58" s="200" t="s">
        <v>668</v>
      </c>
      <c r="BB58" s="200" t="s">
        <v>566</v>
      </c>
      <c r="BC58" s="203">
        <v>0.61040000000000005</v>
      </c>
      <c r="BD58" s="203">
        <v>0.60529999999999995</v>
      </c>
      <c r="BE58" s="203">
        <v>0.57220000000000004</v>
      </c>
      <c r="BF58" s="203">
        <v>0.68520000000000003</v>
      </c>
      <c r="BG58" s="203">
        <v>0.61180000000000001</v>
      </c>
      <c r="BH58" s="203">
        <v>0.61780000000000002</v>
      </c>
      <c r="BI58" s="217" t="s">
        <v>562</v>
      </c>
      <c r="BJ58" s="222">
        <v>14</v>
      </c>
      <c r="BK58" s="222">
        <v>12</v>
      </c>
      <c r="BL58" s="203">
        <v>0.61040000000000005</v>
      </c>
      <c r="BM58" s="203">
        <v>0.60529999999999995</v>
      </c>
      <c r="BN58" s="203">
        <v>0.57220000000000004</v>
      </c>
      <c r="BO58" s="203">
        <v>0.68520000000000003</v>
      </c>
      <c r="BP58" s="203">
        <v>0.61180000000000001</v>
      </c>
      <c r="BQ58" s="203">
        <v>0.61780000000000002</v>
      </c>
      <c r="BS58" s="389"/>
      <c r="BT58" s="389"/>
      <c r="BU58" s="389"/>
      <c r="BV58" s="389"/>
      <c r="BW58" s="389"/>
      <c r="BX58" s="389"/>
      <c r="BY58" s="389"/>
      <c r="BZ58" s="389"/>
    </row>
    <row r="59" spans="1:96" x14ac:dyDescent="0.3">
      <c r="A59" s="62" t="s">
        <v>153</v>
      </c>
      <c r="B59" s="200" t="s">
        <v>152</v>
      </c>
      <c r="C59" s="200" t="s">
        <v>573</v>
      </c>
      <c r="D59" s="200" t="s">
        <v>422</v>
      </c>
      <c r="E59" s="200" t="s">
        <v>794</v>
      </c>
      <c r="F59" s="200" t="s">
        <v>222</v>
      </c>
      <c r="G59" s="243" t="s">
        <v>409</v>
      </c>
      <c r="H59" s="241" t="s">
        <v>552</v>
      </c>
      <c r="I59" s="241" t="s">
        <v>653</v>
      </c>
      <c r="J59" s="241">
        <v>0.72060000000000002</v>
      </c>
      <c r="K59" s="241">
        <v>0.73209999999999997</v>
      </c>
      <c r="L59" s="241">
        <v>0.72030000000000005</v>
      </c>
      <c r="M59" s="241">
        <v>0.72570000000000001</v>
      </c>
      <c r="N59" s="241">
        <v>0.71730000000000005</v>
      </c>
      <c r="O59" s="241">
        <v>0.72409999999999997</v>
      </c>
      <c r="P59" s="248" t="s">
        <v>410</v>
      </c>
      <c r="Q59" s="249" t="s">
        <v>439</v>
      </c>
      <c r="R59" s="249" t="s">
        <v>451</v>
      </c>
      <c r="S59" s="249">
        <v>0.71240000000000003</v>
      </c>
      <c r="T59" s="249">
        <v>0.71279999999999999</v>
      </c>
      <c r="U59" s="249">
        <v>0.71109999999999995</v>
      </c>
      <c r="V59" s="249">
        <v>0.70430000000000004</v>
      </c>
      <c r="W59" s="249">
        <v>0.70660000000000001</v>
      </c>
      <c r="X59" s="249">
        <v>0.70989999999999998</v>
      </c>
      <c r="Y59" s="204" t="s">
        <v>410</v>
      </c>
      <c r="Z59" s="200" t="s">
        <v>644</v>
      </c>
      <c r="AA59" s="200" t="s">
        <v>453</v>
      </c>
      <c r="AB59" s="203">
        <v>0.72770000000000001</v>
      </c>
      <c r="AC59" s="203">
        <v>0.71540000000000004</v>
      </c>
      <c r="AD59" s="203">
        <v>0.7228</v>
      </c>
      <c r="AE59" s="203">
        <v>0.70589999999999997</v>
      </c>
      <c r="AF59" s="203">
        <v>0.71840000000000004</v>
      </c>
      <c r="AG59" s="203">
        <v>0.71799999999999997</v>
      </c>
      <c r="AH59" s="230" t="s">
        <v>409</v>
      </c>
      <c r="AI59" s="200" t="s">
        <v>452</v>
      </c>
      <c r="AJ59" s="200" t="s">
        <v>586</v>
      </c>
      <c r="AK59" s="203">
        <v>0.74560000000000004</v>
      </c>
      <c r="AL59" s="203">
        <v>0.72919999999999996</v>
      </c>
      <c r="AM59" s="203">
        <v>0.73360000000000003</v>
      </c>
      <c r="AN59" s="203">
        <v>0.72370000000000001</v>
      </c>
      <c r="AO59" s="203">
        <v>0.73350000000000004</v>
      </c>
      <c r="AP59" s="203">
        <v>0.73309999999999997</v>
      </c>
      <c r="AQ59" s="216" t="s">
        <v>409</v>
      </c>
      <c r="AR59" s="200" t="s">
        <v>452</v>
      </c>
      <c r="AS59" s="200" t="s">
        <v>453</v>
      </c>
      <c r="AT59" s="203">
        <v>0.75370000000000004</v>
      </c>
      <c r="AU59" s="203">
        <v>0.73160000000000003</v>
      </c>
      <c r="AV59" s="203">
        <v>0.72319999999999995</v>
      </c>
      <c r="AW59" s="203">
        <v>0.75180000000000002</v>
      </c>
      <c r="AX59" s="203">
        <v>0.74429999999999996</v>
      </c>
      <c r="AY59" s="203">
        <v>0.74039999999999995</v>
      </c>
      <c r="AZ59" s="211" t="s">
        <v>409</v>
      </c>
      <c r="BA59" s="200" t="s">
        <v>606</v>
      </c>
      <c r="BB59" s="200" t="s">
        <v>453</v>
      </c>
      <c r="BC59" s="203">
        <v>0.75009999999999999</v>
      </c>
      <c r="BD59" s="203">
        <v>0.72160000000000002</v>
      </c>
      <c r="BE59" s="203">
        <v>0.72260000000000002</v>
      </c>
      <c r="BF59" s="203">
        <v>0.76029999999999998</v>
      </c>
      <c r="BG59" s="203">
        <v>0.73319999999999996</v>
      </c>
      <c r="BH59" s="203">
        <v>0.73819999999999997</v>
      </c>
      <c r="BI59" s="215" t="s">
        <v>409</v>
      </c>
      <c r="BJ59" s="222">
        <v>95</v>
      </c>
      <c r="BK59" s="222">
        <v>93</v>
      </c>
      <c r="BL59" s="203">
        <v>0.73939999999999995</v>
      </c>
      <c r="BM59" s="203">
        <v>0.71379999999999999</v>
      </c>
      <c r="BN59" s="203">
        <v>0.72170000000000001</v>
      </c>
      <c r="BO59" s="203">
        <v>0.75890000000000002</v>
      </c>
      <c r="BP59" s="203">
        <v>0.71289999999999998</v>
      </c>
      <c r="BQ59" s="203">
        <v>0.7319</v>
      </c>
      <c r="BR59" s="414" t="s">
        <v>409</v>
      </c>
      <c r="BS59" s="391">
        <v>123</v>
      </c>
      <c r="BT59" s="391">
        <v>122</v>
      </c>
      <c r="BU59" s="391">
        <v>0.73099999999999998</v>
      </c>
      <c r="BV59" s="391">
        <v>0.70079999999999998</v>
      </c>
      <c r="BW59" s="391">
        <v>0.71340000000000003</v>
      </c>
      <c r="BX59" s="391">
        <v>0.75609999999999999</v>
      </c>
      <c r="BY59" s="391">
        <v>0.71930000000000005</v>
      </c>
      <c r="BZ59" s="391">
        <v>0.72489999999999999</v>
      </c>
      <c r="CA59" s="549" t="s">
        <v>409</v>
      </c>
      <c r="CB59" s="537" t="s">
        <v>802</v>
      </c>
      <c r="CC59" s="537" t="s">
        <v>675</v>
      </c>
      <c r="CD59" s="538">
        <v>0.72360000000000002</v>
      </c>
      <c r="CE59" s="538">
        <v>0.69750000000000001</v>
      </c>
      <c r="CF59" s="538">
        <v>0.70250000000000001</v>
      </c>
      <c r="CG59" s="538">
        <v>0.75609999999999999</v>
      </c>
      <c r="CH59" s="538">
        <v>0.72740000000000005</v>
      </c>
      <c r="CI59" s="538">
        <v>0.72050000000000003</v>
      </c>
      <c r="CJ59" s="667" t="s">
        <v>409</v>
      </c>
      <c r="CK59" s="668">
        <v>145</v>
      </c>
      <c r="CL59" s="668">
        <v>145</v>
      </c>
      <c r="CM59" s="659">
        <v>0.72919999999999996</v>
      </c>
      <c r="CN59" s="659">
        <v>0.69389999999999996</v>
      </c>
      <c r="CO59" s="659">
        <v>0.7026</v>
      </c>
      <c r="CP59" s="659">
        <v>0.76180000000000003</v>
      </c>
      <c r="CQ59" s="659">
        <v>0.73850000000000005</v>
      </c>
      <c r="CR59" s="659">
        <v>0.72319999999999995</v>
      </c>
    </row>
    <row r="60" spans="1:96" x14ac:dyDescent="0.3">
      <c r="A60" s="62" t="s">
        <v>136</v>
      </c>
      <c r="B60" s="200" t="s">
        <v>135</v>
      </c>
      <c r="C60" s="200" t="s">
        <v>573</v>
      </c>
      <c r="D60" s="200" t="s">
        <v>422</v>
      </c>
      <c r="E60" s="200" t="s">
        <v>794</v>
      </c>
      <c r="F60" s="200" t="s">
        <v>222</v>
      </c>
      <c r="G60" s="242" t="s">
        <v>546</v>
      </c>
      <c r="H60" s="241" t="s">
        <v>552</v>
      </c>
      <c r="I60" s="241" t="s">
        <v>653</v>
      </c>
      <c r="J60" s="241">
        <v>0.66810000000000003</v>
      </c>
      <c r="K60" s="241">
        <v>0.67020000000000002</v>
      </c>
      <c r="L60" s="241">
        <v>0.66790000000000005</v>
      </c>
      <c r="M60" s="241">
        <v>0.66390000000000005</v>
      </c>
      <c r="N60" s="241">
        <v>0.65039999999999998</v>
      </c>
      <c r="O60" s="241">
        <v>0.66620000000000001</v>
      </c>
      <c r="P60" s="250" t="s">
        <v>546</v>
      </c>
      <c r="Q60" s="249" t="s">
        <v>847</v>
      </c>
      <c r="R60" s="249" t="s">
        <v>504</v>
      </c>
      <c r="S60" s="249">
        <v>0.67049999999999998</v>
      </c>
      <c r="T60" s="249">
        <v>0.67769999999999997</v>
      </c>
      <c r="U60" s="249">
        <v>0.67030000000000001</v>
      </c>
      <c r="V60" s="249">
        <v>0.66449999999999998</v>
      </c>
      <c r="W60" s="249">
        <v>0.64829999999999999</v>
      </c>
      <c r="X60" s="249">
        <v>0.66900000000000004</v>
      </c>
      <c r="Y60" s="204" t="s">
        <v>410</v>
      </c>
      <c r="Z60" s="200" t="s">
        <v>451</v>
      </c>
      <c r="AA60" s="200" t="s">
        <v>516</v>
      </c>
      <c r="AB60" s="203">
        <v>0.66610000000000003</v>
      </c>
      <c r="AC60" s="203">
        <v>0.68020000000000003</v>
      </c>
      <c r="AD60" s="203">
        <v>0.66539999999999999</v>
      </c>
      <c r="AE60" s="203">
        <v>0.6704</v>
      </c>
      <c r="AF60" s="203">
        <v>0.66379999999999995</v>
      </c>
      <c r="AG60" s="203">
        <v>0.67</v>
      </c>
      <c r="AH60" s="231" t="s">
        <v>410</v>
      </c>
      <c r="AI60" s="200" t="s">
        <v>476</v>
      </c>
      <c r="AJ60" s="200" t="s">
        <v>477</v>
      </c>
      <c r="AK60" s="203">
        <v>0.68920000000000003</v>
      </c>
      <c r="AL60" s="203">
        <v>0.68589999999999995</v>
      </c>
      <c r="AM60" s="203">
        <v>0.67959999999999998</v>
      </c>
      <c r="AN60" s="203">
        <v>0.70609999999999995</v>
      </c>
      <c r="AO60" s="203">
        <v>0.66690000000000005</v>
      </c>
      <c r="AP60" s="203">
        <v>0.68840000000000001</v>
      </c>
      <c r="AQ60" s="205" t="s">
        <v>410</v>
      </c>
      <c r="AR60" s="200" t="s">
        <v>504</v>
      </c>
      <c r="AS60" s="200" t="s">
        <v>505</v>
      </c>
      <c r="AT60" s="203">
        <v>0.70040000000000002</v>
      </c>
      <c r="AU60" s="203">
        <v>0.69220000000000004</v>
      </c>
      <c r="AV60" s="203">
        <v>0.67910000000000004</v>
      </c>
      <c r="AW60" s="203">
        <v>0.72819999999999996</v>
      </c>
      <c r="AX60" s="203">
        <v>0.67</v>
      </c>
      <c r="AY60" s="203">
        <v>0.69769999999999999</v>
      </c>
      <c r="AZ60" s="204" t="s">
        <v>410</v>
      </c>
      <c r="BA60" s="200" t="s">
        <v>467</v>
      </c>
      <c r="BB60" s="200" t="s">
        <v>492</v>
      </c>
      <c r="BC60" s="203">
        <v>0.70620000000000005</v>
      </c>
      <c r="BD60" s="203">
        <v>0.67279999999999995</v>
      </c>
      <c r="BE60" s="203">
        <v>0.67349999999999999</v>
      </c>
      <c r="BF60" s="203">
        <v>0.73380000000000001</v>
      </c>
      <c r="BG60" s="203">
        <v>0.65880000000000005</v>
      </c>
      <c r="BH60" s="203">
        <v>0.69369999999999998</v>
      </c>
      <c r="BI60" s="201" t="s">
        <v>410</v>
      </c>
      <c r="BJ60" s="222">
        <v>127</v>
      </c>
      <c r="BK60" s="222">
        <v>124</v>
      </c>
      <c r="BL60" s="203">
        <v>0.7087</v>
      </c>
      <c r="BM60" s="203">
        <v>0.67120000000000002</v>
      </c>
      <c r="BN60" s="203">
        <v>0.67469999999999997</v>
      </c>
      <c r="BO60" s="203">
        <v>0.73129999999999995</v>
      </c>
      <c r="BP60" s="203">
        <v>0.65339999999999998</v>
      </c>
      <c r="BQ60" s="203">
        <v>0.69320000000000004</v>
      </c>
      <c r="BR60" s="410" t="s">
        <v>410</v>
      </c>
      <c r="BS60" s="391">
        <v>134</v>
      </c>
      <c r="BT60" s="391">
        <v>134</v>
      </c>
      <c r="BU60" s="391">
        <v>0.71330000000000005</v>
      </c>
      <c r="BV60" s="391">
        <v>0.67200000000000004</v>
      </c>
      <c r="BW60" s="391">
        <v>0.67390000000000005</v>
      </c>
      <c r="BX60" s="391">
        <v>0.73450000000000004</v>
      </c>
      <c r="BY60" s="391">
        <v>0.66610000000000003</v>
      </c>
      <c r="BZ60" s="391">
        <v>0.69589999999999996</v>
      </c>
      <c r="CA60" s="539" t="s">
        <v>410</v>
      </c>
      <c r="CB60" s="537" t="s">
        <v>804</v>
      </c>
      <c r="CC60" s="537" t="s">
        <v>804</v>
      </c>
      <c r="CD60" s="538">
        <v>0.72629999999999995</v>
      </c>
      <c r="CE60" s="538">
        <v>0.69920000000000004</v>
      </c>
      <c r="CF60" s="538">
        <v>0.69140000000000001</v>
      </c>
      <c r="CG60" s="538">
        <v>0.74850000000000005</v>
      </c>
      <c r="CH60" s="538">
        <v>0.68240000000000001</v>
      </c>
      <c r="CI60" s="538">
        <v>0.7137</v>
      </c>
      <c r="CJ60" s="669" t="s">
        <v>410</v>
      </c>
      <c r="CK60" s="668">
        <v>172</v>
      </c>
      <c r="CL60" s="668">
        <v>172</v>
      </c>
      <c r="CM60" s="659">
        <v>0.70520000000000005</v>
      </c>
      <c r="CN60" s="659">
        <v>0.67920000000000003</v>
      </c>
      <c r="CO60" s="659">
        <v>0.66690000000000005</v>
      </c>
      <c r="CP60" s="659">
        <v>0.73029999999999995</v>
      </c>
      <c r="CQ60" s="659">
        <v>0.68540000000000001</v>
      </c>
      <c r="CR60" s="659">
        <v>0.69469999999999998</v>
      </c>
    </row>
    <row r="61" spans="1:96" x14ac:dyDescent="0.3">
      <c r="A61" s="62" t="s">
        <v>97</v>
      </c>
      <c r="B61" s="200" t="s">
        <v>96</v>
      </c>
      <c r="C61" s="200" t="s">
        <v>573</v>
      </c>
      <c r="D61" s="200" t="s">
        <v>422</v>
      </c>
      <c r="E61" s="200" t="s">
        <v>794</v>
      </c>
      <c r="F61" s="200" t="s">
        <v>222</v>
      </c>
      <c r="G61" s="240" t="s">
        <v>410</v>
      </c>
      <c r="H61" s="241" t="s">
        <v>535</v>
      </c>
      <c r="I61" s="241" t="s">
        <v>535</v>
      </c>
      <c r="J61" s="241">
        <v>0.67330000000000001</v>
      </c>
      <c r="K61" s="241">
        <v>0.68989999999999996</v>
      </c>
      <c r="L61" s="241">
        <v>0.67290000000000005</v>
      </c>
      <c r="M61" s="241">
        <v>0.71460000000000001</v>
      </c>
      <c r="N61" s="241">
        <v>0.68759999999999999</v>
      </c>
      <c r="O61" s="241">
        <v>0.68769999999999998</v>
      </c>
      <c r="P61" s="248" t="s">
        <v>410</v>
      </c>
      <c r="Q61" s="249" t="s">
        <v>566</v>
      </c>
      <c r="R61" s="249" t="s">
        <v>568</v>
      </c>
      <c r="S61" s="249">
        <v>0.66320000000000001</v>
      </c>
      <c r="T61" s="249">
        <v>0.7097</v>
      </c>
      <c r="U61" s="249">
        <v>0.68730000000000002</v>
      </c>
      <c r="V61" s="249">
        <v>0.69640000000000002</v>
      </c>
      <c r="W61" s="249">
        <v>0.66610000000000003</v>
      </c>
      <c r="X61" s="249">
        <v>0.68740000000000001</v>
      </c>
      <c r="Y61" s="211" t="s">
        <v>409</v>
      </c>
      <c r="Z61" s="200" t="s">
        <v>565</v>
      </c>
      <c r="AA61" s="200" t="s">
        <v>566</v>
      </c>
      <c r="AB61" s="203">
        <v>0.70840000000000003</v>
      </c>
      <c r="AC61" s="203">
        <v>0.75860000000000005</v>
      </c>
      <c r="AD61" s="203">
        <v>0.75939999999999996</v>
      </c>
      <c r="AE61" s="203">
        <v>0.74160000000000004</v>
      </c>
      <c r="AF61" s="203">
        <v>0.71319999999999995</v>
      </c>
      <c r="AG61" s="203">
        <v>0.73980000000000001</v>
      </c>
      <c r="AH61" s="231" t="s">
        <v>410</v>
      </c>
      <c r="AI61" s="200" t="s">
        <v>558</v>
      </c>
      <c r="AJ61" s="200" t="s">
        <v>548</v>
      </c>
      <c r="AK61" s="203">
        <v>0.66769999999999996</v>
      </c>
      <c r="AL61" s="203">
        <v>0.69550000000000001</v>
      </c>
      <c r="AM61" s="203">
        <v>0.6966</v>
      </c>
      <c r="AN61" s="203">
        <v>0.7036</v>
      </c>
      <c r="AO61" s="203">
        <v>0.68940000000000001</v>
      </c>
      <c r="AP61" s="203">
        <v>0.69069999999999998</v>
      </c>
      <c r="AQ61" s="208" t="s">
        <v>546</v>
      </c>
      <c r="AR61" s="200" t="s">
        <v>547</v>
      </c>
      <c r="AS61" s="200" t="s">
        <v>558</v>
      </c>
      <c r="AT61" s="203">
        <v>0.63229999999999997</v>
      </c>
      <c r="AU61" s="203">
        <v>0.65229999999999999</v>
      </c>
      <c r="AV61" s="203">
        <v>0.61990000000000001</v>
      </c>
      <c r="AW61" s="203">
        <v>0.66710000000000003</v>
      </c>
      <c r="AX61" s="203">
        <v>0.67910000000000004</v>
      </c>
      <c r="AY61" s="203">
        <v>0.64570000000000005</v>
      </c>
      <c r="AZ61" s="209" t="s">
        <v>562</v>
      </c>
      <c r="BA61" s="200" t="s">
        <v>517</v>
      </c>
      <c r="BB61" s="200" t="s">
        <v>518</v>
      </c>
      <c r="BC61" s="203">
        <v>0.62290000000000001</v>
      </c>
      <c r="BD61" s="203">
        <v>0.60519999999999996</v>
      </c>
      <c r="BE61" s="203">
        <v>0.56620000000000004</v>
      </c>
      <c r="BF61" s="203">
        <v>0.64829999999999999</v>
      </c>
      <c r="BG61" s="203">
        <v>0.66169999999999995</v>
      </c>
      <c r="BH61" s="203">
        <v>0.61460000000000004</v>
      </c>
      <c r="BI61" s="217" t="s">
        <v>562</v>
      </c>
      <c r="BJ61" s="222">
        <v>27</v>
      </c>
      <c r="BK61" s="222">
        <v>26</v>
      </c>
      <c r="BL61" s="203">
        <v>0.6381</v>
      </c>
      <c r="BM61" s="203">
        <v>0.61929999999999996</v>
      </c>
      <c r="BN61" s="203">
        <v>0.55810000000000004</v>
      </c>
      <c r="BO61" s="203">
        <v>0.65710000000000002</v>
      </c>
      <c r="BP61" s="203">
        <v>0.6381</v>
      </c>
      <c r="BQ61" s="203">
        <v>0.61970000000000003</v>
      </c>
      <c r="BR61" s="412" t="s">
        <v>546</v>
      </c>
      <c r="BS61" s="391">
        <v>26</v>
      </c>
      <c r="BT61" s="391">
        <v>26</v>
      </c>
      <c r="BU61" s="391">
        <v>0.66800000000000004</v>
      </c>
      <c r="BV61" s="391">
        <v>0.629</v>
      </c>
      <c r="BW61" s="391">
        <v>0.5655</v>
      </c>
      <c r="BX61" s="391">
        <v>0.67900000000000005</v>
      </c>
      <c r="BY61" s="391">
        <v>0.64200000000000002</v>
      </c>
      <c r="BZ61" s="391">
        <v>0.63590000000000002</v>
      </c>
      <c r="CA61" s="540" t="s">
        <v>546</v>
      </c>
      <c r="CB61" s="537" t="s">
        <v>558</v>
      </c>
      <c r="CC61" s="537" t="s">
        <v>558</v>
      </c>
      <c r="CD61" s="538">
        <v>0.66830000000000001</v>
      </c>
      <c r="CE61" s="538">
        <v>0.64349999999999996</v>
      </c>
      <c r="CF61" s="538">
        <v>0.55840000000000001</v>
      </c>
      <c r="CG61" s="538">
        <v>0.6845</v>
      </c>
      <c r="CH61" s="538">
        <v>0.62929999999999997</v>
      </c>
      <c r="CI61" s="538">
        <v>0.63800000000000001</v>
      </c>
      <c r="CJ61" s="669" t="s">
        <v>410</v>
      </c>
      <c r="CK61" s="668">
        <v>17</v>
      </c>
      <c r="CL61" s="668">
        <v>17</v>
      </c>
      <c r="CM61" s="659">
        <v>0.70830000000000004</v>
      </c>
      <c r="CN61" s="659">
        <v>0.66339999999999999</v>
      </c>
      <c r="CO61" s="659">
        <v>0.61819999999999997</v>
      </c>
      <c r="CP61" s="659">
        <v>0.72240000000000004</v>
      </c>
      <c r="CQ61" s="659">
        <v>0.71130000000000004</v>
      </c>
      <c r="CR61" s="659">
        <v>0.68059999999999998</v>
      </c>
    </row>
    <row r="62" spans="1:96" x14ac:dyDescent="0.3">
      <c r="A62" s="62" t="s">
        <v>181</v>
      </c>
      <c r="B62" s="200" t="s">
        <v>180</v>
      </c>
      <c r="C62" s="200" t="s">
        <v>573</v>
      </c>
      <c r="D62" s="200" t="s">
        <v>422</v>
      </c>
      <c r="E62" s="200" t="s">
        <v>794</v>
      </c>
      <c r="F62" s="200" t="s">
        <v>222</v>
      </c>
      <c r="G62" s="243" t="s">
        <v>409</v>
      </c>
      <c r="H62" s="241" t="s">
        <v>551</v>
      </c>
      <c r="I62" s="241" t="s">
        <v>551</v>
      </c>
      <c r="J62" s="241">
        <v>0.73409999999999997</v>
      </c>
      <c r="K62" s="241">
        <v>0.74270000000000003</v>
      </c>
      <c r="L62" s="241">
        <v>0.73399999999999999</v>
      </c>
      <c r="M62" s="241">
        <v>0.74870000000000003</v>
      </c>
      <c r="N62" s="241">
        <v>0.72050000000000003</v>
      </c>
      <c r="O62" s="241">
        <v>0.73839999999999995</v>
      </c>
      <c r="P62" s="252" t="s">
        <v>409</v>
      </c>
      <c r="Q62" s="249" t="s">
        <v>444</v>
      </c>
      <c r="R62" s="249" t="s">
        <v>444</v>
      </c>
      <c r="S62" s="249">
        <v>0.74170000000000003</v>
      </c>
      <c r="T62" s="249">
        <v>0.75460000000000005</v>
      </c>
      <c r="U62" s="249">
        <v>0.74329999999999996</v>
      </c>
      <c r="V62" s="249">
        <v>0.74109999999999998</v>
      </c>
      <c r="W62" s="249">
        <v>0.71579999999999999</v>
      </c>
      <c r="X62" s="249">
        <v>0.7429</v>
      </c>
      <c r="Y62" s="211" t="s">
        <v>409</v>
      </c>
      <c r="Z62" s="200" t="s">
        <v>424</v>
      </c>
      <c r="AA62" s="200" t="s">
        <v>424</v>
      </c>
      <c r="AB62" s="203">
        <v>0.76519999999999999</v>
      </c>
      <c r="AC62" s="203">
        <v>0.77390000000000003</v>
      </c>
      <c r="AD62" s="203">
        <v>0.73709999999999998</v>
      </c>
      <c r="AE62" s="203">
        <v>0.75370000000000004</v>
      </c>
      <c r="AF62" s="203">
        <v>0.73799999999999999</v>
      </c>
      <c r="AG62" s="203">
        <v>0.75600000000000001</v>
      </c>
      <c r="AH62" s="230" t="s">
        <v>409</v>
      </c>
      <c r="AI62" s="200" t="s">
        <v>451</v>
      </c>
      <c r="AJ62" s="200" t="s">
        <v>451</v>
      </c>
      <c r="AK62" s="203">
        <v>0.76729999999999998</v>
      </c>
      <c r="AL62" s="203">
        <v>0.78169999999999995</v>
      </c>
      <c r="AM62" s="203">
        <v>0.74170000000000003</v>
      </c>
      <c r="AN62" s="203">
        <v>0.7671</v>
      </c>
      <c r="AO62" s="203">
        <v>0.73960000000000004</v>
      </c>
      <c r="AP62" s="203">
        <v>0.76249999999999996</v>
      </c>
      <c r="AQ62" s="216" t="s">
        <v>409</v>
      </c>
      <c r="AR62" s="200" t="s">
        <v>439</v>
      </c>
      <c r="AS62" s="200" t="s">
        <v>439</v>
      </c>
      <c r="AT62" s="203">
        <v>0.77610000000000001</v>
      </c>
      <c r="AU62" s="203">
        <v>0.77910000000000001</v>
      </c>
      <c r="AV62" s="203">
        <v>0.73350000000000004</v>
      </c>
      <c r="AW62" s="203">
        <v>0.77410000000000001</v>
      </c>
      <c r="AX62" s="203">
        <v>0.74929999999999997</v>
      </c>
      <c r="AY62" s="203">
        <v>0.76439999999999997</v>
      </c>
      <c r="AZ62" s="211" t="s">
        <v>409</v>
      </c>
      <c r="BA62" s="200" t="s">
        <v>456</v>
      </c>
      <c r="BB62" s="200" t="s">
        <v>457</v>
      </c>
      <c r="BC62" s="203">
        <v>0.75219999999999998</v>
      </c>
      <c r="BD62" s="203">
        <v>0.74339999999999995</v>
      </c>
      <c r="BE62" s="203">
        <v>0.71060000000000001</v>
      </c>
      <c r="BF62" s="203">
        <v>0.76190000000000002</v>
      </c>
      <c r="BG62" s="203">
        <v>0.73709999999999998</v>
      </c>
      <c r="BH62" s="203">
        <v>0.74170000000000003</v>
      </c>
      <c r="BI62" s="215" t="s">
        <v>409</v>
      </c>
      <c r="BJ62" s="222">
        <v>147</v>
      </c>
      <c r="BK62" s="222">
        <v>146</v>
      </c>
      <c r="BL62" s="203">
        <v>0.74039999999999995</v>
      </c>
      <c r="BM62" s="203">
        <v>0.72850000000000004</v>
      </c>
      <c r="BN62" s="203">
        <v>0.70709999999999995</v>
      </c>
      <c r="BO62" s="203">
        <v>0.75209999999999999</v>
      </c>
      <c r="BP62" s="203">
        <v>0.71930000000000005</v>
      </c>
      <c r="BQ62" s="203">
        <v>0.73109999999999997</v>
      </c>
      <c r="BR62" s="414" t="s">
        <v>409</v>
      </c>
      <c r="BS62" s="391">
        <v>189</v>
      </c>
      <c r="BT62" s="391">
        <v>188</v>
      </c>
      <c r="BU62" s="391">
        <v>0.74260000000000004</v>
      </c>
      <c r="BV62" s="391">
        <v>0.7198</v>
      </c>
      <c r="BW62" s="391">
        <v>0.71950000000000003</v>
      </c>
      <c r="BX62" s="391">
        <v>0.76529999999999998</v>
      </c>
      <c r="BY62" s="391">
        <v>0.73340000000000005</v>
      </c>
      <c r="BZ62" s="391">
        <v>0.73650000000000004</v>
      </c>
      <c r="CA62" s="549" t="s">
        <v>409</v>
      </c>
      <c r="CB62" s="537" t="s">
        <v>608</v>
      </c>
      <c r="CC62" s="537" t="s">
        <v>983</v>
      </c>
      <c r="CD62" s="538">
        <v>0.74060000000000004</v>
      </c>
      <c r="CE62" s="538">
        <v>0.72240000000000004</v>
      </c>
      <c r="CF62" s="538">
        <v>0.73370000000000002</v>
      </c>
      <c r="CG62" s="538">
        <v>0.77569999999999995</v>
      </c>
      <c r="CH62" s="538">
        <v>0.74419999999999997</v>
      </c>
      <c r="CI62" s="538">
        <v>0.74319999999999997</v>
      </c>
      <c r="CJ62" s="667" t="s">
        <v>409</v>
      </c>
      <c r="CK62" s="668">
        <v>233</v>
      </c>
      <c r="CL62" s="668">
        <v>232</v>
      </c>
      <c r="CM62" s="659">
        <v>0.74319999999999997</v>
      </c>
      <c r="CN62" s="659">
        <v>0.72540000000000004</v>
      </c>
      <c r="CO62" s="659">
        <v>0.73740000000000006</v>
      </c>
      <c r="CP62" s="659">
        <v>0.78210000000000002</v>
      </c>
      <c r="CQ62" s="659">
        <v>0.76619999999999999</v>
      </c>
      <c r="CR62" s="659">
        <v>0.74850000000000005</v>
      </c>
    </row>
    <row r="63" spans="1:96" x14ac:dyDescent="0.3">
      <c r="A63" s="62" t="s">
        <v>171</v>
      </c>
      <c r="B63" s="200" t="s">
        <v>170</v>
      </c>
      <c r="C63" s="200" t="s">
        <v>573</v>
      </c>
      <c r="D63" s="200" t="s">
        <v>422</v>
      </c>
      <c r="E63" s="200" t="s">
        <v>794</v>
      </c>
      <c r="F63" s="200" t="s">
        <v>222</v>
      </c>
      <c r="G63" s="240" t="s">
        <v>410</v>
      </c>
      <c r="H63" s="241" t="s">
        <v>814</v>
      </c>
      <c r="I63" s="241" t="s">
        <v>815</v>
      </c>
      <c r="J63" s="241">
        <v>0.70599999999999996</v>
      </c>
      <c r="K63" s="241">
        <v>0.71440000000000003</v>
      </c>
      <c r="L63" s="241">
        <v>0.72799999999999998</v>
      </c>
      <c r="M63" s="241">
        <v>0.72260000000000002</v>
      </c>
      <c r="N63" s="241">
        <v>0.72470000000000001</v>
      </c>
      <c r="O63" s="241">
        <v>0.71830000000000005</v>
      </c>
      <c r="P63" s="249" t="s">
        <v>699</v>
      </c>
      <c r="Q63" s="249" t="s">
        <v>711</v>
      </c>
      <c r="R63" s="249">
        <v>0.70860000000000001</v>
      </c>
      <c r="S63" s="249">
        <v>0.71189999999999998</v>
      </c>
      <c r="T63" s="249">
        <v>0.7218</v>
      </c>
      <c r="U63" s="249">
        <v>0.71230000000000004</v>
      </c>
      <c r="V63" s="249">
        <v>0.73429999999999995</v>
      </c>
      <c r="W63" s="249">
        <v>0.71519999999999995</v>
      </c>
      <c r="X63" s="200"/>
      <c r="Y63" s="211" t="s">
        <v>409</v>
      </c>
      <c r="Z63" s="200" t="s">
        <v>656</v>
      </c>
      <c r="AA63" s="200" t="s">
        <v>657</v>
      </c>
      <c r="AB63" s="203">
        <v>0.72089999999999999</v>
      </c>
      <c r="AC63" s="203">
        <v>0.72850000000000004</v>
      </c>
      <c r="AD63" s="203">
        <v>0.72850000000000004</v>
      </c>
      <c r="AE63" s="203">
        <v>0.72470000000000001</v>
      </c>
      <c r="AF63" s="203">
        <v>0.76370000000000005</v>
      </c>
      <c r="AG63" s="203">
        <v>0.72860000000000003</v>
      </c>
      <c r="AH63" s="230" t="s">
        <v>409</v>
      </c>
      <c r="AI63" s="200" t="s">
        <v>456</v>
      </c>
      <c r="AJ63" s="200" t="s">
        <v>457</v>
      </c>
      <c r="AK63" s="203">
        <v>0.72960000000000003</v>
      </c>
      <c r="AL63" s="203">
        <v>0.73780000000000001</v>
      </c>
      <c r="AM63" s="203">
        <v>0.7288</v>
      </c>
      <c r="AN63" s="203">
        <v>0.73519999999999996</v>
      </c>
      <c r="AO63" s="203">
        <v>0.77539999999999998</v>
      </c>
      <c r="AP63" s="203">
        <v>0.73609999999999998</v>
      </c>
      <c r="AQ63" s="216" t="s">
        <v>409</v>
      </c>
      <c r="AR63" s="200" t="s">
        <v>462</v>
      </c>
      <c r="AS63" s="200" t="s">
        <v>463</v>
      </c>
      <c r="AT63" s="203">
        <v>0.72870000000000001</v>
      </c>
      <c r="AU63" s="203">
        <v>0.72970000000000002</v>
      </c>
      <c r="AV63" s="203">
        <v>0.71850000000000003</v>
      </c>
      <c r="AW63" s="203">
        <v>0.74609999999999999</v>
      </c>
      <c r="AX63" s="203">
        <v>0.78339999999999999</v>
      </c>
      <c r="AY63" s="203">
        <v>0.73480000000000001</v>
      </c>
      <c r="AZ63" s="204" t="s">
        <v>410</v>
      </c>
      <c r="BA63" s="200" t="s">
        <v>528</v>
      </c>
      <c r="BB63" s="200" t="s">
        <v>665</v>
      </c>
      <c r="BC63" s="203">
        <v>0.72089999999999999</v>
      </c>
      <c r="BD63" s="203">
        <v>0.71150000000000002</v>
      </c>
      <c r="BE63" s="203">
        <v>0.69099999999999995</v>
      </c>
      <c r="BF63" s="203">
        <v>0.74160000000000004</v>
      </c>
      <c r="BG63" s="203">
        <v>0.75460000000000005</v>
      </c>
      <c r="BH63" s="203">
        <v>0.71919999999999995</v>
      </c>
      <c r="BI63" s="201" t="s">
        <v>410</v>
      </c>
      <c r="BJ63" s="222">
        <v>132</v>
      </c>
      <c r="BK63" s="222">
        <v>126</v>
      </c>
      <c r="BL63" s="203">
        <v>0.72509999999999997</v>
      </c>
      <c r="BM63" s="203">
        <v>0.69579999999999997</v>
      </c>
      <c r="BN63" s="203">
        <v>0.68200000000000005</v>
      </c>
      <c r="BO63" s="203">
        <v>0.73780000000000001</v>
      </c>
      <c r="BP63" s="203">
        <v>0.73580000000000001</v>
      </c>
      <c r="BQ63" s="203">
        <v>0.71220000000000006</v>
      </c>
      <c r="BR63" s="414" t="s">
        <v>409</v>
      </c>
      <c r="BS63" s="391">
        <v>149</v>
      </c>
      <c r="BT63" s="391">
        <v>149</v>
      </c>
      <c r="BU63" s="391">
        <v>0.73880000000000001</v>
      </c>
      <c r="BV63" s="391">
        <v>0.7036</v>
      </c>
      <c r="BW63" s="391">
        <v>0.69789999999999996</v>
      </c>
      <c r="BX63" s="391">
        <v>0.75519999999999998</v>
      </c>
      <c r="BY63" s="391">
        <v>0.73960000000000004</v>
      </c>
      <c r="BZ63" s="391">
        <v>0.72509999999999997</v>
      </c>
      <c r="CA63" s="549" t="s">
        <v>409</v>
      </c>
      <c r="CB63" s="537" t="s">
        <v>711</v>
      </c>
      <c r="CC63" s="537" t="s">
        <v>711</v>
      </c>
      <c r="CD63" s="538">
        <v>0.74529999999999996</v>
      </c>
      <c r="CE63" s="538">
        <v>0.7087</v>
      </c>
      <c r="CF63" s="538">
        <v>0.71220000000000006</v>
      </c>
      <c r="CG63" s="538">
        <v>0.76680000000000004</v>
      </c>
      <c r="CH63" s="538">
        <v>0.75670000000000004</v>
      </c>
      <c r="CI63" s="538">
        <v>0.73499999999999999</v>
      </c>
      <c r="CJ63" s="667" t="s">
        <v>409</v>
      </c>
      <c r="CK63" s="668">
        <v>125</v>
      </c>
      <c r="CL63" s="668">
        <v>124</v>
      </c>
      <c r="CM63" s="659">
        <v>0.74409999999999998</v>
      </c>
      <c r="CN63" s="659">
        <v>0.7147</v>
      </c>
      <c r="CO63" s="659">
        <v>0.71789999999999998</v>
      </c>
      <c r="CP63" s="659">
        <v>0.77610000000000001</v>
      </c>
      <c r="CQ63" s="659">
        <v>0.77680000000000005</v>
      </c>
      <c r="CR63" s="659">
        <v>0.74119999999999997</v>
      </c>
    </row>
    <row r="64" spans="1:96" x14ac:dyDescent="0.3">
      <c r="A64" s="62" t="s">
        <v>77</v>
      </c>
      <c r="B64" s="200" t="s">
        <v>76</v>
      </c>
      <c r="C64" s="200" t="s">
        <v>573</v>
      </c>
      <c r="D64" s="200" t="s">
        <v>422</v>
      </c>
      <c r="E64" s="200" t="s">
        <v>794</v>
      </c>
      <c r="F64" s="200" t="s">
        <v>222</v>
      </c>
      <c r="G64" s="240" t="s">
        <v>410</v>
      </c>
      <c r="H64" s="241" t="s">
        <v>601</v>
      </c>
      <c r="I64" s="241" t="s">
        <v>601</v>
      </c>
      <c r="J64" s="241">
        <v>0.67</v>
      </c>
      <c r="K64" s="241">
        <v>0.65410000000000001</v>
      </c>
      <c r="L64" s="241">
        <v>0.68640000000000001</v>
      </c>
      <c r="M64" s="241">
        <v>0.69599999999999995</v>
      </c>
      <c r="N64" s="241">
        <v>0.67500000000000004</v>
      </c>
      <c r="O64" s="241">
        <v>0.67649999999999999</v>
      </c>
      <c r="P64" s="248" t="s">
        <v>410</v>
      </c>
      <c r="Q64" s="249" t="s">
        <v>549</v>
      </c>
      <c r="R64" s="249" t="s">
        <v>549</v>
      </c>
      <c r="S64" s="249">
        <v>0.67090000000000005</v>
      </c>
      <c r="T64" s="249">
        <v>0.66959999999999997</v>
      </c>
      <c r="U64" s="249">
        <v>0.66820000000000002</v>
      </c>
      <c r="V64" s="249">
        <v>0.66979999999999995</v>
      </c>
      <c r="W64" s="249">
        <v>0.67620000000000002</v>
      </c>
      <c r="X64" s="249">
        <v>0.67010000000000003</v>
      </c>
      <c r="Y64" s="204" t="s">
        <v>410</v>
      </c>
      <c r="Z64" s="200" t="s">
        <v>549</v>
      </c>
      <c r="AA64" s="200" t="s">
        <v>550</v>
      </c>
      <c r="AB64" s="203">
        <v>0.67059999999999997</v>
      </c>
      <c r="AC64" s="203">
        <v>0.68640000000000001</v>
      </c>
      <c r="AD64" s="203">
        <v>0.66469999999999996</v>
      </c>
      <c r="AE64" s="203">
        <v>0.68459999999999999</v>
      </c>
      <c r="AF64" s="203">
        <v>0.67459999999999998</v>
      </c>
      <c r="AG64" s="203">
        <v>0.6764</v>
      </c>
      <c r="AH64" s="227" t="s">
        <v>546</v>
      </c>
      <c r="AI64" s="200" t="s">
        <v>549</v>
      </c>
      <c r="AJ64" s="200" t="s">
        <v>550</v>
      </c>
      <c r="AK64" s="203">
        <v>0.64339999999999997</v>
      </c>
      <c r="AL64" s="203">
        <v>0.67879999999999996</v>
      </c>
      <c r="AM64" s="203">
        <v>0.6452</v>
      </c>
      <c r="AN64" s="203">
        <v>0.68120000000000003</v>
      </c>
      <c r="AO64" s="203">
        <v>0.64270000000000005</v>
      </c>
      <c r="AP64" s="203">
        <v>0.66069999999999995</v>
      </c>
      <c r="AQ64" s="208" t="s">
        <v>546</v>
      </c>
      <c r="AR64" s="200" t="s">
        <v>549</v>
      </c>
      <c r="AS64" s="200" t="s">
        <v>550</v>
      </c>
      <c r="AT64" s="203">
        <v>0.64180000000000004</v>
      </c>
      <c r="AU64" s="203">
        <v>0.6764</v>
      </c>
      <c r="AV64" s="203">
        <v>0.65200000000000002</v>
      </c>
      <c r="AW64" s="203">
        <v>0.70450000000000002</v>
      </c>
      <c r="AX64" s="203">
        <v>0.64059999999999995</v>
      </c>
      <c r="AY64" s="203">
        <v>0.66649999999999998</v>
      </c>
      <c r="AZ64" s="207" t="s">
        <v>546</v>
      </c>
      <c r="BA64" s="200" t="s">
        <v>486</v>
      </c>
      <c r="BB64" s="200" t="s">
        <v>486</v>
      </c>
      <c r="BC64" s="203">
        <v>0.63529999999999998</v>
      </c>
      <c r="BD64" s="203">
        <v>0.66249999999999998</v>
      </c>
      <c r="BE64" s="203">
        <v>0.6341</v>
      </c>
      <c r="BF64" s="203">
        <v>0.69579999999999997</v>
      </c>
      <c r="BG64" s="203">
        <v>0.63149999999999995</v>
      </c>
      <c r="BH64" s="203">
        <v>0.65490000000000004</v>
      </c>
      <c r="BI64" s="201" t="s">
        <v>410</v>
      </c>
      <c r="BJ64" s="222">
        <v>42</v>
      </c>
      <c r="BK64" s="222">
        <v>40</v>
      </c>
      <c r="BL64" s="203">
        <v>0.68069999999999997</v>
      </c>
      <c r="BM64" s="203">
        <v>0.6694</v>
      </c>
      <c r="BN64" s="203">
        <v>0.65600000000000003</v>
      </c>
      <c r="BO64" s="203">
        <v>0.71740000000000004</v>
      </c>
      <c r="BP64" s="203">
        <v>0.64370000000000005</v>
      </c>
      <c r="BQ64" s="203">
        <v>0.67800000000000005</v>
      </c>
      <c r="BR64" s="410" t="s">
        <v>410</v>
      </c>
      <c r="BS64" s="391">
        <v>33</v>
      </c>
      <c r="BT64" s="391">
        <v>32</v>
      </c>
      <c r="BU64" s="391">
        <v>0.6925</v>
      </c>
      <c r="BV64" s="391">
        <v>0.66279999999999994</v>
      </c>
      <c r="BW64" s="391">
        <v>0.64880000000000004</v>
      </c>
      <c r="BX64" s="391">
        <v>0.71819999999999995</v>
      </c>
      <c r="BY64" s="391">
        <v>0.64770000000000005</v>
      </c>
      <c r="BZ64" s="391">
        <v>0.67810000000000004</v>
      </c>
      <c r="CA64" s="539" t="s">
        <v>410</v>
      </c>
      <c r="CB64" s="537" t="s">
        <v>571</v>
      </c>
      <c r="CC64" s="537" t="s">
        <v>607</v>
      </c>
      <c r="CD64" s="538">
        <v>0.70069999999999999</v>
      </c>
      <c r="CE64" s="538">
        <v>0.6573</v>
      </c>
      <c r="CF64" s="538">
        <v>0.66910000000000003</v>
      </c>
      <c r="CG64" s="538">
        <v>0.74099999999999999</v>
      </c>
      <c r="CH64" s="538">
        <v>0.65139999999999998</v>
      </c>
      <c r="CI64" s="538">
        <v>0.68889999999999996</v>
      </c>
    </row>
    <row r="65" spans="1:96" x14ac:dyDescent="0.3">
      <c r="A65" s="62" t="s">
        <v>36</v>
      </c>
      <c r="B65" s="200" t="s">
        <v>35</v>
      </c>
      <c r="C65" s="200" t="s">
        <v>573</v>
      </c>
      <c r="D65" s="200" t="s">
        <v>422</v>
      </c>
      <c r="E65" s="200" t="s">
        <v>797</v>
      </c>
      <c r="F65" s="200" t="s">
        <v>220</v>
      </c>
      <c r="G65" s="242" t="s">
        <v>546</v>
      </c>
      <c r="H65" s="241" t="s">
        <v>657</v>
      </c>
      <c r="I65" s="241" t="s">
        <v>804</v>
      </c>
      <c r="J65" s="241">
        <v>0.65890000000000004</v>
      </c>
      <c r="K65" s="241">
        <v>0.65759999999999996</v>
      </c>
      <c r="L65" s="241">
        <v>0.64829999999999999</v>
      </c>
      <c r="M65" s="241">
        <v>0.64570000000000005</v>
      </c>
      <c r="N65" s="241">
        <v>0.6472</v>
      </c>
      <c r="O65" s="241">
        <v>0.6522</v>
      </c>
      <c r="P65" s="250" t="s">
        <v>546</v>
      </c>
      <c r="Q65" s="249" t="s">
        <v>445</v>
      </c>
      <c r="R65" s="249" t="s">
        <v>673</v>
      </c>
      <c r="S65" s="249">
        <v>0.66320000000000001</v>
      </c>
      <c r="T65" s="249">
        <v>0.66949999999999998</v>
      </c>
      <c r="U65" s="249">
        <v>0.65880000000000005</v>
      </c>
      <c r="V65" s="249">
        <v>0.64790000000000003</v>
      </c>
      <c r="W65" s="249">
        <v>0.63780000000000003</v>
      </c>
      <c r="X65" s="249">
        <v>0.65820000000000001</v>
      </c>
      <c r="Y65" s="204" t="s">
        <v>410</v>
      </c>
      <c r="Z65" s="200" t="s">
        <v>491</v>
      </c>
      <c r="AA65" s="200" t="s">
        <v>467</v>
      </c>
      <c r="AB65" s="203">
        <v>0.68020000000000003</v>
      </c>
      <c r="AC65" s="203">
        <v>0.68720000000000003</v>
      </c>
      <c r="AD65" s="203">
        <v>0.66159999999999997</v>
      </c>
      <c r="AE65" s="203">
        <v>0.67210000000000003</v>
      </c>
      <c r="AF65" s="203">
        <v>0.64659999999999995</v>
      </c>
      <c r="AG65" s="203">
        <v>0.67300000000000004</v>
      </c>
      <c r="AH65" s="231" t="s">
        <v>410</v>
      </c>
      <c r="AI65" s="200" t="s">
        <v>637</v>
      </c>
      <c r="AJ65" s="200" t="s">
        <v>467</v>
      </c>
      <c r="AK65" s="203">
        <v>0.68769999999999998</v>
      </c>
      <c r="AL65" s="203">
        <v>0.69930000000000003</v>
      </c>
      <c r="AM65" s="203">
        <v>0.66710000000000003</v>
      </c>
      <c r="AN65" s="203">
        <v>0.68120000000000003</v>
      </c>
      <c r="AO65" s="203">
        <v>0.62560000000000004</v>
      </c>
      <c r="AP65" s="203">
        <v>0.6794</v>
      </c>
      <c r="AQ65" s="205" t="s">
        <v>410</v>
      </c>
      <c r="AR65" s="200" t="s">
        <v>539</v>
      </c>
      <c r="AS65" s="200" t="s">
        <v>541</v>
      </c>
      <c r="AT65" s="203">
        <v>0.69430000000000003</v>
      </c>
      <c r="AU65" s="203">
        <v>0.69920000000000004</v>
      </c>
      <c r="AV65" s="203">
        <v>0.66049999999999998</v>
      </c>
      <c r="AW65" s="203">
        <v>0.69620000000000004</v>
      </c>
      <c r="AX65" s="203">
        <v>0.62429999999999997</v>
      </c>
      <c r="AY65" s="203">
        <v>0.68269999999999997</v>
      </c>
      <c r="AZ65" s="201" t="s">
        <v>410</v>
      </c>
      <c r="BA65" s="202" t="s">
        <v>714</v>
      </c>
      <c r="BB65" s="202" t="s">
        <v>491</v>
      </c>
      <c r="BC65" s="203">
        <v>0.70569999999999999</v>
      </c>
      <c r="BD65" s="203">
        <v>0.67620000000000002</v>
      </c>
      <c r="BE65" s="203">
        <v>0.64219999999999999</v>
      </c>
      <c r="BF65" s="203">
        <v>0.68769999999999998</v>
      </c>
      <c r="BG65" s="203">
        <v>0.61350000000000005</v>
      </c>
      <c r="BH65" s="203">
        <v>0.67300000000000004</v>
      </c>
      <c r="BI65" s="201" t="s">
        <v>410</v>
      </c>
      <c r="BJ65" s="222">
        <v>126</v>
      </c>
      <c r="BK65" s="222">
        <v>123</v>
      </c>
      <c r="BL65" s="203">
        <v>0.71640000000000004</v>
      </c>
      <c r="BM65" s="203">
        <v>0.65959999999999996</v>
      </c>
      <c r="BN65" s="203">
        <v>0.63519999999999999</v>
      </c>
      <c r="BO65" s="203">
        <v>0.69399999999999995</v>
      </c>
      <c r="BP65" s="203">
        <v>0.60429999999999995</v>
      </c>
      <c r="BQ65" s="203">
        <v>0.67079999999999995</v>
      </c>
      <c r="BR65" s="412" t="s">
        <v>546</v>
      </c>
      <c r="BS65" s="391">
        <v>137</v>
      </c>
      <c r="BT65" s="391">
        <v>133</v>
      </c>
      <c r="BU65" s="391">
        <v>0.71479999999999999</v>
      </c>
      <c r="BV65" s="391">
        <v>0.65139999999999998</v>
      </c>
      <c r="BW65" s="391">
        <v>0.63260000000000005</v>
      </c>
      <c r="BX65" s="391">
        <v>0.69499999999999995</v>
      </c>
      <c r="BY65" s="391">
        <v>0.59809999999999997</v>
      </c>
      <c r="BZ65" s="391">
        <v>0.66769999999999996</v>
      </c>
      <c r="CA65" s="540" t="s">
        <v>546</v>
      </c>
      <c r="CB65" s="537" t="s">
        <v>637</v>
      </c>
      <c r="CC65" s="537" t="s">
        <v>489</v>
      </c>
      <c r="CD65" s="538">
        <v>0.7</v>
      </c>
      <c r="CE65" s="538">
        <v>0.65490000000000004</v>
      </c>
      <c r="CF65" s="538">
        <v>0.6361</v>
      </c>
      <c r="CG65" s="538">
        <v>0.70020000000000004</v>
      </c>
      <c r="CH65" s="538">
        <v>0.60880000000000001</v>
      </c>
      <c r="CI65" s="538">
        <v>0.66790000000000005</v>
      </c>
      <c r="CJ65" s="670" t="s">
        <v>546</v>
      </c>
      <c r="CK65" s="668">
        <v>137</v>
      </c>
      <c r="CL65" s="668">
        <v>134</v>
      </c>
      <c r="CM65" s="659">
        <v>0.68910000000000005</v>
      </c>
      <c r="CN65" s="659">
        <v>0.64700000000000002</v>
      </c>
      <c r="CO65" s="659">
        <v>0.62529999999999997</v>
      </c>
      <c r="CP65" s="659">
        <v>0.69350000000000001</v>
      </c>
      <c r="CQ65" s="659">
        <v>0.63270000000000004</v>
      </c>
      <c r="CR65" s="659">
        <v>0.6613</v>
      </c>
    </row>
    <row r="66" spans="1:96" x14ac:dyDescent="0.3">
      <c r="A66" s="62" t="s">
        <v>92</v>
      </c>
      <c r="B66" s="200" t="s">
        <v>91</v>
      </c>
      <c r="C66" s="200" t="s">
        <v>573</v>
      </c>
      <c r="D66" s="200" t="s">
        <v>422</v>
      </c>
      <c r="E66" s="200" t="s">
        <v>794</v>
      </c>
      <c r="F66" s="200" t="s">
        <v>220</v>
      </c>
      <c r="G66" s="242" t="s">
        <v>546</v>
      </c>
      <c r="H66" s="241" t="s">
        <v>816</v>
      </c>
      <c r="I66" s="241" t="s">
        <v>817</v>
      </c>
      <c r="J66" s="241">
        <v>0.66410000000000002</v>
      </c>
      <c r="K66" s="241">
        <v>0.66710000000000003</v>
      </c>
      <c r="L66" s="241">
        <v>0.67579999999999996</v>
      </c>
      <c r="M66" s="241">
        <v>0.67300000000000004</v>
      </c>
      <c r="N66" s="241">
        <v>0.64900000000000002</v>
      </c>
      <c r="O66" s="241">
        <v>0.66839999999999999</v>
      </c>
      <c r="P66" s="248" t="s">
        <v>410</v>
      </c>
      <c r="Q66" s="249" t="s">
        <v>848</v>
      </c>
      <c r="R66" s="249" t="s">
        <v>849</v>
      </c>
      <c r="S66" s="249">
        <v>0.6704</v>
      </c>
      <c r="T66" s="249">
        <v>0.67669999999999997</v>
      </c>
      <c r="U66" s="249">
        <v>0.67800000000000005</v>
      </c>
      <c r="V66" s="249">
        <v>0.67069999999999996</v>
      </c>
      <c r="W66" s="249">
        <v>0.6603</v>
      </c>
      <c r="X66" s="249">
        <v>0.67290000000000005</v>
      </c>
      <c r="Y66" s="204" t="s">
        <v>410</v>
      </c>
      <c r="Z66" s="200" t="s">
        <v>700</v>
      </c>
      <c r="AA66" s="200" t="s">
        <v>701</v>
      </c>
      <c r="AB66" s="203">
        <v>0.67589999999999995</v>
      </c>
      <c r="AC66" s="203">
        <v>0.68889999999999996</v>
      </c>
      <c r="AD66" s="203">
        <v>0.66920000000000002</v>
      </c>
      <c r="AE66" s="203">
        <v>0.67559999999999998</v>
      </c>
      <c r="AF66" s="203">
        <v>0.6724</v>
      </c>
      <c r="AG66" s="203">
        <v>0.67700000000000005</v>
      </c>
      <c r="AH66" s="231" t="s">
        <v>410</v>
      </c>
      <c r="AI66" s="200" t="s">
        <v>624</v>
      </c>
      <c r="AJ66" s="200" t="s">
        <v>625</v>
      </c>
      <c r="AK66" s="203">
        <v>0.68959999999999999</v>
      </c>
      <c r="AL66" s="203">
        <v>0.70199999999999996</v>
      </c>
      <c r="AM66" s="203">
        <v>0.67490000000000006</v>
      </c>
      <c r="AN66" s="203">
        <v>0.6976</v>
      </c>
      <c r="AO66" s="203">
        <v>0.67659999999999998</v>
      </c>
      <c r="AP66" s="203">
        <v>0.68989999999999996</v>
      </c>
      <c r="AQ66" s="205" t="s">
        <v>410</v>
      </c>
      <c r="AR66" s="200" t="s">
        <v>512</v>
      </c>
      <c r="AS66" s="200" t="s">
        <v>513</v>
      </c>
      <c r="AT66" s="203">
        <v>0.69969999999999999</v>
      </c>
      <c r="AU66" s="203">
        <v>0.70069999999999999</v>
      </c>
      <c r="AV66" s="203">
        <v>0.66790000000000005</v>
      </c>
      <c r="AW66" s="203">
        <v>0.71650000000000003</v>
      </c>
      <c r="AX66" s="203">
        <v>0.6744</v>
      </c>
      <c r="AY66" s="203">
        <v>0.69450000000000001</v>
      </c>
      <c r="AZ66" s="204" t="s">
        <v>410</v>
      </c>
      <c r="BA66" s="200" t="s">
        <v>768</v>
      </c>
      <c r="BB66" s="200" t="s">
        <v>769</v>
      </c>
      <c r="BC66" s="203">
        <v>0.7016</v>
      </c>
      <c r="BD66" s="203">
        <v>0.68540000000000001</v>
      </c>
      <c r="BE66" s="203">
        <v>0.66100000000000003</v>
      </c>
      <c r="BF66" s="203">
        <v>0.72909999999999997</v>
      </c>
      <c r="BG66" s="203">
        <v>0.66749999999999998</v>
      </c>
      <c r="BH66" s="203">
        <v>0.69220000000000004</v>
      </c>
      <c r="BI66" s="201" t="s">
        <v>410</v>
      </c>
      <c r="BJ66" s="222">
        <v>565</v>
      </c>
      <c r="BK66" s="222">
        <v>554</v>
      </c>
      <c r="BL66" s="203">
        <v>0.70430000000000004</v>
      </c>
      <c r="BM66" s="203">
        <v>0.67330000000000001</v>
      </c>
      <c r="BN66" s="203">
        <v>0.65439999999999998</v>
      </c>
      <c r="BO66" s="203">
        <v>0.7228</v>
      </c>
      <c r="BP66" s="203">
        <v>0.66100000000000003</v>
      </c>
      <c r="BQ66" s="203">
        <v>0.68659999999999999</v>
      </c>
      <c r="BR66" s="410" t="s">
        <v>410</v>
      </c>
      <c r="BS66" s="391">
        <v>573</v>
      </c>
      <c r="BT66" s="391">
        <v>570</v>
      </c>
      <c r="BU66" s="391">
        <v>0.7056</v>
      </c>
      <c r="BV66" s="391">
        <v>0.67030000000000001</v>
      </c>
      <c r="BW66" s="391">
        <v>0.65959999999999996</v>
      </c>
      <c r="BX66" s="391">
        <v>0.72850000000000004</v>
      </c>
      <c r="BY66" s="391">
        <v>0.66290000000000004</v>
      </c>
      <c r="BZ66" s="391">
        <v>0.68879999999999997</v>
      </c>
      <c r="CA66" s="539" t="s">
        <v>410</v>
      </c>
      <c r="CB66" s="537" t="s">
        <v>984</v>
      </c>
      <c r="CC66" s="537" t="s">
        <v>799</v>
      </c>
      <c r="CD66" s="538">
        <v>0.69979999999999998</v>
      </c>
      <c r="CE66" s="538">
        <v>0.66620000000000001</v>
      </c>
      <c r="CF66" s="538">
        <v>0.65439999999999998</v>
      </c>
      <c r="CG66" s="538">
        <v>0.72160000000000002</v>
      </c>
      <c r="CH66" s="538">
        <v>0.65610000000000002</v>
      </c>
      <c r="CI66" s="538">
        <v>0.68320000000000003</v>
      </c>
      <c r="CJ66" s="669" t="s">
        <v>410</v>
      </c>
      <c r="CK66" s="672">
        <v>607</v>
      </c>
      <c r="CL66" s="672">
        <v>598</v>
      </c>
      <c r="CM66" s="645">
        <v>0.68930000000000002</v>
      </c>
      <c r="CN66" s="645">
        <v>0.66049999999999998</v>
      </c>
      <c r="CO66" s="645">
        <v>0.64229999999999998</v>
      </c>
      <c r="CP66" s="645">
        <v>0.71399999999999997</v>
      </c>
      <c r="CQ66" s="645">
        <v>0.66020000000000001</v>
      </c>
      <c r="CR66" s="645">
        <v>0.67530000000000001</v>
      </c>
    </row>
    <row r="67" spans="1:96" x14ac:dyDescent="0.3">
      <c r="A67" s="62" t="s">
        <v>27</v>
      </c>
      <c r="B67" s="200" t="s">
        <v>26</v>
      </c>
      <c r="C67" s="200" t="s">
        <v>573</v>
      </c>
      <c r="D67" s="200" t="s">
        <v>422</v>
      </c>
      <c r="E67" s="200" t="s">
        <v>794</v>
      </c>
      <c r="F67" s="200" t="s">
        <v>220</v>
      </c>
      <c r="G67" s="240" t="s">
        <v>410</v>
      </c>
      <c r="H67" s="241" t="s">
        <v>818</v>
      </c>
      <c r="I67" s="241" t="s">
        <v>819</v>
      </c>
      <c r="J67" s="241">
        <v>0.66869999999999996</v>
      </c>
      <c r="K67" s="241">
        <v>0.67430000000000001</v>
      </c>
      <c r="L67" s="241">
        <v>0.67230000000000001</v>
      </c>
      <c r="M67" s="241">
        <v>0.67569999999999997</v>
      </c>
      <c r="N67" s="241">
        <v>0.65890000000000004</v>
      </c>
      <c r="O67" s="241">
        <v>0.67169999999999996</v>
      </c>
      <c r="P67" s="248" t="s">
        <v>410</v>
      </c>
      <c r="Q67" s="249" t="s">
        <v>850</v>
      </c>
      <c r="R67" s="249" t="s">
        <v>851</v>
      </c>
      <c r="S67" s="249">
        <v>0.66869999999999996</v>
      </c>
      <c r="T67" s="249">
        <v>0.67630000000000001</v>
      </c>
      <c r="U67" s="249">
        <v>0.67459999999999998</v>
      </c>
      <c r="V67" s="249">
        <v>0.67530000000000001</v>
      </c>
      <c r="W67" s="249">
        <v>0.66510000000000002</v>
      </c>
      <c r="X67" s="249">
        <v>0.67300000000000004</v>
      </c>
      <c r="Y67" s="204" t="s">
        <v>410</v>
      </c>
      <c r="Z67" s="200" t="s">
        <v>466</v>
      </c>
      <c r="AA67" s="200" t="s">
        <v>691</v>
      </c>
      <c r="AB67" s="203">
        <v>0.67879999999999996</v>
      </c>
      <c r="AC67" s="203">
        <v>0.69199999999999995</v>
      </c>
      <c r="AD67" s="203">
        <v>0.67669999999999997</v>
      </c>
      <c r="AE67" s="203">
        <v>0.68640000000000001</v>
      </c>
      <c r="AF67" s="203">
        <v>0.68799999999999994</v>
      </c>
      <c r="AG67" s="203">
        <v>0.68379999999999996</v>
      </c>
      <c r="AH67" s="228"/>
      <c r="AI67" s="200"/>
      <c r="AJ67" s="200"/>
      <c r="AK67" s="203"/>
      <c r="AL67" s="203"/>
      <c r="AM67" s="203"/>
      <c r="AN67" s="203"/>
      <c r="AO67" s="203"/>
      <c r="AP67" s="203"/>
      <c r="AQ67" s="200"/>
      <c r="AR67" s="200"/>
      <c r="AS67" s="200"/>
      <c r="AT67" s="203"/>
      <c r="AU67" s="203"/>
      <c r="AV67" s="203"/>
      <c r="AW67" s="203"/>
      <c r="AX67" s="203"/>
      <c r="AY67" s="203"/>
      <c r="AZ67" s="200"/>
      <c r="BA67" s="200"/>
      <c r="BB67" s="200"/>
      <c r="BC67" s="203"/>
      <c r="BD67" s="203"/>
      <c r="BE67" s="203"/>
      <c r="BF67" s="203"/>
      <c r="BG67" s="203"/>
      <c r="BH67" s="203"/>
      <c r="BI67" s="206" t="s">
        <v>546</v>
      </c>
      <c r="BJ67" s="222">
        <v>384</v>
      </c>
      <c r="BK67" s="222">
        <v>354</v>
      </c>
      <c r="BL67" s="203">
        <v>0.67369999999999997</v>
      </c>
      <c r="BM67" s="203">
        <v>0.64429999999999998</v>
      </c>
      <c r="BN67" s="203">
        <v>0.622</v>
      </c>
      <c r="BO67" s="203">
        <v>0.68930000000000002</v>
      </c>
      <c r="BP67" s="203">
        <v>0.66369999999999996</v>
      </c>
      <c r="BQ67" s="203">
        <v>0.65780000000000005</v>
      </c>
      <c r="BR67" s="412" t="s">
        <v>546</v>
      </c>
      <c r="BS67" s="391">
        <v>348</v>
      </c>
      <c r="BT67" s="391">
        <v>339</v>
      </c>
      <c r="BU67" s="391">
        <v>0.68899999999999995</v>
      </c>
      <c r="BV67" s="391">
        <v>0.6462</v>
      </c>
      <c r="BW67" s="391">
        <v>0.63619999999999999</v>
      </c>
      <c r="BX67" s="391">
        <v>0.70430000000000004</v>
      </c>
      <c r="BY67" s="391">
        <v>0.67149999999999999</v>
      </c>
      <c r="BZ67" s="391">
        <v>0.66910000000000003</v>
      </c>
      <c r="CA67" s="540" t="s">
        <v>546</v>
      </c>
      <c r="CB67" s="537" t="s">
        <v>595</v>
      </c>
      <c r="CC67" s="537" t="s">
        <v>525</v>
      </c>
      <c r="CD67" s="538">
        <v>0.68489999999999995</v>
      </c>
      <c r="CE67" s="538">
        <v>0.64949999999999997</v>
      </c>
      <c r="CF67" s="538">
        <v>0.6341</v>
      </c>
      <c r="CG67" s="538">
        <v>0.70079999999999998</v>
      </c>
      <c r="CH67" s="538">
        <v>0.67059999999999997</v>
      </c>
      <c r="CI67" s="538">
        <v>0.66759999999999997</v>
      </c>
      <c r="CJ67" s="670" t="s">
        <v>546</v>
      </c>
      <c r="CK67" s="672">
        <v>352</v>
      </c>
      <c r="CL67" s="672">
        <v>345</v>
      </c>
      <c r="CM67" s="645">
        <v>0.67549999999999999</v>
      </c>
      <c r="CN67" s="645">
        <v>0.65169999999999995</v>
      </c>
      <c r="CO67" s="645">
        <v>0.63100000000000001</v>
      </c>
      <c r="CP67" s="645">
        <v>0.70069999999999999</v>
      </c>
      <c r="CQ67" s="645">
        <v>0.68030000000000002</v>
      </c>
      <c r="CR67" s="645">
        <v>0.66590000000000005</v>
      </c>
    </row>
    <row r="68" spans="1:96" x14ac:dyDescent="0.3">
      <c r="A68" s="62" t="s">
        <v>147</v>
      </c>
      <c r="B68" s="200" t="s">
        <v>146</v>
      </c>
      <c r="C68" s="200" t="s">
        <v>573</v>
      </c>
      <c r="D68" s="200" t="s">
        <v>422</v>
      </c>
      <c r="E68" s="200" t="s">
        <v>794</v>
      </c>
      <c r="F68" s="200" t="s">
        <v>220</v>
      </c>
      <c r="G68" s="240" t="s">
        <v>410</v>
      </c>
      <c r="H68" s="241" t="s">
        <v>820</v>
      </c>
      <c r="I68" s="241" t="s">
        <v>627</v>
      </c>
      <c r="J68" s="241">
        <v>0.68540000000000001</v>
      </c>
      <c r="K68" s="241">
        <v>0.69679999999999997</v>
      </c>
      <c r="L68" s="241">
        <v>0.69499999999999995</v>
      </c>
      <c r="M68" s="241">
        <v>0.69930000000000003</v>
      </c>
      <c r="N68" s="241">
        <v>0.66069999999999995</v>
      </c>
      <c r="O68" s="241">
        <v>0.69159999999999999</v>
      </c>
      <c r="P68" s="239"/>
      <c r="Q68" s="200"/>
      <c r="R68" s="200"/>
      <c r="S68" s="200"/>
      <c r="T68" s="200"/>
      <c r="U68" s="200"/>
      <c r="V68" s="200"/>
      <c r="W68" s="200"/>
      <c r="X68" s="200"/>
      <c r="Y68" s="200"/>
      <c r="Z68" s="200"/>
      <c r="AA68" s="200"/>
      <c r="AB68" s="203"/>
      <c r="AC68" s="203"/>
      <c r="AD68" s="203"/>
      <c r="AE68" s="203"/>
      <c r="AF68" s="203"/>
      <c r="AG68" s="203"/>
      <c r="AH68" s="228"/>
      <c r="AI68" s="200"/>
      <c r="AJ68" s="200"/>
      <c r="AK68" s="203"/>
      <c r="AL68" s="203"/>
      <c r="AM68" s="203"/>
      <c r="AN68" s="203"/>
      <c r="AO68" s="203"/>
      <c r="AP68" s="203"/>
      <c r="AQ68" s="205" t="s">
        <v>410</v>
      </c>
      <c r="AR68" s="200" t="s">
        <v>508</v>
      </c>
      <c r="AS68" s="200" t="s">
        <v>509</v>
      </c>
      <c r="AT68" s="203">
        <v>0.69540000000000002</v>
      </c>
      <c r="AU68" s="203">
        <v>0.70150000000000001</v>
      </c>
      <c r="AV68" s="203">
        <v>0.6774</v>
      </c>
      <c r="AW68" s="203">
        <v>0.72</v>
      </c>
      <c r="AX68" s="203">
        <v>0.68020000000000003</v>
      </c>
      <c r="AY68" s="203">
        <v>0.69720000000000004</v>
      </c>
      <c r="AZ68" s="204" t="s">
        <v>410</v>
      </c>
      <c r="BA68" s="200" t="s">
        <v>717</v>
      </c>
      <c r="BB68" s="200" t="s">
        <v>773</v>
      </c>
      <c r="BC68" s="203">
        <v>0.69769999999999999</v>
      </c>
      <c r="BD68" s="203">
        <v>0.67959999999999998</v>
      </c>
      <c r="BE68" s="203">
        <v>0.65890000000000004</v>
      </c>
      <c r="BF68" s="203">
        <v>0.71930000000000005</v>
      </c>
      <c r="BG68" s="203">
        <v>0.66379999999999995</v>
      </c>
      <c r="BH68" s="203">
        <v>0.68689999999999996</v>
      </c>
      <c r="BI68" s="201" t="s">
        <v>410</v>
      </c>
      <c r="BJ68" s="222">
        <v>847</v>
      </c>
      <c r="BK68" s="222">
        <v>782</v>
      </c>
      <c r="BL68" s="203">
        <v>0.6976</v>
      </c>
      <c r="BM68" s="203">
        <v>0.66539999999999999</v>
      </c>
      <c r="BN68" s="203">
        <v>0.65110000000000001</v>
      </c>
      <c r="BO68" s="203">
        <v>0.7167</v>
      </c>
      <c r="BP68" s="203">
        <v>0.65080000000000005</v>
      </c>
      <c r="BQ68" s="203">
        <v>0.68020000000000003</v>
      </c>
      <c r="BR68" s="410" t="s">
        <v>410</v>
      </c>
      <c r="BS68" s="391">
        <v>743</v>
      </c>
      <c r="BT68" s="391">
        <v>735</v>
      </c>
      <c r="BU68" s="391">
        <v>0.71140000000000003</v>
      </c>
      <c r="BV68" s="391">
        <v>0.67030000000000001</v>
      </c>
      <c r="BW68" s="391">
        <v>0.66569999999999996</v>
      </c>
      <c r="BX68" s="391">
        <v>0.72629999999999995</v>
      </c>
      <c r="BY68" s="391">
        <v>0.66069999999999995</v>
      </c>
      <c r="BZ68" s="391">
        <v>0.69089999999999996</v>
      </c>
      <c r="CA68" s="539" t="s">
        <v>410</v>
      </c>
      <c r="CB68" s="537" t="s">
        <v>985</v>
      </c>
      <c r="CC68" s="537" t="s">
        <v>986</v>
      </c>
      <c r="CD68" s="538">
        <v>0.70509999999999995</v>
      </c>
      <c r="CE68" s="538">
        <v>0.6744</v>
      </c>
      <c r="CF68" s="538">
        <v>0.67430000000000001</v>
      </c>
      <c r="CG68" s="538">
        <v>0.7278</v>
      </c>
      <c r="CH68" s="538">
        <v>0.6613</v>
      </c>
      <c r="CI68" s="538">
        <v>0.69279999999999997</v>
      </c>
      <c r="CJ68" s="669" t="s">
        <v>410</v>
      </c>
      <c r="CK68" s="665">
        <v>640</v>
      </c>
      <c r="CL68" s="665">
        <v>626</v>
      </c>
      <c r="CM68" s="509">
        <v>0.7046</v>
      </c>
      <c r="CN68" s="509">
        <v>0.68569999999999998</v>
      </c>
      <c r="CO68" s="509">
        <v>0.67800000000000005</v>
      </c>
      <c r="CP68" s="509">
        <v>0.73180000000000001</v>
      </c>
      <c r="CQ68" s="509">
        <v>0.68989999999999996</v>
      </c>
      <c r="CR68" s="509">
        <v>0.69920000000000004</v>
      </c>
    </row>
    <row r="69" spans="1:96" x14ac:dyDescent="0.3">
      <c r="A69" s="62" t="s">
        <v>112</v>
      </c>
      <c r="B69" s="200" t="s">
        <v>111</v>
      </c>
      <c r="C69" s="200" t="s">
        <v>573</v>
      </c>
      <c r="D69" s="200" t="s">
        <v>422</v>
      </c>
      <c r="E69" s="200" t="s">
        <v>794</v>
      </c>
      <c r="F69" s="200" t="s">
        <v>220</v>
      </c>
      <c r="G69" s="240" t="s">
        <v>410</v>
      </c>
      <c r="H69" s="241" t="s">
        <v>632</v>
      </c>
      <c r="I69" s="241" t="s">
        <v>821</v>
      </c>
      <c r="J69" s="241">
        <v>0.66539999999999999</v>
      </c>
      <c r="K69" s="241">
        <v>0.6774</v>
      </c>
      <c r="L69" s="241">
        <v>0.68130000000000002</v>
      </c>
      <c r="M69" s="241">
        <v>0.66820000000000002</v>
      </c>
      <c r="N69" s="241">
        <v>0.64870000000000005</v>
      </c>
      <c r="O69" s="241">
        <v>0.67120000000000002</v>
      </c>
      <c r="P69" s="250" t="s">
        <v>546</v>
      </c>
      <c r="Q69" s="249" t="s">
        <v>718</v>
      </c>
      <c r="R69" s="249" t="s">
        <v>822</v>
      </c>
      <c r="S69" s="249">
        <v>0.65410000000000001</v>
      </c>
      <c r="T69" s="249">
        <v>0.66990000000000005</v>
      </c>
      <c r="U69" s="249">
        <v>0.67649999999999999</v>
      </c>
      <c r="V69" s="249">
        <v>0.65720000000000001</v>
      </c>
      <c r="W69" s="249">
        <v>0.64229999999999998</v>
      </c>
      <c r="X69" s="249">
        <v>0.66269999999999996</v>
      </c>
      <c r="Y69" s="207" t="s">
        <v>546</v>
      </c>
      <c r="Z69" s="200" t="s">
        <v>707</v>
      </c>
      <c r="AA69" s="200" t="s">
        <v>454</v>
      </c>
      <c r="AB69" s="203">
        <v>0.64839999999999998</v>
      </c>
      <c r="AC69" s="203">
        <v>0.66190000000000004</v>
      </c>
      <c r="AD69" s="203">
        <v>0.65510000000000002</v>
      </c>
      <c r="AE69" s="203">
        <v>0.65739999999999998</v>
      </c>
      <c r="AF69" s="203">
        <v>0.63649999999999995</v>
      </c>
      <c r="AG69" s="203">
        <v>0.6542</v>
      </c>
      <c r="AH69" s="227" t="s">
        <v>546</v>
      </c>
      <c r="AI69" s="200" t="s">
        <v>454</v>
      </c>
      <c r="AJ69" s="200" t="s">
        <v>455</v>
      </c>
      <c r="AK69" s="203">
        <v>0.6573</v>
      </c>
      <c r="AL69" s="203">
        <v>0.67100000000000004</v>
      </c>
      <c r="AM69" s="203">
        <v>0.65090000000000003</v>
      </c>
      <c r="AN69" s="203">
        <v>0.67079999999999995</v>
      </c>
      <c r="AO69" s="203">
        <v>0.629</v>
      </c>
      <c r="AP69" s="203">
        <v>0.65990000000000004</v>
      </c>
      <c r="AQ69" s="208" t="s">
        <v>546</v>
      </c>
      <c r="AR69" s="200" t="s">
        <v>524</v>
      </c>
      <c r="AS69" s="200" t="s">
        <v>524</v>
      </c>
      <c r="AT69" s="203">
        <v>0.66390000000000005</v>
      </c>
      <c r="AU69" s="203">
        <v>0.66110000000000002</v>
      </c>
      <c r="AV69" s="203">
        <v>0.62590000000000001</v>
      </c>
      <c r="AW69" s="203">
        <v>0.67559999999999998</v>
      </c>
      <c r="AX69" s="203">
        <v>0.63519999999999999</v>
      </c>
      <c r="AY69" s="203">
        <v>0.65500000000000003</v>
      </c>
      <c r="AZ69" s="207" t="s">
        <v>546</v>
      </c>
      <c r="BA69" s="200" t="s">
        <v>721</v>
      </c>
      <c r="BB69" s="200" t="s">
        <v>784</v>
      </c>
      <c r="BC69" s="203">
        <v>0.65580000000000005</v>
      </c>
      <c r="BD69" s="203">
        <v>0.64349999999999996</v>
      </c>
      <c r="BE69" s="203">
        <v>0.5958</v>
      </c>
      <c r="BF69" s="203">
        <v>0.66839999999999999</v>
      </c>
      <c r="BG69" s="203">
        <v>0.62209999999999999</v>
      </c>
      <c r="BH69" s="203">
        <v>0.63939999999999997</v>
      </c>
      <c r="BI69" s="206" t="s">
        <v>546</v>
      </c>
      <c r="BJ69" s="222">
        <v>335</v>
      </c>
      <c r="BK69" s="222">
        <v>329</v>
      </c>
      <c r="BL69" s="203">
        <v>0.64800000000000002</v>
      </c>
      <c r="BM69" s="203">
        <v>0.62390000000000001</v>
      </c>
      <c r="BN69" s="203">
        <v>0.58760000000000001</v>
      </c>
      <c r="BO69" s="203">
        <v>0.66</v>
      </c>
      <c r="BP69" s="203">
        <v>0.6079</v>
      </c>
      <c r="BQ69" s="203">
        <v>0.62819999999999998</v>
      </c>
      <c r="BR69" s="412" t="s">
        <v>546</v>
      </c>
      <c r="BS69" s="391">
        <v>323</v>
      </c>
      <c r="BT69" s="391">
        <v>317</v>
      </c>
      <c r="BU69" s="391">
        <v>0.63180000000000003</v>
      </c>
      <c r="BV69" s="391">
        <v>0.61509999999999998</v>
      </c>
      <c r="BW69" s="391">
        <v>0.5847</v>
      </c>
      <c r="BX69" s="391">
        <v>0.66190000000000004</v>
      </c>
      <c r="BY69" s="391">
        <v>0.60350000000000004</v>
      </c>
      <c r="BZ69" s="391">
        <v>0.62180000000000002</v>
      </c>
      <c r="CA69" s="540" t="s">
        <v>546</v>
      </c>
      <c r="CB69" s="537" t="s">
        <v>987</v>
      </c>
      <c r="CC69" s="537" t="s">
        <v>754</v>
      </c>
      <c r="CD69" s="538">
        <v>0.63619999999999999</v>
      </c>
      <c r="CE69" s="538">
        <v>0.61380000000000001</v>
      </c>
      <c r="CF69" s="538">
        <v>0.60209999999999997</v>
      </c>
      <c r="CG69" s="538">
        <v>0.67730000000000001</v>
      </c>
      <c r="CH69" s="538">
        <v>0.6099</v>
      </c>
      <c r="CI69" s="538">
        <v>0.63060000000000005</v>
      </c>
      <c r="CJ69" s="670" t="s">
        <v>546</v>
      </c>
      <c r="CK69" s="668">
        <v>316</v>
      </c>
      <c r="CL69" s="668">
        <v>309</v>
      </c>
      <c r="CM69" s="659">
        <v>0.63060000000000005</v>
      </c>
      <c r="CN69" s="659">
        <v>0.60729999999999995</v>
      </c>
      <c r="CO69" s="659">
        <v>0.59099999999999997</v>
      </c>
      <c r="CP69" s="659">
        <v>0.67369999999999997</v>
      </c>
      <c r="CQ69" s="659">
        <v>0.61809999999999998</v>
      </c>
      <c r="CR69" s="659">
        <v>0.625</v>
      </c>
    </row>
    <row r="70" spans="1:96" x14ac:dyDescent="0.3">
      <c r="A70" s="62" t="s">
        <v>48</v>
      </c>
      <c r="B70" s="200" t="s">
        <v>47</v>
      </c>
      <c r="C70" s="200" t="s">
        <v>573</v>
      </c>
      <c r="D70" s="200" t="s">
        <v>422</v>
      </c>
      <c r="E70" s="200" t="s">
        <v>794</v>
      </c>
      <c r="F70" s="200" t="s">
        <v>220</v>
      </c>
      <c r="G70" s="242" t="s">
        <v>546</v>
      </c>
      <c r="H70" s="241" t="s">
        <v>585</v>
      </c>
      <c r="I70" s="241" t="s">
        <v>475</v>
      </c>
      <c r="J70" s="241">
        <v>0.64149999999999996</v>
      </c>
      <c r="K70" s="241">
        <v>0.6653</v>
      </c>
      <c r="L70" s="241">
        <v>0.64190000000000003</v>
      </c>
      <c r="M70" s="241">
        <v>0.62270000000000003</v>
      </c>
      <c r="N70" s="241">
        <v>0.65510000000000002</v>
      </c>
      <c r="O70" s="241">
        <v>0.64380000000000004</v>
      </c>
      <c r="P70" s="250" t="s">
        <v>546</v>
      </c>
      <c r="Q70" s="249" t="s">
        <v>585</v>
      </c>
      <c r="R70" s="249" t="s">
        <v>426</v>
      </c>
      <c r="S70" s="249">
        <v>0.61580000000000001</v>
      </c>
      <c r="T70" s="249">
        <v>0.65200000000000002</v>
      </c>
      <c r="U70" s="249">
        <v>0.63660000000000005</v>
      </c>
      <c r="V70" s="249">
        <v>0.62080000000000002</v>
      </c>
      <c r="W70" s="249">
        <v>0.64700000000000002</v>
      </c>
      <c r="X70" s="249">
        <v>0.63249999999999995</v>
      </c>
      <c r="Y70" s="207" t="s">
        <v>546</v>
      </c>
      <c r="Z70" s="200" t="s">
        <v>581</v>
      </c>
      <c r="AA70" s="200" t="s">
        <v>602</v>
      </c>
      <c r="AB70" s="203">
        <v>0.62409999999999999</v>
      </c>
      <c r="AC70" s="203">
        <v>0.67169999999999996</v>
      </c>
      <c r="AD70" s="203">
        <v>0.64149999999999996</v>
      </c>
      <c r="AE70" s="203">
        <v>0.64480000000000004</v>
      </c>
      <c r="AF70" s="203">
        <v>0.64800000000000002</v>
      </c>
      <c r="AG70" s="203">
        <v>0.64570000000000005</v>
      </c>
      <c r="AH70" s="227" t="s">
        <v>546</v>
      </c>
      <c r="AI70" s="200" t="s">
        <v>444</v>
      </c>
      <c r="AJ70" s="200" t="s">
        <v>643</v>
      </c>
      <c r="AK70" s="203">
        <v>0.62949999999999995</v>
      </c>
      <c r="AL70" s="203">
        <v>0.66930000000000001</v>
      </c>
      <c r="AM70" s="203">
        <v>0.63539999999999996</v>
      </c>
      <c r="AN70" s="203">
        <v>0.65459999999999996</v>
      </c>
      <c r="AO70" s="203">
        <v>0.63859999999999995</v>
      </c>
      <c r="AP70" s="203">
        <v>0.64649999999999996</v>
      </c>
      <c r="AQ70" s="208" t="s">
        <v>546</v>
      </c>
      <c r="AR70" s="200" t="s">
        <v>424</v>
      </c>
      <c r="AS70" s="200" t="s">
        <v>553</v>
      </c>
      <c r="AT70" s="203">
        <v>0.65269999999999995</v>
      </c>
      <c r="AU70" s="203">
        <v>0.66859999999999997</v>
      </c>
      <c r="AV70" s="203">
        <v>0.63519999999999999</v>
      </c>
      <c r="AW70" s="203">
        <v>0.67379999999999995</v>
      </c>
      <c r="AX70" s="203">
        <v>0.6593</v>
      </c>
      <c r="AY70" s="203">
        <v>0.65769999999999995</v>
      </c>
      <c r="AZ70" s="207" t="s">
        <v>546</v>
      </c>
      <c r="BA70" s="200" t="s">
        <v>552</v>
      </c>
      <c r="BB70" s="200" t="s">
        <v>669</v>
      </c>
      <c r="BC70" s="203">
        <v>0.65310000000000001</v>
      </c>
      <c r="BD70" s="203">
        <v>0.64970000000000006</v>
      </c>
      <c r="BE70" s="203">
        <v>0.62570000000000003</v>
      </c>
      <c r="BF70" s="203">
        <v>0.68100000000000005</v>
      </c>
      <c r="BG70" s="203">
        <v>0.6522</v>
      </c>
      <c r="BH70" s="203">
        <v>0.65239999999999998</v>
      </c>
      <c r="BI70" s="206"/>
      <c r="BJ70" s="222"/>
      <c r="BK70" s="222"/>
      <c r="BL70" s="203"/>
      <c r="BM70" s="203"/>
      <c r="BN70" s="203"/>
      <c r="BO70" s="203"/>
      <c r="BP70" s="203"/>
      <c r="BQ70" s="203"/>
      <c r="BR70" s="412" t="s">
        <v>546</v>
      </c>
      <c r="BS70" s="391">
        <v>65</v>
      </c>
      <c r="BT70" s="391">
        <v>65</v>
      </c>
      <c r="BU70" s="391">
        <v>0.65300000000000002</v>
      </c>
      <c r="BV70" s="391">
        <v>0.63339999999999996</v>
      </c>
      <c r="BW70" s="391">
        <v>0.59860000000000002</v>
      </c>
      <c r="BX70" s="391">
        <v>0.68869999999999998</v>
      </c>
      <c r="BY70" s="391">
        <v>0.6411</v>
      </c>
      <c r="BZ70" s="391">
        <v>0.64329999999999998</v>
      </c>
      <c r="CA70" s="540" t="s">
        <v>546</v>
      </c>
      <c r="CB70" s="537" t="s">
        <v>476</v>
      </c>
      <c r="CC70" s="537" t="s">
        <v>847</v>
      </c>
      <c r="CD70" s="538">
        <v>0.65159999999999996</v>
      </c>
      <c r="CE70" s="538">
        <v>0.60860000000000003</v>
      </c>
      <c r="CF70" s="538">
        <v>0.59130000000000005</v>
      </c>
      <c r="CG70" s="538">
        <v>0.68730000000000002</v>
      </c>
      <c r="CH70" s="538">
        <v>0.61370000000000002</v>
      </c>
      <c r="CI70" s="538">
        <v>0.6331</v>
      </c>
      <c r="CJ70" s="670" t="s">
        <v>546</v>
      </c>
      <c r="CK70" s="668">
        <v>96</v>
      </c>
      <c r="CL70" s="668">
        <v>95</v>
      </c>
      <c r="CM70" s="659">
        <v>0.65580000000000005</v>
      </c>
      <c r="CN70" s="659">
        <v>0.62660000000000005</v>
      </c>
      <c r="CO70" s="659">
        <v>0.60260000000000002</v>
      </c>
      <c r="CP70" s="659">
        <v>0.69530000000000003</v>
      </c>
      <c r="CQ70" s="659">
        <v>0.63349999999999995</v>
      </c>
      <c r="CR70" s="659">
        <v>0.64419999999999999</v>
      </c>
    </row>
    <row r="71" spans="1:96" x14ac:dyDescent="0.3">
      <c r="A71" s="399" t="s">
        <v>926</v>
      </c>
      <c r="B71" s="377" t="s">
        <v>927</v>
      </c>
      <c r="C71" s="200" t="s">
        <v>573</v>
      </c>
      <c r="D71" s="200" t="s">
        <v>422</v>
      </c>
      <c r="E71" s="200" t="s">
        <v>794</v>
      </c>
      <c r="F71" s="200" t="s">
        <v>220</v>
      </c>
      <c r="G71" s="400"/>
      <c r="H71" s="391"/>
      <c r="I71" s="391"/>
      <c r="J71" s="391"/>
      <c r="K71" s="391"/>
      <c r="L71" s="391"/>
      <c r="M71" s="391"/>
      <c r="N71" s="391"/>
      <c r="O71" s="391"/>
      <c r="P71" s="400"/>
      <c r="Q71" s="391"/>
      <c r="R71" s="391"/>
      <c r="S71" s="391"/>
      <c r="T71" s="391"/>
      <c r="U71" s="391"/>
      <c r="V71" s="391"/>
      <c r="W71" s="391"/>
      <c r="X71" s="391"/>
      <c r="Y71" s="406"/>
      <c r="Z71" s="389"/>
      <c r="AA71" s="389"/>
      <c r="AB71" s="393"/>
      <c r="AC71" s="393"/>
      <c r="AD71" s="393"/>
      <c r="AE71" s="393"/>
      <c r="AF71" s="393"/>
      <c r="AG71" s="393"/>
      <c r="AH71" s="231" t="s">
        <v>410</v>
      </c>
      <c r="AI71" s="391" t="s">
        <v>448</v>
      </c>
      <c r="AJ71" s="391" t="s">
        <v>810</v>
      </c>
      <c r="AK71" s="391">
        <v>0.69499999999999995</v>
      </c>
      <c r="AL71" s="391">
        <v>0.7026</v>
      </c>
      <c r="AM71" s="391">
        <v>0.70930000000000004</v>
      </c>
      <c r="AN71" s="391">
        <v>0.74219999999999997</v>
      </c>
      <c r="AO71" s="391">
        <v>0.69410000000000005</v>
      </c>
      <c r="AP71" s="391">
        <v>0.71089999999999998</v>
      </c>
      <c r="AQ71" s="205" t="s">
        <v>410</v>
      </c>
      <c r="AR71" s="377" t="s">
        <v>930</v>
      </c>
      <c r="AS71" s="377" t="s">
        <v>436</v>
      </c>
      <c r="AT71" s="377">
        <v>0.69910000000000005</v>
      </c>
      <c r="AU71" s="377">
        <v>0.6905</v>
      </c>
      <c r="AV71" s="377">
        <v>0.68700000000000006</v>
      </c>
      <c r="AW71" s="377">
        <v>0.73309999999999997</v>
      </c>
      <c r="AX71" s="377">
        <v>0.70630000000000004</v>
      </c>
      <c r="AY71" s="377">
        <v>0.70269999999999999</v>
      </c>
      <c r="AZ71" s="416" t="s">
        <v>410</v>
      </c>
      <c r="BA71" s="391" t="s">
        <v>719</v>
      </c>
      <c r="BB71" s="391" t="s">
        <v>461</v>
      </c>
      <c r="BC71" s="391">
        <v>0.68469999999999998</v>
      </c>
      <c r="BD71" s="391">
        <v>0.67449999999999999</v>
      </c>
      <c r="BE71" s="391">
        <v>0.6663</v>
      </c>
      <c r="BF71" s="391">
        <v>0.71950000000000003</v>
      </c>
      <c r="BG71" s="391">
        <v>0.69220000000000004</v>
      </c>
      <c r="BH71" s="391">
        <v>0.68669999999999998</v>
      </c>
      <c r="BI71" s="407"/>
      <c r="BJ71" s="398"/>
      <c r="BK71" s="398"/>
      <c r="BL71" s="393"/>
      <c r="BM71" s="393"/>
      <c r="BN71" s="393"/>
      <c r="BO71" s="393"/>
      <c r="BP71" s="393"/>
      <c r="BQ71" s="393"/>
      <c r="BR71" s="410" t="s">
        <v>410</v>
      </c>
      <c r="BS71" s="391">
        <v>378</v>
      </c>
      <c r="BT71" s="391">
        <v>374</v>
      </c>
      <c r="BU71" s="391">
        <v>0.70289999999999997</v>
      </c>
      <c r="BV71" s="391">
        <v>0.67800000000000005</v>
      </c>
      <c r="BW71" s="391">
        <v>0.67600000000000005</v>
      </c>
      <c r="BX71" s="391">
        <v>0.73109999999999997</v>
      </c>
      <c r="BY71" s="391">
        <v>0.66100000000000003</v>
      </c>
      <c r="BZ71" s="391">
        <v>0.69420000000000004</v>
      </c>
      <c r="CA71" s="539" t="s">
        <v>410</v>
      </c>
      <c r="CB71" s="537" t="s">
        <v>988</v>
      </c>
      <c r="CC71" s="537" t="s">
        <v>989</v>
      </c>
      <c r="CD71" s="538">
        <v>0.7107</v>
      </c>
      <c r="CE71" s="538">
        <v>0.68069999999999997</v>
      </c>
      <c r="CF71" s="538">
        <v>0.68049999999999999</v>
      </c>
      <c r="CG71" s="538">
        <v>0.7339</v>
      </c>
      <c r="CH71" s="538">
        <v>0.6784</v>
      </c>
      <c r="CI71" s="538">
        <v>0.69969999999999999</v>
      </c>
      <c r="CJ71" s="669" t="s">
        <v>410</v>
      </c>
      <c r="CK71" s="668">
        <v>613</v>
      </c>
      <c r="CL71" s="668">
        <v>603</v>
      </c>
      <c r="CM71" s="659">
        <v>0.70730000000000004</v>
      </c>
      <c r="CN71" s="659">
        <v>0.68910000000000005</v>
      </c>
      <c r="CO71" s="659">
        <v>0.68</v>
      </c>
      <c r="CP71" s="659">
        <v>0.73799999999999999</v>
      </c>
      <c r="CQ71" s="659">
        <v>0.69720000000000004</v>
      </c>
      <c r="CR71" s="659">
        <v>0.70309999999999995</v>
      </c>
    </row>
    <row r="72" spans="1:96" x14ac:dyDescent="0.3">
      <c r="A72" s="62" t="s">
        <v>138</v>
      </c>
      <c r="B72" s="200" t="s">
        <v>137</v>
      </c>
      <c r="C72" s="200" t="s">
        <v>573</v>
      </c>
      <c r="D72" s="200" t="s">
        <v>422</v>
      </c>
      <c r="E72" s="200" t="s">
        <v>794</v>
      </c>
      <c r="F72" s="200" t="s">
        <v>220</v>
      </c>
      <c r="G72" s="240" t="s">
        <v>410</v>
      </c>
      <c r="H72" s="241" t="s">
        <v>821</v>
      </c>
      <c r="I72" s="241" t="s">
        <v>822</v>
      </c>
      <c r="J72" s="241">
        <v>0.66290000000000004</v>
      </c>
      <c r="K72" s="241">
        <v>0.66080000000000005</v>
      </c>
      <c r="L72" s="241">
        <v>0.68879999999999997</v>
      </c>
      <c r="M72" s="241">
        <v>0.68289999999999995</v>
      </c>
      <c r="N72" s="241">
        <v>0.66300000000000003</v>
      </c>
      <c r="O72" s="241">
        <v>0.67300000000000004</v>
      </c>
      <c r="P72" s="250" t="s">
        <v>546</v>
      </c>
      <c r="Q72" s="249" t="s">
        <v>706</v>
      </c>
      <c r="R72" s="249" t="s">
        <v>685</v>
      </c>
      <c r="S72" s="249">
        <v>0.65969999999999995</v>
      </c>
      <c r="T72" s="249">
        <v>0.66339999999999999</v>
      </c>
      <c r="U72" s="249">
        <v>0.67910000000000004</v>
      </c>
      <c r="V72" s="249">
        <v>0.6724</v>
      </c>
      <c r="W72" s="249">
        <v>0.65329999999999999</v>
      </c>
      <c r="X72" s="249">
        <v>0.66749999999999998</v>
      </c>
      <c r="Y72" s="204" t="s">
        <v>410</v>
      </c>
      <c r="Z72" s="200" t="s">
        <v>694</v>
      </c>
      <c r="AA72" s="200" t="s">
        <v>695</v>
      </c>
      <c r="AB72" s="203">
        <v>0.67989999999999995</v>
      </c>
      <c r="AC72" s="203">
        <v>0.68510000000000004</v>
      </c>
      <c r="AD72" s="203">
        <v>0.6784</v>
      </c>
      <c r="AE72" s="203">
        <v>0.68700000000000006</v>
      </c>
      <c r="AF72" s="203">
        <v>0.67130000000000001</v>
      </c>
      <c r="AG72" s="203">
        <v>0.68169999999999997</v>
      </c>
      <c r="AH72" s="231" t="s">
        <v>410</v>
      </c>
      <c r="AI72" s="200" t="s">
        <v>620</v>
      </c>
      <c r="AJ72" s="200" t="s">
        <v>621</v>
      </c>
      <c r="AK72" s="203">
        <v>0.68540000000000001</v>
      </c>
      <c r="AL72" s="203">
        <v>0.70040000000000002</v>
      </c>
      <c r="AM72" s="203">
        <v>0.6764</v>
      </c>
      <c r="AN72" s="203">
        <v>0.70789999999999997</v>
      </c>
      <c r="AO72" s="203">
        <v>0.67400000000000004</v>
      </c>
      <c r="AP72" s="203">
        <v>0.69110000000000005</v>
      </c>
      <c r="AQ72" s="205" t="s">
        <v>410</v>
      </c>
      <c r="AR72" s="200" t="s">
        <v>522</v>
      </c>
      <c r="AS72" s="200" t="s">
        <v>523</v>
      </c>
      <c r="AT72" s="203">
        <v>0.68610000000000004</v>
      </c>
      <c r="AU72" s="203">
        <v>0.69799999999999995</v>
      </c>
      <c r="AV72" s="203">
        <v>0.66490000000000005</v>
      </c>
      <c r="AW72" s="203">
        <v>0.71809999999999996</v>
      </c>
      <c r="AX72" s="203">
        <v>0.68740000000000001</v>
      </c>
      <c r="AY72" s="203">
        <v>0.69140000000000001</v>
      </c>
      <c r="AZ72" s="204" t="s">
        <v>410</v>
      </c>
      <c r="BA72" s="200" t="s">
        <v>779</v>
      </c>
      <c r="BB72" s="200" t="s">
        <v>780</v>
      </c>
      <c r="BC72" s="203">
        <v>0.68610000000000004</v>
      </c>
      <c r="BD72" s="203">
        <v>0.67449999999999999</v>
      </c>
      <c r="BE72" s="203">
        <v>0.64649999999999996</v>
      </c>
      <c r="BF72" s="203">
        <v>0.71679999999999999</v>
      </c>
      <c r="BG72" s="203">
        <v>0.67649999999999999</v>
      </c>
      <c r="BH72" s="203">
        <v>0.68059999999999998</v>
      </c>
      <c r="BI72" s="201" t="s">
        <v>410</v>
      </c>
      <c r="BJ72" s="222">
        <v>335</v>
      </c>
      <c r="BK72" s="222">
        <v>325</v>
      </c>
      <c r="BL72" s="203">
        <v>0.68889999999999996</v>
      </c>
      <c r="BM72" s="203">
        <v>0.65910000000000002</v>
      </c>
      <c r="BN72" s="203">
        <v>0.63959999999999995</v>
      </c>
      <c r="BO72" s="203">
        <v>0.71009999999999995</v>
      </c>
      <c r="BP72" s="203">
        <v>0.6643</v>
      </c>
      <c r="BQ72" s="203">
        <v>0.67359999999999998</v>
      </c>
      <c r="BR72" s="410" t="s">
        <v>410</v>
      </c>
      <c r="BS72" s="391">
        <v>340</v>
      </c>
      <c r="BT72" s="391">
        <v>336</v>
      </c>
      <c r="BU72" s="391">
        <v>0.70030000000000003</v>
      </c>
      <c r="BV72" s="391">
        <v>0.66210000000000002</v>
      </c>
      <c r="BW72" s="391">
        <v>0.64739999999999998</v>
      </c>
      <c r="BX72" s="391">
        <v>0.71619999999999995</v>
      </c>
      <c r="BY72" s="391">
        <v>0.66349999999999998</v>
      </c>
      <c r="BZ72" s="391">
        <v>0.68010000000000004</v>
      </c>
      <c r="CA72" s="539" t="s">
        <v>410</v>
      </c>
      <c r="CB72" s="537" t="s">
        <v>464</v>
      </c>
      <c r="CC72" s="537" t="s">
        <v>642</v>
      </c>
      <c r="CD72" s="538">
        <v>0.69289999999999996</v>
      </c>
      <c r="CE72" s="538">
        <v>0.66339999999999999</v>
      </c>
      <c r="CF72" s="538">
        <v>0.65880000000000005</v>
      </c>
      <c r="CG72" s="538">
        <v>0.72319999999999995</v>
      </c>
      <c r="CH72" s="538">
        <v>0.65449999999999997</v>
      </c>
      <c r="CI72" s="538">
        <v>0.68220000000000003</v>
      </c>
      <c r="CJ72" s="669" t="s">
        <v>410</v>
      </c>
      <c r="CK72" s="668">
        <v>347</v>
      </c>
      <c r="CL72" s="668">
        <v>337</v>
      </c>
      <c r="CM72" s="659">
        <v>0.69450000000000001</v>
      </c>
      <c r="CN72" s="659">
        <v>0.65659999999999996</v>
      </c>
      <c r="CO72" s="659">
        <v>0.64649999999999996</v>
      </c>
      <c r="CP72" s="659">
        <v>0.71750000000000003</v>
      </c>
      <c r="CQ72" s="659">
        <v>0.66569999999999996</v>
      </c>
      <c r="CR72" s="659">
        <v>0.67779999999999996</v>
      </c>
    </row>
    <row r="73" spans="1:96" x14ac:dyDescent="0.3">
      <c r="A73" s="62" t="s">
        <v>291</v>
      </c>
      <c r="B73" s="200" t="s">
        <v>279</v>
      </c>
      <c r="C73" s="200" t="s">
        <v>573</v>
      </c>
      <c r="D73" s="200" t="s">
        <v>422</v>
      </c>
      <c r="E73" s="200" t="s">
        <v>794</v>
      </c>
      <c r="F73" s="200" t="s">
        <v>220</v>
      </c>
      <c r="G73" s="200"/>
      <c r="H73" s="200"/>
      <c r="I73" s="200"/>
      <c r="J73" s="200"/>
      <c r="K73" s="200"/>
      <c r="L73" s="200"/>
      <c r="M73" s="200"/>
      <c r="N73" s="200"/>
      <c r="O73" s="200"/>
      <c r="P73" s="239"/>
      <c r="Q73" s="200"/>
      <c r="R73" s="200"/>
      <c r="S73" s="200"/>
      <c r="T73" s="200"/>
      <c r="U73" s="200"/>
      <c r="V73" s="200"/>
      <c r="W73" s="200"/>
      <c r="X73" s="200"/>
      <c r="Y73" s="204" t="s">
        <v>410</v>
      </c>
      <c r="Z73" s="200" t="s">
        <v>587</v>
      </c>
      <c r="AA73" s="200" t="s">
        <v>587</v>
      </c>
      <c r="AB73" s="203">
        <v>0.66420000000000001</v>
      </c>
      <c r="AC73" s="203">
        <v>0.71730000000000005</v>
      </c>
      <c r="AD73" s="203">
        <v>0.66359999999999997</v>
      </c>
      <c r="AE73" s="203">
        <v>0.69230000000000003</v>
      </c>
      <c r="AF73" s="203">
        <v>0.70289999999999997</v>
      </c>
      <c r="AG73" s="203">
        <v>0.68579999999999997</v>
      </c>
      <c r="AH73" s="231" t="s">
        <v>410</v>
      </c>
      <c r="AI73" s="200" t="s">
        <v>718</v>
      </c>
      <c r="AJ73" s="200" t="s">
        <v>712</v>
      </c>
      <c r="AK73" s="203">
        <v>0.68089999999999995</v>
      </c>
      <c r="AL73" s="203">
        <v>0.71309999999999996</v>
      </c>
      <c r="AM73" s="203">
        <v>0.68169999999999997</v>
      </c>
      <c r="AN73" s="203">
        <v>0.71619999999999995</v>
      </c>
      <c r="AO73" s="203">
        <v>0.6905</v>
      </c>
      <c r="AP73" s="203">
        <v>0.69740000000000002</v>
      </c>
      <c r="AQ73" s="205" t="s">
        <v>410</v>
      </c>
      <c r="AR73" s="200" t="s">
        <v>800</v>
      </c>
      <c r="AS73" s="200" t="s">
        <v>579</v>
      </c>
      <c r="AT73" s="203">
        <v>0.68269999999999997</v>
      </c>
      <c r="AU73" s="203">
        <v>0.70489999999999997</v>
      </c>
      <c r="AV73" s="203">
        <v>0.68279999999999996</v>
      </c>
      <c r="AW73" s="203">
        <v>0.72799999999999998</v>
      </c>
      <c r="AX73" s="203">
        <v>0.69550000000000001</v>
      </c>
      <c r="AY73" s="203">
        <v>0.69930000000000003</v>
      </c>
      <c r="AZ73" s="204" t="s">
        <v>410</v>
      </c>
      <c r="BA73" s="200" t="s">
        <v>687</v>
      </c>
      <c r="BB73" s="200" t="s">
        <v>799</v>
      </c>
      <c r="BC73" s="203">
        <v>0.68799999999999994</v>
      </c>
      <c r="BD73" s="203">
        <v>0.69410000000000005</v>
      </c>
      <c r="BE73" s="203">
        <v>0.67520000000000002</v>
      </c>
      <c r="BF73" s="203">
        <v>0.73250000000000004</v>
      </c>
      <c r="BG73" s="203">
        <v>0.6855</v>
      </c>
      <c r="BH73" s="203">
        <v>0.69650000000000001</v>
      </c>
      <c r="BI73" s="201" t="s">
        <v>410</v>
      </c>
      <c r="BJ73" s="222">
        <v>205</v>
      </c>
      <c r="BK73" s="222">
        <v>202</v>
      </c>
      <c r="BL73" s="203">
        <v>0.72829999999999995</v>
      </c>
      <c r="BM73" s="203">
        <v>0.70120000000000005</v>
      </c>
      <c r="BN73" s="203">
        <v>0.69769999999999999</v>
      </c>
      <c r="BO73" s="203">
        <v>0.74770000000000003</v>
      </c>
      <c r="BP73" s="203">
        <v>0.6512</v>
      </c>
      <c r="BQ73" s="203">
        <v>0.71350000000000002</v>
      </c>
      <c r="BR73" s="410" t="s">
        <v>410</v>
      </c>
      <c r="BS73" s="391">
        <v>724</v>
      </c>
      <c r="BT73" s="391">
        <v>716</v>
      </c>
      <c r="BU73" s="391">
        <v>0.69410000000000005</v>
      </c>
      <c r="BV73" s="391">
        <v>0.67400000000000004</v>
      </c>
      <c r="BW73" s="391">
        <v>0.6552</v>
      </c>
      <c r="BX73" s="391">
        <v>0.72589999999999999</v>
      </c>
      <c r="BY73" s="391">
        <v>0.65569999999999995</v>
      </c>
      <c r="BZ73" s="391">
        <v>0.68489999999999995</v>
      </c>
      <c r="CA73" s="539" t="s">
        <v>410</v>
      </c>
      <c r="CB73" s="537" t="s">
        <v>990</v>
      </c>
      <c r="CC73" s="537" t="s">
        <v>991</v>
      </c>
      <c r="CD73" s="538">
        <v>0.72060000000000002</v>
      </c>
      <c r="CE73" s="538">
        <v>0.69410000000000005</v>
      </c>
      <c r="CF73" s="538">
        <v>0.68589999999999995</v>
      </c>
      <c r="CG73" s="538">
        <v>0.74860000000000004</v>
      </c>
      <c r="CH73" s="538">
        <v>0.68559999999999999</v>
      </c>
      <c r="CI73" s="538">
        <v>0.71020000000000005</v>
      </c>
      <c r="CJ73" s="669" t="s">
        <v>410</v>
      </c>
      <c r="CK73" s="672">
        <v>715</v>
      </c>
      <c r="CL73" s="672">
        <v>708</v>
      </c>
      <c r="CM73" s="645">
        <v>0.71640000000000004</v>
      </c>
      <c r="CN73" s="645">
        <v>0.69430000000000003</v>
      </c>
      <c r="CO73" s="645">
        <v>0.68330000000000002</v>
      </c>
      <c r="CP73" s="645">
        <v>0.74980000000000002</v>
      </c>
      <c r="CQ73" s="645">
        <v>0.69989999999999997</v>
      </c>
      <c r="CR73" s="645">
        <v>0.71009999999999995</v>
      </c>
    </row>
    <row r="74" spans="1:96" x14ac:dyDescent="0.3">
      <c r="A74" s="62" t="s">
        <v>103</v>
      </c>
      <c r="B74" s="200" t="s">
        <v>102</v>
      </c>
      <c r="C74" s="200" t="s">
        <v>573</v>
      </c>
      <c r="D74" s="200" t="s">
        <v>422</v>
      </c>
      <c r="E74" s="200" t="s">
        <v>794</v>
      </c>
      <c r="F74" s="200" t="s">
        <v>220</v>
      </c>
      <c r="G74" s="242" t="s">
        <v>546</v>
      </c>
      <c r="H74" s="241" t="s">
        <v>819</v>
      </c>
      <c r="I74" s="241" t="s">
        <v>708</v>
      </c>
      <c r="J74" s="241">
        <v>0.65580000000000005</v>
      </c>
      <c r="K74" s="241">
        <v>0.65959999999999996</v>
      </c>
      <c r="L74" s="241">
        <v>0.65190000000000003</v>
      </c>
      <c r="M74" s="241">
        <v>0.64839999999999998</v>
      </c>
      <c r="N74" s="241">
        <v>0.63660000000000005</v>
      </c>
      <c r="O74" s="241">
        <v>0.65259999999999996</v>
      </c>
      <c r="P74" s="250" t="s">
        <v>546</v>
      </c>
      <c r="Q74" s="249" t="s">
        <v>819</v>
      </c>
      <c r="R74" s="249" t="s">
        <v>839</v>
      </c>
      <c r="S74" s="249">
        <v>0.64600000000000002</v>
      </c>
      <c r="T74" s="249">
        <v>0.6603</v>
      </c>
      <c r="U74" s="249">
        <v>0.64549999999999996</v>
      </c>
      <c r="V74" s="249">
        <v>0.64700000000000002</v>
      </c>
      <c r="W74" s="249">
        <v>0.63849999999999996</v>
      </c>
      <c r="X74" s="249">
        <v>0.64880000000000004</v>
      </c>
      <c r="Y74" s="207" t="s">
        <v>546</v>
      </c>
      <c r="Z74" s="200" t="s">
        <v>708</v>
      </c>
      <c r="AA74" s="200" t="s">
        <v>709</v>
      </c>
      <c r="AB74" s="203">
        <v>0.6482</v>
      </c>
      <c r="AC74" s="203">
        <v>0.6643</v>
      </c>
      <c r="AD74" s="203">
        <v>0.64370000000000005</v>
      </c>
      <c r="AE74" s="203">
        <v>0.65949999999999998</v>
      </c>
      <c r="AF74" s="203">
        <v>0.64949999999999997</v>
      </c>
      <c r="AG74" s="203">
        <v>0.65359999999999996</v>
      </c>
      <c r="AH74" s="227" t="s">
        <v>546</v>
      </c>
      <c r="AI74" s="200" t="s">
        <v>641</v>
      </c>
      <c r="AJ74" s="200" t="s">
        <v>642</v>
      </c>
      <c r="AK74" s="203">
        <v>0.64629999999999999</v>
      </c>
      <c r="AL74" s="203">
        <v>0.66659999999999997</v>
      </c>
      <c r="AM74" s="203">
        <v>0.63239999999999996</v>
      </c>
      <c r="AN74" s="203">
        <v>0.66849999999999998</v>
      </c>
      <c r="AO74" s="203">
        <v>0.63739999999999997</v>
      </c>
      <c r="AP74" s="203">
        <v>0.6522</v>
      </c>
      <c r="AQ74" s="208" t="s">
        <v>546</v>
      </c>
      <c r="AR74" s="200" t="s">
        <v>555</v>
      </c>
      <c r="AS74" s="200" t="s">
        <v>447</v>
      </c>
      <c r="AT74" s="203">
        <v>0.65500000000000003</v>
      </c>
      <c r="AU74" s="203">
        <v>0.66020000000000001</v>
      </c>
      <c r="AV74" s="203">
        <v>0.62460000000000004</v>
      </c>
      <c r="AW74" s="203">
        <v>0.67659999999999998</v>
      </c>
      <c r="AX74" s="203">
        <v>0.63560000000000005</v>
      </c>
      <c r="AY74" s="203">
        <v>0.65269999999999995</v>
      </c>
      <c r="AZ74" s="207" t="s">
        <v>546</v>
      </c>
      <c r="BA74" s="200" t="s">
        <v>723</v>
      </c>
      <c r="BB74" s="200" t="s">
        <v>754</v>
      </c>
      <c r="BC74" s="203">
        <v>0.64200000000000002</v>
      </c>
      <c r="BD74" s="203">
        <v>0.63239999999999996</v>
      </c>
      <c r="BE74" s="203">
        <v>0.59399999999999997</v>
      </c>
      <c r="BF74" s="203">
        <v>0.67110000000000003</v>
      </c>
      <c r="BG74" s="203">
        <v>0.61460000000000004</v>
      </c>
      <c r="BH74" s="203">
        <v>0.63329999999999997</v>
      </c>
      <c r="BI74" s="206" t="s">
        <v>546</v>
      </c>
      <c r="BJ74" s="222">
        <v>340</v>
      </c>
      <c r="BK74" s="222">
        <v>319</v>
      </c>
      <c r="BL74" s="203">
        <v>0.6452</v>
      </c>
      <c r="BM74" s="203">
        <v>0.61509999999999998</v>
      </c>
      <c r="BN74" s="203">
        <v>0.58789999999999998</v>
      </c>
      <c r="BO74" s="203">
        <v>0.66990000000000005</v>
      </c>
      <c r="BP74" s="203">
        <v>0.60370000000000001</v>
      </c>
      <c r="BQ74" s="203">
        <v>0.62749999999999995</v>
      </c>
      <c r="BR74" s="411" t="s">
        <v>562</v>
      </c>
      <c r="BS74" s="391">
        <v>365</v>
      </c>
      <c r="BT74" s="391">
        <v>346</v>
      </c>
      <c r="BU74" s="391">
        <v>0.63090000000000002</v>
      </c>
      <c r="BV74" s="391">
        <v>0.59640000000000004</v>
      </c>
      <c r="BW74" s="391">
        <v>0.57310000000000005</v>
      </c>
      <c r="BX74" s="391">
        <v>0.65600000000000003</v>
      </c>
      <c r="BY74" s="391">
        <v>0.58169999999999999</v>
      </c>
      <c r="BZ74" s="391">
        <v>0.61160000000000003</v>
      </c>
      <c r="CA74" s="540" t="s">
        <v>546</v>
      </c>
      <c r="CB74" s="537" t="s">
        <v>758</v>
      </c>
      <c r="CC74" s="537" t="s">
        <v>992</v>
      </c>
      <c r="CD74" s="538">
        <v>0.6522</v>
      </c>
      <c r="CE74" s="538">
        <v>0.61660000000000004</v>
      </c>
      <c r="CF74" s="538">
        <v>0.60580000000000001</v>
      </c>
      <c r="CG74" s="538">
        <v>0.67320000000000002</v>
      </c>
      <c r="CH74" s="538">
        <v>0.60629999999999995</v>
      </c>
      <c r="CI74" s="538">
        <v>0.63460000000000005</v>
      </c>
      <c r="CJ74" s="670" t="s">
        <v>546</v>
      </c>
      <c r="CK74" s="668">
        <v>354</v>
      </c>
      <c r="CL74" s="668">
        <v>345</v>
      </c>
      <c r="CM74" s="659">
        <v>0.63970000000000005</v>
      </c>
      <c r="CN74" s="659">
        <v>0.61019999999999996</v>
      </c>
      <c r="CO74" s="659">
        <v>0.59930000000000005</v>
      </c>
      <c r="CP74" s="659">
        <v>0.66549999999999998</v>
      </c>
      <c r="CQ74" s="659">
        <v>0.61339999999999995</v>
      </c>
      <c r="CR74" s="659">
        <v>0.62749999999999995</v>
      </c>
    </row>
    <row r="75" spans="1:96" x14ac:dyDescent="0.3">
      <c r="A75" s="62" t="s">
        <v>86</v>
      </c>
      <c r="B75" s="200" t="s">
        <v>85</v>
      </c>
      <c r="C75" s="200" t="s">
        <v>573</v>
      </c>
      <c r="D75" s="200" t="s">
        <v>422</v>
      </c>
      <c r="E75" s="200" t="s">
        <v>794</v>
      </c>
      <c r="F75" s="200" t="s">
        <v>220</v>
      </c>
      <c r="G75" s="242" t="s">
        <v>546</v>
      </c>
      <c r="H75" s="241" t="s">
        <v>823</v>
      </c>
      <c r="I75" s="241" t="s">
        <v>824</v>
      </c>
      <c r="J75" s="241">
        <v>0.67010000000000003</v>
      </c>
      <c r="K75" s="241">
        <v>0.66659999999999997</v>
      </c>
      <c r="L75" s="241">
        <v>0.66890000000000005</v>
      </c>
      <c r="M75" s="241">
        <v>0.67969999999999997</v>
      </c>
      <c r="N75" s="241">
        <v>0.64990000000000003</v>
      </c>
      <c r="O75" s="241">
        <v>0.66969999999999996</v>
      </c>
      <c r="P75" s="248" t="s">
        <v>410</v>
      </c>
      <c r="Q75" s="249" t="s">
        <v>852</v>
      </c>
      <c r="R75" s="249" t="s">
        <v>853</v>
      </c>
      <c r="S75" s="249">
        <v>0.66869999999999996</v>
      </c>
      <c r="T75" s="249">
        <v>0.67190000000000005</v>
      </c>
      <c r="U75" s="249">
        <v>0.67200000000000004</v>
      </c>
      <c r="V75" s="249">
        <v>0.68100000000000005</v>
      </c>
      <c r="W75" s="249">
        <v>0.65790000000000004</v>
      </c>
      <c r="X75" s="249">
        <v>0.67220000000000002</v>
      </c>
      <c r="Y75" s="204" t="s">
        <v>410</v>
      </c>
      <c r="Z75" s="200" t="s">
        <v>482</v>
      </c>
      <c r="AA75" s="200" t="s">
        <v>688</v>
      </c>
      <c r="AB75" s="203">
        <v>0.68179999999999996</v>
      </c>
      <c r="AC75" s="203">
        <v>0.69389999999999996</v>
      </c>
      <c r="AD75" s="203">
        <v>0.67910000000000004</v>
      </c>
      <c r="AE75" s="203">
        <v>0.69569999999999999</v>
      </c>
      <c r="AF75" s="203">
        <v>0.67259999999999998</v>
      </c>
      <c r="AG75" s="203">
        <v>0.6865</v>
      </c>
      <c r="AH75" s="231" t="s">
        <v>410</v>
      </c>
      <c r="AI75" s="200" t="s">
        <v>629</v>
      </c>
      <c r="AJ75" s="200" t="s">
        <v>630</v>
      </c>
      <c r="AK75" s="203">
        <v>0.6825</v>
      </c>
      <c r="AL75" s="203">
        <v>0.70189999999999997</v>
      </c>
      <c r="AM75" s="203">
        <v>0.67730000000000001</v>
      </c>
      <c r="AN75" s="203">
        <v>0.69899999999999995</v>
      </c>
      <c r="AO75" s="203">
        <v>0.66869999999999996</v>
      </c>
      <c r="AP75" s="203">
        <v>0.6885</v>
      </c>
      <c r="AQ75" s="205" t="s">
        <v>410</v>
      </c>
      <c r="AR75" s="200" t="s">
        <v>536</v>
      </c>
      <c r="AS75" s="200" t="s">
        <v>537</v>
      </c>
      <c r="AT75" s="203">
        <v>0.68179999999999996</v>
      </c>
      <c r="AU75" s="203">
        <v>0.69520000000000004</v>
      </c>
      <c r="AV75" s="203">
        <v>0.66500000000000004</v>
      </c>
      <c r="AW75" s="203">
        <v>0.70730000000000004</v>
      </c>
      <c r="AX75" s="203">
        <v>0.66759999999999997</v>
      </c>
      <c r="AY75" s="203">
        <v>0.68579999999999997</v>
      </c>
      <c r="AZ75" s="204" t="s">
        <v>410</v>
      </c>
      <c r="BA75" s="200" t="s">
        <v>782</v>
      </c>
      <c r="BB75" s="200" t="s">
        <v>783</v>
      </c>
      <c r="BC75" s="203">
        <v>0.67710000000000004</v>
      </c>
      <c r="BD75" s="203">
        <v>0.67330000000000001</v>
      </c>
      <c r="BE75" s="203">
        <v>0.6512</v>
      </c>
      <c r="BF75" s="203">
        <v>0.70740000000000003</v>
      </c>
      <c r="BG75" s="203">
        <v>0.65710000000000002</v>
      </c>
      <c r="BH75" s="203">
        <v>0.67569999999999997</v>
      </c>
      <c r="BI75" s="206" t="s">
        <v>546</v>
      </c>
      <c r="BJ75" s="222">
        <v>815</v>
      </c>
      <c r="BK75" s="222">
        <v>776</v>
      </c>
      <c r="BL75" s="203">
        <v>0.68110000000000004</v>
      </c>
      <c r="BM75" s="203">
        <v>0.65410000000000001</v>
      </c>
      <c r="BN75" s="203">
        <v>0.64039999999999997</v>
      </c>
      <c r="BO75" s="203">
        <v>0.70469999999999999</v>
      </c>
      <c r="BP75" s="203">
        <v>0.64219999999999999</v>
      </c>
      <c r="BQ75" s="203">
        <v>0.66790000000000005</v>
      </c>
      <c r="BR75" s="412" t="s">
        <v>546</v>
      </c>
      <c r="BS75" s="391">
        <v>708</v>
      </c>
      <c r="BT75" s="391">
        <v>694</v>
      </c>
      <c r="BU75" s="391">
        <v>0.68600000000000005</v>
      </c>
      <c r="BV75" s="391">
        <v>0.64370000000000005</v>
      </c>
      <c r="BW75" s="391">
        <v>0.63790000000000002</v>
      </c>
      <c r="BX75" s="391">
        <v>0.70689999999999997</v>
      </c>
      <c r="BY75" s="391">
        <v>0.63629999999999998</v>
      </c>
      <c r="BZ75" s="391">
        <v>0.66610000000000003</v>
      </c>
      <c r="CA75" s="539" t="s">
        <v>410</v>
      </c>
      <c r="CB75" s="537" t="s">
        <v>993</v>
      </c>
      <c r="CC75" s="537" t="s">
        <v>994</v>
      </c>
      <c r="CD75" s="538">
        <v>0.68740000000000001</v>
      </c>
      <c r="CE75" s="538">
        <v>0.64890000000000003</v>
      </c>
      <c r="CF75" s="538">
        <v>0.64539999999999997</v>
      </c>
      <c r="CG75" s="538">
        <v>0.71</v>
      </c>
      <c r="CH75" s="538">
        <v>0.64249999999999996</v>
      </c>
      <c r="CI75" s="538">
        <v>0.67059999999999997</v>
      </c>
      <c r="CJ75" s="669" t="s">
        <v>410</v>
      </c>
      <c r="CK75" s="665">
        <v>713</v>
      </c>
      <c r="CL75" s="665">
        <v>696</v>
      </c>
      <c r="CM75" s="509">
        <v>0.69379999999999997</v>
      </c>
      <c r="CN75" s="509">
        <v>0.6603</v>
      </c>
      <c r="CO75" s="509">
        <v>0.64639999999999997</v>
      </c>
      <c r="CP75" s="509">
        <v>0.71450000000000002</v>
      </c>
      <c r="CQ75" s="509">
        <v>0.67010000000000003</v>
      </c>
      <c r="CR75" s="509">
        <v>0.67810000000000004</v>
      </c>
    </row>
    <row r="76" spans="1:96" x14ac:dyDescent="0.3">
      <c r="A76" s="62" t="s">
        <v>46</v>
      </c>
      <c r="B76" s="200" t="s">
        <v>45</v>
      </c>
      <c r="C76" s="200" t="s">
        <v>573</v>
      </c>
      <c r="D76" s="200" t="s">
        <v>422</v>
      </c>
      <c r="E76" s="200" t="s">
        <v>794</v>
      </c>
      <c r="F76" s="200" t="s">
        <v>222</v>
      </c>
      <c r="G76" s="240" t="s">
        <v>410</v>
      </c>
      <c r="H76" s="241" t="s">
        <v>710</v>
      </c>
      <c r="I76" s="241" t="s">
        <v>807</v>
      </c>
      <c r="J76" s="241">
        <v>0.70050000000000001</v>
      </c>
      <c r="K76" s="241">
        <v>0.70479999999999998</v>
      </c>
      <c r="L76" s="241">
        <v>0.7097</v>
      </c>
      <c r="M76" s="241">
        <v>0.72019999999999995</v>
      </c>
      <c r="N76" s="241">
        <v>0.70909999999999995</v>
      </c>
      <c r="O76" s="241">
        <v>0.70879999999999999</v>
      </c>
      <c r="P76" s="248" t="s">
        <v>410</v>
      </c>
      <c r="Q76" s="249" t="s">
        <v>710</v>
      </c>
      <c r="R76" s="249" t="s">
        <v>714</v>
      </c>
      <c r="S76" s="249">
        <v>0.69899999999999995</v>
      </c>
      <c r="T76" s="249">
        <v>0.70630000000000004</v>
      </c>
      <c r="U76" s="249">
        <v>0.70520000000000005</v>
      </c>
      <c r="V76" s="249">
        <v>0.71319999999999995</v>
      </c>
      <c r="W76" s="249">
        <v>0.69979999999999998</v>
      </c>
      <c r="X76" s="249">
        <v>0.70550000000000002</v>
      </c>
      <c r="Y76" s="204" t="s">
        <v>410</v>
      </c>
      <c r="Z76" s="200" t="s">
        <v>529</v>
      </c>
      <c r="AA76" s="200" t="s">
        <v>665</v>
      </c>
      <c r="AB76" s="203">
        <v>0.71289999999999998</v>
      </c>
      <c r="AC76" s="203">
        <v>0.71930000000000005</v>
      </c>
      <c r="AD76" s="203">
        <v>0.72030000000000005</v>
      </c>
      <c r="AE76" s="203">
        <v>0.72440000000000004</v>
      </c>
      <c r="AF76" s="203">
        <v>0.71309999999999996</v>
      </c>
      <c r="AG76" s="203">
        <v>0.71870000000000001</v>
      </c>
      <c r="AH76" s="231" t="s">
        <v>410</v>
      </c>
      <c r="AI76" s="200" t="s">
        <v>606</v>
      </c>
      <c r="AJ76" s="200" t="s">
        <v>453</v>
      </c>
      <c r="AK76" s="203">
        <v>0.69330000000000003</v>
      </c>
      <c r="AL76" s="203">
        <v>0.69730000000000003</v>
      </c>
      <c r="AM76" s="203">
        <v>0.6996</v>
      </c>
      <c r="AN76" s="203">
        <v>0.72170000000000001</v>
      </c>
      <c r="AO76" s="203">
        <v>0.70389999999999997</v>
      </c>
      <c r="AP76" s="203">
        <v>0.70299999999999996</v>
      </c>
      <c r="AQ76" s="205" t="s">
        <v>410</v>
      </c>
      <c r="AR76" s="200" t="s">
        <v>444</v>
      </c>
      <c r="AS76" s="200" t="s">
        <v>444</v>
      </c>
      <c r="AT76" s="203">
        <v>0.69230000000000003</v>
      </c>
      <c r="AU76" s="203">
        <v>0.69120000000000004</v>
      </c>
      <c r="AV76" s="203">
        <v>0.68500000000000005</v>
      </c>
      <c r="AW76" s="203">
        <v>0.73109999999999997</v>
      </c>
      <c r="AX76" s="203">
        <v>0.72289999999999999</v>
      </c>
      <c r="AY76" s="203">
        <v>0.70169999999999999</v>
      </c>
      <c r="AZ76" s="204" t="s">
        <v>410</v>
      </c>
      <c r="BA76" s="200" t="s">
        <v>505</v>
      </c>
      <c r="BB76" s="200" t="s">
        <v>434</v>
      </c>
      <c r="BC76" s="203">
        <v>0.68540000000000001</v>
      </c>
      <c r="BD76" s="203">
        <v>0.6663</v>
      </c>
      <c r="BE76" s="203">
        <v>0.66749999999999998</v>
      </c>
      <c r="BF76" s="203">
        <v>0.73529999999999995</v>
      </c>
      <c r="BG76" s="203">
        <v>0.71640000000000004</v>
      </c>
      <c r="BH76" s="203">
        <v>0.69079999999999997</v>
      </c>
      <c r="BI76" s="201" t="s">
        <v>410</v>
      </c>
      <c r="BJ76" s="222">
        <v>84</v>
      </c>
      <c r="BK76" s="222">
        <v>82</v>
      </c>
      <c r="BL76" s="203">
        <v>0.70640000000000003</v>
      </c>
      <c r="BM76" s="203">
        <v>0.65859999999999996</v>
      </c>
      <c r="BN76" s="203">
        <v>0.66</v>
      </c>
      <c r="BO76" s="203">
        <v>0.72799999999999998</v>
      </c>
      <c r="BP76" s="203">
        <v>0.71679999999999999</v>
      </c>
      <c r="BQ76" s="203">
        <v>0.69040000000000001</v>
      </c>
      <c r="BR76" s="410" t="s">
        <v>410</v>
      </c>
      <c r="BS76" s="391">
        <v>80</v>
      </c>
      <c r="BT76" s="391">
        <v>80</v>
      </c>
      <c r="BU76" s="391">
        <v>0.71540000000000004</v>
      </c>
      <c r="BV76" s="391">
        <v>0.68</v>
      </c>
      <c r="BW76" s="391">
        <v>0.69010000000000005</v>
      </c>
      <c r="BX76" s="391">
        <v>0.74639999999999995</v>
      </c>
      <c r="BY76" s="391">
        <v>0.72950000000000004</v>
      </c>
      <c r="BZ76" s="391">
        <v>0.7097</v>
      </c>
    </row>
    <row r="77" spans="1:96" x14ac:dyDescent="0.3">
      <c r="A77" s="62" t="s">
        <v>61</v>
      </c>
      <c r="B77" s="200" t="s">
        <v>60</v>
      </c>
      <c r="C77" s="200" t="s">
        <v>573</v>
      </c>
      <c r="D77" s="200" t="s">
        <v>422</v>
      </c>
      <c r="E77" s="200" t="s">
        <v>794</v>
      </c>
      <c r="F77" s="200" t="s">
        <v>220</v>
      </c>
      <c r="G77" s="242" t="s">
        <v>546</v>
      </c>
      <c r="H77" s="241" t="s">
        <v>825</v>
      </c>
      <c r="I77" s="241" t="s">
        <v>620</v>
      </c>
      <c r="J77" s="241">
        <v>0.65490000000000004</v>
      </c>
      <c r="K77" s="241">
        <v>0.6522</v>
      </c>
      <c r="L77" s="241">
        <v>0.66979999999999995</v>
      </c>
      <c r="M77" s="241">
        <v>0.67490000000000006</v>
      </c>
      <c r="N77" s="241">
        <v>0.65869999999999995</v>
      </c>
      <c r="O77" s="241">
        <v>0.66269999999999996</v>
      </c>
      <c r="P77" s="250" t="s">
        <v>546</v>
      </c>
      <c r="Q77" s="249" t="s">
        <v>854</v>
      </c>
      <c r="R77" s="249" t="s">
        <v>855</v>
      </c>
      <c r="S77" s="249">
        <v>0.65559999999999996</v>
      </c>
      <c r="T77" s="249">
        <v>0.65600000000000003</v>
      </c>
      <c r="U77" s="249">
        <v>0.66559999999999997</v>
      </c>
      <c r="V77" s="249">
        <v>0.6704</v>
      </c>
      <c r="W77" s="249">
        <v>0.65029999999999999</v>
      </c>
      <c r="X77" s="249">
        <v>0.66100000000000003</v>
      </c>
      <c r="Y77" s="204" t="s">
        <v>410</v>
      </c>
      <c r="Z77" s="200" t="s">
        <v>598</v>
      </c>
      <c r="AA77" s="200" t="s">
        <v>706</v>
      </c>
      <c r="AB77" s="203">
        <v>0.66090000000000004</v>
      </c>
      <c r="AC77" s="203">
        <v>0.67910000000000004</v>
      </c>
      <c r="AD77" s="203">
        <v>0.67110000000000003</v>
      </c>
      <c r="AE77" s="203">
        <v>0.67820000000000003</v>
      </c>
      <c r="AF77" s="203">
        <v>0.66710000000000003</v>
      </c>
      <c r="AG77" s="203">
        <v>0.67190000000000005</v>
      </c>
      <c r="AH77" s="231" t="s">
        <v>410</v>
      </c>
      <c r="AI77" s="200" t="s">
        <v>591</v>
      </c>
      <c r="AJ77" s="200" t="s">
        <v>632</v>
      </c>
      <c r="AK77" s="203">
        <v>0.67530000000000001</v>
      </c>
      <c r="AL77" s="203">
        <v>0.69599999999999995</v>
      </c>
      <c r="AM77" s="203">
        <v>0.67930000000000001</v>
      </c>
      <c r="AN77" s="203">
        <v>0.69640000000000002</v>
      </c>
      <c r="AO77" s="203">
        <v>0.66769999999999996</v>
      </c>
      <c r="AP77" s="203">
        <v>0.68530000000000002</v>
      </c>
      <c r="AQ77" s="205" t="s">
        <v>410</v>
      </c>
      <c r="AR77" s="200" t="s">
        <v>532</v>
      </c>
      <c r="AS77" s="200" t="s">
        <v>533</v>
      </c>
      <c r="AT77" s="203">
        <v>0.68149999999999999</v>
      </c>
      <c r="AU77" s="203">
        <v>0.69469999999999998</v>
      </c>
      <c r="AV77" s="203">
        <v>0.66779999999999995</v>
      </c>
      <c r="AW77" s="203">
        <v>0.7087</v>
      </c>
      <c r="AX77" s="203">
        <v>0.67490000000000006</v>
      </c>
      <c r="AY77" s="203">
        <v>0.68720000000000003</v>
      </c>
      <c r="AZ77" s="204" t="s">
        <v>410</v>
      </c>
      <c r="BA77" s="200" t="s">
        <v>778</v>
      </c>
      <c r="BB77" s="200" t="s">
        <v>719</v>
      </c>
      <c r="BC77" s="203">
        <v>0.69159999999999999</v>
      </c>
      <c r="BD77" s="203">
        <v>0.67549999999999999</v>
      </c>
      <c r="BE77" s="203">
        <v>0.65149999999999997</v>
      </c>
      <c r="BF77" s="203">
        <v>0.7127</v>
      </c>
      <c r="BG77" s="203">
        <v>0.66200000000000003</v>
      </c>
      <c r="BH77" s="203">
        <v>0.68120000000000003</v>
      </c>
      <c r="BI77" s="201" t="s">
        <v>410</v>
      </c>
      <c r="BJ77" s="222">
        <v>370</v>
      </c>
      <c r="BK77" s="222">
        <v>349</v>
      </c>
      <c r="BL77" s="203">
        <v>0.69389999999999996</v>
      </c>
      <c r="BM77" s="203">
        <v>0.65539999999999998</v>
      </c>
      <c r="BN77" s="203">
        <v>0.63739999999999997</v>
      </c>
      <c r="BO77" s="203">
        <v>0.70699999999999996</v>
      </c>
      <c r="BP77" s="203">
        <v>0.64939999999999998</v>
      </c>
      <c r="BQ77" s="203">
        <v>0.67159999999999997</v>
      </c>
      <c r="BR77" s="410" t="s">
        <v>410</v>
      </c>
      <c r="BS77" s="391">
        <v>334</v>
      </c>
      <c r="BT77" s="391">
        <v>331</v>
      </c>
      <c r="BU77" s="391">
        <v>0.70379999999999998</v>
      </c>
      <c r="BV77" s="391">
        <v>0.65269999999999995</v>
      </c>
      <c r="BW77" s="391">
        <v>0.64670000000000005</v>
      </c>
      <c r="BX77" s="391">
        <v>0.71220000000000006</v>
      </c>
      <c r="BY77" s="391">
        <v>0.65800000000000003</v>
      </c>
      <c r="BZ77" s="391">
        <v>0.67720000000000002</v>
      </c>
      <c r="CA77" s="539" t="s">
        <v>410</v>
      </c>
      <c r="CB77" s="537" t="s">
        <v>868</v>
      </c>
      <c r="CC77" s="537" t="s">
        <v>671</v>
      </c>
      <c r="CD77" s="538">
        <v>0.70730000000000004</v>
      </c>
      <c r="CE77" s="538">
        <v>0.6542</v>
      </c>
      <c r="CF77" s="538">
        <v>0.65339999999999998</v>
      </c>
      <c r="CG77" s="538">
        <v>0.7167</v>
      </c>
      <c r="CH77" s="538">
        <v>0.67049999999999998</v>
      </c>
      <c r="CI77" s="538">
        <v>0.68200000000000005</v>
      </c>
      <c r="CJ77" s="669" t="s">
        <v>410</v>
      </c>
      <c r="CK77" s="668">
        <v>321</v>
      </c>
      <c r="CL77" s="668">
        <v>316</v>
      </c>
      <c r="CM77" s="659">
        <v>0.70899999999999996</v>
      </c>
      <c r="CN77" s="659">
        <v>0.65900000000000003</v>
      </c>
      <c r="CO77" s="659">
        <v>0.65210000000000001</v>
      </c>
      <c r="CP77" s="659">
        <v>0.71550000000000002</v>
      </c>
      <c r="CQ77" s="659">
        <v>0.68640000000000001</v>
      </c>
      <c r="CR77" s="659">
        <v>0.68410000000000004</v>
      </c>
    </row>
    <row r="78" spans="1:96" x14ac:dyDescent="0.3">
      <c r="A78" s="62" t="s">
        <v>21</v>
      </c>
      <c r="B78" s="200" t="s">
        <v>20</v>
      </c>
      <c r="C78" s="200" t="s">
        <v>573</v>
      </c>
      <c r="D78" s="200" t="s">
        <v>422</v>
      </c>
      <c r="E78" s="200" t="s">
        <v>794</v>
      </c>
      <c r="F78" s="200" t="s">
        <v>220</v>
      </c>
      <c r="G78" s="240" t="s">
        <v>410</v>
      </c>
      <c r="H78" s="241" t="s">
        <v>826</v>
      </c>
      <c r="I78" s="241" t="s">
        <v>827</v>
      </c>
      <c r="J78" s="241">
        <v>0.67490000000000006</v>
      </c>
      <c r="K78" s="241">
        <v>0.68140000000000001</v>
      </c>
      <c r="L78" s="241">
        <v>0.68389999999999995</v>
      </c>
      <c r="M78" s="241">
        <v>0.68440000000000001</v>
      </c>
      <c r="N78" s="241">
        <v>0.67949999999999999</v>
      </c>
      <c r="O78" s="241">
        <v>0.68100000000000005</v>
      </c>
      <c r="P78" s="248" t="s">
        <v>410</v>
      </c>
      <c r="Q78" s="249" t="s">
        <v>856</v>
      </c>
      <c r="R78" s="249" t="s">
        <v>857</v>
      </c>
      <c r="S78" s="249">
        <v>0.67279999999999995</v>
      </c>
      <c r="T78" s="249">
        <v>0.68300000000000005</v>
      </c>
      <c r="U78" s="249">
        <v>0.68379999999999996</v>
      </c>
      <c r="V78" s="249">
        <v>0.67730000000000001</v>
      </c>
      <c r="W78" s="249">
        <v>0.68210000000000004</v>
      </c>
      <c r="X78" s="249">
        <v>0.6794</v>
      </c>
      <c r="Y78" s="204" t="s">
        <v>410</v>
      </c>
      <c r="Z78" s="200" t="s">
        <v>689</v>
      </c>
      <c r="AA78" s="200" t="s">
        <v>690</v>
      </c>
      <c r="AB78" s="203">
        <v>0.67610000000000003</v>
      </c>
      <c r="AC78" s="203">
        <v>0.69589999999999996</v>
      </c>
      <c r="AD78" s="203">
        <v>0.68179999999999996</v>
      </c>
      <c r="AE78" s="203">
        <v>0.68420000000000003</v>
      </c>
      <c r="AF78" s="203">
        <v>0.69120000000000004</v>
      </c>
      <c r="AG78" s="203">
        <v>0.68500000000000005</v>
      </c>
      <c r="AH78" s="228"/>
      <c r="AI78" s="200"/>
      <c r="AJ78" s="200"/>
      <c r="AK78" s="203"/>
      <c r="AL78" s="203"/>
      <c r="AM78" s="203"/>
      <c r="AN78" s="203"/>
      <c r="AO78" s="203"/>
      <c r="AP78" s="203"/>
      <c r="AQ78" s="200"/>
      <c r="AR78" s="200"/>
      <c r="AS78" s="200"/>
      <c r="AT78" s="203"/>
      <c r="AU78" s="203"/>
      <c r="AV78" s="203"/>
      <c r="AW78" s="203"/>
      <c r="AX78" s="203"/>
      <c r="AY78" s="203"/>
      <c r="AZ78" s="200"/>
      <c r="BA78" s="200"/>
      <c r="BB78" s="200"/>
      <c r="BC78" s="203"/>
      <c r="BD78" s="203"/>
      <c r="BE78" s="203"/>
      <c r="BF78" s="203"/>
      <c r="BG78" s="203"/>
      <c r="BH78" s="203"/>
      <c r="BI78" s="206" t="s">
        <v>546</v>
      </c>
      <c r="BJ78" s="222">
        <v>638</v>
      </c>
      <c r="BK78" s="222">
        <v>585</v>
      </c>
      <c r="BL78" s="203">
        <v>0.67059999999999997</v>
      </c>
      <c r="BM78" s="203">
        <v>0.65310000000000001</v>
      </c>
      <c r="BN78" s="203">
        <v>0.63139999999999996</v>
      </c>
      <c r="BO78" s="203">
        <v>0.69630000000000003</v>
      </c>
      <c r="BP78" s="203">
        <v>0.65249999999999997</v>
      </c>
      <c r="BQ78" s="203">
        <v>0.66200000000000003</v>
      </c>
      <c r="BR78" s="412" t="s">
        <v>546</v>
      </c>
      <c r="BS78" s="391">
        <v>573</v>
      </c>
      <c r="BT78" s="391">
        <v>557</v>
      </c>
      <c r="BU78" s="391">
        <v>0.67720000000000002</v>
      </c>
      <c r="BV78" s="391">
        <v>0.65410000000000001</v>
      </c>
      <c r="BW78" s="391">
        <v>0.64029999999999998</v>
      </c>
      <c r="BX78" s="391">
        <v>0.7127</v>
      </c>
      <c r="BY78" s="391">
        <v>0.65610000000000002</v>
      </c>
      <c r="BZ78" s="391">
        <v>0.66990000000000005</v>
      </c>
      <c r="CA78" s="539" t="s">
        <v>410</v>
      </c>
      <c r="CB78" s="537" t="s">
        <v>995</v>
      </c>
      <c r="CC78" s="537" t="s">
        <v>705</v>
      </c>
      <c r="CD78" s="538">
        <v>0.69750000000000001</v>
      </c>
      <c r="CE78" s="538">
        <v>0.66379999999999995</v>
      </c>
      <c r="CF78" s="538">
        <v>0.66110000000000002</v>
      </c>
      <c r="CG78" s="538">
        <v>0.72460000000000002</v>
      </c>
      <c r="CH78" s="538">
        <v>0.67130000000000001</v>
      </c>
      <c r="CI78" s="538">
        <v>0.68559999999999999</v>
      </c>
      <c r="CJ78" s="669" t="s">
        <v>410</v>
      </c>
      <c r="CK78" s="668">
        <v>547</v>
      </c>
      <c r="CL78" s="668">
        <v>535</v>
      </c>
      <c r="CM78" s="659">
        <v>0.69010000000000005</v>
      </c>
      <c r="CN78" s="659">
        <v>0.65910000000000002</v>
      </c>
      <c r="CO78" s="659">
        <v>0.65629999999999999</v>
      </c>
      <c r="CP78" s="659">
        <v>0.71640000000000004</v>
      </c>
      <c r="CQ78" s="659">
        <v>0.6865</v>
      </c>
      <c r="CR78" s="659">
        <v>0.68089999999999995</v>
      </c>
    </row>
    <row r="79" spans="1:96" x14ac:dyDescent="0.3">
      <c r="A79" s="62" t="s">
        <v>124</v>
      </c>
      <c r="B79" s="200" t="s">
        <v>123</v>
      </c>
      <c r="C79" s="200" t="s">
        <v>573</v>
      </c>
      <c r="D79" s="200" t="s">
        <v>422</v>
      </c>
      <c r="E79" s="200" t="s">
        <v>794</v>
      </c>
      <c r="F79" s="200" t="s">
        <v>220</v>
      </c>
      <c r="G79" s="242" t="s">
        <v>546</v>
      </c>
      <c r="H79" s="241" t="s">
        <v>493</v>
      </c>
      <c r="I79" s="241" t="s">
        <v>493</v>
      </c>
      <c r="J79" s="241">
        <v>0.64329999999999998</v>
      </c>
      <c r="K79" s="241">
        <v>0.64700000000000002</v>
      </c>
      <c r="L79" s="241">
        <v>0.65639999999999998</v>
      </c>
      <c r="M79" s="241">
        <v>0.65329999999999999</v>
      </c>
      <c r="N79" s="241">
        <v>0.66759999999999997</v>
      </c>
      <c r="O79" s="241">
        <v>0.65129999999999999</v>
      </c>
      <c r="P79" s="250" t="s">
        <v>546</v>
      </c>
      <c r="Q79" s="249" t="s">
        <v>844</v>
      </c>
      <c r="R79" s="249" t="s">
        <v>858</v>
      </c>
      <c r="S79" s="249">
        <v>0.63939999999999997</v>
      </c>
      <c r="T79" s="249">
        <v>0.64810000000000001</v>
      </c>
      <c r="U79" s="249">
        <v>0.64380000000000004</v>
      </c>
      <c r="V79" s="249">
        <v>0.64900000000000002</v>
      </c>
      <c r="W79" s="249">
        <v>0.66949999999999998</v>
      </c>
      <c r="X79" s="249">
        <v>0.64700000000000002</v>
      </c>
      <c r="Y79" s="207" t="s">
        <v>546</v>
      </c>
      <c r="Z79" s="200" t="s">
        <v>699</v>
      </c>
      <c r="AA79" s="200" t="s">
        <v>675</v>
      </c>
      <c r="AB79" s="203">
        <v>0.62339999999999995</v>
      </c>
      <c r="AC79" s="203">
        <v>0.66210000000000002</v>
      </c>
      <c r="AD79" s="203">
        <v>0.63039999999999996</v>
      </c>
      <c r="AE79" s="203">
        <v>0.65239999999999998</v>
      </c>
      <c r="AF79" s="203">
        <v>0.66969999999999996</v>
      </c>
      <c r="AG79" s="203">
        <v>0.64419999999999999</v>
      </c>
      <c r="AH79" s="227" t="s">
        <v>546</v>
      </c>
      <c r="AI79" s="200" t="s">
        <v>648</v>
      </c>
      <c r="AJ79" s="200" t="s">
        <v>521</v>
      </c>
      <c r="AK79" s="203">
        <v>0.60829999999999995</v>
      </c>
      <c r="AL79" s="203">
        <v>0.65290000000000004</v>
      </c>
      <c r="AM79" s="203">
        <v>0.60740000000000005</v>
      </c>
      <c r="AN79" s="203">
        <v>0.64459999999999995</v>
      </c>
      <c r="AO79" s="203">
        <v>0.66449999999999998</v>
      </c>
      <c r="AP79" s="203">
        <v>0.63109999999999999</v>
      </c>
      <c r="AQ79" s="210" t="s">
        <v>562</v>
      </c>
      <c r="AR79" s="200" t="s">
        <v>563</v>
      </c>
      <c r="AS79" s="200" t="s">
        <v>564</v>
      </c>
      <c r="AT79" s="203">
        <v>0.58979999999999999</v>
      </c>
      <c r="AU79" s="203">
        <v>0.63080000000000003</v>
      </c>
      <c r="AV79" s="203">
        <v>0.58220000000000005</v>
      </c>
      <c r="AW79" s="203">
        <v>0.64139999999999997</v>
      </c>
      <c r="AX79" s="203">
        <v>0.65920000000000001</v>
      </c>
      <c r="AY79" s="203">
        <v>0.61470000000000002</v>
      </c>
      <c r="AZ79" s="209" t="s">
        <v>562</v>
      </c>
      <c r="BA79" s="200" t="s">
        <v>676</v>
      </c>
      <c r="BB79" s="200" t="s">
        <v>711</v>
      </c>
      <c r="BC79" s="203">
        <v>0.60040000000000004</v>
      </c>
      <c r="BD79" s="203">
        <v>0.60870000000000002</v>
      </c>
      <c r="BE79" s="203">
        <v>0.57379999999999998</v>
      </c>
      <c r="BF79" s="203">
        <v>0.65239999999999998</v>
      </c>
      <c r="BG79" s="203">
        <v>0.65090000000000003</v>
      </c>
      <c r="BH79" s="203">
        <v>0.61199999999999999</v>
      </c>
      <c r="BI79" s="217" t="s">
        <v>562</v>
      </c>
      <c r="BJ79" s="222">
        <v>164</v>
      </c>
      <c r="BK79" s="222">
        <v>148</v>
      </c>
      <c r="BL79" s="203">
        <v>0.60340000000000005</v>
      </c>
      <c r="BM79" s="203">
        <v>0.58740000000000003</v>
      </c>
      <c r="BN79" s="203">
        <v>0.55410000000000004</v>
      </c>
      <c r="BO79" s="203">
        <v>0.64149999999999996</v>
      </c>
      <c r="BP79" s="203">
        <v>0.61739999999999995</v>
      </c>
      <c r="BQ79" s="203">
        <v>0.59819999999999995</v>
      </c>
      <c r="BR79" s="411" t="s">
        <v>562</v>
      </c>
      <c r="BS79" s="391">
        <v>186</v>
      </c>
      <c r="BT79" s="391">
        <v>181</v>
      </c>
      <c r="BU79" s="391">
        <v>0.63160000000000005</v>
      </c>
      <c r="BV79" s="391">
        <v>0.60440000000000005</v>
      </c>
      <c r="BW79" s="391">
        <v>0.57840000000000003</v>
      </c>
      <c r="BX79" s="391">
        <v>0.66159999999999997</v>
      </c>
      <c r="BY79" s="391">
        <v>0.61240000000000006</v>
      </c>
      <c r="BZ79" s="391">
        <v>0.61850000000000005</v>
      </c>
      <c r="CA79" s="540" t="s">
        <v>546</v>
      </c>
      <c r="CB79" s="537" t="s">
        <v>675</v>
      </c>
      <c r="CC79" s="537" t="s">
        <v>656</v>
      </c>
      <c r="CD79" s="538">
        <v>0.63790000000000002</v>
      </c>
      <c r="CE79" s="538">
        <v>0.61670000000000003</v>
      </c>
      <c r="CF79" s="538">
        <v>0.58699999999999997</v>
      </c>
      <c r="CG79" s="538">
        <v>0.66679999999999995</v>
      </c>
      <c r="CH79" s="538">
        <v>0.62960000000000005</v>
      </c>
      <c r="CI79" s="538">
        <v>0.62729999999999997</v>
      </c>
      <c r="CJ79" s="670" t="s">
        <v>546</v>
      </c>
      <c r="CK79" s="668">
        <v>164</v>
      </c>
      <c r="CL79" s="668">
        <v>160</v>
      </c>
      <c r="CM79" s="659">
        <v>0.6472</v>
      </c>
      <c r="CN79" s="659">
        <v>0.62190000000000001</v>
      </c>
      <c r="CO79" s="659">
        <v>0.59179999999999999</v>
      </c>
      <c r="CP79" s="659">
        <v>0.67</v>
      </c>
      <c r="CQ79" s="659">
        <v>0.65190000000000003</v>
      </c>
      <c r="CR79" s="659">
        <v>0.63419999999999999</v>
      </c>
    </row>
    <row r="80" spans="1:96" x14ac:dyDescent="0.3">
      <c r="A80" s="62" t="s">
        <v>23</v>
      </c>
      <c r="B80" s="200" t="s">
        <v>22</v>
      </c>
      <c r="C80" s="200" t="s">
        <v>573</v>
      </c>
      <c r="D80" s="200" t="s">
        <v>422</v>
      </c>
      <c r="E80" s="200" t="s">
        <v>794</v>
      </c>
      <c r="F80" s="200" t="s">
        <v>220</v>
      </c>
      <c r="G80" s="240" t="s">
        <v>410</v>
      </c>
      <c r="H80" s="241" t="s">
        <v>828</v>
      </c>
      <c r="I80" s="241" t="s">
        <v>829</v>
      </c>
      <c r="J80" s="241">
        <v>0.6865</v>
      </c>
      <c r="K80" s="241">
        <v>0.6996</v>
      </c>
      <c r="L80" s="241">
        <v>0.69079999999999997</v>
      </c>
      <c r="M80" s="241">
        <v>0.69650000000000001</v>
      </c>
      <c r="N80" s="241">
        <v>0.66469999999999996</v>
      </c>
      <c r="O80" s="241">
        <v>0.69110000000000005</v>
      </c>
      <c r="P80" s="248" t="s">
        <v>410</v>
      </c>
      <c r="Q80" s="249" t="s">
        <v>859</v>
      </c>
      <c r="R80" s="249" t="s">
        <v>829</v>
      </c>
      <c r="S80" s="249">
        <v>0.68420000000000003</v>
      </c>
      <c r="T80" s="249">
        <v>0.69479999999999997</v>
      </c>
      <c r="U80" s="249">
        <v>0.68769999999999998</v>
      </c>
      <c r="V80" s="249">
        <v>0.69220000000000004</v>
      </c>
      <c r="W80" s="249">
        <v>0.66190000000000004</v>
      </c>
      <c r="X80" s="249">
        <v>0.68759999999999999</v>
      </c>
      <c r="Y80" s="204" t="s">
        <v>410</v>
      </c>
      <c r="Z80" s="200" t="s">
        <v>678</v>
      </c>
      <c r="AA80" s="200" t="s">
        <v>679</v>
      </c>
      <c r="AB80" s="203">
        <v>0.69589999999999996</v>
      </c>
      <c r="AC80" s="203">
        <v>0.70899999999999996</v>
      </c>
      <c r="AD80" s="203">
        <v>0.69340000000000002</v>
      </c>
      <c r="AE80" s="203">
        <v>0.70389999999999997</v>
      </c>
      <c r="AF80" s="203">
        <v>0.67530000000000001</v>
      </c>
      <c r="AG80" s="203">
        <v>0.6986</v>
      </c>
      <c r="AH80" s="231" t="s">
        <v>410</v>
      </c>
      <c r="AI80" s="200" t="s">
        <v>611</v>
      </c>
      <c r="AJ80" s="200" t="s">
        <v>510</v>
      </c>
      <c r="AK80" s="203">
        <v>0.70509999999999995</v>
      </c>
      <c r="AL80" s="203">
        <v>0.71779999999999999</v>
      </c>
      <c r="AM80" s="203">
        <v>0.69379999999999997</v>
      </c>
      <c r="AN80" s="203">
        <v>0.71440000000000003</v>
      </c>
      <c r="AO80" s="203">
        <v>0.68740000000000001</v>
      </c>
      <c r="AP80" s="203">
        <v>0.70620000000000005</v>
      </c>
      <c r="AQ80" s="205" t="s">
        <v>410</v>
      </c>
      <c r="AR80" s="200" t="s">
        <v>481</v>
      </c>
      <c r="AS80" s="200" t="s">
        <v>482</v>
      </c>
      <c r="AT80" s="203">
        <v>0.70960000000000001</v>
      </c>
      <c r="AU80" s="203">
        <v>0.71940000000000004</v>
      </c>
      <c r="AV80" s="203">
        <v>0.68889999999999996</v>
      </c>
      <c r="AW80" s="203">
        <v>0.72970000000000002</v>
      </c>
      <c r="AX80" s="203">
        <v>0.70050000000000001</v>
      </c>
      <c r="AY80" s="203">
        <v>0.71099999999999997</v>
      </c>
      <c r="AZ80" s="204" t="s">
        <v>410</v>
      </c>
      <c r="BA80" s="200" t="s">
        <v>482</v>
      </c>
      <c r="BB80" s="200" t="s">
        <v>765</v>
      </c>
      <c r="BC80" s="203">
        <v>0.70340000000000003</v>
      </c>
      <c r="BD80" s="203">
        <v>0.69610000000000005</v>
      </c>
      <c r="BE80" s="203">
        <v>0.66590000000000005</v>
      </c>
      <c r="BF80" s="203">
        <v>0.72719999999999996</v>
      </c>
      <c r="BG80" s="203">
        <v>0.69089999999999996</v>
      </c>
      <c r="BH80" s="203">
        <v>0.6976</v>
      </c>
      <c r="BI80" s="201" t="s">
        <v>410</v>
      </c>
      <c r="BJ80" s="222">
        <v>834</v>
      </c>
      <c r="BK80" s="222">
        <v>782</v>
      </c>
      <c r="BL80" s="203">
        <v>0.69969999999999999</v>
      </c>
      <c r="BM80" s="203">
        <v>0.67320000000000002</v>
      </c>
      <c r="BN80" s="203">
        <v>0.66169999999999995</v>
      </c>
      <c r="BO80" s="203">
        <v>0.71819999999999995</v>
      </c>
      <c r="BP80" s="203">
        <v>0.66549999999999998</v>
      </c>
      <c r="BQ80" s="203">
        <v>0.68640000000000001</v>
      </c>
      <c r="BR80" s="410" t="s">
        <v>410</v>
      </c>
      <c r="BS80" s="391">
        <v>892</v>
      </c>
      <c r="BT80" s="391">
        <v>883</v>
      </c>
      <c r="BU80" s="391">
        <v>0.69950000000000001</v>
      </c>
      <c r="BV80" s="391">
        <v>0.67310000000000003</v>
      </c>
      <c r="BW80" s="391">
        <v>0.66859999999999997</v>
      </c>
      <c r="BX80" s="391">
        <v>0.72270000000000001</v>
      </c>
      <c r="BY80" s="391">
        <v>0.66790000000000005</v>
      </c>
      <c r="BZ80" s="391">
        <v>0.68920000000000003</v>
      </c>
      <c r="CA80" s="539" t="s">
        <v>410</v>
      </c>
      <c r="CB80" s="537" t="s">
        <v>996</v>
      </c>
      <c r="CC80" s="537" t="s">
        <v>692</v>
      </c>
      <c r="CD80" s="538">
        <v>0.70120000000000005</v>
      </c>
      <c r="CE80" s="538">
        <v>0.67810000000000004</v>
      </c>
      <c r="CF80" s="538">
        <v>0.67969999999999997</v>
      </c>
      <c r="CG80" s="538">
        <v>0.7238</v>
      </c>
      <c r="CH80" s="538">
        <v>0.67379999999999995</v>
      </c>
      <c r="CI80" s="538">
        <v>0.69399999999999995</v>
      </c>
      <c r="CJ80" s="669" t="s">
        <v>410</v>
      </c>
      <c r="CK80" s="668">
        <v>904</v>
      </c>
      <c r="CL80" s="668">
        <v>896</v>
      </c>
      <c r="CM80" s="659">
        <v>0.70320000000000005</v>
      </c>
      <c r="CN80" s="659">
        <v>0.6835</v>
      </c>
      <c r="CO80" s="659">
        <v>0.6734</v>
      </c>
      <c r="CP80" s="659">
        <v>0.72670000000000001</v>
      </c>
      <c r="CQ80" s="659">
        <v>0.69930000000000003</v>
      </c>
      <c r="CR80" s="659">
        <v>0.69689999999999996</v>
      </c>
    </row>
    <row r="81" spans="1:96" x14ac:dyDescent="0.3">
      <c r="A81" s="62" t="s">
        <v>224</v>
      </c>
      <c r="B81" s="200" t="s">
        <v>194</v>
      </c>
      <c r="C81" s="200" t="s">
        <v>573</v>
      </c>
      <c r="D81" s="200" t="s">
        <v>422</v>
      </c>
      <c r="E81" s="200" t="s">
        <v>794</v>
      </c>
      <c r="F81" s="200" t="s">
        <v>222</v>
      </c>
      <c r="G81" s="242" t="s">
        <v>546</v>
      </c>
      <c r="H81" s="241" t="s">
        <v>668</v>
      </c>
      <c r="I81" s="241" t="s">
        <v>565</v>
      </c>
      <c r="J81" s="241">
        <v>0.66739999999999999</v>
      </c>
      <c r="K81" s="241">
        <v>0.60599999999999998</v>
      </c>
      <c r="L81" s="241">
        <v>0.65200000000000002</v>
      </c>
      <c r="M81" s="241">
        <v>0.63239999999999996</v>
      </c>
      <c r="N81" s="241">
        <v>0.65590000000000004</v>
      </c>
      <c r="O81" s="241">
        <v>0.64070000000000005</v>
      </c>
      <c r="P81" s="248" t="s">
        <v>410</v>
      </c>
      <c r="Q81" s="249" t="s">
        <v>486</v>
      </c>
      <c r="R81" s="249" t="s">
        <v>556</v>
      </c>
      <c r="S81" s="249">
        <v>0.67249999999999999</v>
      </c>
      <c r="T81" s="249">
        <v>0.66490000000000005</v>
      </c>
      <c r="U81" s="249">
        <v>0.68359999999999999</v>
      </c>
      <c r="V81" s="249">
        <v>0.67359999999999998</v>
      </c>
      <c r="W81" s="249">
        <v>0.65369999999999995</v>
      </c>
      <c r="X81" s="249">
        <v>0.67210000000000003</v>
      </c>
      <c r="Y81" s="204" t="s">
        <v>410</v>
      </c>
      <c r="Z81" s="200" t="s">
        <v>552</v>
      </c>
      <c r="AA81" s="200" t="s">
        <v>452</v>
      </c>
      <c r="AB81" s="203">
        <v>0.66779999999999995</v>
      </c>
      <c r="AC81" s="203">
        <v>0.67889999999999995</v>
      </c>
      <c r="AD81" s="203">
        <v>0.67110000000000003</v>
      </c>
      <c r="AE81" s="203">
        <v>0.68379999999999996</v>
      </c>
      <c r="AF81" s="203">
        <v>0.67120000000000002</v>
      </c>
      <c r="AG81" s="203">
        <v>0.67510000000000003</v>
      </c>
      <c r="AH81" s="231" t="s">
        <v>410</v>
      </c>
      <c r="AI81" s="200" t="s">
        <v>540</v>
      </c>
      <c r="AJ81" s="200" t="s">
        <v>559</v>
      </c>
      <c r="AK81" s="203">
        <v>0.69069999999999998</v>
      </c>
      <c r="AL81" s="203">
        <v>0.70099999999999996</v>
      </c>
      <c r="AM81" s="203">
        <v>0.68689999999999996</v>
      </c>
      <c r="AN81" s="203">
        <v>0.71479999999999999</v>
      </c>
      <c r="AO81" s="203">
        <v>0.6794</v>
      </c>
      <c r="AP81" s="203">
        <v>0.69689999999999996</v>
      </c>
      <c r="AQ81" s="205" t="s">
        <v>410</v>
      </c>
      <c r="AR81" s="200" t="s">
        <v>491</v>
      </c>
      <c r="AS81" s="200" t="s">
        <v>492</v>
      </c>
      <c r="AT81" s="203">
        <v>0.71099999999999997</v>
      </c>
      <c r="AU81" s="203">
        <v>0.70799999999999996</v>
      </c>
      <c r="AV81" s="203">
        <v>0.68179999999999996</v>
      </c>
      <c r="AW81" s="203">
        <v>0.72550000000000003</v>
      </c>
      <c r="AX81" s="203">
        <v>0.70150000000000001</v>
      </c>
      <c r="AY81" s="203">
        <v>0.70620000000000005</v>
      </c>
      <c r="AZ81" s="211" t="s">
        <v>409</v>
      </c>
      <c r="BA81" s="200" t="s">
        <v>456</v>
      </c>
      <c r="BB81" s="200" t="s">
        <v>663</v>
      </c>
      <c r="BC81" s="203">
        <v>0.74519999999999997</v>
      </c>
      <c r="BD81" s="203">
        <v>0.7167</v>
      </c>
      <c r="BE81" s="203">
        <v>0.6845</v>
      </c>
      <c r="BF81" s="203">
        <v>0.74990000000000001</v>
      </c>
      <c r="BG81" s="203">
        <v>0.71730000000000005</v>
      </c>
      <c r="BH81" s="203">
        <v>0.72360000000000002</v>
      </c>
      <c r="BI81" s="215" t="s">
        <v>409</v>
      </c>
      <c r="BJ81" s="222">
        <v>122</v>
      </c>
      <c r="BK81" s="222">
        <v>119</v>
      </c>
      <c r="BL81" s="203">
        <v>0.75329999999999997</v>
      </c>
      <c r="BM81" s="203">
        <v>0.70920000000000005</v>
      </c>
      <c r="BN81" s="203">
        <v>0.68489999999999995</v>
      </c>
      <c r="BO81" s="203">
        <v>0.74790000000000001</v>
      </c>
      <c r="BP81" s="203">
        <v>0.71350000000000002</v>
      </c>
      <c r="BQ81" s="203">
        <v>0.72299999999999998</v>
      </c>
      <c r="BR81" s="414" t="s">
        <v>409</v>
      </c>
      <c r="BS81" s="391">
        <v>141</v>
      </c>
      <c r="BT81" s="391">
        <v>140</v>
      </c>
      <c r="BU81" s="391">
        <v>0.75249999999999995</v>
      </c>
      <c r="BV81" s="391">
        <v>0.70909999999999995</v>
      </c>
      <c r="BW81" s="391">
        <v>0.69779999999999998</v>
      </c>
      <c r="BX81" s="391">
        <v>0.76890000000000003</v>
      </c>
      <c r="BY81" s="391">
        <v>0.72829999999999995</v>
      </c>
      <c r="BZ81" s="391">
        <v>0.73180000000000001</v>
      </c>
      <c r="CA81" s="549" t="s">
        <v>409</v>
      </c>
      <c r="CB81" s="537" t="s">
        <v>875</v>
      </c>
      <c r="CC81" s="537" t="s">
        <v>531</v>
      </c>
      <c r="CD81" s="538">
        <v>0.747</v>
      </c>
      <c r="CE81" s="538">
        <v>0.7046</v>
      </c>
      <c r="CF81" s="538">
        <v>0.69730000000000003</v>
      </c>
      <c r="CG81" s="538">
        <v>0.75939999999999996</v>
      </c>
      <c r="CH81" s="538">
        <v>0.72270000000000001</v>
      </c>
      <c r="CI81" s="538">
        <v>0.72670000000000001</v>
      </c>
      <c r="CJ81" s="667" t="s">
        <v>409</v>
      </c>
      <c r="CK81" s="668">
        <v>180</v>
      </c>
      <c r="CL81" s="668">
        <v>180</v>
      </c>
      <c r="CM81" s="659">
        <v>0.75429999999999997</v>
      </c>
      <c r="CN81" s="659">
        <v>0.71809999999999996</v>
      </c>
      <c r="CO81" s="659">
        <v>0.70040000000000002</v>
      </c>
      <c r="CP81" s="659">
        <v>0.76329999999999998</v>
      </c>
      <c r="CQ81" s="659">
        <v>0.74970000000000003</v>
      </c>
      <c r="CR81" s="659">
        <v>0.73519999999999996</v>
      </c>
    </row>
    <row r="82" spans="1:96" x14ac:dyDescent="0.3">
      <c r="A82" s="62" t="s">
        <v>88</v>
      </c>
      <c r="B82" s="200" t="s">
        <v>87</v>
      </c>
      <c r="C82" s="200" t="s">
        <v>573</v>
      </c>
      <c r="D82" s="200" t="s">
        <v>422</v>
      </c>
      <c r="E82" s="200" t="s">
        <v>794</v>
      </c>
      <c r="F82" s="200" t="s">
        <v>220</v>
      </c>
      <c r="G82" s="240" t="s">
        <v>410</v>
      </c>
      <c r="H82" s="241" t="s">
        <v>829</v>
      </c>
      <c r="I82" s="241" t="s">
        <v>830</v>
      </c>
      <c r="J82" s="241">
        <v>0.67669999999999997</v>
      </c>
      <c r="K82" s="241">
        <v>0.66969999999999996</v>
      </c>
      <c r="L82" s="241">
        <v>0.67549999999999999</v>
      </c>
      <c r="M82" s="241">
        <v>0.68049999999999999</v>
      </c>
      <c r="N82" s="241">
        <v>0.66559999999999997</v>
      </c>
      <c r="O82" s="241">
        <v>0.67479999999999996</v>
      </c>
      <c r="P82" s="248" t="s">
        <v>410</v>
      </c>
      <c r="Q82" s="249" t="s">
        <v>717</v>
      </c>
      <c r="R82" s="249" t="s">
        <v>860</v>
      </c>
      <c r="S82" s="249">
        <v>0.67149999999999999</v>
      </c>
      <c r="T82" s="249">
        <v>0.67510000000000003</v>
      </c>
      <c r="U82" s="249">
        <v>0.67420000000000002</v>
      </c>
      <c r="V82" s="249">
        <v>0.67569999999999997</v>
      </c>
      <c r="W82" s="249">
        <v>0.66220000000000001</v>
      </c>
      <c r="X82" s="249">
        <v>0.67320000000000002</v>
      </c>
      <c r="Y82" s="204" t="s">
        <v>410</v>
      </c>
      <c r="Z82" s="200" t="s">
        <v>692</v>
      </c>
      <c r="AA82" s="200" t="s">
        <v>693</v>
      </c>
      <c r="AB82" s="203">
        <v>0.67330000000000001</v>
      </c>
      <c r="AC82" s="203">
        <v>0.68840000000000001</v>
      </c>
      <c r="AD82" s="203">
        <v>0.68140000000000001</v>
      </c>
      <c r="AE82" s="203">
        <v>0.68759999999999999</v>
      </c>
      <c r="AF82" s="203">
        <v>0.6714</v>
      </c>
      <c r="AG82" s="203">
        <v>0.68179999999999996</v>
      </c>
      <c r="AH82" s="231" t="s">
        <v>410</v>
      </c>
      <c r="AI82" s="200" t="s">
        <v>626</v>
      </c>
      <c r="AJ82" s="200" t="s">
        <v>627</v>
      </c>
      <c r="AK82" s="203">
        <v>0.67759999999999998</v>
      </c>
      <c r="AL82" s="203">
        <v>0.70250000000000001</v>
      </c>
      <c r="AM82" s="203">
        <v>0.68579999999999997</v>
      </c>
      <c r="AN82" s="203">
        <v>0.69950000000000001</v>
      </c>
      <c r="AO82" s="203">
        <v>0.66579999999999995</v>
      </c>
      <c r="AP82" s="203">
        <v>0.68940000000000001</v>
      </c>
      <c r="AQ82" s="205" t="s">
        <v>410</v>
      </c>
      <c r="AR82" s="200" t="s">
        <v>510</v>
      </c>
      <c r="AS82" s="200" t="s">
        <v>511</v>
      </c>
      <c r="AT82" s="203">
        <v>0.68810000000000004</v>
      </c>
      <c r="AU82" s="203">
        <v>0.70389999999999997</v>
      </c>
      <c r="AV82" s="203">
        <v>0.68430000000000002</v>
      </c>
      <c r="AW82" s="203">
        <v>0.71489999999999998</v>
      </c>
      <c r="AX82" s="203">
        <v>0.67920000000000003</v>
      </c>
      <c r="AY82" s="203">
        <v>0.69640000000000002</v>
      </c>
      <c r="AZ82" s="204" t="s">
        <v>410</v>
      </c>
      <c r="BA82" s="200" t="s">
        <v>770</v>
      </c>
      <c r="BB82" s="200" t="s">
        <v>771</v>
      </c>
      <c r="BC82" s="203">
        <v>0.69230000000000003</v>
      </c>
      <c r="BD82" s="203">
        <v>0.6845</v>
      </c>
      <c r="BE82" s="203">
        <v>0.66839999999999999</v>
      </c>
      <c r="BF82" s="203">
        <v>0.71989999999999998</v>
      </c>
      <c r="BG82" s="203">
        <v>0.67659999999999998</v>
      </c>
      <c r="BH82" s="203">
        <v>0.69010000000000005</v>
      </c>
      <c r="BI82" s="201" t="s">
        <v>410</v>
      </c>
      <c r="BJ82" s="222">
        <v>850</v>
      </c>
      <c r="BK82" s="222">
        <v>816</v>
      </c>
      <c r="BL82" s="203">
        <v>0.69950000000000001</v>
      </c>
      <c r="BM82" s="203">
        <v>0.66259999999999997</v>
      </c>
      <c r="BN82" s="203">
        <v>0.65690000000000004</v>
      </c>
      <c r="BO82" s="203">
        <v>0.71830000000000005</v>
      </c>
      <c r="BP82" s="203">
        <v>0.66259999999999997</v>
      </c>
      <c r="BQ82" s="203">
        <v>0.68269999999999997</v>
      </c>
      <c r="BR82" s="410" t="s">
        <v>410</v>
      </c>
      <c r="BS82" s="391">
        <v>821</v>
      </c>
      <c r="BT82" s="391">
        <v>811</v>
      </c>
      <c r="BU82" s="391">
        <v>0.69740000000000002</v>
      </c>
      <c r="BV82" s="391">
        <v>0.65990000000000004</v>
      </c>
      <c r="BW82" s="391">
        <v>0.65720000000000001</v>
      </c>
      <c r="BX82" s="391">
        <v>0.72240000000000004</v>
      </c>
      <c r="BY82" s="391">
        <v>0.66290000000000004</v>
      </c>
      <c r="BZ82" s="391">
        <v>0.68259999999999998</v>
      </c>
      <c r="CA82" s="539" t="s">
        <v>410</v>
      </c>
      <c r="CB82" s="537" t="s">
        <v>611</v>
      </c>
      <c r="CC82" s="537" t="s">
        <v>997</v>
      </c>
      <c r="CD82" s="538">
        <v>0.6865</v>
      </c>
      <c r="CE82" s="538">
        <v>0.65529999999999999</v>
      </c>
      <c r="CF82" s="538">
        <v>0.6502</v>
      </c>
      <c r="CG82" s="538">
        <v>0.71550000000000002</v>
      </c>
      <c r="CH82" s="538">
        <v>0.65310000000000001</v>
      </c>
      <c r="CI82" s="538">
        <v>0.67500000000000004</v>
      </c>
      <c r="CJ82" s="669" t="s">
        <v>410</v>
      </c>
      <c r="CK82" s="668">
        <v>894</v>
      </c>
      <c r="CL82" s="668">
        <v>870</v>
      </c>
      <c r="CM82" s="659">
        <v>0.68269999999999997</v>
      </c>
      <c r="CN82" s="659">
        <v>0.65890000000000004</v>
      </c>
      <c r="CO82" s="659">
        <v>0.64910000000000001</v>
      </c>
      <c r="CP82" s="659">
        <v>0.71650000000000003</v>
      </c>
      <c r="CQ82" s="659">
        <v>0.67159999999999997</v>
      </c>
      <c r="CR82" s="659">
        <v>0.6764</v>
      </c>
    </row>
    <row r="83" spans="1:96" x14ac:dyDescent="0.3">
      <c r="A83" s="62" t="s">
        <v>281</v>
      </c>
      <c r="B83" s="200" t="s">
        <v>104</v>
      </c>
      <c r="C83" s="200" t="s">
        <v>573</v>
      </c>
      <c r="D83" s="200" t="s">
        <v>422</v>
      </c>
      <c r="E83" s="200" t="s">
        <v>794</v>
      </c>
      <c r="F83" s="200" t="s">
        <v>220</v>
      </c>
      <c r="G83" s="240" t="s">
        <v>410</v>
      </c>
      <c r="H83" s="241" t="s">
        <v>723</v>
      </c>
      <c r="I83" s="241" t="s">
        <v>532</v>
      </c>
      <c r="J83" s="241">
        <v>0.68089999999999995</v>
      </c>
      <c r="K83" s="241">
        <v>0.67610000000000003</v>
      </c>
      <c r="L83" s="241">
        <v>0.67920000000000003</v>
      </c>
      <c r="M83" s="241">
        <v>0.68010000000000004</v>
      </c>
      <c r="N83" s="241">
        <v>0.66090000000000004</v>
      </c>
      <c r="O83" s="241">
        <v>0.67769999999999997</v>
      </c>
      <c r="P83" s="248" t="s">
        <v>410</v>
      </c>
      <c r="Q83" s="249" t="s">
        <v>506</v>
      </c>
      <c r="R83" s="249" t="s">
        <v>831</v>
      </c>
      <c r="S83" s="249">
        <v>0.69169999999999998</v>
      </c>
      <c r="T83" s="249">
        <v>0.6925</v>
      </c>
      <c r="U83" s="249">
        <v>0.69130000000000003</v>
      </c>
      <c r="V83" s="249">
        <v>0.68500000000000005</v>
      </c>
      <c r="W83" s="249">
        <v>0.67</v>
      </c>
      <c r="X83" s="249">
        <v>0.68859999999999999</v>
      </c>
      <c r="Y83" s="204" t="s">
        <v>410</v>
      </c>
      <c r="Z83" s="200" t="s">
        <v>442</v>
      </c>
      <c r="AA83" s="200" t="s">
        <v>677</v>
      </c>
      <c r="AB83" s="203">
        <v>0.69679999999999997</v>
      </c>
      <c r="AC83" s="203">
        <v>0.71050000000000002</v>
      </c>
      <c r="AD83" s="203">
        <v>0.69930000000000003</v>
      </c>
      <c r="AE83" s="203">
        <v>0.70379999999999998</v>
      </c>
      <c r="AF83" s="203">
        <v>0.69179999999999997</v>
      </c>
      <c r="AG83" s="203">
        <v>0.70179999999999998</v>
      </c>
      <c r="AH83" s="231" t="s">
        <v>410</v>
      </c>
      <c r="AI83" s="200" t="s">
        <v>610</v>
      </c>
      <c r="AJ83" s="200" t="s">
        <v>442</v>
      </c>
      <c r="AK83" s="203">
        <v>0.7036</v>
      </c>
      <c r="AL83" s="203">
        <v>0.71889999999999998</v>
      </c>
      <c r="AM83" s="203">
        <v>0.70309999999999995</v>
      </c>
      <c r="AN83" s="203">
        <v>0.72309999999999997</v>
      </c>
      <c r="AO83" s="203">
        <v>0.69489999999999996</v>
      </c>
      <c r="AP83" s="203">
        <v>0.71079999999999999</v>
      </c>
      <c r="AQ83" s="205" t="s">
        <v>410</v>
      </c>
      <c r="AR83" s="200" t="s">
        <v>497</v>
      </c>
      <c r="AS83" s="200" t="s">
        <v>498</v>
      </c>
      <c r="AT83" s="203">
        <v>0.69489999999999996</v>
      </c>
      <c r="AU83" s="203">
        <v>0.69550000000000001</v>
      </c>
      <c r="AV83" s="203">
        <v>0.68689999999999996</v>
      </c>
      <c r="AW83" s="203">
        <v>0.73</v>
      </c>
      <c r="AX83" s="203">
        <v>0.69650000000000001</v>
      </c>
      <c r="AY83" s="203">
        <v>0.70140000000000002</v>
      </c>
      <c r="AZ83" s="201" t="s">
        <v>410</v>
      </c>
      <c r="BA83" s="202" t="s">
        <v>777</v>
      </c>
      <c r="BB83" s="202" t="s">
        <v>767</v>
      </c>
      <c r="BC83" s="203">
        <v>0.68179999999999996</v>
      </c>
      <c r="BD83" s="203">
        <v>0.66779999999999995</v>
      </c>
      <c r="BE83" s="203">
        <v>0.66439999999999999</v>
      </c>
      <c r="BF83" s="203">
        <v>0.7238</v>
      </c>
      <c r="BG83" s="203">
        <v>0.67630000000000001</v>
      </c>
      <c r="BH83" s="203">
        <v>0.68379999999999996</v>
      </c>
      <c r="BI83" s="206" t="s">
        <v>546</v>
      </c>
      <c r="BJ83" s="222">
        <v>490</v>
      </c>
      <c r="BK83" s="222">
        <v>474</v>
      </c>
      <c r="BL83" s="203">
        <v>0.67320000000000002</v>
      </c>
      <c r="BM83" s="203">
        <v>0.64319999999999999</v>
      </c>
      <c r="BN83" s="203">
        <v>0.64829999999999999</v>
      </c>
      <c r="BO83" s="203">
        <v>0.71350000000000002</v>
      </c>
      <c r="BP83" s="203">
        <v>0.65500000000000003</v>
      </c>
      <c r="BQ83" s="203">
        <v>0.66839999999999999</v>
      </c>
      <c r="BR83" s="412" t="s">
        <v>546</v>
      </c>
      <c r="BS83" s="391">
        <v>456</v>
      </c>
      <c r="BT83" s="391">
        <v>448</v>
      </c>
      <c r="BU83" s="391">
        <v>0.67269999999999996</v>
      </c>
      <c r="BV83" s="391">
        <v>0.64410000000000001</v>
      </c>
      <c r="BW83" s="391">
        <v>0.6421</v>
      </c>
      <c r="BX83" s="391">
        <v>0.71750000000000003</v>
      </c>
      <c r="BY83" s="391">
        <v>0.64290000000000003</v>
      </c>
      <c r="BZ83" s="391">
        <v>0.66710000000000003</v>
      </c>
      <c r="CA83" s="540" t="s">
        <v>546</v>
      </c>
      <c r="CB83" s="537" t="s">
        <v>976</v>
      </c>
      <c r="CC83" s="537" t="s">
        <v>442</v>
      </c>
      <c r="CD83" s="538">
        <v>0.6764</v>
      </c>
      <c r="CE83" s="538">
        <v>0.63839999999999997</v>
      </c>
      <c r="CF83" s="538">
        <v>0.63900000000000001</v>
      </c>
      <c r="CG83" s="538">
        <v>0.7137</v>
      </c>
      <c r="CH83" s="538">
        <v>0.65269999999999995</v>
      </c>
      <c r="CI83" s="538">
        <v>0.66579999999999995</v>
      </c>
      <c r="CJ83" s="670" t="s">
        <v>546</v>
      </c>
      <c r="CK83" s="668">
        <v>447</v>
      </c>
      <c r="CL83" s="668">
        <v>439</v>
      </c>
      <c r="CM83" s="659">
        <v>0.67779999999999996</v>
      </c>
      <c r="CN83" s="659">
        <v>0.64710000000000001</v>
      </c>
      <c r="CO83" s="659">
        <v>0.63570000000000004</v>
      </c>
      <c r="CP83" s="659">
        <v>0.71179999999999999</v>
      </c>
      <c r="CQ83" s="659">
        <v>0.68340000000000001</v>
      </c>
      <c r="CR83" s="659">
        <v>0.66930000000000001</v>
      </c>
    </row>
    <row r="84" spans="1:96" x14ac:dyDescent="0.3">
      <c r="A84" s="62" t="s">
        <v>292</v>
      </c>
      <c r="B84" s="200" t="s">
        <v>189</v>
      </c>
      <c r="C84" s="200" t="s">
        <v>573</v>
      </c>
      <c r="D84" s="200" t="s">
        <v>422</v>
      </c>
      <c r="E84" s="200" t="s">
        <v>794</v>
      </c>
      <c r="F84" s="200" t="s">
        <v>222</v>
      </c>
      <c r="G84" s="242" t="s">
        <v>546</v>
      </c>
      <c r="H84" s="241" t="s">
        <v>684</v>
      </c>
      <c r="I84" s="241" t="s">
        <v>684</v>
      </c>
      <c r="J84" s="241">
        <v>0.65239999999999998</v>
      </c>
      <c r="K84" s="241">
        <v>0.65039999999999998</v>
      </c>
      <c r="L84" s="241">
        <v>0.63780000000000003</v>
      </c>
      <c r="M84" s="241">
        <v>0.65129999999999999</v>
      </c>
      <c r="N84" s="241">
        <v>0.64459999999999995</v>
      </c>
      <c r="O84" s="241">
        <v>0.64770000000000005</v>
      </c>
      <c r="P84" s="250" t="s">
        <v>546</v>
      </c>
      <c r="Q84" s="249" t="s">
        <v>551</v>
      </c>
      <c r="R84" s="249" t="s">
        <v>428</v>
      </c>
      <c r="S84" s="249">
        <v>0.63770000000000004</v>
      </c>
      <c r="T84" s="249">
        <v>0.65969999999999995</v>
      </c>
      <c r="U84" s="249">
        <v>0.63719999999999999</v>
      </c>
      <c r="V84" s="249">
        <v>0.6462</v>
      </c>
      <c r="W84" s="249">
        <v>0.64290000000000003</v>
      </c>
      <c r="X84" s="249">
        <v>0.64500000000000002</v>
      </c>
      <c r="Y84" s="207" t="s">
        <v>546</v>
      </c>
      <c r="Z84" s="200" t="s">
        <v>653</v>
      </c>
      <c r="AA84" s="200" t="s">
        <v>452</v>
      </c>
      <c r="AB84" s="203">
        <v>0.63600000000000001</v>
      </c>
      <c r="AC84" s="203">
        <v>0.67279999999999995</v>
      </c>
      <c r="AD84" s="203">
        <v>0.63529999999999998</v>
      </c>
      <c r="AE84" s="203">
        <v>0.65269999999999995</v>
      </c>
      <c r="AF84" s="203">
        <v>0.65100000000000002</v>
      </c>
      <c r="AG84" s="203">
        <v>0.64939999999999998</v>
      </c>
      <c r="AH84" s="227" t="s">
        <v>546</v>
      </c>
      <c r="AI84" s="200" t="s">
        <v>644</v>
      </c>
      <c r="AJ84" s="200" t="s">
        <v>645</v>
      </c>
      <c r="AK84" s="203">
        <v>0.62970000000000004</v>
      </c>
      <c r="AL84" s="203">
        <v>0.66159999999999997</v>
      </c>
      <c r="AM84" s="203">
        <v>0.621</v>
      </c>
      <c r="AN84" s="203">
        <v>0.65290000000000004</v>
      </c>
      <c r="AO84" s="203">
        <v>0.64239999999999997</v>
      </c>
      <c r="AP84" s="203">
        <v>0.64139999999999997</v>
      </c>
      <c r="AQ84" s="208" t="s">
        <v>546</v>
      </c>
      <c r="AR84" s="200" t="s">
        <v>448</v>
      </c>
      <c r="AS84" s="200" t="s">
        <v>500</v>
      </c>
      <c r="AT84" s="203">
        <v>0.62739999999999996</v>
      </c>
      <c r="AU84" s="203">
        <v>0.65339999999999998</v>
      </c>
      <c r="AV84" s="203">
        <v>0.61080000000000001</v>
      </c>
      <c r="AW84" s="203">
        <v>0.66239999999999999</v>
      </c>
      <c r="AX84" s="203">
        <v>0.6482</v>
      </c>
      <c r="AY84" s="203">
        <v>0.63919999999999999</v>
      </c>
      <c r="AZ84" s="209" t="s">
        <v>562</v>
      </c>
      <c r="BA84" s="200" t="s">
        <v>426</v>
      </c>
      <c r="BB84" s="200" t="s">
        <v>82</v>
      </c>
      <c r="BC84" s="203">
        <v>0.61040000000000005</v>
      </c>
      <c r="BD84" s="203">
        <v>0.61960000000000004</v>
      </c>
      <c r="BE84" s="203">
        <v>0.58279999999999998</v>
      </c>
      <c r="BF84" s="203">
        <v>0.66390000000000005</v>
      </c>
      <c r="BG84" s="203">
        <v>0.61499999999999999</v>
      </c>
      <c r="BH84" s="203">
        <v>0.61890000000000001</v>
      </c>
      <c r="BI84" s="206" t="s">
        <v>546</v>
      </c>
      <c r="BJ84" s="222">
        <v>67</v>
      </c>
      <c r="BK84" s="222">
        <v>63</v>
      </c>
      <c r="BL84" s="203">
        <v>0.65990000000000004</v>
      </c>
      <c r="BM84" s="203">
        <v>0.63200000000000001</v>
      </c>
      <c r="BN84" s="203">
        <v>0.62260000000000004</v>
      </c>
      <c r="BO84" s="203">
        <v>0.68789999999999996</v>
      </c>
      <c r="BP84" s="203">
        <v>0.61180000000000001</v>
      </c>
      <c r="BQ84" s="203">
        <v>0.64759999999999995</v>
      </c>
      <c r="BR84" s="410" t="s">
        <v>410</v>
      </c>
      <c r="BS84" s="391">
        <v>71</v>
      </c>
      <c r="BT84" s="391">
        <v>71</v>
      </c>
      <c r="BU84" s="391">
        <v>0.69020000000000004</v>
      </c>
      <c r="BV84" s="391">
        <v>0.65949999999999998</v>
      </c>
      <c r="BW84" s="391">
        <v>0.65569999999999995</v>
      </c>
      <c r="BX84" s="391">
        <v>0.71950000000000003</v>
      </c>
      <c r="BY84" s="391">
        <v>0.6381</v>
      </c>
      <c r="BZ84" s="391">
        <v>0.67789999999999995</v>
      </c>
      <c r="CA84" s="539" t="s">
        <v>410</v>
      </c>
      <c r="CB84" s="537" t="s">
        <v>429</v>
      </c>
      <c r="CC84" s="537" t="s">
        <v>429</v>
      </c>
      <c r="CD84" s="538">
        <v>0.70720000000000005</v>
      </c>
      <c r="CE84" s="538">
        <v>0.67049999999999998</v>
      </c>
      <c r="CF84" s="538">
        <v>0.67700000000000005</v>
      </c>
      <c r="CG84" s="538">
        <v>0.73</v>
      </c>
      <c r="CH84" s="538">
        <v>0.66100000000000003</v>
      </c>
      <c r="CI84" s="538">
        <v>0.69350000000000001</v>
      </c>
      <c r="CJ84" s="669" t="s">
        <v>410</v>
      </c>
      <c r="CK84" s="665">
        <v>67</v>
      </c>
      <c r="CL84" s="665">
        <v>67</v>
      </c>
      <c r="CM84" s="509">
        <v>0.71340000000000003</v>
      </c>
      <c r="CN84" s="509">
        <v>0.67679999999999996</v>
      </c>
      <c r="CO84" s="509">
        <v>0.67710000000000004</v>
      </c>
      <c r="CP84" s="509">
        <v>0.73580000000000001</v>
      </c>
      <c r="CQ84" s="509">
        <v>0.69479999999999997</v>
      </c>
      <c r="CR84" s="509">
        <v>0.70030000000000003</v>
      </c>
    </row>
    <row r="85" spans="1:96" x14ac:dyDescent="0.3">
      <c r="A85" s="62" t="s">
        <v>173</v>
      </c>
      <c r="B85" s="200" t="s">
        <v>172</v>
      </c>
      <c r="C85" s="200" t="s">
        <v>573</v>
      </c>
      <c r="D85" s="200" t="s">
        <v>422</v>
      </c>
      <c r="E85" s="200" t="s">
        <v>794</v>
      </c>
      <c r="F85" s="200" t="s">
        <v>220</v>
      </c>
      <c r="G85" s="240" t="s">
        <v>410</v>
      </c>
      <c r="H85" s="241" t="s">
        <v>722</v>
      </c>
      <c r="I85" s="241" t="s">
        <v>831</v>
      </c>
      <c r="J85" s="241">
        <v>0.6734</v>
      </c>
      <c r="K85" s="241">
        <v>0.67610000000000003</v>
      </c>
      <c r="L85" s="241">
        <v>0.67910000000000004</v>
      </c>
      <c r="M85" s="241">
        <v>0.68899999999999995</v>
      </c>
      <c r="N85" s="241">
        <v>0.6653</v>
      </c>
      <c r="O85" s="241">
        <v>0.67830000000000001</v>
      </c>
      <c r="P85" s="248" t="s">
        <v>410</v>
      </c>
      <c r="Q85" s="249" t="s">
        <v>861</v>
      </c>
      <c r="R85" s="249" t="s">
        <v>862</v>
      </c>
      <c r="S85" s="249">
        <v>0.66620000000000001</v>
      </c>
      <c r="T85" s="249">
        <v>0.68200000000000005</v>
      </c>
      <c r="U85" s="249">
        <v>0.67549999999999999</v>
      </c>
      <c r="V85" s="249">
        <v>0.68330000000000002</v>
      </c>
      <c r="W85" s="249">
        <v>0.66110000000000002</v>
      </c>
      <c r="X85" s="249">
        <v>0.67549999999999999</v>
      </c>
      <c r="Y85" s="204" t="s">
        <v>410</v>
      </c>
      <c r="Z85" s="200" t="s">
        <v>697</v>
      </c>
      <c r="AA85" s="200" t="s">
        <v>698</v>
      </c>
      <c r="AB85" s="203">
        <v>0.66339999999999999</v>
      </c>
      <c r="AC85" s="203">
        <v>0.69599999999999995</v>
      </c>
      <c r="AD85" s="203">
        <v>0.67410000000000003</v>
      </c>
      <c r="AE85" s="203">
        <v>0.69059999999999999</v>
      </c>
      <c r="AF85" s="203">
        <v>0.67049999999999998</v>
      </c>
      <c r="AG85" s="203">
        <v>0.68020000000000003</v>
      </c>
      <c r="AH85" s="231" t="s">
        <v>410</v>
      </c>
      <c r="AI85" s="200" t="s">
        <v>635</v>
      </c>
      <c r="AJ85" s="200" t="s">
        <v>636</v>
      </c>
      <c r="AK85" s="203">
        <v>0.66869999999999996</v>
      </c>
      <c r="AL85" s="203">
        <v>0.69789999999999996</v>
      </c>
      <c r="AM85" s="203">
        <v>0.67300000000000004</v>
      </c>
      <c r="AN85" s="203">
        <v>0.69820000000000004</v>
      </c>
      <c r="AO85" s="203">
        <v>0.67100000000000004</v>
      </c>
      <c r="AP85" s="203">
        <v>0.68340000000000001</v>
      </c>
      <c r="AQ85" s="205" t="s">
        <v>410</v>
      </c>
      <c r="AR85" s="200" t="s">
        <v>526</v>
      </c>
      <c r="AS85" s="200" t="s">
        <v>527</v>
      </c>
      <c r="AT85" s="203">
        <v>0.67720000000000002</v>
      </c>
      <c r="AU85" s="203">
        <v>0.69710000000000005</v>
      </c>
      <c r="AV85" s="203">
        <v>0.67449999999999999</v>
      </c>
      <c r="AW85" s="203">
        <v>0.71560000000000001</v>
      </c>
      <c r="AX85" s="203">
        <v>0.68120000000000003</v>
      </c>
      <c r="AY85" s="203">
        <v>0.69030000000000002</v>
      </c>
      <c r="AZ85" s="204" t="s">
        <v>410</v>
      </c>
      <c r="BA85" s="200" t="s">
        <v>774</v>
      </c>
      <c r="BB85" s="200" t="s">
        <v>775</v>
      </c>
      <c r="BC85" s="203">
        <v>0.6835</v>
      </c>
      <c r="BD85" s="203">
        <v>0.68179999999999996</v>
      </c>
      <c r="BE85" s="203">
        <v>0.66259999999999997</v>
      </c>
      <c r="BF85" s="203">
        <v>0.72160000000000002</v>
      </c>
      <c r="BG85" s="203">
        <v>0.67320000000000002</v>
      </c>
      <c r="BH85" s="203">
        <v>0.68630000000000002</v>
      </c>
      <c r="BI85" s="201" t="s">
        <v>410</v>
      </c>
      <c r="BJ85" s="222">
        <v>769</v>
      </c>
      <c r="BK85" s="222">
        <v>750</v>
      </c>
      <c r="BL85" s="203">
        <v>0.68230000000000002</v>
      </c>
      <c r="BM85" s="203">
        <v>0.6694</v>
      </c>
      <c r="BN85" s="203">
        <v>0.65210000000000001</v>
      </c>
      <c r="BO85" s="203">
        <v>0.7208</v>
      </c>
      <c r="BP85" s="203">
        <v>0.66359999999999997</v>
      </c>
      <c r="BQ85" s="203">
        <v>0.67979999999999996</v>
      </c>
      <c r="BR85" s="412" t="s">
        <v>546</v>
      </c>
      <c r="BS85" s="391">
        <v>346</v>
      </c>
      <c r="BT85" s="391">
        <v>334</v>
      </c>
      <c r="BU85" s="391">
        <v>0.67390000000000005</v>
      </c>
      <c r="BV85" s="391">
        <v>0.64200000000000002</v>
      </c>
      <c r="BW85" s="391">
        <v>0.63139999999999996</v>
      </c>
      <c r="BX85" s="391">
        <v>0.70689999999999997</v>
      </c>
      <c r="BY85" s="391">
        <v>0.62480000000000002</v>
      </c>
      <c r="BZ85" s="391">
        <v>0.66059999999999997</v>
      </c>
      <c r="CA85" s="540" t="s">
        <v>546</v>
      </c>
      <c r="CB85" s="537" t="s">
        <v>998</v>
      </c>
      <c r="CC85" s="537" t="s">
        <v>447</v>
      </c>
      <c r="CD85" s="538">
        <v>0.67149999999999999</v>
      </c>
      <c r="CE85" s="538">
        <v>0.64829999999999999</v>
      </c>
      <c r="CF85" s="538">
        <v>0.64400000000000002</v>
      </c>
      <c r="CG85" s="538">
        <v>0.70720000000000005</v>
      </c>
      <c r="CH85" s="538">
        <v>0.63349999999999995</v>
      </c>
      <c r="CI85" s="538">
        <v>0.66510000000000002</v>
      </c>
      <c r="CJ85" s="670" t="s">
        <v>546</v>
      </c>
      <c r="CK85" s="668">
        <v>359</v>
      </c>
      <c r="CL85" s="668">
        <v>342</v>
      </c>
      <c r="CM85" s="659">
        <v>0.6724</v>
      </c>
      <c r="CN85" s="659">
        <v>0.64939999999999998</v>
      </c>
      <c r="CO85" s="659">
        <v>0.64410000000000001</v>
      </c>
      <c r="CP85" s="659">
        <v>0.70589999999999997</v>
      </c>
      <c r="CQ85" s="659">
        <v>0.64449999999999996</v>
      </c>
      <c r="CR85" s="659">
        <v>0.66620000000000001</v>
      </c>
    </row>
    <row r="86" spans="1:96" x14ac:dyDescent="0.3">
      <c r="A86" s="62" t="s">
        <v>33</v>
      </c>
      <c r="B86" s="200" t="s">
        <v>32</v>
      </c>
      <c r="C86" s="200" t="s">
        <v>573</v>
      </c>
      <c r="D86" s="200" t="s">
        <v>422</v>
      </c>
      <c r="E86" s="200" t="s">
        <v>794</v>
      </c>
      <c r="F86" s="200" t="s">
        <v>220</v>
      </c>
      <c r="G86" s="242" t="s">
        <v>546</v>
      </c>
      <c r="H86" s="241" t="s">
        <v>832</v>
      </c>
      <c r="I86" s="241" t="s">
        <v>833</v>
      </c>
      <c r="J86" s="241">
        <v>0.6613</v>
      </c>
      <c r="K86" s="241">
        <v>0.66320000000000001</v>
      </c>
      <c r="L86" s="241">
        <v>0.66710000000000003</v>
      </c>
      <c r="M86" s="241">
        <v>0.67159999999999997</v>
      </c>
      <c r="N86" s="241">
        <v>0.65680000000000005</v>
      </c>
      <c r="O86" s="241">
        <v>0.66510000000000002</v>
      </c>
      <c r="P86" s="250" t="s">
        <v>546</v>
      </c>
      <c r="Q86" s="249" t="s">
        <v>652</v>
      </c>
      <c r="R86" s="249" t="s">
        <v>863</v>
      </c>
      <c r="S86" s="249">
        <v>0.66959999999999997</v>
      </c>
      <c r="T86" s="249">
        <v>0.67589999999999995</v>
      </c>
      <c r="U86" s="249">
        <v>0.66749999999999998</v>
      </c>
      <c r="V86" s="249">
        <v>0.66949999999999998</v>
      </c>
      <c r="W86" s="249">
        <v>0.6462</v>
      </c>
      <c r="X86" s="249">
        <v>0.66869999999999996</v>
      </c>
      <c r="Y86" s="204" t="s">
        <v>410</v>
      </c>
      <c r="Z86" s="200" t="s">
        <v>704</v>
      </c>
      <c r="AA86" s="200" t="s">
        <v>705</v>
      </c>
      <c r="AB86" s="203">
        <v>0.67030000000000001</v>
      </c>
      <c r="AC86" s="203">
        <v>0.68769999999999998</v>
      </c>
      <c r="AD86" s="203">
        <v>0.6694</v>
      </c>
      <c r="AE86" s="203">
        <v>0.67979999999999996</v>
      </c>
      <c r="AF86" s="203">
        <v>0.65259999999999996</v>
      </c>
      <c r="AG86" s="203">
        <v>0.67490000000000006</v>
      </c>
      <c r="AH86" s="231" t="s">
        <v>410</v>
      </c>
      <c r="AI86" s="200" t="s">
        <v>633</v>
      </c>
      <c r="AJ86" s="200" t="s">
        <v>634</v>
      </c>
      <c r="AK86" s="203">
        <v>0.6865</v>
      </c>
      <c r="AL86" s="203">
        <v>0.69520000000000004</v>
      </c>
      <c r="AM86" s="203">
        <v>0.67669999999999997</v>
      </c>
      <c r="AN86" s="203">
        <v>0.69159999999999999</v>
      </c>
      <c r="AO86" s="203">
        <v>0.65239999999999998</v>
      </c>
      <c r="AP86" s="203">
        <v>0.68479999999999996</v>
      </c>
      <c r="AQ86" s="205" t="s">
        <v>410</v>
      </c>
      <c r="AR86" s="200" t="s">
        <v>501</v>
      </c>
      <c r="AS86" s="200" t="s">
        <v>502</v>
      </c>
      <c r="AT86" s="203">
        <v>0.70489999999999997</v>
      </c>
      <c r="AU86" s="203">
        <v>0.7046</v>
      </c>
      <c r="AV86" s="203">
        <v>0.68340000000000001</v>
      </c>
      <c r="AW86" s="203">
        <v>0.71389999999999998</v>
      </c>
      <c r="AX86" s="203">
        <v>0.67920000000000003</v>
      </c>
      <c r="AY86" s="203">
        <v>0.7</v>
      </c>
      <c r="AZ86" s="204" t="s">
        <v>410</v>
      </c>
      <c r="BA86" s="200" t="s">
        <v>766</v>
      </c>
      <c r="BB86" s="200" t="s">
        <v>767</v>
      </c>
      <c r="BC86" s="203">
        <v>0.71450000000000002</v>
      </c>
      <c r="BD86" s="203">
        <v>0.69010000000000005</v>
      </c>
      <c r="BE86" s="203">
        <v>0.66310000000000002</v>
      </c>
      <c r="BF86" s="203">
        <v>0.71599999999999997</v>
      </c>
      <c r="BG86" s="203">
        <v>0.67949999999999999</v>
      </c>
      <c r="BH86" s="203">
        <v>0.69469999999999998</v>
      </c>
      <c r="BI86" s="201" t="s">
        <v>410</v>
      </c>
      <c r="BJ86" s="222">
        <v>532</v>
      </c>
      <c r="BK86" s="222">
        <v>505</v>
      </c>
      <c r="BL86" s="203">
        <v>0.71279999999999999</v>
      </c>
      <c r="BM86" s="203">
        <v>0.67259999999999998</v>
      </c>
      <c r="BN86" s="203">
        <v>0.65469999999999995</v>
      </c>
      <c r="BO86" s="203">
        <v>0.71819999999999995</v>
      </c>
      <c r="BP86" s="203">
        <v>0.66449999999999998</v>
      </c>
      <c r="BQ86" s="203">
        <v>0.68759999999999999</v>
      </c>
      <c r="BR86" s="410" t="s">
        <v>410</v>
      </c>
      <c r="BS86" s="391">
        <v>560</v>
      </c>
      <c r="BT86" s="391">
        <v>551</v>
      </c>
      <c r="BU86" s="391">
        <v>0.69950000000000001</v>
      </c>
      <c r="BV86" s="391">
        <v>0.65749999999999997</v>
      </c>
      <c r="BW86" s="391">
        <v>0.64559999999999995</v>
      </c>
      <c r="BX86" s="391">
        <v>0.7147</v>
      </c>
      <c r="BY86" s="391">
        <v>0.66</v>
      </c>
      <c r="BZ86" s="391">
        <v>0.67779999999999996</v>
      </c>
      <c r="CA86" s="539" t="s">
        <v>410</v>
      </c>
      <c r="CB86" s="537" t="s">
        <v>999</v>
      </c>
      <c r="CC86" s="537" t="s">
        <v>697</v>
      </c>
      <c r="CD86" s="538">
        <v>0.69279999999999997</v>
      </c>
      <c r="CE86" s="538">
        <v>0.65680000000000005</v>
      </c>
      <c r="CF86" s="538">
        <v>0.64639999999999997</v>
      </c>
      <c r="CG86" s="538">
        <v>0.71560000000000001</v>
      </c>
      <c r="CH86" s="538">
        <v>0.67300000000000004</v>
      </c>
      <c r="CI86" s="538">
        <v>0.67749999999999999</v>
      </c>
      <c r="CJ86" s="669" t="s">
        <v>410</v>
      </c>
      <c r="CK86" s="672">
        <v>577</v>
      </c>
      <c r="CL86" s="672">
        <v>559</v>
      </c>
      <c r="CM86" s="645">
        <v>0.67930000000000001</v>
      </c>
      <c r="CN86" s="645">
        <v>0.6573</v>
      </c>
      <c r="CO86" s="645">
        <v>0.63470000000000004</v>
      </c>
      <c r="CP86" s="645">
        <v>0.70589999999999997</v>
      </c>
      <c r="CQ86" s="645">
        <v>0.69020000000000004</v>
      </c>
      <c r="CR86" s="645">
        <v>0.67090000000000005</v>
      </c>
    </row>
    <row r="87" spans="1:96" x14ac:dyDescent="0.3">
      <c r="A87" s="62" t="s">
        <v>65</v>
      </c>
      <c r="B87" s="200" t="s">
        <v>64</v>
      </c>
      <c r="C87" s="200" t="s">
        <v>573</v>
      </c>
      <c r="D87" s="200" t="s">
        <v>422</v>
      </c>
      <c r="E87" s="200" t="s">
        <v>794</v>
      </c>
      <c r="F87" s="200" t="s">
        <v>220</v>
      </c>
      <c r="G87" s="240" t="s">
        <v>410</v>
      </c>
      <c r="H87" s="241" t="s">
        <v>834</v>
      </c>
      <c r="I87" s="241" t="s">
        <v>835</v>
      </c>
      <c r="J87" s="241">
        <v>0.68030000000000002</v>
      </c>
      <c r="K87" s="241">
        <v>0.67430000000000001</v>
      </c>
      <c r="L87" s="241">
        <v>0.67649999999999999</v>
      </c>
      <c r="M87" s="241">
        <v>0.6845</v>
      </c>
      <c r="N87" s="241">
        <v>0.65029999999999999</v>
      </c>
      <c r="O87" s="241">
        <v>0.67669999999999997</v>
      </c>
      <c r="P87" s="248" t="s">
        <v>410</v>
      </c>
      <c r="Q87" s="249" t="s">
        <v>864</v>
      </c>
      <c r="R87" s="249" t="s">
        <v>865</v>
      </c>
      <c r="S87" s="249">
        <v>0.68179999999999996</v>
      </c>
      <c r="T87" s="249">
        <v>0.67689999999999995</v>
      </c>
      <c r="U87" s="249">
        <v>0.67720000000000002</v>
      </c>
      <c r="V87" s="249">
        <v>0.68620000000000003</v>
      </c>
      <c r="W87" s="249">
        <v>0.65459999999999996</v>
      </c>
      <c r="X87" s="249">
        <v>0.67849999999999999</v>
      </c>
      <c r="Y87" s="204" t="s">
        <v>410</v>
      </c>
      <c r="Z87" s="200" t="s">
        <v>686</v>
      </c>
      <c r="AA87" s="200" t="s">
        <v>687</v>
      </c>
      <c r="AB87" s="203">
        <v>0.68520000000000003</v>
      </c>
      <c r="AC87" s="203">
        <v>0.69169999999999998</v>
      </c>
      <c r="AD87" s="203">
        <v>0.68610000000000004</v>
      </c>
      <c r="AE87" s="203">
        <v>0.69910000000000005</v>
      </c>
      <c r="AF87" s="203">
        <v>0.66790000000000005</v>
      </c>
      <c r="AG87" s="203">
        <v>0.68879999999999997</v>
      </c>
      <c r="AH87" s="231" t="s">
        <v>410</v>
      </c>
      <c r="AI87" s="200" t="s">
        <v>622</v>
      </c>
      <c r="AJ87" s="200" t="s">
        <v>623</v>
      </c>
      <c r="AK87" s="203">
        <v>0.68120000000000003</v>
      </c>
      <c r="AL87" s="203">
        <v>0.69399999999999995</v>
      </c>
      <c r="AM87" s="203">
        <v>0.68730000000000002</v>
      </c>
      <c r="AN87" s="203">
        <v>0.70879999999999999</v>
      </c>
      <c r="AO87" s="203">
        <v>0.66900000000000004</v>
      </c>
      <c r="AP87" s="203">
        <v>0.69099999999999995</v>
      </c>
      <c r="AQ87" s="205" t="s">
        <v>410</v>
      </c>
      <c r="AR87" s="200" t="s">
        <v>514</v>
      </c>
      <c r="AS87" s="200" t="s">
        <v>515</v>
      </c>
      <c r="AT87" s="203">
        <v>0.68820000000000003</v>
      </c>
      <c r="AU87" s="203">
        <v>0.68959999999999999</v>
      </c>
      <c r="AV87" s="203">
        <v>0.67969999999999997</v>
      </c>
      <c r="AW87" s="203">
        <v>0.72170000000000001</v>
      </c>
      <c r="AX87" s="203">
        <v>0.68230000000000002</v>
      </c>
      <c r="AY87" s="203">
        <v>0.69379999999999997</v>
      </c>
      <c r="AZ87" s="204" t="s">
        <v>410</v>
      </c>
      <c r="BA87" s="200" t="s">
        <v>781</v>
      </c>
      <c r="BB87" s="200" t="s">
        <v>509</v>
      </c>
      <c r="BC87" s="203">
        <v>0.68020000000000003</v>
      </c>
      <c r="BD87" s="203">
        <v>0.66710000000000003</v>
      </c>
      <c r="BE87" s="203">
        <v>0.6583</v>
      </c>
      <c r="BF87" s="203">
        <v>0.71789999999999998</v>
      </c>
      <c r="BG87" s="203">
        <v>0.67210000000000003</v>
      </c>
      <c r="BH87" s="203">
        <v>0.68020000000000003</v>
      </c>
      <c r="BI87" s="201" t="s">
        <v>410</v>
      </c>
      <c r="BJ87" s="222">
        <v>863</v>
      </c>
      <c r="BK87" s="222">
        <v>790</v>
      </c>
      <c r="BL87" s="203">
        <v>0.68030000000000002</v>
      </c>
      <c r="BM87" s="203">
        <v>0.65329999999999999</v>
      </c>
      <c r="BN87" s="203">
        <v>0.64419999999999999</v>
      </c>
      <c r="BO87" s="203">
        <v>0.71309999999999996</v>
      </c>
      <c r="BP87" s="203">
        <v>0.66169999999999995</v>
      </c>
      <c r="BQ87" s="203">
        <v>0.67190000000000005</v>
      </c>
      <c r="BR87" s="410" t="s">
        <v>410</v>
      </c>
      <c r="BS87" s="391">
        <v>682</v>
      </c>
      <c r="BT87" s="391">
        <v>671</v>
      </c>
      <c r="BU87" s="391">
        <v>0.68740000000000001</v>
      </c>
      <c r="BV87" s="391">
        <v>0.65569999999999995</v>
      </c>
      <c r="BW87" s="391">
        <v>0.65039999999999998</v>
      </c>
      <c r="BX87" s="391">
        <v>0.72309999999999997</v>
      </c>
      <c r="BY87" s="391">
        <v>0.66110000000000002</v>
      </c>
      <c r="BZ87" s="391">
        <v>0.67779999999999996</v>
      </c>
      <c r="CA87" s="539" t="s">
        <v>410</v>
      </c>
      <c r="CB87" s="537" t="s">
        <v>833</v>
      </c>
      <c r="CC87" s="537" t="s">
        <v>701</v>
      </c>
      <c r="CD87" s="538">
        <v>0.68489999999999995</v>
      </c>
      <c r="CE87" s="538">
        <v>0.64990000000000003</v>
      </c>
      <c r="CF87" s="538">
        <v>0.64319999999999999</v>
      </c>
      <c r="CG87" s="538">
        <v>0.71609999999999996</v>
      </c>
      <c r="CH87" s="538">
        <v>0.65169999999999995</v>
      </c>
      <c r="CI87" s="538">
        <v>0.67190000000000005</v>
      </c>
      <c r="CJ87" s="670" t="s">
        <v>546</v>
      </c>
      <c r="CK87" s="668">
        <v>639</v>
      </c>
      <c r="CL87" s="668">
        <v>622</v>
      </c>
      <c r="CM87" s="659">
        <v>0.66910000000000003</v>
      </c>
      <c r="CN87" s="659">
        <v>0.64539999999999997</v>
      </c>
      <c r="CO87" s="659">
        <v>0.63260000000000005</v>
      </c>
      <c r="CP87" s="659">
        <v>0.71</v>
      </c>
      <c r="CQ87" s="659">
        <v>0.66749999999999998</v>
      </c>
      <c r="CR87" s="659">
        <v>0.66449999999999998</v>
      </c>
    </row>
    <row r="88" spans="1:96" x14ac:dyDescent="0.3">
      <c r="A88" s="62" t="s">
        <v>106</v>
      </c>
      <c r="B88" s="200" t="s">
        <v>105</v>
      </c>
      <c r="C88" s="200" t="s">
        <v>573</v>
      </c>
      <c r="D88" s="200" t="s">
        <v>422</v>
      </c>
      <c r="E88" s="200" t="s">
        <v>794</v>
      </c>
      <c r="F88" s="200" t="s">
        <v>222</v>
      </c>
      <c r="G88" s="240" t="s">
        <v>410</v>
      </c>
      <c r="H88" s="241" t="s">
        <v>480</v>
      </c>
      <c r="I88" s="241" t="s">
        <v>480</v>
      </c>
      <c r="J88" s="241">
        <v>0.73350000000000004</v>
      </c>
      <c r="K88" s="241">
        <v>0.7006</v>
      </c>
      <c r="L88" s="241">
        <v>0.72140000000000004</v>
      </c>
      <c r="M88" s="241">
        <v>0.71360000000000001</v>
      </c>
      <c r="N88" s="241">
        <v>0.66500000000000004</v>
      </c>
      <c r="O88" s="241">
        <v>0.71319999999999995</v>
      </c>
      <c r="P88" s="252" t="s">
        <v>409</v>
      </c>
      <c r="Q88" s="249" t="s">
        <v>559</v>
      </c>
      <c r="R88" s="249" t="s">
        <v>559</v>
      </c>
      <c r="S88" s="249">
        <v>0.74229999999999996</v>
      </c>
      <c r="T88" s="249">
        <v>0.71509999999999996</v>
      </c>
      <c r="U88" s="249">
        <v>0.72870000000000001</v>
      </c>
      <c r="V88" s="249">
        <v>0.72340000000000004</v>
      </c>
      <c r="W88" s="249">
        <v>0.66579999999999995</v>
      </c>
      <c r="X88" s="249">
        <v>0.72270000000000001</v>
      </c>
      <c r="Y88" s="211" t="s">
        <v>409</v>
      </c>
      <c r="Z88" s="200" t="s">
        <v>605</v>
      </c>
      <c r="AA88" s="200" t="s">
        <v>605</v>
      </c>
      <c r="AB88" s="203">
        <v>0.74670000000000003</v>
      </c>
      <c r="AC88" s="203">
        <v>0.74470000000000003</v>
      </c>
      <c r="AD88" s="203">
        <v>0.74160000000000004</v>
      </c>
      <c r="AE88" s="203">
        <v>0.73799999999999999</v>
      </c>
      <c r="AF88" s="203">
        <v>0.68720000000000003</v>
      </c>
      <c r="AG88" s="203">
        <v>0.73850000000000005</v>
      </c>
      <c r="AH88" s="230" t="s">
        <v>409</v>
      </c>
      <c r="AI88" s="200" t="s">
        <v>477</v>
      </c>
      <c r="AJ88" s="200" t="s">
        <v>477</v>
      </c>
      <c r="AK88" s="203">
        <v>0.74929999999999997</v>
      </c>
      <c r="AL88" s="203">
        <v>0.76559999999999995</v>
      </c>
      <c r="AM88" s="203">
        <v>0.74670000000000003</v>
      </c>
      <c r="AN88" s="203">
        <v>0.75260000000000005</v>
      </c>
      <c r="AO88" s="203">
        <v>0.69979999999999998</v>
      </c>
      <c r="AP88" s="203">
        <v>0.74939999999999996</v>
      </c>
      <c r="AQ88" s="216" t="s">
        <v>409</v>
      </c>
      <c r="AR88" s="200" t="s">
        <v>456</v>
      </c>
      <c r="AS88" s="200" t="s">
        <v>457</v>
      </c>
      <c r="AT88" s="203">
        <v>0.73319999999999996</v>
      </c>
      <c r="AU88" s="203">
        <v>0.751</v>
      </c>
      <c r="AV88" s="203">
        <v>0.71950000000000003</v>
      </c>
      <c r="AW88" s="203">
        <v>0.75360000000000005</v>
      </c>
      <c r="AX88" s="203">
        <v>0.7097</v>
      </c>
      <c r="AY88" s="203">
        <v>0.73699999999999999</v>
      </c>
      <c r="AZ88" s="204" t="s">
        <v>410</v>
      </c>
      <c r="BA88" s="200" t="s">
        <v>489</v>
      </c>
      <c r="BB88" s="200" t="s">
        <v>492</v>
      </c>
      <c r="BC88" s="203">
        <v>0.72350000000000003</v>
      </c>
      <c r="BD88" s="203">
        <v>0.71279999999999999</v>
      </c>
      <c r="BE88" s="203">
        <v>0.67200000000000004</v>
      </c>
      <c r="BF88" s="203">
        <v>0.74139999999999995</v>
      </c>
      <c r="BG88" s="203">
        <v>0.68010000000000004</v>
      </c>
      <c r="BH88" s="203">
        <v>0.70989999999999998</v>
      </c>
      <c r="BI88" s="201" t="s">
        <v>410</v>
      </c>
      <c r="BJ88" s="222">
        <v>106</v>
      </c>
      <c r="BK88" s="222">
        <v>105</v>
      </c>
      <c r="BL88" s="203">
        <v>0.71919999999999995</v>
      </c>
      <c r="BM88" s="203">
        <v>0.68820000000000003</v>
      </c>
      <c r="BN88" s="203">
        <v>0.64910000000000001</v>
      </c>
      <c r="BO88" s="203">
        <v>0.73150000000000004</v>
      </c>
      <c r="BP88" s="203">
        <v>0.66710000000000003</v>
      </c>
      <c r="BQ88" s="203">
        <v>0.69469999999999998</v>
      </c>
      <c r="BR88" s="410" t="s">
        <v>410</v>
      </c>
      <c r="BS88" s="391">
        <v>96</v>
      </c>
      <c r="BT88" s="391">
        <v>96</v>
      </c>
      <c r="BU88" s="391">
        <v>0.71689999999999998</v>
      </c>
      <c r="BV88" s="391">
        <v>0.67320000000000002</v>
      </c>
      <c r="BW88" s="391">
        <v>0.64319999999999999</v>
      </c>
      <c r="BX88" s="391">
        <v>0.73350000000000004</v>
      </c>
      <c r="BY88" s="391">
        <v>0.65880000000000005</v>
      </c>
      <c r="BZ88" s="391">
        <v>0.68920000000000003</v>
      </c>
      <c r="CA88" s="539" t="s">
        <v>410</v>
      </c>
      <c r="CB88" s="537" t="s">
        <v>588</v>
      </c>
      <c r="CC88" s="537" t="s">
        <v>588</v>
      </c>
      <c r="CD88" s="538">
        <v>0.73450000000000004</v>
      </c>
      <c r="CE88" s="538">
        <v>0.70730000000000004</v>
      </c>
      <c r="CF88" s="538">
        <v>0.68669999999999998</v>
      </c>
      <c r="CG88" s="538">
        <v>0.74980000000000002</v>
      </c>
      <c r="CH88" s="538">
        <v>0.69540000000000002</v>
      </c>
      <c r="CI88" s="538">
        <v>0.7177</v>
      </c>
      <c r="CJ88" s="667" t="s">
        <v>409</v>
      </c>
      <c r="CK88" s="665">
        <v>129</v>
      </c>
      <c r="CL88" s="665">
        <v>129</v>
      </c>
      <c r="CM88" s="509">
        <v>0.746</v>
      </c>
      <c r="CN88" s="509">
        <v>0.72960000000000003</v>
      </c>
      <c r="CO88" s="509">
        <v>0.70640000000000003</v>
      </c>
      <c r="CP88" s="509">
        <v>0.76949999999999996</v>
      </c>
      <c r="CQ88" s="509">
        <v>0.72299999999999998</v>
      </c>
      <c r="CR88" s="509">
        <v>0.73670000000000002</v>
      </c>
    </row>
    <row r="89" spans="1:96" x14ac:dyDescent="0.3">
      <c r="A89" s="62" t="s">
        <v>188</v>
      </c>
      <c r="B89" s="200" t="s">
        <v>187</v>
      </c>
      <c r="C89" s="200" t="s">
        <v>573</v>
      </c>
      <c r="D89" s="200" t="s">
        <v>422</v>
      </c>
      <c r="E89" s="200" t="s">
        <v>794</v>
      </c>
      <c r="F89" s="200" t="s">
        <v>220</v>
      </c>
      <c r="G89" s="242" t="s">
        <v>546</v>
      </c>
      <c r="H89" s="241" t="s">
        <v>434</v>
      </c>
      <c r="I89" s="241" t="s">
        <v>588</v>
      </c>
      <c r="J89" s="241">
        <v>0.65110000000000001</v>
      </c>
      <c r="K89" s="241">
        <v>0.65490000000000004</v>
      </c>
      <c r="L89" s="241">
        <v>0.64990000000000003</v>
      </c>
      <c r="M89" s="241">
        <v>0.64139999999999997</v>
      </c>
      <c r="N89" s="241">
        <v>0.65310000000000001</v>
      </c>
      <c r="O89" s="241">
        <v>0.64959999999999996</v>
      </c>
      <c r="P89" s="250" t="s">
        <v>546</v>
      </c>
      <c r="Q89" s="249" t="s">
        <v>462</v>
      </c>
      <c r="R89" s="249" t="s">
        <v>529</v>
      </c>
      <c r="S89" s="249">
        <v>0.64059999999999995</v>
      </c>
      <c r="T89" s="249">
        <v>0.64319999999999999</v>
      </c>
      <c r="U89" s="249">
        <v>0.63629999999999998</v>
      </c>
      <c r="V89" s="249">
        <v>0.64139999999999997</v>
      </c>
      <c r="W89" s="249">
        <v>0.64700000000000002</v>
      </c>
      <c r="X89" s="249">
        <v>0.64090000000000003</v>
      </c>
      <c r="Y89" s="207" t="s">
        <v>546</v>
      </c>
      <c r="Z89" s="200" t="s">
        <v>456</v>
      </c>
      <c r="AA89" s="200" t="s">
        <v>584</v>
      </c>
      <c r="AB89" s="203">
        <v>0.62439999999999996</v>
      </c>
      <c r="AC89" s="203">
        <v>0.65049999999999997</v>
      </c>
      <c r="AD89" s="203">
        <v>0.63900000000000001</v>
      </c>
      <c r="AE89" s="203">
        <v>0.64429999999999998</v>
      </c>
      <c r="AF89" s="203">
        <v>0.64590000000000003</v>
      </c>
      <c r="AG89" s="203">
        <v>0.64</v>
      </c>
      <c r="AH89" s="227" t="s">
        <v>546</v>
      </c>
      <c r="AI89" s="200" t="s">
        <v>539</v>
      </c>
      <c r="AJ89" s="200" t="s">
        <v>559</v>
      </c>
      <c r="AK89" s="203">
        <v>0.61739999999999995</v>
      </c>
      <c r="AL89" s="203">
        <v>0.6532</v>
      </c>
      <c r="AM89" s="203">
        <v>0.63619999999999999</v>
      </c>
      <c r="AN89" s="203">
        <v>0.66220000000000001</v>
      </c>
      <c r="AO89" s="203">
        <v>0.6411</v>
      </c>
      <c r="AP89" s="203">
        <v>0.64219999999999999</v>
      </c>
      <c r="AQ89" s="208" t="s">
        <v>546</v>
      </c>
      <c r="AR89" s="200" t="s">
        <v>559</v>
      </c>
      <c r="AS89" s="200" t="s">
        <v>560</v>
      </c>
      <c r="AT89" s="203">
        <v>0.59460000000000002</v>
      </c>
      <c r="AU89" s="203">
        <v>0.64610000000000001</v>
      </c>
      <c r="AV89" s="203">
        <v>0.62719999999999998</v>
      </c>
      <c r="AW89" s="203">
        <v>0.66810000000000003</v>
      </c>
      <c r="AX89" s="203">
        <v>0.63749999999999996</v>
      </c>
      <c r="AY89" s="203">
        <v>0.63429999999999997</v>
      </c>
      <c r="AZ89" s="207" t="s">
        <v>546</v>
      </c>
      <c r="BA89" s="200" t="s">
        <v>540</v>
      </c>
      <c r="BB89" s="200" t="s">
        <v>663</v>
      </c>
      <c r="BC89" s="203">
        <v>0.6079</v>
      </c>
      <c r="BD89" s="203">
        <v>0.62350000000000005</v>
      </c>
      <c r="BE89" s="203">
        <v>0.60660000000000003</v>
      </c>
      <c r="BF89" s="203">
        <v>0.67749999999999999</v>
      </c>
      <c r="BG89" s="203">
        <v>0.63429999999999997</v>
      </c>
      <c r="BH89" s="203">
        <v>0.62929999999999997</v>
      </c>
      <c r="BI89" s="217" t="s">
        <v>562</v>
      </c>
      <c r="BJ89" s="222">
        <v>113</v>
      </c>
      <c r="BK89" s="222">
        <v>106</v>
      </c>
      <c r="BL89" s="203">
        <v>0.60199999999999998</v>
      </c>
      <c r="BM89" s="203">
        <v>0.60770000000000002</v>
      </c>
      <c r="BN89" s="203">
        <v>0.59330000000000005</v>
      </c>
      <c r="BO89" s="203">
        <v>0.66620000000000001</v>
      </c>
      <c r="BP89" s="203">
        <v>0.62539999999999996</v>
      </c>
      <c r="BQ89" s="203">
        <v>0.6179</v>
      </c>
      <c r="BR89" s="412" t="s">
        <v>546</v>
      </c>
      <c r="BS89" s="391">
        <v>104</v>
      </c>
      <c r="BT89" s="391">
        <v>103</v>
      </c>
      <c r="BU89" s="391">
        <v>0.63660000000000005</v>
      </c>
      <c r="BV89" s="391">
        <v>0.61919999999999997</v>
      </c>
      <c r="BW89" s="391">
        <v>0.61129999999999995</v>
      </c>
      <c r="BX89" s="391">
        <v>0.67849999999999999</v>
      </c>
      <c r="BY89" s="391">
        <v>0.61919999999999997</v>
      </c>
      <c r="BZ89" s="391">
        <v>0.6351</v>
      </c>
      <c r="CA89" s="540" t="s">
        <v>546</v>
      </c>
      <c r="CB89" s="537" t="s">
        <v>615</v>
      </c>
      <c r="CC89" s="537" t="s">
        <v>504</v>
      </c>
      <c r="CD89" s="538">
        <v>0.64419999999999999</v>
      </c>
      <c r="CE89" s="538">
        <v>0.62309999999999999</v>
      </c>
      <c r="CF89" s="538">
        <v>0.63429999999999997</v>
      </c>
      <c r="CG89" s="538">
        <v>0.66820000000000002</v>
      </c>
      <c r="CH89" s="538">
        <v>0.62909999999999999</v>
      </c>
      <c r="CI89" s="538">
        <v>0.64139999999999997</v>
      </c>
      <c r="CJ89" s="670" t="s">
        <v>546</v>
      </c>
      <c r="CK89" s="672">
        <v>99</v>
      </c>
      <c r="CL89" s="672">
        <v>98</v>
      </c>
      <c r="CM89" s="645">
        <v>0.65620000000000001</v>
      </c>
      <c r="CN89" s="645">
        <v>0.62549999999999994</v>
      </c>
      <c r="CO89" s="645">
        <v>0.63670000000000004</v>
      </c>
      <c r="CP89" s="645">
        <v>0.66559999999999997</v>
      </c>
      <c r="CQ89" s="645">
        <v>0.64729999999999999</v>
      </c>
      <c r="CR89" s="645">
        <v>0.64610000000000001</v>
      </c>
    </row>
    <row r="90" spans="1:96" x14ac:dyDescent="0.3">
      <c r="A90" s="567" t="s">
        <v>964</v>
      </c>
      <c r="B90" s="525" t="s">
        <v>963</v>
      </c>
      <c r="C90" s="200" t="s">
        <v>573</v>
      </c>
      <c r="D90" s="200" t="s">
        <v>422</v>
      </c>
      <c r="E90" s="525"/>
      <c r="F90" s="200" t="s">
        <v>220</v>
      </c>
      <c r="G90" s="526"/>
      <c r="H90" s="527"/>
      <c r="I90" s="527"/>
      <c r="J90" s="527"/>
      <c r="K90" s="527"/>
      <c r="L90" s="527"/>
      <c r="M90" s="527"/>
      <c r="N90" s="527"/>
      <c r="O90" s="527"/>
      <c r="P90" s="526"/>
      <c r="Q90" s="527"/>
      <c r="R90" s="527"/>
      <c r="S90" s="527"/>
      <c r="T90" s="527"/>
      <c r="U90" s="527"/>
      <c r="V90" s="527"/>
      <c r="W90" s="527"/>
      <c r="X90" s="527"/>
      <c r="Y90" s="528"/>
      <c r="Z90" s="525"/>
      <c r="AA90" s="525"/>
      <c r="AB90" s="529"/>
      <c r="AC90" s="529"/>
      <c r="AD90" s="529"/>
      <c r="AE90" s="529"/>
      <c r="AF90" s="529"/>
      <c r="AG90" s="529"/>
      <c r="AH90" s="530"/>
      <c r="AI90" s="525"/>
      <c r="AJ90" s="525"/>
      <c r="AK90" s="529"/>
      <c r="AL90" s="529"/>
      <c r="AM90" s="529"/>
      <c r="AN90" s="529"/>
      <c r="AO90" s="529"/>
      <c r="AP90" s="529"/>
      <c r="AQ90" s="531"/>
      <c r="AR90" s="525"/>
      <c r="AS90" s="525"/>
      <c r="AT90" s="529"/>
      <c r="AU90" s="529"/>
      <c r="AV90" s="529"/>
      <c r="AW90" s="529"/>
      <c r="AX90" s="529"/>
      <c r="AY90" s="529"/>
      <c r="AZ90" s="528"/>
      <c r="BA90" s="525"/>
      <c r="BB90" s="525"/>
      <c r="BC90" s="529"/>
      <c r="BD90" s="529"/>
      <c r="BE90" s="529"/>
      <c r="BF90" s="529"/>
      <c r="BG90" s="529"/>
      <c r="BH90" s="529"/>
      <c r="BI90" s="563"/>
      <c r="BJ90" s="533"/>
      <c r="BK90" s="533"/>
      <c r="BL90" s="529"/>
      <c r="BM90" s="529"/>
      <c r="BN90" s="529"/>
      <c r="BO90" s="529"/>
      <c r="BP90" s="529"/>
      <c r="BQ90" s="529"/>
      <c r="BR90" s="564"/>
      <c r="BS90" s="527"/>
      <c r="BT90" s="527"/>
      <c r="BU90" s="527"/>
      <c r="BV90" s="527"/>
      <c r="BW90" s="527"/>
      <c r="BX90" s="527"/>
      <c r="BY90" s="527"/>
      <c r="BZ90" s="527"/>
      <c r="CA90" s="539" t="s">
        <v>410</v>
      </c>
      <c r="CB90" s="537" t="s">
        <v>145</v>
      </c>
      <c r="CC90" s="537" t="s">
        <v>145</v>
      </c>
      <c r="CD90" s="538">
        <v>0.71640000000000004</v>
      </c>
      <c r="CE90" s="538">
        <v>0.69189999999999996</v>
      </c>
      <c r="CF90" s="538">
        <v>0.68459999999999999</v>
      </c>
      <c r="CG90" s="538">
        <v>0.7369</v>
      </c>
      <c r="CH90" s="538">
        <v>0.70620000000000005</v>
      </c>
      <c r="CI90" s="538">
        <v>0.70730000000000004</v>
      </c>
      <c r="CJ90" s="669" t="s">
        <v>410</v>
      </c>
      <c r="CK90" s="672">
        <v>115</v>
      </c>
      <c r="CL90" s="672">
        <v>115</v>
      </c>
      <c r="CM90" s="645">
        <v>0.70209999999999995</v>
      </c>
      <c r="CN90" s="645">
        <v>0.6784</v>
      </c>
      <c r="CO90" s="645">
        <v>0.67479999999999996</v>
      </c>
      <c r="CP90" s="645">
        <v>0.73550000000000004</v>
      </c>
      <c r="CQ90" s="645">
        <v>0.69550000000000001</v>
      </c>
      <c r="CR90" s="645">
        <v>0.69750000000000001</v>
      </c>
    </row>
    <row r="91" spans="1:96" x14ac:dyDescent="0.3">
      <c r="A91" s="62" t="s">
        <v>130</v>
      </c>
      <c r="B91" s="200" t="s">
        <v>129</v>
      </c>
      <c r="C91" s="200" t="s">
        <v>573</v>
      </c>
      <c r="D91" s="200" t="s">
        <v>422</v>
      </c>
      <c r="E91" s="200" t="s">
        <v>794</v>
      </c>
      <c r="F91" s="200" t="s">
        <v>220</v>
      </c>
      <c r="G91" s="242" t="s">
        <v>546</v>
      </c>
      <c r="H91" s="241" t="s">
        <v>836</v>
      </c>
      <c r="I91" s="241" t="s">
        <v>837</v>
      </c>
      <c r="J91" s="241">
        <v>0.65780000000000005</v>
      </c>
      <c r="K91" s="241">
        <v>0.66600000000000004</v>
      </c>
      <c r="L91" s="241">
        <v>0.67169999999999996</v>
      </c>
      <c r="M91" s="241">
        <v>0.66639999999999999</v>
      </c>
      <c r="N91" s="241">
        <v>0.64029999999999998</v>
      </c>
      <c r="O91" s="241">
        <v>0.66349999999999998</v>
      </c>
      <c r="P91" s="250" t="s">
        <v>546</v>
      </c>
      <c r="Q91" s="249" t="s">
        <v>866</v>
      </c>
      <c r="R91" s="249" t="s">
        <v>867</v>
      </c>
      <c r="S91" s="249">
        <v>0.66080000000000005</v>
      </c>
      <c r="T91" s="249">
        <v>0.66979999999999995</v>
      </c>
      <c r="U91" s="249">
        <v>0.67400000000000004</v>
      </c>
      <c r="V91" s="249">
        <v>0.66410000000000002</v>
      </c>
      <c r="W91" s="249">
        <v>0.64459999999999995</v>
      </c>
      <c r="X91" s="249">
        <v>0.66539999999999999</v>
      </c>
      <c r="Y91" s="204" t="s">
        <v>410</v>
      </c>
      <c r="Z91" s="200" t="s">
        <v>696</v>
      </c>
      <c r="AA91" s="200" t="s">
        <v>506</v>
      </c>
      <c r="AB91" s="203">
        <v>0.66969999999999996</v>
      </c>
      <c r="AC91" s="203">
        <v>0.6875</v>
      </c>
      <c r="AD91" s="203">
        <v>0.68059999999999998</v>
      </c>
      <c r="AE91" s="203">
        <v>0.68759999999999999</v>
      </c>
      <c r="AF91" s="203">
        <v>0.66920000000000002</v>
      </c>
      <c r="AG91" s="203">
        <v>0.6804</v>
      </c>
      <c r="AH91" s="231" t="s">
        <v>410</v>
      </c>
      <c r="AI91" s="200" t="s">
        <v>628</v>
      </c>
      <c r="AJ91" s="200" t="s">
        <v>506</v>
      </c>
      <c r="AK91" s="203">
        <v>0.67649999999999999</v>
      </c>
      <c r="AL91" s="203">
        <v>0.69350000000000001</v>
      </c>
      <c r="AM91" s="203">
        <v>0.68140000000000001</v>
      </c>
      <c r="AN91" s="203">
        <v>0.7077</v>
      </c>
      <c r="AO91" s="203">
        <v>0.67549999999999999</v>
      </c>
      <c r="AP91" s="203">
        <v>0.68869999999999998</v>
      </c>
      <c r="AQ91" s="205" t="s">
        <v>410</v>
      </c>
      <c r="AR91" s="200" t="s">
        <v>506</v>
      </c>
      <c r="AS91" s="200" t="s">
        <v>507</v>
      </c>
      <c r="AT91" s="203">
        <v>0.68310000000000004</v>
      </c>
      <c r="AU91" s="203">
        <v>0.70089999999999997</v>
      </c>
      <c r="AV91" s="203">
        <v>0.68330000000000002</v>
      </c>
      <c r="AW91" s="203">
        <v>0.72860000000000003</v>
      </c>
      <c r="AX91" s="203">
        <v>0.68130000000000002</v>
      </c>
      <c r="AY91" s="203">
        <v>0.6976</v>
      </c>
      <c r="AZ91" s="204" t="s">
        <v>410</v>
      </c>
      <c r="BA91" s="200" t="s">
        <v>778</v>
      </c>
      <c r="BB91" s="200" t="s">
        <v>708</v>
      </c>
      <c r="BC91" s="203">
        <v>0.6835</v>
      </c>
      <c r="BD91" s="203">
        <v>0.67979999999999996</v>
      </c>
      <c r="BE91" s="203">
        <v>0.65629999999999999</v>
      </c>
      <c r="BF91" s="203">
        <v>0.71960000000000002</v>
      </c>
      <c r="BG91" s="203">
        <v>0.66569999999999996</v>
      </c>
      <c r="BH91" s="203">
        <v>0.68330000000000002</v>
      </c>
      <c r="BI91" s="201" t="s">
        <v>410</v>
      </c>
      <c r="BJ91" s="222">
        <v>321</v>
      </c>
      <c r="BK91" s="222">
        <v>308</v>
      </c>
      <c r="BL91" s="203">
        <v>0.68569999999999998</v>
      </c>
      <c r="BM91" s="203">
        <v>0.66439999999999999</v>
      </c>
      <c r="BN91" s="203">
        <v>0.64170000000000005</v>
      </c>
      <c r="BO91" s="203">
        <v>0.70530000000000004</v>
      </c>
      <c r="BP91" s="203">
        <v>0.65380000000000005</v>
      </c>
      <c r="BQ91" s="203">
        <v>0.67269999999999996</v>
      </c>
      <c r="BR91" s="412" t="s">
        <v>546</v>
      </c>
      <c r="BS91" s="391">
        <v>313</v>
      </c>
      <c r="BT91" s="391">
        <v>308</v>
      </c>
      <c r="BU91" s="391">
        <v>0.68530000000000002</v>
      </c>
      <c r="BV91" s="391">
        <v>0.65869999999999995</v>
      </c>
      <c r="BW91" s="391">
        <v>0.63290000000000002</v>
      </c>
      <c r="BX91" s="391">
        <v>0.70409999999999995</v>
      </c>
      <c r="BY91" s="391">
        <v>0.65429999999999999</v>
      </c>
      <c r="BZ91" s="391">
        <v>0.66900000000000004</v>
      </c>
      <c r="CA91" s="539" t="s">
        <v>410</v>
      </c>
      <c r="CB91" s="537" t="s">
        <v>1000</v>
      </c>
      <c r="CC91" s="537" t="s">
        <v>718</v>
      </c>
      <c r="CD91" s="538">
        <v>0.69</v>
      </c>
      <c r="CE91" s="538">
        <v>0.66310000000000002</v>
      </c>
      <c r="CF91" s="538">
        <v>0.65629999999999999</v>
      </c>
      <c r="CG91" s="538">
        <v>0.71179999999999999</v>
      </c>
      <c r="CH91" s="538">
        <v>0.66600000000000004</v>
      </c>
      <c r="CI91" s="538">
        <v>0.67920000000000003</v>
      </c>
      <c r="CJ91" s="669" t="s">
        <v>410</v>
      </c>
      <c r="CK91" s="668">
        <v>325</v>
      </c>
      <c r="CL91" s="668">
        <v>313</v>
      </c>
      <c r="CM91" s="659">
        <v>0.69469999999999998</v>
      </c>
      <c r="CN91" s="659">
        <v>0.67179999999999995</v>
      </c>
      <c r="CO91" s="659">
        <v>0.65759999999999996</v>
      </c>
      <c r="CP91" s="659">
        <v>0.72099999999999997</v>
      </c>
      <c r="CQ91" s="659">
        <v>0.67500000000000004</v>
      </c>
      <c r="CR91" s="659">
        <v>0.68540000000000001</v>
      </c>
    </row>
    <row r="92" spans="1:96" x14ac:dyDescent="0.3">
      <c r="A92" s="567" t="s">
        <v>966</v>
      </c>
      <c r="B92" s="525" t="s">
        <v>965</v>
      </c>
      <c r="C92" s="200" t="s">
        <v>573</v>
      </c>
      <c r="D92" s="200" t="s">
        <v>422</v>
      </c>
      <c r="E92" s="525"/>
      <c r="F92" s="200" t="s">
        <v>220</v>
      </c>
      <c r="G92" s="526"/>
      <c r="H92" s="527"/>
      <c r="I92" s="527"/>
      <c r="J92" s="527"/>
      <c r="K92" s="527"/>
      <c r="L92" s="527"/>
      <c r="M92" s="527"/>
      <c r="N92" s="527"/>
      <c r="O92" s="527"/>
      <c r="P92" s="526"/>
      <c r="Q92" s="527"/>
      <c r="R92" s="527"/>
      <c r="S92" s="527"/>
      <c r="T92" s="527"/>
      <c r="U92" s="527"/>
      <c r="V92" s="527"/>
      <c r="W92" s="527"/>
      <c r="X92" s="527"/>
      <c r="Y92" s="543"/>
      <c r="Z92" s="525"/>
      <c r="AA92" s="525"/>
      <c r="AB92" s="529"/>
      <c r="AC92" s="529"/>
      <c r="AD92" s="529"/>
      <c r="AE92" s="529"/>
      <c r="AF92" s="529"/>
      <c r="AG92" s="529"/>
      <c r="AH92" s="551"/>
      <c r="AI92" s="525"/>
      <c r="AJ92" s="525"/>
      <c r="AK92" s="529"/>
      <c r="AL92" s="529"/>
      <c r="AM92" s="529"/>
      <c r="AN92" s="529"/>
      <c r="AO92" s="529"/>
      <c r="AP92" s="529"/>
      <c r="AQ92" s="552"/>
      <c r="AR92" s="525"/>
      <c r="AS92" s="525"/>
      <c r="AT92" s="529"/>
      <c r="AU92" s="529"/>
      <c r="AV92" s="529"/>
      <c r="AW92" s="529"/>
      <c r="AX92" s="529"/>
      <c r="AY92" s="529"/>
      <c r="AZ92" s="543"/>
      <c r="BA92" s="525"/>
      <c r="BB92" s="525"/>
      <c r="BC92" s="529"/>
      <c r="BD92" s="529"/>
      <c r="BE92" s="529"/>
      <c r="BF92" s="529"/>
      <c r="BG92" s="529"/>
      <c r="BH92" s="529"/>
      <c r="BI92" s="553"/>
      <c r="BJ92" s="533"/>
      <c r="BK92" s="533"/>
      <c r="BL92" s="529"/>
      <c r="BM92" s="529"/>
      <c r="BN92" s="529"/>
      <c r="BO92" s="529"/>
      <c r="BP92" s="529"/>
      <c r="BQ92" s="529"/>
      <c r="BR92" s="564"/>
      <c r="BS92" s="527"/>
      <c r="BT92" s="527"/>
      <c r="BU92" s="527"/>
      <c r="BV92" s="527"/>
      <c r="BW92" s="527"/>
      <c r="BX92" s="527"/>
      <c r="BY92" s="527"/>
      <c r="BZ92" s="527"/>
      <c r="CA92" s="539" t="s">
        <v>410</v>
      </c>
      <c r="CB92" s="537" t="s">
        <v>438</v>
      </c>
      <c r="CC92" s="537" t="s">
        <v>438</v>
      </c>
      <c r="CD92" s="538">
        <v>0.69299999999999995</v>
      </c>
      <c r="CE92" s="538">
        <v>0.66690000000000005</v>
      </c>
      <c r="CF92" s="538">
        <v>0.64970000000000006</v>
      </c>
      <c r="CG92" s="538">
        <v>0.7329</v>
      </c>
      <c r="CH92" s="538">
        <v>0.67330000000000001</v>
      </c>
      <c r="CI92" s="538">
        <v>0.68469999999999998</v>
      </c>
      <c r="CJ92" s="669" t="s">
        <v>410</v>
      </c>
      <c r="CK92" s="665">
        <v>110</v>
      </c>
      <c r="CL92" s="665">
        <v>109</v>
      </c>
      <c r="CM92" s="509">
        <v>0.71550000000000002</v>
      </c>
      <c r="CN92" s="509">
        <v>0.69020000000000004</v>
      </c>
      <c r="CO92" s="509">
        <v>0.66200000000000003</v>
      </c>
      <c r="CP92" s="509">
        <v>0.73229999999999995</v>
      </c>
      <c r="CQ92" s="509">
        <v>0.67859999999999998</v>
      </c>
      <c r="CR92" s="509">
        <v>0.69840000000000002</v>
      </c>
    </row>
    <row r="93" spans="1:96" x14ac:dyDescent="0.3">
      <c r="A93" s="62" t="s">
        <v>90</v>
      </c>
      <c r="B93" s="200" t="s">
        <v>89</v>
      </c>
      <c r="C93" s="200" t="s">
        <v>573</v>
      </c>
      <c r="D93" s="200" t="s">
        <v>422</v>
      </c>
      <c r="E93" s="200" t="s">
        <v>794</v>
      </c>
      <c r="F93" s="200" t="s">
        <v>220</v>
      </c>
      <c r="G93" s="240" t="s">
        <v>410</v>
      </c>
      <c r="H93" s="241" t="s">
        <v>721</v>
      </c>
      <c r="I93" s="241" t="s">
        <v>838</v>
      </c>
      <c r="J93" s="241">
        <v>0.70709999999999995</v>
      </c>
      <c r="K93" s="241">
        <v>0.71030000000000004</v>
      </c>
      <c r="L93" s="241">
        <v>0.70630000000000004</v>
      </c>
      <c r="M93" s="241">
        <v>0.71509999999999996</v>
      </c>
      <c r="N93" s="241">
        <v>0.68320000000000003</v>
      </c>
      <c r="O93" s="241">
        <v>0.70760000000000001</v>
      </c>
      <c r="P93" s="248" t="s">
        <v>410</v>
      </c>
      <c r="Q93" s="249" t="s">
        <v>868</v>
      </c>
      <c r="R93" s="249" t="s">
        <v>869</v>
      </c>
      <c r="S93" s="249">
        <v>0.70520000000000005</v>
      </c>
      <c r="T93" s="249">
        <v>0.70169999999999999</v>
      </c>
      <c r="U93" s="249">
        <v>0.70340000000000003</v>
      </c>
      <c r="V93" s="249">
        <v>0.70920000000000005</v>
      </c>
      <c r="W93" s="249">
        <v>0.67720000000000002</v>
      </c>
      <c r="X93" s="249">
        <v>0.70269999999999999</v>
      </c>
      <c r="Y93" s="204" t="s">
        <v>410</v>
      </c>
      <c r="Z93" s="200" t="s">
        <v>670</v>
      </c>
      <c r="AA93" s="200" t="s">
        <v>671</v>
      </c>
      <c r="AB93" s="203">
        <v>0.71060000000000001</v>
      </c>
      <c r="AC93" s="203">
        <v>0.71409999999999996</v>
      </c>
      <c r="AD93" s="203">
        <v>0.70660000000000001</v>
      </c>
      <c r="AE93" s="203">
        <v>0.71870000000000001</v>
      </c>
      <c r="AF93" s="203">
        <v>0.69350000000000001</v>
      </c>
      <c r="AG93" s="203">
        <v>0.71099999999999997</v>
      </c>
      <c r="AH93" s="230" t="s">
        <v>409</v>
      </c>
      <c r="AI93" s="200" t="s">
        <v>598</v>
      </c>
      <c r="AJ93" s="200" t="s">
        <v>599</v>
      </c>
      <c r="AK93" s="203">
        <v>0.72840000000000005</v>
      </c>
      <c r="AL93" s="203">
        <v>0.73540000000000005</v>
      </c>
      <c r="AM93" s="203">
        <v>0.72019999999999995</v>
      </c>
      <c r="AN93" s="203">
        <v>0.73470000000000002</v>
      </c>
      <c r="AO93" s="203">
        <v>0.70689999999999997</v>
      </c>
      <c r="AP93" s="203">
        <v>0.72789999999999999</v>
      </c>
      <c r="AQ93" s="216" t="s">
        <v>409</v>
      </c>
      <c r="AR93" s="200" t="s">
        <v>454</v>
      </c>
      <c r="AS93" s="200" t="s">
        <v>455</v>
      </c>
      <c r="AT93" s="203">
        <v>0.74219999999999997</v>
      </c>
      <c r="AU93" s="203">
        <v>0.74239999999999995</v>
      </c>
      <c r="AV93" s="203">
        <v>0.71430000000000005</v>
      </c>
      <c r="AW93" s="203">
        <v>0.75249999999999995</v>
      </c>
      <c r="AX93" s="203">
        <v>0.73150000000000004</v>
      </c>
      <c r="AY93" s="203">
        <v>0.73740000000000006</v>
      </c>
      <c r="AZ93" s="211" t="s">
        <v>409</v>
      </c>
      <c r="BA93" s="200" t="s">
        <v>460</v>
      </c>
      <c r="BB93" s="200" t="s">
        <v>758</v>
      </c>
      <c r="BC93" s="203">
        <v>0.74299999999999999</v>
      </c>
      <c r="BD93" s="203">
        <v>0.72130000000000005</v>
      </c>
      <c r="BE93" s="203">
        <v>0.68840000000000001</v>
      </c>
      <c r="BF93" s="203">
        <v>0.75219999999999998</v>
      </c>
      <c r="BG93" s="203">
        <v>0.72450000000000003</v>
      </c>
      <c r="BH93" s="203">
        <v>0.72609999999999997</v>
      </c>
      <c r="BI93" s="201" t="s">
        <v>410</v>
      </c>
      <c r="BJ93" s="222">
        <v>346</v>
      </c>
      <c r="BK93" s="222">
        <v>335</v>
      </c>
      <c r="BL93" s="203">
        <v>0.74029999999999996</v>
      </c>
      <c r="BM93" s="203">
        <v>0.69930000000000003</v>
      </c>
      <c r="BN93" s="203">
        <v>0.67410000000000003</v>
      </c>
      <c r="BO93" s="203">
        <v>0.74450000000000005</v>
      </c>
      <c r="BP93" s="203">
        <v>0.69769999999999999</v>
      </c>
      <c r="BQ93" s="203">
        <v>0.71330000000000005</v>
      </c>
      <c r="BR93" s="410" t="s">
        <v>410</v>
      </c>
      <c r="BS93" s="391">
        <v>353</v>
      </c>
      <c r="BT93" s="391">
        <v>351</v>
      </c>
      <c r="BU93" s="391">
        <v>0.73140000000000005</v>
      </c>
      <c r="BV93" s="391">
        <v>0.68940000000000001</v>
      </c>
      <c r="BW93" s="391">
        <v>0.67279999999999995</v>
      </c>
      <c r="BX93" s="391">
        <v>0.74450000000000005</v>
      </c>
      <c r="BY93" s="391">
        <v>0.68520000000000003</v>
      </c>
      <c r="BZ93" s="391">
        <v>0.7077</v>
      </c>
      <c r="CA93" s="539" t="s">
        <v>410</v>
      </c>
      <c r="CB93" s="537" t="s">
        <v>1001</v>
      </c>
      <c r="CC93" s="537" t="s">
        <v>533</v>
      </c>
      <c r="CD93" s="538">
        <v>0.72330000000000005</v>
      </c>
      <c r="CE93" s="538">
        <v>0.67989999999999995</v>
      </c>
      <c r="CF93" s="538">
        <v>0.67720000000000002</v>
      </c>
      <c r="CG93" s="538">
        <v>0.73760000000000003</v>
      </c>
      <c r="CH93" s="538">
        <v>0.67279999999999995</v>
      </c>
      <c r="CI93" s="538">
        <v>0.70209999999999995</v>
      </c>
      <c r="CJ93" s="669" t="s">
        <v>410</v>
      </c>
      <c r="CK93" s="665">
        <v>350</v>
      </c>
      <c r="CL93" s="665">
        <v>344</v>
      </c>
      <c r="CM93" s="509">
        <v>0.71430000000000005</v>
      </c>
      <c r="CN93" s="509">
        <v>0.68059999999999998</v>
      </c>
      <c r="CO93" s="509">
        <v>0.66520000000000001</v>
      </c>
      <c r="CP93" s="509">
        <v>0.72629999999999995</v>
      </c>
      <c r="CQ93" s="509">
        <v>0.69199999999999995</v>
      </c>
      <c r="CR93" s="509">
        <v>0.69620000000000004</v>
      </c>
    </row>
    <row r="94" spans="1:96" x14ac:dyDescent="0.3">
      <c r="A94" s="62" t="s">
        <v>50</v>
      </c>
      <c r="B94" s="200" t="s">
        <v>49</v>
      </c>
      <c r="C94" s="200" t="s">
        <v>573</v>
      </c>
      <c r="D94" s="200" t="s">
        <v>422</v>
      </c>
      <c r="E94" s="200" t="s">
        <v>794</v>
      </c>
      <c r="F94" s="200" t="s">
        <v>222</v>
      </c>
      <c r="G94" s="240" t="s">
        <v>410</v>
      </c>
      <c r="H94" s="241" t="s">
        <v>543</v>
      </c>
      <c r="I94" s="241" t="s">
        <v>841</v>
      </c>
      <c r="J94" s="241">
        <v>0.66539999999999999</v>
      </c>
      <c r="K94" s="241">
        <v>0.67969999999999997</v>
      </c>
      <c r="L94" s="241">
        <v>0.7046</v>
      </c>
      <c r="M94" s="241">
        <v>0.71350000000000002</v>
      </c>
      <c r="N94" s="241">
        <v>0.68200000000000005</v>
      </c>
      <c r="O94" s="241">
        <v>0.69010000000000005</v>
      </c>
      <c r="P94" s="248" t="s">
        <v>410</v>
      </c>
      <c r="Q94" s="249" t="s">
        <v>876</v>
      </c>
      <c r="R94" s="249" t="s">
        <v>680</v>
      </c>
      <c r="S94" s="249">
        <v>0.66490000000000005</v>
      </c>
      <c r="T94" s="249">
        <v>0.6835</v>
      </c>
      <c r="U94" s="249">
        <v>0.69830000000000003</v>
      </c>
      <c r="V94" s="249">
        <v>0.70730000000000004</v>
      </c>
      <c r="W94" s="249">
        <v>0.68189999999999995</v>
      </c>
      <c r="X94" s="249">
        <v>0.68799999999999994</v>
      </c>
      <c r="Y94" s="204" t="s">
        <v>410</v>
      </c>
      <c r="Z94" s="200" t="s">
        <v>680</v>
      </c>
      <c r="AA94" s="200" t="s">
        <v>681</v>
      </c>
      <c r="AB94" s="203">
        <v>0.67620000000000002</v>
      </c>
      <c r="AC94" s="203">
        <v>0.70209999999999995</v>
      </c>
      <c r="AD94" s="203">
        <v>0.69450000000000001</v>
      </c>
      <c r="AE94" s="203">
        <v>0.71220000000000006</v>
      </c>
      <c r="AF94" s="203">
        <v>0.69840000000000002</v>
      </c>
      <c r="AG94" s="203">
        <v>0.69640000000000002</v>
      </c>
      <c r="AH94" s="231" t="s">
        <v>410</v>
      </c>
      <c r="AI94" s="200" t="s">
        <v>617</v>
      </c>
      <c r="AJ94" s="200" t="s">
        <v>618</v>
      </c>
      <c r="AK94" s="203">
        <v>0.68179999999999996</v>
      </c>
      <c r="AL94" s="203">
        <v>0.70169999999999999</v>
      </c>
      <c r="AM94" s="203">
        <v>0.68810000000000004</v>
      </c>
      <c r="AN94" s="203">
        <v>0.70899999999999996</v>
      </c>
      <c r="AO94" s="203">
        <v>0.69220000000000004</v>
      </c>
      <c r="AP94" s="203">
        <v>0.69489999999999996</v>
      </c>
      <c r="AQ94" s="205" t="s">
        <v>410</v>
      </c>
      <c r="AR94" s="200" t="s">
        <v>487</v>
      </c>
      <c r="AS94" s="200" t="s">
        <v>488</v>
      </c>
      <c r="AT94" s="203">
        <v>0.70450000000000002</v>
      </c>
      <c r="AU94" s="203">
        <v>0.71250000000000002</v>
      </c>
      <c r="AV94" s="203">
        <v>0.69059999999999999</v>
      </c>
      <c r="AW94" s="203">
        <v>0.72619999999999996</v>
      </c>
      <c r="AX94" s="203">
        <v>0.70320000000000005</v>
      </c>
      <c r="AY94" s="203">
        <v>0.70799999999999996</v>
      </c>
      <c r="AZ94" s="204" t="s">
        <v>410</v>
      </c>
      <c r="BA94" s="200" t="s">
        <v>763</v>
      </c>
      <c r="BB94" s="200" t="s">
        <v>764</v>
      </c>
      <c r="BC94" s="203">
        <v>0.70499999999999996</v>
      </c>
      <c r="BD94" s="203">
        <v>0.70069999999999999</v>
      </c>
      <c r="BE94" s="203">
        <v>0.67530000000000001</v>
      </c>
      <c r="BF94" s="203">
        <v>0.72350000000000003</v>
      </c>
      <c r="BG94" s="203">
        <v>0.69320000000000004</v>
      </c>
      <c r="BH94" s="203">
        <v>0.70050000000000001</v>
      </c>
      <c r="BI94" s="201" t="s">
        <v>410</v>
      </c>
      <c r="BJ94" s="222">
        <v>193</v>
      </c>
      <c r="BK94" s="222">
        <v>193</v>
      </c>
      <c r="BL94" s="203">
        <v>0.71140000000000003</v>
      </c>
      <c r="BM94" s="203">
        <v>0.70130000000000003</v>
      </c>
      <c r="BN94" s="203">
        <v>0.67549999999999999</v>
      </c>
      <c r="BO94" s="203">
        <v>0.73099999999999998</v>
      </c>
      <c r="BP94" s="203">
        <v>0.68799999999999994</v>
      </c>
      <c r="BQ94" s="203">
        <v>0.70350000000000001</v>
      </c>
      <c r="BR94" s="410" t="s">
        <v>410</v>
      </c>
      <c r="BS94" s="391">
        <v>180</v>
      </c>
      <c r="BT94" s="391">
        <v>178</v>
      </c>
      <c r="BU94" s="391">
        <v>0.69879999999999998</v>
      </c>
      <c r="BV94" s="391">
        <v>0.68820000000000003</v>
      </c>
      <c r="BW94" s="391">
        <v>0.66259999999999997</v>
      </c>
      <c r="BX94" s="391">
        <v>0.7218</v>
      </c>
      <c r="BY94" s="391">
        <v>0.68530000000000002</v>
      </c>
      <c r="BZ94" s="391">
        <v>0.69230000000000003</v>
      </c>
      <c r="CA94" s="539" t="s">
        <v>410</v>
      </c>
      <c r="CB94" s="537" t="s">
        <v>1002</v>
      </c>
      <c r="CC94" s="537" t="s">
        <v>672</v>
      </c>
      <c r="CD94" s="538">
        <v>0.69140000000000001</v>
      </c>
      <c r="CE94" s="538">
        <v>0.68440000000000001</v>
      </c>
      <c r="CF94" s="538">
        <v>0.67620000000000002</v>
      </c>
      <c r="CG94" s="538">
        <v>0.7349</v>
      </c>
      <c r="CH94" s="538">
        <v>0.69589999999999996</v>
      </c>
      <c r="CI94" s="538">
        <v>0.69669999999999999</v>
      </c>
    </row>
    <row r="95" spans="1:96" x14ac:dyDescent="0.3">
      <c r="A95" s="567" t="s">
        <v>968</v>
      </c>
      <c r="B95" s="525" t="s">
        <v>967</v>
      </c>
      <c r="C95" s="200" t="s">
        <v>573</v>
      </c>
      <c r="D95" s="200" t="s">
        <v>422</v>
      </c>
      <c r="E95" s="525"/>
      <c r="F95" s="200" t="s">
        <v>220</v>
      </c>
      <c r="G95" s="542"/>
      <c r="H95" s="527"/>
      <c r="I95" s="527"/>
      <c r="J95" s="527"/>
      <c r="K95" s="527"/>
      <c r="L95" s="527"/>
      <c r="M95" s="527"/>
      <c r="N95" s="527"/>
      <c r="O95" s="527"/>
      <c r="P95" s="542"/>
      <c r="Q95" s="527"/>
      <c r="R95" s="527"/>
      <c r="S95" s="527"/>
      <c r="T95" s="527"/>
      <c r="U95" s="527"/>
      <c r="V95" s="527"/>
      <c r="W95" s="527"/>
      <c r="X95" s="527"/>
      <c r="Y95" s="543"/>
      <c r="Z95" s="525"/>
      <c r="AA95" s="525"/>
      <c r="AB95" s="529"/>
      <c r="AC95" s="529"/>
      <c r="AD95" s="529"/>
      <c r="AE95" s="529"/>
      <c r="AF95" s="529"/>
      <c r="AG95" s="529"/>
      <c r="AH95" s="551"/>
      <c r="AI95" s="525"/>
      <c r="AJ95" s="525"/>
      <c r="AK95" s="529"/>
      <c r="AL95" s="529"/>
      <c r="AM95" s="529"/>
      <c r="AN95" s="529"/>
      <c r="AO95" s="529"/>
      <c r="AP95" s="529"/>
      <c r="AQ95" s="552"/>
      <c r="AR95" s="525"/>
      <c r="AS95" s="525"/>
      <c r="AT95" s="529"/>
      <c r="AU95" s="529"/>
      <c r="AV95" s="529"/>
      <c r="AW95" s="529"/>
      <c r="AX95" s="529"/>
      <c r="AY95" s="529"/>
      <c r="AZ95" s="543"/>
      <c r="BA95" s="525"/>
      <c r="BB95" s="525"/>
      <c r="BC95" s="529"/>
      <c r="BD95" s="529"/>
      <c r="BE95" s="529"/>
      <c r="BF95" s="529"/>
      <c r="BG95" s="529"/>
      <c r="BH95" s="529"/>
      <c r="BI95" s="553"/>
      <c r="BJ95" s="533"/>
      <c r="BK95" s="533"/>
      <c r="BL95" s="529"/>
      <c r="BM95" s="529"/>
      <c r="BN95" s="529"/>
      <c r="BO95" s="529"/>
      <c r="BP95" s="529"/>
      <c r="BQ95" s="529"/>
      <c r="BR95" s="554"/>
      <c r="BS95" s="527"/>
      <c r="BT95" s="527"/>
      <c r="BU95" s="527"/>
      <c r="BV95" s="527"/>
      <c r="BW95" s="527"/>
      <c r="BX95" s="527"/>
      <c r="BY95" s="527"/>
      <c r="BZ95" s="527"/>
      <c r="CA95" s="539" t="s">
        <v>410</v>
      </c>
      <c r="CB95" s="537" t="s">
        <v>452</v>
      </c>
      <c r="CC95" s="537" t="s">
        <v>424</v>
      </c>
      <c r="CD95" s="538">
        <v>0.71679999999999999</v>
      </c>
      <c r="CE95" s="538">
        <v>0.67279999999999995</v>
      </c>
      <c r="CF95" s="538">
        <v>0.68869999999999998</v>
      </c>
      <c r="CG95" s="538">
        <v>0.72089999999999999</v>
      </c>
      <c r="CH95" s="538">
        <v>0.69840000000000002</v>
      </c>
      <c r="CI95" s="538">
        <v>0.69969999999999999</v>
      </c>
      <c r="CJ95" s="669" t="s">
        <v>410</v>
      </c>
      <c r="CK95" s="668">
        <v>228</v>
      </c>
      <c r="CL95" s="668">
        <v>227</v>
      </c>
      <c r="CM95" s="659">
        <v>0.71419999999999995</v>
      </c>
      <c r="CN95" s="659">
        <v>0.68779999999999997</v>
      </c>
      <c r="CO95" s="659">
        <v>0.69099999999999995</v>
      </c>
      <c r="CP95" s="659">
        <v>0.73009999999999997</v>
      </c>
      <c r="CQ95" s="659">
        <v>0.71120000000000005</v>
      </c>
      <c r="CR95" s="659">
        <v>0.70620000000000005</v>
      </c>
    </row>
    <row r="96" spans="1:96" x14ac:dyDescent="0.3">
      <c r="A96" s="62" t="s">
        <v>290</v>
      </c>
      <c r="B96" s="200" t="s">
        <v>182</v>
      </c>
      <c r="C96" s="200" t="s">
        <v>573</v>
      </c>
      <c r="D96" s="200" t="s">
        <v>422</v>
      </c>
      <c r="E96" s="200" t="s">
        <v>794</v>
      </c>
      <c r="F96" s="200" t="s">
        <v>222</v>
      </c>
      <c r="G96" s="240" t="s">
        <v>410</v>
      </c>
      <c r="H96" s="241" t="s">
        <v>445</v>
      </c>
      <c r="I96" s="241" t="s">
        <v>445</v>
      </c>
      <c r="J96" s="241">
        <v>0.66879999999999995</v>
      </c>
      <c r="K96" s="241">
        <v>0.66520000000000001</v>
      </c>
      <c r="L96" s="241">
        <v>0.68630000000000002</v>
      </c>
      <c r="M96" s="241">
        <v>0.68969999999999998</v>
      </c>
      <c r="N96" s="241">
        <v>0.65869999999999995</v>
      </c>
      <c r="O96" s="241">
        <v>0.67610000000000003</v>
      </c>
      <c r="P96" s="248" t="s">
        <v>410</v>
      </c>
      <c r="Q96" s="249" t="s">
        <v>600</v>
      </c>
      <c r="R96" s="249" t="s">
        <v>600</v>
      </c>
      <c r="S96" s="249">
        <v>0.66749999999999998</v>
      </c>
      <c r="T96" s="249">
        <v>0.6724</v>
      </c>
      <c r="U96" s="249">
        <v>0.69399999999999995</v>
      </c>
      <c r="V96" s="249">
        <v>0.69110000000000005</v>
      </c>
      <c r="W96" s="249">
        <v>0.66139999999999999</v>
      </c>
      <c r="X96" s="249">
        <v>0.67969999999999997</v>
      </c>
      <c r="Y96" s="204" t="s">
        <v>410</v>
      </c>
      <c r="Z96" s="200" t="s">
        <v>685</v>
      </c>
      <c r="AA96" s="200" t="s">
        <v>266</v>
      </c>
      <c r="AB96" s="203">
        <v>0.67349999999999999</v>
      </c>
      <c r="AC96" s="203">
        <v>0.68859999999999999</v>
      </c>
      <c r="AD96" s="203">
        <v>0.69210000000000005</v>
      </c>
      <c r="AE96" s="203">
        <v>0.70669999999999999</v>
      </c>
      <c r="AF96" s="203">
        <v>0.68079999999999996</v>
      </c>
      <c r="AG96" s="203">
        <v>0.6895</v>
      </c>
      <c r="AH96" s="231" t="s">
        <v>410</v>
      </c>
      <c r="AI96" s="200" t="s">
        <v>619</v>
      </c>
      <c r="AJ96" s="200" t="s">
        <v>454</v>
      </c>
      <c r="AK96" s="203">
        <v>0.6724</v>
      </c>
      <c r="AL96" s="203">
        <v>0.69550000000000001</v>
      </c>
      <c r="AM96" s="203">
        <v>0.68840000000000001</v>
      </c>
      <c r="AN96" s="203">
        <v>0.71209999999999996</v>
      </c>
      <c r="AO96" s="203">
        <v>0.69310000000000005</v>
      </c>
      <c r="AP96" s="203">
        <v>0.69220000000000004</v>
      </c>
      <c r="AQ96" s="205" t="s">
        <v>410</v>
      </c>
      <c r="AR96" s="200" t="s">
        <v>524</v>
      </c>
      <c r="AS96" s="200" t="s">
        <v>525</v>
      </c>
      <c r="AT96" s="203">
        <v>0.67549999999999999</v>
      </c>
      <c r="AU96" s="203">
        <v>0.69110000000000005</v>
      </c>
      <c r="AV96" s="203">
        <v>0.67520000000000002</v>
      </c>
      <c r="AW96" s="203">
        <v>0.71989999999999998</v>
      </c>
      <c r="AX96" s="203">
        <v>0.70389999999999997</v>
      </c>
      <c r="AY96" s="203">
        <v>0.69140000000000001</v>
      </c>
      <c r="AZ96" s="204" t="s">
        <v>410</v>
      </c>
      <c r="BA96" s="200" t="s">
        <v>595</v>
      </c>
      <c r="BB96" s="200" t="s">
        <v>595</v>
      </c>
      <c r="BC96" s="203">
        <v>0.68049999999999999</v>
      </c>
      <c r="BD96" s="203">
        <v>0.67659999999999998</v>
      </c>
      <c r="BE96" s="203">
        <v>0.65580000000000005</v>
      </c>
      <c r="BF96" s="203">
        <v>0.71560000000000001</v>
      </c>
      <c r="BG96" s="203">
        <v>0.6905</v>
      </c>
      <c r="BH96" s="203">
        <v>0.68279999999999996</v>
      </c>
      <c r="BI96" s="201" t="s">
        <v>410</v>
      </c>
      <c r="BJ96" s="222">
        <v>336</v>
      </c>
      <c r="BK96" s="222">
        <v>333</v>
      </c>
      <c r="BL96" s="203">
        <v>0.68620000000000003</v>
      </c>
      <c r="BM96" s="203">
        <v>0.66569999999999996</v>
      </c>
      <c r="BN96" s="203">
        <v>0.64410000000000001</v>
      </c>
      <c r="BO96" s="203">
        <v>0.71599999999999997</v>
      </c>
      <c r="BP96" s="203">
        <v>0.67249999999999999</v>
      </c>
      <c r="BQ96" s="203">
        <v>0.67759999999999998</v>
      </c>
      <c r="BR96" s="410" t="s">
        <v>410</v>
      </c>
      <c r="BS96" s="391">
        <v>345</v>
      </c>
      <c r="BT96" s="391">
        <v>340</v>
      </c>
      <c r="BU96" s="391">
        <v>0.68</v>
      </c>
      <c r="BV96" s="391">
        <v>0.6542</v>
      </c>
      <c r="BW96" s="391">
        <v>0.63419999999999999</v>
      </c>
      <c r="BX96" s="391">
        <v>0.71430000000000005</v>
      </c>
      <c r="BY96" s="391">
        <v>0.66459999999999997</v>
      </c>
      <c r="BZ96" s="391">
        <v>0.67020000000000002</v>
      </c>
      <c r="CA96" s="540" t="s">
        <v>546</v>
      </c>
      <c r="CB96" s="537" t="s">
        <v>1003</v>
      </c>
      <c r="CC96" s="537" t="s">
        <v>979</v>
      </c>
      <c r="CD96" s="538">
        <v>0.66520000000000001</v>
      </c>
      <c r="CE96" s="538">
        <v>0.64529999999999998</v>
      </c>
      <c r="CF96" s="538">
        <v>0.63360000000000005</v>
      </c>
      <c r="CG96" s="538">
        <v>0.70940000000000003</v>
      </c>
      <c r="CH96" s="538">
        <v>0.66779999999999995</v>
      </c>
      <c r="CI96" s="538">
        <v>0.66369999999999996</v>
      </c>
      <c r="CJ96" s="670" t="s">
        <v>546</v>
      </c>
      <c r="CK96" s="672">
        <v>333</v>
      </c>
      <c r="CL96" s="672">
        <v>328</v>
      </c>
      <c r="CM96" s="645">
        <v>0.65810000000000002</v>
      </c>
      <c r="CN96" s="645">
        <v>0.64490000000000003</v>
      </c>
      <c r="CO96" s="645">
        <v>0.63390000000000002</v>
      </c>
      <c r="CP96" s="645">
        <v>0.70689999999999997</v>
      </c>
      <c r="CQ96" s="645">
        <v>0.68610000000000004</v>
      </c>
      <c r="CR96" s="645">
        <v>0.66290000000000004</v>
      </c>
    </row>
    <row r="97" spans="1:96" x14ac:dyDescent="0.3">
      <c r="A97" s="567" t="s">
        <v>970</v>
      </c>
      <c r="B97" s="525" t="s">
        <v>969</v>
      </c>
      <c r="C97" s="200" t="s">
        <v>573</v>
      </c>
      <c r="D97" s="200" t="s">
        <v>422</v>
      </c>
      <c r="E97" s="525"/>
      <c r="F97" s="200" t="s">
        <v>220</v>
      </c>
      <c r="G97" s="542"/>
      <c r="H97" s="527"/>
      <c r="I97" s="527"/>
      <c r="J97" s="527"/>
      <c r="K97" s="527"/>
      <c r="L97" s="527"/>
      <c r="M97" s="527"/>
      <c r="N97" s="527"/>
      <c r="O97" s="527"/>
      <c r="P97" s="542"/>
      <c r="Q97" s="527"/>
      <c r="R97" s="527"/>
      <c r="S97" s="527"/>
      <c r="T97" s="527"/>
      <c r="U97" s="527"/>
      <c r="V97" s="527"/>
      <c r="W97" s="527"/>
      <c r="X97" s="527"/>
      <c r="Y97" s="543"/>
      <c r="Z97" s="525"/>
      <c r="AA97" s="525"/>
      <c r="AB97" s="529"/>
      <c r="AC97" s="529"/>
      <c r="AD97" s="529"/>
      <c r="AE97" s="529"/>
      <c r="AF97" s="529"/>
      <c r="AG97" s="529"/>
      <c r="AH97" s="551"/>
      <c r="AI97" s="525"/>
      <c r="AJ97" s="525"/>
      <c r="AK97" s="529"/>
      <c r="AL97" s="529"/>
      <c r="AM97" s="529"/>
      <c r="AN97" s="529"/>
      <c r="AO97" s="529"/>
      <c r="AP97" s="529"/>
      <c r="AQ97" s="552"/>
      <c r="AR97" s="525"/>
      <c r="AS97" s="525"/>
      <c r="AT97" s="529"/>
      <c r="AU97" s="529"/>
      <c r="AV97" s="529"/>
      <c r="AW97" s="529"/>
      <c r="AX97" s="529"/>
      <c r="AY97" s="529"/>
      <c r="AZ97" s="543"/>
      <c r="BA97" s="525"/>
      <c r="BB97" s="525"/>
      <c r="BC97" s="529"/>
      <c r="BD97" s="529"/>
      <c r="BE97" s="529"/>
      <c r="BF97" s="529"/>
      <c r="BG97" s="529"/>
      <c r="BH97" s="529"/>
      <c r="BI97" s="553"/>
      <c r="BJ97" s="533"/>
      <c r="BK97" s="533"/>
      <c r="BL97" s="529"/>
      <c r="BM97" s="529"/>
      <c r="BN97" s="529"/>
      <c r="BO97" s="529"/>
      <c r="BP97" s="529"/>
      <c r="BQ97" s="529"/>
      <c r="BR97" s="565"/>
      <c r="BS97" s="527"/>
      <c r="BT97" s="527"/>
      <c r="BU97" s="527"/>
      <c r="BV97" s="527"/>
      <c r="BW97" s="527"/>
      <c r="BX97" s="527"/>
      <c r="BY97" s="527"/>
      <c r="BZ97" s="527"/>
      <c r="CA97" s="539" t="s">
        <v>410</v>
      </c>
      <c r="CB97" s="537" t="s">
        <v>556</v>
      </c>
      <c r="CC97" s="537" t="s">
        <v>556</v>
      </c>
      <c r="CD97" s="538">
        <v>0.6734</v>
      </c>
      <c r="CE97" s="538">
        <v>0.65110000000000001</v>
      </c>
      <c r="CF97" s="538">
        <v>0.64100000000000001</v>
      </c>
      <c r="CG97" s="538">
        <v>0.72030000000000005</v>
      </c>
      <c r="CH97" s="538">
        <v>0.66339999999999999</v>
      </c>
      <c r="CI97" s="538">
        <v>0.67090000000000005</v>
      </c>
      <c r="CJ97" s="669" t="s">
        <v>410</v>
      </c>
      <c r="CK97" s="668">
        <v>168</v>
      </c>
      <c r="CL97" s="668">
        <v>160</v>
      </c>
      <c r="CM97" s="659">
        <v>0.6804</v>
      </c>
      <c r="CN97" s="659">
        <v>0.65620000000000001</v>
      </c>
      <c r="CO97" s="659">
        <v>0.64429999999999998</v>
      </c>
      <c r="CP97" s="659">
        <v>0.71509999999999996</v>
      </c>
      <c r="CQ97" s="659">
        <v>0.65410000000000001</v>
      </c>
      <c r="CR97" s="659">
        <v>0.67249999999999999</v>
      </c>
    </row>
    <row r="98" spans="1:96" x14ac:dyDescent="0.3">
      <c r="A98" s="62" t="s">
        <v>233</v>
      </c>
      <c r="B98" s="200" t="s">
        <v>238</v>
      </c>
      <c r="C98" s="200" t="s">
        <v>573</v>
      </c>
      <c r="D98" s="200" t="s">
        <v>422</v>
      </c>
      <c r="E98" s="200" t="s">
        <v>794</v>
      </c>
      <c r="F98" s="200" t="s">
        <v>222</v>
      </c>
      <c r="G98" s="244" t="s">
        <v>562</v>
      </c>
      <c r="H98" s="241" t="s">
        <v>485</v>
      </c>
      <c r="I98" s="241" t="s">
        <v>556</v>
      </c>
      <c r="J98" s="241">
        <v>0.57399999999999995</v>
      </c>
      <c r="K98" s="241">
        <v>0.59750000000000003</v>
      </c>
      <c r="L98" s="241">
        <v>0.59189999999999998</v>
      </c>
      <c r="M98" s="241">
        <v>0.59130000000000005</v>
      </c>
      <c r="N98" s="241">
        <v>0.61040000000000005</v>
      </c>
      <c r="O98" s="241">
        <v>0.59030000000000005</v>
      </c>
      <c r="P98" s="251" t="s">
        <v>562</v>
      </c>
      <c r="Q98" s="249" t="s">
        <v>145</v>
      </c>
      <c r="R98" s="249" t="s">
        <v>538</v>
      </c>
      <c r="S98" s="249">
        <v>0.5766</v>
      </c>
      <c r="T98" s="249">
        <v>0.58330000000000004</v>
      </c>
      <c r="U98" s="249">
        <v>0.58620000000000005</v>
      </c>
      <c r="V98" s="249">
        <v>0.5776</v>
      </c>
      <c r="W98" s="249">
        <v>0.59130000000000005</v>
      </c>
      <c r="X98" s="249">
        <v>0.58169999999999999</v>
      </c>
      <c r="Y98" s="209" t="s">
        <v>562</v>
      </c>
      <c r="Z98" s="200" t="s">
        <v>145</v>
      </c>
      <c r="AA98" s="200" t="s">
        <v>538</v>
      </c>
      <c r="AB98" s="203">
        <v>0.5766</v>
      </c>
      <c r="AC98" s="203">
        <v>0.58330000000000004</v>
      </c>
      <c r="AD98" s="203">
        <v>0.58620000000000005</v>
      </c>
      <c r="AE98" s="203">
        <v>0.5776</v>
      </c>
      <c r="AF98" s="203">
        <v>0.59130000000000005</v>
      </c>
      <c r="AG98" s="203">
        <v>0.58169999999999999</v>
      </c>
      <c r="AH98" s="229" t="s">
        <v>562</v>
      </c>
      <c r="AI98" s="200" t="s">
        <v>145</v>
      </c>
      <c r="AJ98" s="200" t="s">
        <v>538</v>
      </c>
      <c r="AK98" s="203">
        <v>0.5766</v>
      </c>
      <c r="AL98" s="203">
        <v>0.58330000000000004</v>
      </c>
      <c r="AM98" s="203">
        <v>0.58620000000000005</v>
      </c>
      <c r="AN98" s="203">
        <v>0.5776</v>
      </c>
      <c r="AO98" s="203">
        <v>0.59130000000000005</v>
      </c>
      <c r="AP98" s="203">
        <v>0.58169999999999999</v>
      </c>
      <c r="AQ98" s="200"/>
      <c r="AR98" s="200"/>
      <c r="AS98" s="200"/>
      <c r="AT98" s="203"/>
      <c r="AU98" s="203"/>
      <c r="AV98" s="203"/>
      <c r="AW98" s="203"/>
      <c r="AX98" s="203"/>
      <c r="AY98" s="203"/>
      <c r="AZ98" s="209" t="s">
        <v>562</v>
      </c>
      <c r="BA98" s="200" t="s">
        <v>145</v>
      </c>
      <c r="BB98" s="200" t="s">
        <v>538</v>
      </c>
      <c r="BC98" s="203">
        <v>0.5766</v>
      </c>
      <c r="BD98" s="203">
        <v>0.58330000000000004</v>
      </c>
      <c r="BE98" s="203">
        <v>0.58620000000000005</v>
      </c>
      <c r="BF98" s="203">
        <v>0.5776</v>
      </c>
      <c r="BG98" s="203">
        <v>0.59130000000000005</v>
      </c>
      <c r="BH98" s="203">
        <v>0.58169999999999999</v>
      </c>
      <c r="BI98" s="217" t="s">
        <v>562</v>
      </c>
      <c r="BJ98" s="222">
        <v>38</v>
      </c>
      <c r="BK98" s="222">
        <v>33</v>
      </c>
      <c r="BL98" s="203">
        <v>0.5766</v>
      </c>
      <c r="BM98" s="203">
        <v>0.58330000000000004</v>
      </c>
      <c r="BN98" s="203">
        <v>0.58620000000000005</v>
      </c>
      <c r="BO98" s="203">
        <v>0.5776</v>
      </c>
      <c r="BP98" s="203">
        <v>0.59130000000000005</v>
      </c>
      <c r="BQ98" s="203">
        <v>0.58169999999999999</v>
      </c>
      <c r="BS98" s="389"/>
      <c r="BT98" s="389"/>
      <c r="BU98" s="389"/>
      <c r="BV98" s="389"/>
      <c r="BW98" s="389"/>
      <c r="BX98" s="389"/>
      <c r="BY98" s="389"/>
      <c r="BZ98" s="389"/>
    </row>
    <row r="99" spans="1:96" x14ac:dyDescent="0.3">
      <c r="A99" s="62" t="s">
        <v>158</v>
      </c>
      <c r="B99" s="200" t="s">
        <v>157</v>
      </c>
      <c r="C99" s="200" t="s">
        <v>573</v>
      </c>
      <c r="D99" s="200" t="s">
        <v>422</v>
      </c>
      <c r="E99" s="200" t="s">
        <v>794</v>
      </c>
      <c r="F99" s="200" t="s">
        <v>222</v>
      </c>
      <c r="G99" s="243" t="s">
        <v>409</v>
      </c>
      <c r="H99" s="241" t="s">
        <v>587</v>
      </c>
      <c r="I99" s="241" t="s">
        <v>587</v>
      </c>
      <c r="J99" s="241">
        <v>0.70279999999999998</v>
      </c>
      <c r="K99" s="241">
        <v>0.7248</v>
      </c>
      <c r="L99" s="241">
        <v>0.72929999999999995</v>
      </c>
      <c r="M99" s="241">
        <v>0.72889999999999999</v>
      </c>
      <c r="N99" s="241">
        <v>0.72929999999999995</v>
      </c>
      <c r="O99" s="241">
        <v>0.72209999999999996</v>
      </c>
      <c r="P99" s="252" t="s">
        <v>409</v>
      </c>
      <c r="Q99" s="249" t="s">
        <v>444</v>
      </c>
      <c r="R99" s="249" t="s">
        <v>444</v>
      </c>
      <c r="S99" s="249">
        <v>0.70520000000000005</v>
      </c>
      <c r="T99" s="249">
        <v>0.73</v>
      </c>
      <c r="U99" s="249">
        <v>0.73319999999999996</v>
      </c>
      <c r="V99" s="249">
        <v>0.73219999999999996</v>
      </c>
      <c r="W99" s="249">
        <v>0.73350000000000004</v>
      </c>
      <c r="X99" s="249">
        <v>0.7258</v>
      </c>
      <c r="Y99" s="211" t="s">
        <v>409</v>
      </c>
      <c r="Z99" s="200" t="s">
        <v>424</v>
      </c>
      <c r="AA99" s="200" t="s">
        <v>424</v>
      </c>
      <c r="AB99" s="203">
        <v>0.71479999999999999</v>
      </c>
      <c r="AC99" s="203">
        <v>0.73640000000000005</v>
      </c>
      <c r="AD99" s="203">
        <v>0.72940000000000005</v>
      </c>
      <c r="AE99" s="203">
        <v>0.74139999999999995</v>
      </c>
      <c r="AF99" s="203">
        <v>0.74539999999999995</v>
      </c>
      <c r="AG99" s="203">
        <v>0.73160000000000003</v>
      </c>
      <c r="AH99" s="230" t="s">
        <v>409</v>
      </c>
      <c r="AI99" s="200" t="s">
        <v>584</v>
      </c>
      <c r="AJ99" s="200" t="s">
        <v>584</v>
      </c>
      <c r="AK99" s="203">
        <v>0.71589999999999998</v>
      </c>
      <c r="AL99" s="203">
        <v>0.7329</v>
      </c>
      <c r="AM99" s="203">
        <v>0.72470000000000001</v>
      </c>
      <c r="AN99" s="203">
        <v>0.746</v>
      </c>
      <c r="AO99" s="203">
        <v>0.7429</v>
      </c>
      <c r="AP99" s="203">
        <v>0.73089999999999999</v>
      </c>
      <c r="AQ99" s="216" t="s">
        <v>409</v>
      </c>
      <c r="AR99" s="200" t="s">
        <v>470</v>
      </c>
      <c r="AS99" s="200" t="s">
        <v>470</v>
      </c>
      <c r="AT99" s="203">
        <v>0.71479999999999999</v>
      </c>
      <c r="AU99" s="203">
        <v>0.72319999999999995</v>
      </c>
      <c r="AV99" s="203">
        <v>0.71619999999999995</v>
      </c>
      <c r="AW99" s="203">
        <v>0.746</v>
      </c>
      <c r="AX99" s="203">
        <v>0.74399999999999999</v>
      </c>
      <c r="AY99" s="203">
        <v>0.72650000000000003</v>
      </c>
      <c r="AZ99" s="204" t="s">
        <v>410</v>
      </c>
      <c r="BA99" s="200" t="s">
        <v>716</v>
      </c>
      <c r="BB99" s="200" t="s">
        <v>656</v>
      </c>
      <c r="BC99" s="203">
        <v>0.7157</v>
      </c>
      <c r="BD99" s="203">
        <v>0.70230000000000004</v>
      </c>
      <c r="BE99" s="203">
        <v>0.68440000000000001</v>
      </c>
      <c r="BF99" s="203">
        <v>0.74229999999999996</v>
      </c>
      <c r="BG99" s="203">
        <v>0.73060000000000003</v>
      </c>
      <c r="BH99" s="203">
        <v>0.7127</v>
      </c>
      <c r="BI99" s="201" t="s">
        <v>410</v>
      </c>
      <c r="BJ99" s="222">
        <v>155</v>
      </c>
      <c r="BK99" s="222">
        <v>154</v>
      </c>
      <c r="BL99" s="203">
        <v>0.73</v>
      </c>
      <c r="BM99" s="203">
        <v>0.70020000000000004</v>
      </c>
      <c r="BN99" s="203">
        <v>0.68510000000000004</v>
      </c>
      <c r="BO99" s="203">
        <v>0.74150000000000005</v>
      </c>
      <c r="BP99" s="203">
        <v>0.7137</v>
      </c>
      <c r="BQ99" s="203">
        <v>0.71409999999999996</v>
      </c>
      <c r="BR99" s="410" t="s">
        <v>410</v>
      </c>
      <c r="BS99" s="391">
        <v>164</v>
      </c>
      <c r="BT99" s="391">
        <v>163</v>
      </c>
      <c r="BU99" s="391">
        <v>0.7268</v>
      </c>
      <c r="BV99" s="391">
        <v>0.69450000000000001</v>
      </c>
      <c r="BW99" s="391">
        <v>0.68220000000000003</v>
      </c>
      <c r="BX99" s="391">
        <v>0.74990000000000001</v>
      </c>
      <c r="BY99" s="391">
        <v>0.70630000000000004</v>
      </c>
      <c r="BZ99" s="391">
        <v>0.71279999999999999</v>
      </c>
      <c r="CA99" s="539" t="s">
        <v>410</v>
      </c>
      <c r="CB99" s="537" t="s">
        <v>666</v>
      </c>
      <c r="CC99" s="537" t="s">
        <v>435</v>
      </c>
      <c r="CD99" s="538">
        <v>0.73209999999999997</v>
      </c>
      <c r="CE99" s="538">
        <v>0.69059999999999999</v>
      </c>
      <c r="CF99" s="538">
        <v>0.69240000000000002</v>
      </c>
      <c r="CG99" s="538">
        <v>0.74950000000000006</v>
      </c>
      <c r="CH99" s="538">
        <v>0.71650000000000003</v>
      </c>
      <c r="CI99" s="538">
        <v>0.71619999999999995</v>
      </c>
      <c r="CJ99" s="669" t="s">
        <v>410</v>
      </c>
      <c r="CK99" s="668">
        <v>191</v>
      </c>
      <c r="CL99" s="668">
        <v>190</v>
      </c>
      <c r="CM99" s="659">
        <v>0.72560000000000002</v>
      </c>
      <c r="CN99" s="659">
        <v>0.69279999999999997</v>
      </c>
      <c r="CO99" s="659">
        <v>0.69169999999999998</v>
      </c>
      <c r="CP99" s="659">
        <v>0.75319999999999998</v>
      </c>
      <c r="CQ99" s="659">
        <v>0.72419999999999995</v>
      </c>
      <c r="CR99" s="659">
        <v>0.71650000000000003</v>
      </c>
    </row>
    <row r="100" spans="1:96" x14ac:dyDescent="0.3">
      <c r="A100" s="62" t="s">
        <v>120</v>
      </c>
      <c r="B100" s="200" t="s">
        <v>119</v>
      </c>
      <c r="C100" s="200" t="s">
        <v>573</v>
      </c>
      <c r="D100" s="200" t="s">
        <v>422</v>
      </c>
      <c r="E100" s="200" t="s">
        <v>794</v>
      </c>
      <c r="F100" s="200" t="s">
        <v>222</v>
      </c>
      <c r="G100" s="242" t="s">
        <v>546</v>
      </c>
      <c r="H100" s="241" t="s">
        <v>423</v>
      </c>
      <c r="I100" s="241" t="s">
        <v>575</v>
      </c>
      <c r="J100" s="241">
        <v>0.64539999999999997</v>
      </c>
      <c r="K100" s="241">
        <v>0.64659999999999995</v>
      </c>
      <c r="L100" s="241">
        <v>0.64359999999999995</v>
      </c>
      <c r="M100" s="241">
        <v>0.66759999999999997</v>
      </c>
      <c r="N100" s="241">
        <v>0.64429999999999998</v>
      </c>
      <c r="O100" s="241">
        <v>0.65029999999999999</v>
      </c>
      <c r="P100" s="250" t="s">
        <v>546</v>
      </c>
      <c r="Q100" s="249" t="s">
        <v>664</v>
      </c>
      <c r="R100" s="249" t="s">
        <v>550</v>
      </c>
      <c r="S100" s="249">
        <v>0.63190000000000002</v>
      </c>
      <c r="T100" s="249">
        <v>0.65139999999999998</v>
      </c>
      <c r="U100" s="249">
        <v>0.63590000000000002</v>
      </c>
      <c r="V100" s="249">
        <v>0.64270000000000005</v>
      </c>
      <c r="W100" s="249">
        <v>0.64600000000000002</v>
      </c>
      <c r="X100" s="249">
        <v>0.64090000000000003</v>
      </c>
      <c r="Y100" s="207" t="s">
        <v>546</v>
      </c>
      <c r="Z100" s="200" t="s">
        <v>469</v>
      </c>
      <c r="AA100" s="200" t="s">
        <v>556</v>
      </c>
      <c r="AB100" s="203">
        <v>0.63380000000000003</v>
      </c>
      <c r="AC100" s="203">
        <v>0.67320000000000002</v>
      </c>
      <c r="AD100" s="203">
        <v>0.64359999999999995</v>
      </c>
      <c r="AE100" s="203">
        <v>0.6482</v>
      </c>
      <c r="AF100" s="203">
        <v>0.67130000000000001</v>
      </c>
      <c r="AG100" s="203">
        <v>0.65129999999999999</v>
      </c>
      <c r="AH100" s="227" t="s">
        <v>546</v>
      </c>
      <c r="AI100" s="200" t="s">
        <v>503</v>
      </c>
      <c r="AJ100" s="200" t="s">
        <v>423</v>
      </c>
      <c r="AK100" s="203">
        <v>0.63839999999999997</v>
      </c>
      <c r="AL100" s="203">
        <v>0.69379999999999997</v>
      </c>
      <c r="AM100" s="203">
        <v>0.65759999999999996</v>
      </c>
      <c r="AN100" s="203">
        <v>0.66069999999999995</v>
      </c>
      <c r="AO100" s="203">
        <v>0.68510000000000004</v>
      </c>
      <c r="AP100" s="203">
        <v>0.6643</v>
      </c>
      <c r="AQ100" s="200"/>
      <c r="AR100" s="200"/>
      <c r="AS100" s="200"/>
      <c r="AT100" s="203"/>
      <c r="AU100" s="203"/>
      <c r="AV100" s="203"/>
      <c r="AW100" s="203"/>
      <c r="AX100" s="203"/>
      <c r="AY100" s="203"/>
      <c r="AZ100" s="204" t="s">
        <v>410</v>
      </c>
      <c r="BA100" s="200" t="s">
        <v>713</v>
      </c>
      <c r="BB100" s="200" t="s">
        <v>483</v>
      </c>
      <c r="BC100" s="203">
        <v>0.68969999999999998</v>
      </c>
      <c r="BD100" s="203">
        <v>0.70309999999999995</v>
      </c>
      <c r="BE100" s="203">
        <v>0.68469999999999998</v>
      </c>
      <c r="BF100" s="203">
        <v>0.72960000000000003</v>
      </c>
      <c r="BG100" s="203">
        <v>0.72370000000000001</v>
      </c>
      <c r="BH100" s="203">
        <v>0.70350000000000001</v>
      </c>
      <c r="BI100" s="201"/>
      <c r="BJ100" s="222"/>
      <c r="BK100" s="222"/>
      <c r="BL100" s="203"/>
      <c r="BM100" s="203"/>
      <c r="BN100" s="203"/>
      <c r="BO100" s="203"/>
      <c r="BP100" s="203"/>
      <c r="BQ100" s="203"/>
      <c r="BR100" s="410" t="s">
        <v>410</v>
      </c>
      <c r="BS100" s="391">
        <v>47</v>
      </c>
      <c r="BT100" s="391">
        <v>47</v>
      </c>
      <c r="BU100" s="391">
        <v>0.72360000000000002</v>
      </c>
      <c r="BV100" s="391">
        <v>0.7036</v>
      </c>
      <c r="BW100" s="391">
        <v>0.69010000000000005</v>
      </c>
      <c r="BX100" s="391">
        <v>0.74950000000000006</v>
      </c>
      <c r="BY100" s="391">
        <v>0.7006</v>
      </c>
      <c r="BZ100" s="391">
        <v>0.71540000000000004</v>
      </c>
      <c r="CA100" s="549" t="s">
        <v>409</v>
      </c>
      <c r="CB100" s="537" t="s">
        <v>468</v>
      </c>
      <c r="CC100" s="537" t="s">
        <v>468</v>
      </c>
      <c r="CD100" s="538">
        <v>0.74560000000000004</v>
      </c>
      <c r="CE100" s="538">
        <v>0.72929999999999995</v>
      </c>
      <c r="CF100" s="538">
        <v>0.70899999999999996</v>
      </c>
      <c r="CG100" s="538">
        <v>0.76570000000000005</v>
      </c>
      <c r="CH100" s="538">
        <v>0.72740000000000005</v>
      </c>
      <c r="CI100" s="538">
        <v>0.73660000000000003</v>
      </c>
      <c r="CJ100" s="669" t="s">
        <v>410</v>
      </c>
      <c r="CK100" s="668">
        <v>62</v>
      </c>
      <c r="CL100" s="668">
        <v>61</v>
      </c>
      <c r="CM100" s="659">
        <v>0.72409999999999997</v>
      </c>
      <c r="CN100" s="659">
        <v>0.71220000000000006</v>
      </c>
      <c r="CO100" s="659">
        <v>0.68130000000000002</v>
      </c>
      <c r="CP100" s="659">
        <v>0.74029999999999996</v>
      </c>
      <c r="CQ100" s="659">
        <v>0.73939999999999995</v>
      </c>
      <c r="CR100" s="659">
        <v>0.71640000000000004</v>
      </c>
    </row>
    <row r="101" spans="1:96" x14ac:dyDescent="0.3">
      <c r="A101" s="62" t="s">
        <v>52</v>
      </c>
      <c r="B101" s="200" t="s">
        <v>51</v>
      </c>
      <c r="C101" s="200" t="s">
        <v>573</v>
      </c>
      <c r="D101" s="200" t="s">
        <v>422</v>
      </c>
      <c r="E101" s="200" t="s">
        <v>794</v>
      </c>
      <c r="F101" s="200" t="s">
        <v>222</v>
      </c>
      <c r="G101" s="240" t="s">
        <v>410</v>
      </c>
      <c r="H101" s="241" t="s">
        <v>675</v>
      </c>
      <c r="I101" s="241" t="s">
        <v>563</v>
      </c>
      <c r="J101" s="241">
        <v>0.67400000000000004</v>
      </c>
      <c r="K101" s="241">
        <v>0.69299999999999995</v>
      </c>
      <c r="L101" s="241">
        <v>0.68320000000000003</v>
      </c>
      <c r="M101" s="241">
        <v>0.68569999999999998</v>
      </c>
      <c r="N101" s="241">
        <v>0.67420000000000002</v>
      </c>
      <c r="O101" s="241">
        <v>0.68320000000000003</v>
      </c>
      <c r="P101" s="248" t="s">
        <v>410</v>
      </c>
      <c r="Q101" s="249" t="s">
        <v>870</v>
      </c>
      <c r="R101" s="249" t="s">
        <v>870</v>
      </c>
      <c r="S101" s="249">
        <v>0.67649999999999999</v>
      </c>
      <c r="T101" s="249">
        <v>0.69740000000000002</v>
      </c>
      <c r="U101" s="249">
        <v>0.6794</v>
      </c>
      <c r="V101" s="249">
        <v>0.68200000000000005</v>
      </c>
      <c r="W101" s="249">
        <v>0.67520000000000002</v>
      </c>
      <c r="X101" s="249">
        <v>0.68320000000000003</v>
      </c>
      <c r="Y101" s="204" t="s">
        <v>410</v>
      </c>
      <c r="Z101" s="200" t="s">
        <v>431</v>
      </c>
      <c r="AA101" s="200" t="s">
        <v>435</v>
      </c>
      <c r="AB101" s="203">
        <v>0.68589999999999995</v>
      </c>
      <c r="AC101" s="203">
        <v>0.71179999999999999</v>
      </c>
      <c r="AD101" s="203">
        <v>0.69430000000000003</v>
      </c>
      <c r="AE101" s="203">
        <v>0.70050000000000001</v>
      </c>
      <c r="AF101" s="203">
        <v>0.70520000000000005</v>
      </c>
      <c r="AG101" s="203">
        <v>0.69869999999999999</v>
      </c>
      <c r="AH101" s="231" t="s">
        <v>410</v>
      </c>
      <c r="AI101" s="200" t="s">
        <v>458</v>
      </c>
      <c r="AJ101" s="200" t="s">
        <v>608</v>
      </c>
      <c r="AK101" s="203">
        <v>0.70809999999999995</v>
      </c>
      <c r="AL101" s="203">
        <v>0.72660000000000002</v>
      </c>
      <c r="AM101" s="203">
        <v>0.7046</v>
      </c>
      <c r="AN101" s="203">
        <v>0.72109999999999996</v>
      </c>
      <c r="AO101" s="203">
        <v>0.71660000000000001</v>
      </c>
      <c r="AP101" s="203">
        <v>0.71519999999999995</v>
      </c>
      <c r="AQ101" s="216" t="s">
        <v>409</v>
      </c>
      <c r="AR101" s="200" t="s">
        <v>471</v>
      </c>
      <c r="AS101" s="200" t="s">
        <v>430</v>
      </c>
      <c r="AT101" s="203">
        <v>0.72040000000000004</v>
      </c>
      <c r="AU101" s="203">
        <v>0.73150000000000004</v>
      </c>
      <c r="AV101" s="203">
        <v>0.70850000000000002</v>
      </c>
      <c r="AW101" s="203">
        <v>0.74150000000000005</v>
      </c>
      <c r="AX101" s="203">
        <v>0.72819999999999996</v>
      </c>
      <c r="AY101" s="203">
        <v>0.72570000000000001</v>
      </c>
      <c r="AZ101" s="211" t="s">
        <v>409</v>
      </c>
      <c r="BA101" s="200" t="s">
        <v>431</v>
      </c>
      <c r="BB101" s="200" t="s">
        <v>682</v>
      </c>
      <c r="BC101" s="203">
        <v>0.72719999999999996</v>
      </c>
      <c r="BD101" s="203">
        <v>0.72109999999999996</v>
      </c>
      <c r="BE101" s="203">
        <v>0.69499999999999995</v>
      </c>
      <c r="BF101" s="203">
        <v>0.75249999999999995</v>
      </c>
      <c r="BG101" s="203">
        <v>0.72540000000000004</v>
      </c>
      <c r="BH101" s="203">
        <v>0.72409999999999997</v>
      </c>
      <c r="BI101" s="201" t="s">
        <v>410</v>
      </c>
      <c r="BJ101" s="222">
        <v>188</v>
      </c>
      <c r="BK101" s="222">
        <v>186</v>
      </c>
      <c r="BL101" s="203">
        <v>0.73660000000000003</v>
      </c>
      <c r="BM101" s="203">
        <v>0.70509999999999995</v>
      </c>
      <c r="BN101" s="203">
        <v>0.68969999999999998</v>
      </c>
      <c r="BO101" s="203">
        <v>0.74770000000000003</v>
      </c>
      <c r="BP101" s="203">
        <v>0.71199999999999997</v>
      </c>
      <c r="BQ101" s="203">
        <v>0.71919999999999995</v>
      </c>
      <c r="BR101" s="410" t="s">
        <v>410</v>
      </c>
      <c r="BS101" s="391">
        <v>184</v>
      </c>
      <c r="BT101" s="391">
        <v>183</v>
      </c>
      <c r="BU101" s="391">
        <v>0.73650000000000004</v>
      </c>
      <c r="BV101" s="391">
        <v>0.69689999999999996</v>
      </c>
      <c r="BW101" s="391">
        <v>0.68769999999999998</v>
      </c>
      <c r="BX101" s="391">
        <v>0.74609999999999999</v>
      </c>
      <c r="BY101" s="391">
        <v>0.70950000000000002</v>
      </c>
      <c r="BZ101" s="391">
        <v>0.71619999999999995</v>
      </c>
      <c r="CA101" s="549" t="s">
        <v>409</v>
      </c>
      <c r="CB101" s="537" t="s">
        <v>683</v>
      </c>
      <c r="CC101" s="537" t="s">
        <v>846</v>
      </c>
      <c r="CD101" s="538">
        <v>0.74909999999999999</v>
      </c>
      <c r="CE101" s="538">
        <v>0.70630000000000004</v>
      </c>
      <c r="CF101" s="538">
        <v>0.70520000000000005</v>
      </c>
      <c r="CG101" s="538">
        <v>0.75129999999999997</v>
      </c>
      <c r="CH101" s="538">
        <v>0.71279999999999999</v>
      </c>
      <c r="CI101" s="538">
        <v>0.7268</v>
      </c>
      <c r="CJ101" s="667" t="s">
        <v>409</v>
      </c>
      <c r="CK101" s="665">
        <v>156</v>
      </c>
      <c r="CL101" s="665">
        <v>155</v>
      </c>
      <c r="CM101" s="509">
        <v>0.74719999999999998</v>
      </c>
      <c r="CN101" s="509">
        <v>0.71460000000000001</v>
      </c>
      <c r="CO101" s="509">
        <v>0.70220000000000005</v>
      </c>
      <c r="CP101" s="509">
        <v>0.75249999999999995</v>
      </c>
      <c r="CQ101" s="509">
        <v>0.73650000000000004</v>
      </c>
      <c r="CR101" s="509">
        <v>0.72970000000000002</v>
      </c>
    </row>
    <row r="102" spans="1:96" x14ac:dyDescent="0.3">
      <c r="A102" s="62" t="s">
        <v>40</v>
      </c>
      <c r="B102" s="200" t="s">
        <v>39</v>
      </c>
      <c r="C102" s="200" t="s">
        <v>573</v>
      </c>
      <c r="D102" s="200" t="s">
        <v>422</v>
      </c>
      <c r="E102" s="200" t="s">
        <v>794</v>
      </c>
      <c r="F102" s="200" t="s">
        <v>222</v>
      </c>
      <c r="G102" s="242" t="s">
        <v>546</v>
      </c>
      <c r="H102" s="241" t="s">
        <v>467</v>
      </c>
      <c r="I102" s="241" t="s">
        <v>489</v>
      </c>
      <c r="J102" s="241">
        <v>0.6421</v>
      </c>
      <c r="K102" s="241">
        <v>0.66359999999999997</v>
      </c>
      <c r="L102" s="241">
        <v>0.66149999999999998</v>
      </c>
      <c r="M102" s="241">
        <v>0.66239999999999999</v>
      </c>
      <c r="N102" s="241">
        <v>0.64059999999999995</v>
      </c>
      <c r="O102" s="241">
        <v>0.65610000000000002</v>
      </c>
      <c r="P102" s="250" t="s">
        <v>546</v>
      </c>
      <c r="Q102" s="249" t="s">
        <v>603</v>
      </c>
      <c r="R102" s="249" t="s">
        <v>814</v>
      </c>
      <c r="S102" s="249">
        <v>0.65990000000000004</v>
      </c>
      <c r="T102" s="249">
        <v>0.6774</v>
      </c>
      <c r="U102" s="249">
        <v>0.66830000000000001</v>
      </c>
      <c r="V102" s="249">
        <v>0.67210000000000003</v>
      </c>
      <c r="W102" s="249">
        <v>0.64300000000000002</v>
      </c>
      <c r="X102" s="249">
        <v>0.66739999999999999</v>
      </c>
      <c r="Y102" s="204" t="s">
        <v>410</v>
      </c>
      <c r="Z102" s="200" t="s">
        <v>702</v>
      </c>
      <c r="AA102" s="200" t="s">
        <v>703</v>
      </c>
      <c r="AB102" s="203">
        <v>0.67279999999999995</v>
      </c>
      <c r="AC102" s="203">
        <v>0.68520000000000003</v>
      </c>
      <c r="AD102" s="203">
        <v>0.66739999999999999</v>
      </c>
      <c r="AE102" s="203">
        <v>0.68210000000000004</v>
      </c>
      <c r="AF102" s="203">
        <v>0.65369999999999995</v>
      </c>
      <c r="AG102" s="203">
        <v>0.67510000000000003</v>
      </c>
      <c r="AH102" s="231" t="s">
        <v>410</v>
      </c>
      <c r="AI102" s="200" t="s">
        <v>631</v>
      </c>
      <c r="AJ102" s="200" t="s">
        <v>577</v>
      </c>
      <c r="AK102" s="203">
        <v>0.6855</v>
      </c>
      <c r="AL102" s="203">
        <v>0.69299999999999995</v>
      </c>
      <c r="AM102" s="203">
        <v>0.67879999999999996</v>
      </c>
      <c r="AN102" s="203">
        <v>0.70369999999999999</v>
      </c>
      <c r="AO102" s="203">
        <v>0.65600000000000003</v>
      </c>
      <c r="AP102" s="203">
        <v>0.68759999999999999</v>
      </c>
      <c r="AQ102" s="205" t="s">
        <v>410</v>
      </c>
      <c r="AR102" s="200" t="s">
        <v>530</v>
      </c>
      <c r="AS102" s="200" t="s">
        <v>531</v>
      </c>
      <c r="AT102" s="203">
        <v>0.68669999999999998</v>
      </c>
      <c r="AU102" s="203">
        <v>0.68930000000000002</v>
      </c>
      <c r="AV102" s="203">
        <v>0.67010000000000003</v>
      </c>
      <c r="AW102" s="203">
        <v>0.71719999999999995</v>
      </c>
      <c r="AX102" s="203">
        <v>0.66790000000000005</v>
      </c>
      <c r="AY102" s="203">
        <v>0.68899999999999995</v>
      </c>
      <c r="AZ102" s="204" t="s">
        <v>410</v>
      </c>
      <c r="BA102" s="200" t="s">
        <v>431</v>
      </c>
      <c r="BB102" s="200" t="s">
        <v>776</v>
      </c>
      <c r="BC102" s="203">
        <v>0.69710000000000005</v>
      </c>
      <c r="BD102" s="203">
        <v>0.67510000000000003</v>
      </c>
      <c r="BE102" s="203">
        <v>0.65500000000000003</v>
      </c>
      <c r="BF102" s="203">
        <v>0.72199999999999998</v>
      </c>
      <c r="BG102" s="203">
        <v>0.65580000000000005</v>
      </c>
      <c r="BH102" s="203">
        <v>0.68489999999999995</v>
      </c>
      <c r="BI102" s="201" t="s">
        <v>410</v>
      </c>
      <c r="BJ102" s="222">
        <v>183</v>
      </c>
      <c r="BK102" s="222">
        <v>175</v>
      </c>
      <c r="BL102" s="203">
        <v>0.70420000000000005</v>
      </c>
      <c r="BM102" s="203">
        <v>0.6663</v>
      </c>
      <c r="BN102" s="203">
        <v>0.63649999999999995</v>
      </c>
      <c r="BO102" s="203">
        <v>0.71960000000000002</v>
      </c>
      <c r="BP102" s="203">
        <v>0.64729999999999999</v>
      </c>
      <c r="BQ102" s="203">
        <v>0.67900000000000005</v>
      </c>
      <c r="BR102" s="410" t="s">
        <v>410</v>
      </c>
      <c r="BS102" s="391">
        <v>165</v>
      </c>
      <c r="BT102" s="391">
        <v>165</v>
      </c>
      <c r="BU102" s="391">
        <v>0.71699999999999997</v>
      </c>
      <c r="BV102" s="391">
        <v>0.66879999999999995</v>
      </c>
      <c r="BW102" s="391">
        <v>0.65110000000000001</v>
      </c>
      <c r="BX102" s="391">
        <v>0.73050000000000004</v>
      </c>
      <c r="BY102" s="391">
        <v>0.66279999999999994</v>
      </c>
      <c r="BZ102" s="391">
        <v>0.68959999999999999</v>
      </c>
      <c r="CA102" s="539" t="s">
        <v>410</v>
      </c>
      <c r="CB102" s="537" t="s">
        <v>531</v>
      </c>
      <c r="CC102" s="537" t="s">
        <v>715</v>
      </c>
      <c r="CD102" s="538">
        <v>0.69689999999999996</v>
      </c>
      <c r="CE102" s="538">
        <v>0.66239999999999999</v>
      </c>
      <c r="CF102" s="538">
        <v>0.65129999999999999</v>
      </c>
      <c r="CG102" s="538">
        <v>0.72519999999999996</v>
      </c>
      <c r="CH102" s="538">
        <v>0.67069999999999996</v>
      </c>
      <c r="CI102" s="538">
        <v>0.68289999999999995</v>
      </c>
      <c r="CJ102" s="669" t="s">
        <v>410</v>
      </c>
      <c r="CK102" s="672">
        <v>184</v>
      </c>
      <c r="CL102" s="672">
        <v>182</v>
      </c>
      <c r="CM102" s="645">
        <v>0.69730000000000003</v>
      </c>
      <c r="CN102" s="645">
        <v>0.67</v>
      </c>
      <c r="CO102" s="645">
        <v>0.65469999999999995</v>
      </c>
      <c r="CP102" s="645">
        <v>0.72450000000000003</v>
      </c>
      <c r="CQ102" s="645">
        <v>0.68959999999999999</v>
      </c>
      <c r="CR102" s="645">
        <v>0.68689999999999996</v>
      </c>
    </row>
    <row r="103" spans="1:96" x14ac:dyDescent="0.3">
      <c r="A103" s="567" t="s">
        <v>972</v>
      </c>
      <c r="B103" s="525" t="s">
        <v>971</v>
      </c>
      <c r="C103" s="200" t="s">
        <v>573</v>
      </c>
      <c r="D103" s="200" t="s">
        <v>422</v>
      </c>
      <c r="E103" s="525"/>
      <c r="F103" s="200" t="s">
        <v>222</v>
      </c>
      <c r="G103" s="526"/>
      <c r="H103" s="527"/>
      <c r="I103" s="527"/>
      <c r="J103" s="527"/>
      <c r="K103" s="527"/>
      <c r="L103" s="527"/>
      <c r="M103" s="527"/>
      <c r="N103" s="527"/>
      <c r="O103" s="527"/>
      <c r="P103" s="526"/>
      <c r="Q103" s="527"/>
      <c r="R103" s="527"/>
      <c r="S103" s="527"/>
      <c r="T103" s="527"/>
      <c r="U103" s="527"/>
      <c r="V103" s="527"/>
      <c r="W103" s="527"/>
      <c r="X103" s="527"/>
      <c r="Y103" s="543"/>
      <c r="Z103" s="525"/>
      <c r="AA103" s="525"/>
      <c r="AB103" s="529"/>
      <c r="AC103" s="529"/>
      <c r="AD103" s="529"/>
      <c r="AE103" s="529"/>
      <c r="AF103" s="529"/>
      <c r="AG103" s="529"/>
      <c r="AH103" s="551"/>
      <c r="AI103" s="525"/>
      <c r="AJ103" s="525"/>
      <c r="AK103" s="529"/>
      <c r="AL103" s="529"/>
      <c r="AM103" s="529"/>
      <c r="AN103" s="529"/>
      <c r="AO103" s="529"/>
      <c r="AP103" s="529"/>
      <c r="AQ103" s="552"/>
      <c r="AR103" s="525"/>
      <c r="AS103" s="525"/>
      <c r="AT103" s="529"/>
      <c r="AU103" s="529"/>
      <c r="AV103" s="529"/>
      <c r="AW103" s="529"/>
      <c r="AX103" s="529"/>
      <c r="AY103" s="529"/>
      <c r="AZ103" s="543"/>
      <c r="BA103" s="525"/>
      <c r="BB103" s="525"/>
      <c r="BC103" s="529"/>
      <c r="BD103" s="529"/>
      <c r="BE103" s="529"/>
      <c r="BF103" s="529"/>
      <c r="BG103" s="529"/>
      <c r="BH103" s="529"/>
      <c r="BI103" s="553"/>
      <c r="BJ103" s="533"/>
      <c r="BK103" s="533"/>
      <c r="BL103" s="529"/>
      <c r="BM103" s="529"/>
      <c r="BN103" s="529"/>
      <c r="BO103" s="529"/>
      <c r="BP103" s="529"/>
      <c r="BQ103" s="529"/>
      <c r="BR103" s="554"/>
      <c r="BS103" s="527"/>
      <c r="BT103" s="527"/>
      <c r="BU103" s="527"/>
      <c r="BV103" s="527"/>
      <c r="BW103" s="527"/>
      <c r="BX103" s="527"/>
      <c r="BY103" s="527"/>
      <c r="BZ103" s="527"/>
      <c r="CA103" s="536" t="s">
        <v>562</v>
      </c>
      <c r="CB103" s="537" t="s">
        <v>485</v>
      </c>
      <c r="CC103" s="537" t="s">
        <v>538</v>
      </c>
      <c r="CD103" s="538">
        <v>0.57789999999999997</v>
      </c>
      <c r="CE103" s="538">
        <v>0.57769999999999999</v>
      </c>
      <c r="CF103" s="538">
        <v>0.54390000000000005</v>
      </c>
      <c r="CG103" s="538">
        <v>0.63249999999999995</v>
      </c>
      <c r="CH103" s="538">
        <v>0.5665</v>
      </c>
      <c r="CI103" s="538">
        <v>0.58169999999999999</v>
      </c>
      <c r="CJ103" s="673" t="s">
        <v>562</v>
      </c>
      <c r="CK103" s="665">
        <v>51</v>
      </c>
      <c r="CL103" s="665">
        <v>41</v>
      </c>
      <c r="CM103" s="509">
        <v>0.54139999999999999</v>
      </c>
      <c r="CN103" s="509">
        <v>0.55100000000000005</v>
      </c>
      <c r="CO103" s="509">
        <v>0.52370000000000005</v>
      </c>
      <c r="CP103" s="509">
        <v>0.59030000000000005</v>
      </c>
      <c r="CQ103" s="509">
        <v>0.5484</v>
      </c>
      <c r="CR103" s="509">
        <v>0.55130000000000001</v>
      </c>
    </row>
    <row r="104" spans="1:96" x14ac:dyDescent="0.3">
      <c r="A104" s="62" t="s">
        <v>155</v>
      </c>
      <c r="B104" s="200" t="s">
        <v>154</v>
      </c>
      <c r="C104" s="200" t="s">
        <v>573</v>
      </c>
      <c r="D104" s="200" t="s">
        <v>422</v>
      </c>
      <c r="E104" s="200" t="s">
        <v>794</v>
      </c>
      <c r="F104" s="200" t="s">
        <v>222</v>
      </c>
      <c r="G104" s="243" t="s">
        <v>409</v>
      </c>
      <c r="H104" s="241" t="s">
        <v>547</v>
      </c>
      <c r="I104" s="241" t="s">
        <v>547</v>
      </c>
      <c r="J104" s="241">
        <v>0.71199999999999997</v>
      </c>
      <c r="K104" s="241">
        <v>0.77159999999999995</v>
      </c>
      <c r="L104" s="241">
        <v>0.73019999999999996</v>
      </c>
      <c r="M104" s="241">
        <v>0.72709999999999997</v>
      </c>
      <c r="N104" s="241">
        <v>0.70899999999999996</v>
      </c>
      <c r="O104" s="241">
        <v>0.73319999999999996</v>
      </c>
      <c r="P104" s="252" t="s">
        <v>409</v>
      </c>
      <c r="Q104" s="249" t="s">
        <v>496</v>
      </c>
      <c r="R104" s="249" t="s">
        <v>496</v>
      </c>
      <c r="S104" s="249">
        <v>0.72050000000000003</v>
      </c>
      <c r="T104" s="249">
        <v>0.75609999999999999</v>
      </c>
      <c r="U104" s="249">
        <v>0.73760000000000003</v>
      </c>
      <c r="V104" s="249">
        <v>0.71489999999999998</v>
      </c>
      <c r="W104" s="249">
        <v>0.74360000000000004</v>
      </c>
      <c r="X104" s="249">
        <v>0.73309999999999997</v>
      </c>
      <c r="Y104" s="211" t="s">
        <v>409</v>
      </c>
      <c r="Z104" s="200" t="s">
        <v>545</v>
      </c>
      <c r="AA104" s="200" t="s">
        <v>545</v>
      </c>
      <c r="AB104" s="203">
        <v>0.72440000000000004</v>
      </c>
      <c r="AC104" s="203">
        <v>0.75609999999999999</v>
      </c>
      <c r="AD104" s="203">
        <v>0.74219999999999997</v>
      </c>
      <c r="AE104" s="203">
        <v>0.71130000000000004</v>
      </c>
      <c r="AF104" s="203">
        <v>0.71089999999999998</v>
      </c>
      <c r="AG104" s="203">
        <v>0.73180000000000001</v>
      </c>
      <c r="AH104" s="230" t="s">
        <v>409</v>
      </c>
      <c r="AI104" s="200" t="s">
        <v>547</v>
      </c>
      <c r="AJ104" s="200" t="s">
        <v>547</v>
      </c>
      <c r="AK104" s="203">
        <v>0.73170000000000002</v>
      </c>
      <c r="AL104" s="203">
        <v>0.74809999999999999</v>
      </c>
      <c r="AM104" s="203">
        <v>0.71919999999999995</v>
      </c>
      <c r="AN104" s="203">
        <v>0.73660000000000003</v>
      </c>
      <c r="AO104" s="203">
        <v>0.69159999999999999</v>
      </c>
      <c r="AP104" s="203">
        <v>0.73070000000000002</v>
      </c>
      <c r="AQ104" s="205" t="s">
        <v>410</v>
      </c>
      <c r="AR104" s="200" t="s">
        <v>494</v>
      </c>
      <c r="AS104" s="200" t="s">
        <v>494</v>
      </c>
      <c r="AT104" s="203">
        <v>0.69910000000000005</v>
      </c>
      <c r="AU104" s="203">
        <v>0.72240000000000004</v>
      </c>
      <c r="AV104" s="203">
        <v>0.6875</v>
      </c>
      <c r="AW104" s="203">
        <v>0.73209999999999997</v>
      </c>
      <c r="AX104" s="203">
        <v>0.65</v>
      </c>
      <c r="AY104" s="203">
        <v>0.70569999999999999</v>
      </c>
      <c r="AZ104" s="204" t="s">
        <v>410</v>
      </c>
      <c r="BA104" s="200" t="s">
        <v>548</v>
      </c>
      <c r="BB104" s="200" t="s">
        <v>548</v>
      </c>
      <c r="BC104" s="203">
        <v>0.6845</v>
      </c>
      <c r="BD104" s="203">
        <v>0.69920000000000004</v>
      </c>
      <c r="BE104" s="203">
        <v>0.65659999999999996</v>
      </c>
      <c r="BF104" s="203">
        <v>0.71009999999999995</v>
      </c>
      <c r="BG104" s="203">
        <v>0.65400000000000003</v>
      </c>
      <c r="BH104" s="203">
        <v>0.68500000000000005</v>
      </c>
      <c r="BI104" s="206" t="s">
        <v>546</v>
      </c>
      <c r="BJ104" s="222">
        <v>10</v>
      </c>
      <c r="BK104" s="222">
        <v>10</v>
      </c>
      <c r="BL104" s="203">
        <v>0.68540000000000001</v>
      </c>
      <c r="BM104" s="203">
        <v>0.63680000000000003</v>
      </c>
      <c r="BN104" s="203">
        <v>0.64849999999999997</v>
      </c>
      <c r="BO104" s="203">
        <v>0.67930000000000001</v>
      </c>
      <c r="BP104" s="203">
        <v>0.58640000000000003</v>
      </c>
      <c r="BQ104" s="203">
        <v>0.65659999999999996</v>
      </c>
      <c r="BR104" s="410" t="s">
        <v>410</v>
      </c>
      <c r="BS104" s="391">
        <v>14</v>
      </c>
      <c r="BT104" s="391">
        <v>14</v>
      </c>
      <c r="BU104" s="391">
        <v>0.70920000000000005</v>
      </c>
      <c r="BV104" s="391">
        <v>0.66559999999999997</v>
      </c>
      <c r="BW104" s="391">
        <v>0.69230000000000003</v>
      </c>
      <c r="BX104" s="391">
        <v>0.70950000000000002</v>
      </c>
      <c r="BY104" s="391">
        <v>0.65969999999999995</v>
      </c>
      <c r="BZ104" s="393">
        <v>0.6915</v>
      </c>
      <c r="CA104" s="539" t="s">
        <v>410</v>
      </c>
      <c r="CB104" s="537" t="s">
        <v>565</v>
      </c>
      <c r="CC104" s="537" t="s">
        <v>565</v>
      </c>
      <c r="CD104" s="538">
        <v>0.72099999999999997</v>
      </c>
      <c r="CE104" s="538">
        <v>0.68959999999999999</v>
      </c>
      <c r="CF104" s="538">
        <v>0.72430000000000005</v>
      </c>
      <c r="CG104" s="538">
        <v>0.72250000000000003</v>
      </c>
      <c r="CH104" s="538">
        <v>0.66990000000000005</v>
      </c>
      <c r="CI104" s="538">
        <v>0.71089999999999998</v>
      </c>
      <c r="CJ104" s="669" t="s">
        <v>410</v>
      </c>
      <c r="CK104" s="672">
        <v>14</v>
      </c>
      <c r="CL104" s="672">
        <v>14</v>
      </c>
      <c r="CM104" s="645">
        <v>0.71050000000000002</v>
      </c>
      <c r="CN104" s="645">
        <v>0.70030000000000003</v>
      </c>
      <c r="CO104" s="645">
        <v>0.68889999999999996</v>
      </c>
      <c r="CP104" s="645">
        <v>0.72819999999999996</v>
      </c>
      <c r="CQ104" s="645">
        <v>0.71660000000000001</v>
      </c>
      <c r="CR104" s="645">
        <v>0.7077</v>
      </c>
    </row>
    <row r="105" spans="1:96" x14ac:dyDescent="0.3">
      <c r="A105" s="62" t="s">
        <v>235</v>
      </c>
      <c r="B105" s="200" t="s">
        <v>240</v>
      </c>
      <c r="C105" s="200" t="s">
        <v>573</v>
      </c>
      <c r="D105" s="200" t="s">
        <v>422</v>
      </c>
      <c r="E105" s="200" t="s">
        <v>794</v>
      </c>
      <c r="F105" s="200" t="s">
        <v>222</v>
      </c>
      <c r="G105" s="200"/>
      <c r="H105" s="200"/>
      <c r="I105" s="200"/>
      <c r="J105" s="200"/>
      <c r="K105" s="200"/>
      <c r="L105" s="200"/>
      <c r="M105" s="200"/>
      <c r="N105" s="200"/>
      <c r="O105" s="200"/>
      <c r="P105" s="239"/>
      <c r="Q105" s="200"/>
      <c r="R105" s="200"/>
      <c r="S105" s="200"/>
      <c r="T105" s="200"/>
      <c r="U105" s="200"/>
      <c r="V105" s="200"/>
      <c r="W105" s="200"/>
      <c r="X105" s="200"/>
      <c r="Y105" s="200"/>
      <c r="Z105" s="200"/>
      <c r="AA105" s="200"/>
      <c r="AB105" s="203"/>
      <c r="AC105" s="203"/>
      <c r="AD105" s="203"/>
      <c r="AE105" s="203"/>
      <c r="AF105" s="203"/>
      <c r="AG105" s="203"/>
      <c r="AH105" s="228"/>
      <c r="AI105" s="200"/>
      <c r="AJ105" s="200"/>
      <c r="AK105" s="203"/>
      <c r="AL105" s="203"/>
      <c r="AM105" s="203"/>
      <c r="AN105" s="203"/>
      <c r="AO105" s="203"/>
      <c r="AP105" s="203"/>
      <c r="AQ105" s="200"/>
      <c r="AR105" s="200"/>
      <c r="AS105" s="200"/>
      <c r="AT105" s="203"/>
      <c r="AU105" s="203"/>
      <c r="AV105" s="203"/>
      <c r="AW105" s="203"/>
      <c r="AX105" s="203"/>
      <c r="AY105" s="203"/>
      <c r="AZ105" s="200"/>
      <c r="BA105" s="200"/>
      <c r="BB105" s="200"/>
      <c r="BC105" s="203"/>
      <c r="BD105" s="203"/>
      <c r="BE105" s="203"/>
      <c r="BF105" s="203"/>
      <c r="BG105" s="203"/>
      <c r="BH105" s="203"/>
      <c r="BI105" s="206" t="s">
        <v>546</v>
      </c>
      <c r="BJ105" s="222">
        <v>10</v>
      </c>
      <c r="BK105" s="222">
        <v>9</v>
      </c>
      <c r="BL105" s="203">
        <v>0.64549999999999996</v>
      </c>
      <c r="BM105" s="203">
        <v>0.64229999999999998</v>
      </c>
      <c r="BN105" s="203">
        <v>0.64639999999999997</v>
      </c>
      <c r="BO105" s="203">
        <v>0.70279999999999998</v>
      </c>
      <c r="BP105" s="203">
        <v>0.63649999999999995</v>
      </c>
      <c r="BQ105" s="203">
        <v>0.65749999999999997</v>
      </c>
      <c r="BR105" s="410" t="s">
        <v>410</v>
      </c>
      <c r="BS105" s="391">
        <v>23</v>
      </c>
      <c r="BT105" s="391">
        <v>23</v>
      </c>
      <c r="BU105" s="391">
        <v>0.6764</v>
      </c>
      <c r="BV105" s="391">
        <v>0.65229999999999999</v>
      </c>
      <c r="BW105" s="391">
        <v>0.65500000000000003</v>
      </c>
      <c r="BX105" s="391">
        <v>0.72389999999999999</v>
      </c>
      <c r="BY105" s="391">
        <v>0.63859999999999995</v>
      </c>
      <c r="BZ105" s="391">
        <v>0.67390000000000005</v>
      </c>
      <c r="CA105" s="539" t="s">
        <v>410</v>
      </c>
      <c r="CB105" s="537" t="s">
        <v>163</v>
      </c>
      <c r="CC105" s="537" t="s">
        <v>145</v>
      </c>
      <c r="CD105" s="538">
        <v>0.68289999999999995</v>
      </c>
      <c r="CE105" s="538">
        <v>0.66080000000000005</v>
      </c>
      <c r="CF105" s="538">
        <v>0.64290000000000003</v>
      </c>
      <c r="CG105" s="538">
        <v>0.70789999999999997</v>
      </c>
      <c r="CH105" s="538">
        <v>0.64410000000000001</v>
      </c>
      <c r="CI105" s="538">
        <v>0.67130000000000001</v>
      </c>
      <c r="CJ105" s="670" t="s">
        <v>546</v>
      </c>
      <c r="CK105" s="672">
        <v>56</v>
      </c>
      <c r="CL105" s="672">
        <v>54</v>
      </c>
      <c r="CM105" s="645">
        <v>0.66859999999999997</v>
      </c>
      <c r="CN105" s="645">
        <v>0.64539999999999997</v>
      </c>
      <c r="CO105" s="645">
        <v>0.63290000000000002</v>
      </c>
      <c r="CP105" s="645">
        <v>0.70020000000000004</v>
      </c>
      <c r="CQ105" s="645">
        <v>0.63400000000000001</v>
      </c>
      <c r="CR105" s="645">
        <v>0.65959999999999996</v>
      </c>
    </row>
    <row r="106" spans="1:96" x14ac:dyDescent="0.3">
      <c r="A106" s="62" t="s">
        <v>144</v>
      </c>
      <c r="B106" s="200" t="s">
        <v>143</v>
      </c>
      <c r="C106" s="200" t="s">
        <v>573</v>
      </c>
      <c r="D106" s="200" t="s">
        <v>422</v>
      </c>
      <c r="E106" s="200" t="s">
        <v>794</v>
      </c>
      <c r="F106" s="200" t="s">
        <v>222</v>
      </c>
      <c r="G106" s="243" t="s">
        <v>409</v>
      </c>
      <c r="H106" s="241" t="s">
        <v>581</v>
      </c>
      <c r="I106" s="241" t="s">
        <v>490</v>
      </c>
      <c r="J106" s="241">
        <v>0.72560000000000002</v>
      </c>
      <c r="K106" s="241">
        <v>0.71619999999999995</v>
      </c>
      <c r="L106" s="241">
        <v>0.73099999999999998</v>
      </c>
      <c r="M106" s="241">
        <v>0.72989999999999999</v>
      </c>
      <c r="N106" s="241">
        <v>0.67900000000000005</v>
      </c>
      <c r="O106" s="241">
        <v>0.72209999999999996</v>
      </c>
      <c r="P106" s="248" t="s">
        <v>410</v>
      </c>
      <c r="Q106" s="249" t="s">
        <v>453</v>
      </c>
      <c r="R106" s="249" t="s">
        <v>586</v>
      </c>
      <c r="S106" s="249">
        <v>0.7137</v>
      </c>
      <c r="T106" s="249">
        <v>0.70379999999999998</v>
      </c>
      <c r="U106" s="249">
        <v>0.71840000000000004</v>
      </c>
      <c r="V106" s="249">
        <v>0.71389999999999998</v>
      </c>
      <c r="W106" s="249">
        <v>0.67579999999999996</v>
      </c>
      <c r="X106" s="249">
        <v>0.70960000000000001</v>
      </c>
      <c r="Y106" s="204" t="s">
        <v>410</v>
      </c>
      <c r="Z106" s="200" t="s">
        <v>516</v>
      </c>
      <c r="AA106" s="200" t="s">
        <v>424</v>
      </c>
      <c r="AB106" s="203">
        <v>0.68759999999999999</v>
      </c>
      <c r="AC106" s="203">
        <v>0.68979999999999997</v>
      </c>
      <c r="AD106" s="203">
        <v>0.71140000000000003</v>
      </c>
      <c r="AE106" s="203">
        <v>0.70889999999999997</v>
      </c>
      <c r="AF106" s="203">
        <v>0.67669999999999997</v>
      </c>
      <c r="AG106" s="203">
        <v>0.69769999999999999</v>
      </c>
      <c r="AH106" s="231" t="s">
        <v>410</v>
      </c>
      <c r="AI106" s="200" t="s">
        <v>463</v>
      </c>
      <c r="AJ106" s="200" t="s">
        <v>615</v>
      </c>
      <c r="AK106" s="203">
        <v>0.68110000000000004</v>
      </c>
      <c r="AL106" s="203">
        <v>0.69199999999999995</v>
      </c>
      <c r="AM106" s="203">
        <v>0.70489999999999997</v>
      </c>
      <c r="AN106" s="203">
        <v>0.71189999999999998</v>
      </c>
      <c r="AO106" s="203">
        <v>0.68110000000000004</v>
      </c>
      <c r="AP106" s="203">
        <v>0.69620000000000004</v>
      </c>
      <c r="AQ106" s="205" t="s">
        <v>410</v>
      </c>
      <c r="AR106" s="200" t="s">
        <v>493</v>
      </c>
      <c r="AS106" s="200" t="s">
        <v>492</v>
      </c>
      <c r="AT106" s="203">
        <v>0.69730000000000003</v>
      </c>
      <c r="AU106" s="203">
        <v>0.69969999999999999</v>
      </c>
      <c r="AV106" s="203">
        <v>0.70320000000000005</v>
      </c>
      <c r="AW106" s="203">
        <v>0.72919999999999996</v>
      </c>
      <c r="AX106" s="203">
        <v>0.6925</v>
      </c>
      <c r="AY106" s="203">
        <v>0.70620000000000005</v>
      </c>
      <c r="AZ106" s="204" t="s">
        <v>410</v>
      </c>
      <c r="BA106" s="200" t="s">
        <v>724</v>
      </c>
      <c r="BB106" s="200" t="s">
        <v>470</v>
      </c>
      <c r="BC106" s="203">
        <v>0.72670000000000001</v>
      </c>
      <c r="BD106" s="203">
        <v>0.70230000000000004</v>
      </c>
      <c r="BE106" s="203">
        <v>0.70150000000000001</v>
      </c>
      <c r="BF106" s="203">
        <v>0.74629999999999996</v>
      </c>
      <c r="BG106" s="203">
        <v>0.70330000000000004</v>
      </c>
      <c r="BH106" s="203">
        <v>0.71799999999999997</v>
      </c>
      <c r="BI106" s="215" t="s">
        <v>409</v>
      </c>
      <c r="BJ106" s="222">
        <v>151</v>
      </c>
      <c r="BK106" s="222">
        <v>148</v>
      </c>
      <c r="BL106" s="203">
        <v>0.74360000000000004</v>
      </c>
      <c r="BM106" s="203">
        <v>0.70750000000000002</v>
      </c>
      <c r="BN106" s="203">
        <v>0.70499999999999996</v>
      </c>
      <c r="BO106" s="203">
        <v>0.75390000000000001</v>
      </c>
      <c r="BP106" s="203">
        <v>0.70109999999999995</v>
      </c>
      <c r="BQ106" s="203">
        <v>0.72550000000000003</v>
      </c>
      <c r="BR106" s="414" t="s">
        <v>409</v>
      </c>
      <c r="BS106" s="391">
        <v>159</v>
      </c>
      <c r="BT106" s="391">
        <v>159</v>
      </c>
      <c r="BU106" s="391">
        <v>0.75600000000000001</v>
      </c>
      <c r="BV106" s="391">
        <v>0.71220000000000006</v>
      </c>
      <c r="BW106" s="391">
        <v>0.70430000000000004</v>
      </c>
      <c r="BX106" s="391">
        <v>0.76419999999999999</v>
      </c>
      <c r="BY106" s="391">
        <v>0.71779999999999999</v>
      </c>
      <c r="BZ106" s="391">
        <v>0.7329</v>
      </c>
      <c r="CA106" s="549" t="s">
        <v>409</v>
      </c>
      <c r="CB106" s="537" t="s">
        <v>1004</v>
      </c>
      <c r="CC106" s="537" t="s">
        <v>1004</v>
      </c>
      <c r="CD106" s="538">
        <v>0.74650000000000005</v>
      </c>
      <c r="CE106" s="538">
        <v>0.70589999999999997</v>
      </c>
      <c r="CF106" s="538">
        <v>0.70130000000000003</v>
      </c>
      <c r="CG106" s="538">
        <v>0.7601</v>
      </c>
      <c r="CH106" s="538">
        <v>0.71909999999999996</v>
      </c>
      <c r="CI106" s="538">
        <v>0.72770000000000001</v>
      </c>
      <c r="CJ106" s="667" t="s">
        <v>409</v>
      </c>
      <c r="CK106" s="665">
        <v>253</v>
      </c>
      <c r="CL106" s="665">
        <v>252</v>
      </c>
      <c r="CM106" s="509">
        <v>0.73480000000000001</v>
      </c>
      <c r="CN106" s="509">
        <v>0.70109999999999995</v>
      </c>
      <c r="CO106" s="509">
        <v>0.69279999999999997</v>
      </c>
      <c r="CP106" s="509">
        <v>0.75519999999999998</v>
      </c>
      <c r="CQ106" s="509">
        <v>0.72589999999999999</v>
      </c>
      <c r="CR106" s="509">
        <v>0.72140000000000004</v>
      </c>
    </row>
    <row r="107" spans="1:96" x14ac:dyDescent="0.3">
      <c r="A107" s="62" t="s">
        <v>210</v>
      </c>
      <c r="B107" s="200" t="s">
        <v>209</v>
      </c>
      <c r="C107" s="200" t="s">
        <v>573</v>
      </c>
      <c r="D107" s="200" t="s">
        <v>422</v>
      </c>
      <c r="E107" s="200" t="s">
        <v>794</v>
      </c>
      <c r="F107" s="200" t="s">
        <v>222</v>
      </c>
      <c r="G107" s="200"/>
      <c r="H107" s="200"/>
      <c r="I107" s="200"/>
      <c r="J107" s="200"/>
      <c r="K107" s="200"/>
      <c r="L107" s="200"/>
      <c r="M107" s="200"/>
      <c r="N107" s="200"/>
      <c r="O107" s="200"/>
      <c r="P107" s="239"/>
      <c r="Q107" s="200"/>
      <c r="R107" s="200"/>
      <c r="S107" s="200"/>
      <c r="T107" s="200"/>
      <c r="U107" s="200"/>
      <c r="V107" s="200"/>
      <c r="W107" s="200"/>
      <c r="X107" s="200"/>
      <c r="Y107" s="204" t="s">
        <v>410</v>
      </c>
      <c r="Z107" s="200" t="s">
        <v>545</v>
      </c>
      <c r="AA107" s="200" t="s">
        <v>668</v>
      </c>
      <c r="AB107" s="203">
        <v>0.71719999999999995</v>
      </c>
      <c r="AC107" s="203">
        <v>0.70420000000000005</v>
      </c>
      <c r="AD107" s="203">
        <v>0.70960000000000001</v>
      </c>
      <c r="AE107" s="203">
        <v>0.72209999999999996</v>
      </c>
      <c r="AF107" s="203">
        <v>0.70479999999999998</v>
      </c>
      <c r="AG107" s="203">
        <v>0.71260000000000001</v>
      </c>
      <c r="AH107" s="231" t="s">
        <v>410</v>
      </c>
      <c r="AI107" s="200" t="s">
        <v>571</v>
      </c>
      <c r="AJ107" s="200" t="s">
        <v>607</v>
      </c>
      <c r="AK107" s="203">
        <v>0.72260000000000002</v>
      </c>
      <c r="AL107" s="203">
        <v>0.7077</v>
      </c>
      <c r="AM107" s="203">
        <v>0.70450000000000002</v>
      </c>
      <c r="AN107" s="203">
        <v>0.73309999999999997</v>
      </c>
      <c r="AO107" s="203">
        <v>0.70399999999999996</v>
      </c>
      <c r="AP107" s="203">
        <v>0.71599999999999997</v>
      </c>
      <c r="AQ107" s="205" t="s">
        <v>410</v>
      </c>
      <c r="AR107" s="200" t="s">
        <v>483</v>
      </c>
      <c r="AS107" s="200" t="s">
        <v>484</v>
      </c>
      <c r="AT107" s="203">
        <v>0.71609999999999996</v>
      </c>
      <c r="AU107" s="203">
        <v>0.70330000000000004</v>
      </c>
      <c r="AV107" s="203">
        <v>0.69440000000000002</v>
      </c>
      <c r="AW107" s="203">
        <v>0.73250000000000004</v>
      </c>
      <c r="AX107" s="203">
        <v>0.70140000000000002</v>
      </c>
      <c r="AY107" s="203">
        <v>0.71079999999999999</v>
      </c>
      <c r="AZ107" s="204" t="s">
        <v>410</v>
      </c>
      <c r="BA107" s="200" t="s">
        <v>613</v>
      </c>
      <c r="BB107" s="200" t="s">
        <v>486</v>
      </c>
      <c r="BC107" s="203">
        <v>0.73199999999999998</v>
      </c>
      <c r="BD107" s="203">
        <v>0.70389999999999997</v>
      </c>
      <c r="BE107" s="203">
        <v>0.68920000000000003</v>
      </c>
      <c r="BF107" s="203">
        <v>0.7419</v>
      </c>
      <c r="BG107" s="203">
        <v>0.71960000000000002</v>
      </c>
      <c r="BH107" s="203">
        <v>0.71699999999999997</v>
      </c>
      <c r="BI107" s="201" t="s">
        <v>410</v>
      </c>
      <c r="BJ107" s="222">
        <v>55</v>
      </c>
      <c r="BK107" s="222">
        <v>51</v>
      </c>
      <c r="BL107" s="203">
        <v>0.72960000000000003</v>
      </c>
      <c r="BM107" s="203">
        <v>0.69369999999999998</v>
      </c>
      <c r="BN107" s="203">
        <v>0.70450000000000002</v>
      </c>
      <c r="BO107" s="203">
        <v>0.74650000000000005</v>
      </c>
      <c r="BP107" s="203">
        <v>0.71189999999999998</v>
      </c>
      <c r="BQ107" s="203">
        <v>0.71809999999999996</v>
      </c>
      <c r="BR107" s="410" t="s">
        <v>410</v>
      </c>
      <c r="BS107" s="391">
        <v>67</v>
      </c>
      <c r="BT107" s="391">
        <v>67</v>
      </c>
      <c r="BU107" s="391">
        <v>0.72970000000000002</v>
      </c>
      <c r="BV107" s="391">
        <v>0.68579999999999997</v>
      </c>
      <c r="BW107" s="391">
        <v>0.70530000000000004</v>
      </c>
      <c r="BX107" s="391">
        <v>0.74399999999999999</v>
      </c>
      <c r="BY107" s="391">
        <v>0.71220000000000006</v>
      </c>
      <c r="BZ107" s="391">
        <v>0.71589999999999998</v>
      </c>
      <c r="CA107" s="549" t="s">
        <v>409</v>
      </c>
      <c r="CB107" s="537" t="s">
        <v>587</v>
      </c>
      <c r="CC107" s="537" t="s">
        <v>587</v>
      </c>
      <c r="CD107" s="538">
        <v>0.72489999999999999</v>
      </c>
      <c r="CE107" s="538">
        <v>0.69040000000000001</v>
      </c>
      <c r="CF107" s="538">
        <v>0.71960000000000002</v>
      </c>
      <c r="CG107" s="538">
        <v>0.75609999999999999</v>
      </c>
      <c r="CH107" s="538">
        <v>0.72719999999999996</v>
      </c>
      <c r="CI107" s="538">
        <v>0.72309999999999997</v>
      </c>
      <c r="CJ107" s="667" t="s">
        <v>409</v>
      </c>
      <c r="CK107" s="668">
        <v>101</v>
      </c>
      <c r="CL107" s="668">
        <v>100</v>
      </c>
      <c r="CM107" s="659">
        <v>0.71799999999999997</v>
      </c>
      <c r="CN107" s="659">
        <v>0.6966</v>
      </c>
      <c r="CO107" s="659">
        <v>0.70920000000000005</v>
      </c>
      <c r="CP107" s="659">
        <v>0.75580000000000003</v>
      </c>
      <c r="CQ107" s="659">
        <v>0.74629999999999996</v>
      </c>
      <c r="CR107" s="659">
        <v>0.72189999999999999</v>
      </c>
    </row>
    <row r="108" spans="1:96" x14ac:dyDescent="0.3">
      <c r="A108" s="62" t="s">
        <v>67</v>
      </c>
      <c r="B108" s="200" t="s">
        <v>66</v>
      </c>
      <c r="C108" s="200" t="s">
        <v>573</v>
      </c>
      <c r="D108" s="200" t="s">
        <v>422</v>
      </c>
      <c r="E108" s="200" t="s">
        <v>794</v>
      </c>
      <c r="F108" s="200" t="s">
        <v>222</v>
      </c>
      <c r="G108" s="243" t="s">
        <v>409</v>
      </c>
      <c r="H108" s="241" t="s">
        <v>839</v>
      </c>
      <c r="I108" s="241" t="s">
        <v>719</v>
      </c>
      <c r="J108" s="241">
        <v>0.71450000000000002</v>
      </c>
      <c r="K108" s="241">
        <v>0.73699999999999999</v>
      </c>
      <c r="L108" s="241">
        <v>0.72950000000000004</v>
      </c>
      <c r="M108" s="241">
        <v>0.73619999999999997</v>
      </c>
      <c r="N108" s="241">
        <v>0.71389999999999998</v>
      </c>
      <c r="O108" s="241">
        <v>0.72809999999999997</v>
      </c>
      <c r="P108" s="252" t="s">
        <v>409</v>
      </c>
      <c r="Q108" s="249" t="s">
        <v>871</v>
      </c>
      <c r="R108" s="249" t="s">
        <v>872</v>
      </c>
      <c r="S108" s="249">
        <v>0.71499999999999997</v>
      </c>
      <c r="T108" s="249">
        <v>0.73209999999999997</v>
      </c>
      <c r="U108" s="249">
        <v>0.72119999999999995</v>
      </c>
      <c r="V108" s="249">
        <v>0.7218</v>
      </c>
      <c r="W108" s="249">
        <v>0.7056</v>
      </c>
      <c r="X108" s="249">
        <v>0.72119999999999995</v>
      </c>
      <c r="Y108" s="211" t="s">
        <v>409</v>
      </c>
      <c r="Z108" s="200" t="s">
        <v>662</v>
      </c>
      <c r="AA108" s="200" t="s">
        <v>662</v>
      </c>
      <c r="AB108" s="203">
        <v>0.72030000000000005</v>
      </c>
      <c r="AC108" s="203">
        <v>0.73080000000000001</v>
      </c>
      <c r="AD108" s="203">
        <v>0.71970000000000001</v>
      </c>
      <c r="AE108" s="203">
        <v>0.73040000000000005</v>
      </c>
      <c r="AF108" s="203">
        <v>0.71030000000000004</v>
      </c>
      <c r="AG108" s="203">
        <v>0.72409999999999997</v>
      </c>
      <c r="AH108" s="230" t="s">
        <v>409</v>
      </c>
      <c r="AI108" s="200" t="s">
        <v>596</v>
      </c>
      <c r="AJ108" s="200" t="s">
        <v>597</v>
      </c>
      <c r="AK108" s="203">
        <v>0.72909999999999997</v>
      </c>
      <c r="AL108" s="203">
        <v>0.73399999999999999</v>
      </c>
      <c r="AM108" s="203">
        <v>0.72399999999999998</v>
      </c>
      <c r="AN108" s="203">
        <v>0.74180000000000001</v>
      </c>
      <c r="AO108" s="203">
        <v>0.71630000000000005</v>
      </c>
      <c r="AP108" s="203">
        <v>0.73099999999999998</v>
      </c>
      <c r="AQ108" s="216" t="s">
        <v>409</v>
      </c>
      <c r="AR108" s="200" t="s">
        <v>465</v>
      </c>
      <c r="AS108" s="200" t="s">
        <v>466</v>
      </c>
      <c r="AT108" s="203">
        <v>0.72989999999999999</v>
      </c>
      <c r="AU108" s="203">
        <v>0.73070000000000002</v>
      </c>
      <c r="AV108" s="203">
        <v>0.71389999999999998</v>
      </c>
      <c r="AW108" s="203">
        <v>0.75290000000000001</v>
      </c>
      <c r="AX108" s="203">
        <v>0.72729999999999995</v>
      </c>
      <c r="AY108" s="203">
        <v>0.73150000000000004</v>
      </c>
      <c r="AZ108" s="211" t="s">
        <v>409</v>
      </c>
      <c r="BA108" s="200" t="s">
        <v>757</v>
      </c>
      <c r="BB108" s="200" t="s">
        <v>722</v>
      </c>
      <c r="BC108" s="203">
        <v>0.7339</v>
      </c>
      <c r="BD108" s="203">
        <v>0.71899999999999997</v>
      </c>
      <c r="BE108" s="203">
        <v>0.70599999999999996</v>
      </c>
      <c r="BF108" s="203">
        <v>0.76070000000000004</v>
      </c>
      <c r="BG108" s="203">
        <v>0.72060000000000002</v>
      </c>
      <c r="BH108" s="203">
        <v>0.72919999999999996</v>
      </c>
      <c r="BI108" s="215" t="s">
        <v>409</v>
      </c>
      <c r="BJ108" s="222">
        <v>351</v>
      </c>
      <c r="BK108" s="222">
        <v>345</v>
      </c>
      <c r="BL108" s="203">
        <v>0.74280000000000002</v>
      </c>
      <c r="BM108" s="203">
        <v>0.70199999999999996</v>
      </c>
      <c r="BN108" s="203">
        <v>0.69820000000000004</v>
      </c>
      <c r="BO108" s="203">
        <v>0.75729999999999997</v>
      </c>
      <c r="BP108" s="203">
        <v>0.70140000000000002</v>
      </c>
      <c r="BQ108" s="203">
        <v>0.72319999999999995</v>
      </c>
      <c r="BR108" s="414" t="s">
        <v>409</v>
      </c>
      <c r="BS108" s="391">
        <v>365</v>
      </c>
      <c r="BT108" s="391">
        <v>363</v>
      </c>
      <c r="BU108" s="391">
        <v>0.754</v>
      </c>
      <c r="BV108" s="391">
        <v>0.70320000000000005</v>
      </c>
      <c r="BW108" s="391">
        <v>0.70389999999999997</v>
      </c>
      <c r="BX108" s="391">
        <v>0.76529999999999998</v>
      </c>
      <c r="BY108" s="391">
        <v>0.71730000000000005</v>
      </c>
      <c r="BZ108" s="391">
        <v>0.73050000000000004</v>
      </c>
      <c r="CA108" s="549" t="s">
        <v>409</v>
      </c>
      <c r="CB108" s="537" t="s">
        <v>662</v>
      </c>
      <c r="CC108" s="537" t="s">
        <v>819</v>
      </c>
      <c r="CD108" s="538">
        <v>0.76959999999999995</v>
      </c>
      <c r="CE108" s="538">
        <v>0.71160000000000001</v>
      </c>
      <c r="CF108" s="538">
        <v>0.71760000000000002</v>
      </c>
      <c r="CG108" s="538">
        <v>0.77370000000000005</v>
      </c>
      <c r="CH108" s="538">
        <v>0.73599999999999999</v>
      </c>
      <c r="CI108" s="538">
        <v>0.74260000000000004</v>
      </c>
      <c r="CJ108" s="667" t="s">
        <v>409</v>
      </c>
      <c r="CK108" s="665">
        <v>387</v>
      </c>
      <c r="CL108" s="665">
        <v>384</v>
      </c>
      <c r="CM108" s="509">
        <v>0.77470000000000006</v>
      </c>
      <c r="CN108" s="509">
        <v>0.72109999999999996</v>
      </c>
      <c r="CO108" s="509">
        <v>0.71879999999999999</v>
      </c>
      <c r="CP108" s="509">
        <v>0.77729999999999999</v>
      </c>
      <c r="CQ108" s="509">
        <v>0.76200000000000001</v>
      </c>
      <c r="CR108" s="509">
        <v>0.74909999999999999</v>
      </c>
    </row>
    <row r="109" spans="1:96" x14ac:dyDescent="0.3">
      <c r="A109" s="388" t="s">
        <v>928</v>
      </c>
      <c r="B109" s="377" t="s">
        <v>929</v>
      </c>
      <c r="C109" s="200" t="s">
        <v>573</v>
      </c>
      <c r="D109" s="200" t="s">
        <v>422</v>
      </c>
      <c r="E109" s="200" t="s">
        <v>794</v>
      </c>
      <c r="F109" s="200" t="s">
        <v>222</v>
      </c>
      <c r="G109" s="390"/>
      <c r="H109" s="391"/>
      <c r="I109" s="391"/>
      <c r="J109" s="391"/>
      <c r="K109" s="391"/>
      <c r="L109" s="391"/>
      <c r="M109" s="391"/>
      <c r="N109" s="391"/>
      <c r="O109" s="391"/>
      <c r="P109" s="390"/>
      <c r="Q109" s="391"/>
      <c r="R109" s="391"/>
      <c r="S109" s="391"/>
      <c r="T109" s="391"/>
      <c r="U109" s="391"/>
      <c r="V109" s="391"/>
      <c r="W109" s="391"/>
      <c r="X109" s="391"/>
      <c r="Y109" s="392"/>
      <c r="Z109" s="389"/>
      <c r="AA109" s="389"/>
      <c r="AB109" s="393"/>
      <c r="AC109" s="393"/>
      <c r="AD109" s="393"/>
      <c r="AE109" s="393"/>
      <c r="AF109" s="393"/>
      <c r="AG109" s="393"/>
      <c r="AH109" s="394"/>
      <c r="AI109" s="389"/>
      <c r="AJ109" s="389"/>
      <c r="AK109" s="393"/>
      <c r="AL109" s="393"/>
      <c r="AM109" s="393"/>
      <c r="AN109" s="393"/>
      <c r="AO109" s="393"/>
      <c r="AP109" s="393"/>
      <c r="AQ109" s="408"/>
      <c r="AR109" s="389"/>
      <c r="AS109" s="389"/>
      <c r="AT109" s="393"/>
      <c r="AU109" s="393"/>
      <c r="AV109" s="393"/>
      <c r="AW109" s="393"/>
      <c r="AX109" s="393"/>
      <c r="AY109" s="393"/>
      <c r="AZ109" s="392"/>
      <c r="BA109" s="389"/>
      <c r="BB109" s="389"/>
      <c r="BC109" s="393"/>
      <c r="BD109" s="393"/>
      <c r="BE109" s="393"/>
      <c r="BF109" s="393"/>
      <c r="BG109" s="393"/>
      <c r="BH109" s="393"/>
      <c r="BI109" s="409"/>
      <c r="BJ109" s="398"/>
      <c r="BK109" s="398"/>
      <c r="BL109" s="393"/>
      <c r="BM109" s="393"/>
      <c r="BN109" s="393"/>
      <c r="BO109" s="393"/>
      <c r="BP109" s="393"/>
      <c r="BQ109" s="393"/>
      <c r="BR109" s="411" t="s">
        <v>562</v>
      </c>
      <c r="BS109" s="391">
        <v>14</v>
      </c>
      <c r="BT109" s="391">
        <v>12</v>
      </c>
      <c r="BU109" s="391">
        <v>0.60289999999999999</v>
      </c>
      <c r="BV109" s="391">
        <v>0.59630000000000005</v>
      </c>
      <c r="BW109" s="391">
        <v>0.56689999999999996</v>
      </c>
      <c r="BX109" s="391">
        <v>0.64929999999999999</v>
      </c>
      <c r="BY109" s="391">
        <v>0.61309999999999998</v>
      </c>
      <c r="BZ109" s="391">
        <v>0.60460000000000003</v>
      </c>
      <c r="CA109" s="536" t="s">
        <v>562</v>
      </c>
      <c r="CB109" s="537" t="s">
        <v>534</v>
      </c>
      <c r="CC109" s="537" t="s">
        <v>548</v>
      </c>
      <c r="CD109" s="538">
        <v>0.59499999999999997</v>
      </c>
      <c r="CE109" s="538">
        <v>0.59799999999999998</v>
      </c>
      <c r="CF109" s="538">
        <v>0.57150000000000001</v>
      </c>
      <c r="CG109" s="538">
        <v>0.63719999999999999</v>
      </c>
      <c r="CH109" s="538">
        <v>0.60399999999999998</v>
      </c>
      <c r="CI109" s="538">
        <v>0.60070000000000001</v>
      </c>
      <c r="CJ109" s="673" t="s">
        <v>562</v>
      </c>
      <c r="CK109" s="665">
        <v>20</v>
      </c>
      <c r="CL109" s="665">
        <v>18</v>
      </c>
      <c r="CM109" s="509">
        <v>0.60740000000000005</v>
      </c>
      <c r="CN109" s="509">
        <v>0.5837</v>
      </c>
      <c r="CO109" s="509">
        <v>0.56999999999999995</v>
      </c>
      <c r="CP109" s="509">
        <v>0.64100000000000001</v>
      </c>
      <c r="CQ109" s="509">
        <v>0.61170000000000002</v>
      </c>
      <c r="CR109" s="509">
        <v>0.60140000000000005</v>
      </c>
    </row>
    <row r="110" spans="1:96" x14ac:dyDescent="0.3">
      <c r="A110" s="62" t="s">
        <v>31</v>
      </c>
      <c r="B110" s="200" t="s">
        <v>30</v>
      </c>
      <c r="C110" s="200" t="s">
        <v>573</v>
      </c>
      <c r="D110" s="200" t="s">
        <v>422</v>
      </c>
      <c r="E110" s="200" t="s">
        <v>794</v>
      </c>
      <c r="F110" s="200" t="s">
        <v>222</v>
      </c>
      <c r="G110" s="240" t="s">
        <v>410</v>
      </c>
      <c r="H110" s="241" t="s">
        <v>557</v>
      </c>
      <c r="I110" s="241" t="s">
        <v>557</v>
      </c>
      <c r="J110" s="241">
        <v>0.69350000000000001</v>
      </c>
      <c r="K110" s="241">
        <v>0.66659999999999997</v>
      </c>
      <c r="L110" s="241">
        <v>0.6835</v>
      </c>
      <c r="M110" s="241">
        <v>0.70320000000000005</v>
      </c>
      <c r="N110" s="241">
        <v>0.64039999999999997</v>
      </c>
      <c r="O110" s="241">
        <v>0.68320000000000003</v>
      </c>
      <c r="P110" s="248" t="s">
        <v>410</v>
      </c>
      <c r="Q110" s="249" t="s">
        <v>547</v>
      </c>
      <c r="R110" s="249" t="s">
        <v>547</v>
      </c>
      <c r="S110" s="249">
        <v>0.70879999999999999</v>
      </c>
      <c r="T110" s="249">
        <v>0.65620000000000001</v>
      </c>
      <c r="U110" s="249">
        <v>0.69630000000000003</v>
      </c>
      <c r="V110" s="249">
        <v>0.72019999999999995</v>
      </c>
      <c r="W110" s="249">
        <v>0.67410000000000003</v>
      </c>
      <c r="X110" s="249">
        <v>0.69369999999999998</v>
      </c>
      <c r="Y110" s="204" t="s">
        <v>410</v>
      </c>
      <c r="Z110" s="200" t="s">
        <v>558</v>
      </c>
      <c r="AA110" s="200" t="s">
        <v>558</v>
      </c>
      <c r="AB110" s="203">
        <v>0.70599999999999996</v>
      </c>
      <c r="AC110" s="203">
        <v>0.70950000000000002</v>
      </c>
      <c r="AD110" s="203">
        <v>0.71389999999999998</v>
      </c>
      <c r="AE110" s="203">
        <v>0.72270000000000001</v>
      </c>
      <c r="AF110" s="203">
        <v>0.68700000000000006</v>
      </c>
      <c r="AG110" s="203">
        <v>0.71099999999999997</v>
      </c>
      <c r="AH110" s="231" t="s">
        <v>410</v>
      </c>
      <c r="AI110" s="200" t="s">
        <v>517</v>
      </c>
      <c r="AJ110" s="200" t="s">
        <v>518</v>
      </c>
      <c r="AK110" s="203">
        <v>0.68940000000000001</v>
      </c>
      <c r="AL110" s="203">
        <v>0.68500000000000005</v>
      </c>
      <c r="AM110" s="203">
        <v>0.69430000000000003</v>
      </c>
      <c r="AN110" s="203">
        <v>0.71579999999999999</v>
      </c>
      <c r="AO110" s="203">
        <v>0.6754</v>
      </c>
      <c r="AP110" s="203">
        <v>0.69450000000000001</v>
      </c>
      <c r="AQ110" s="208" t="s">
        <v>546</v>
      </c>
      <c r="AR110" s="200" t="s">
        <v>547</v>
      </c>
      <c r="AS110" s="200" t="s">
        <v>548</v>
      </c>
      <c r="AT110" s="203">
        <v>0.65759999999999996</v>
      </c>
      <c r="AU110" s="203">
        <v>0.6613</v>
      </c>
      <c r="AV110" s="203">
        <v>0.66490000000000005</v>
      </c>
      <c r="AW110" s="203">
        <v>0.69510000000000005</v>
      </c>
      <c r="AX110" s="203">
        <v>0.65569999999999995</v>
      </c>
      <c r="AY110" s="203">
        <v>0.66859999999999997</v>
      </c>
      <c r="AZ110" s="207" t="s">
        <v>546</v>
      </c>
      <c r="BA110" s="200" t="s">
        <v>496</v>
      </c>
      <c r="BB110" s="200" t="s">
        <v>639</v>
      </c>
      <c r="BC110" s="203">
        <v>0.63360000000000005</v>
      </c>
      <c r="BD110" s="203">
        <v>0.61980000000000002</v>
      </c>
      <c r="BE110" s="203">
        <v>0.64049999999999996</v>
      </c>
      <c r="BF110" s="203">
        <v>0.68430000000000002</v>
      </c>
      <c r="BG110" s="203">
        <v>0.61350000000000005</v>
      </c>
      <c r="BH110" s="203">
        <v>0.64219999999999999</v>
      </c>
      <c r="BI110" s="206" t="s">
        <v>546</v>
      </c>
      <c r="BJ110" s="222">
        <v>17</v>
      </c>
      <c r="BK110" s="222">
        <v>16</v>
      </c>
      <c r="BL110" s="203">
        <v>0.68279999999999996</v>
      </c>
      <c r="BM110" s="203">
        <v>0.65259999999999996</v>
      </c>
      <c r="BN110" s="203">
        <v>0.66849999999999998</v>
      </c>
      <c r="BO110" s="203">
        <v>0.69099999999999995</v>
      </c>
      <c r="BP110" s="203">
        <v>0.61680000000000001</v>
      </c>
      <c r="BQ110" s="203">
        <v>0.6694</v>
      </c>
      <c r="BR110" s="410" t="s">
        <v>410</v>
      </c>
      <c r="BS110" s="391">
        <v>13</v>
      </c>
      <c r="BT110" s="391">
        <v>13</v>
      </c>
      <c r="BU110" s="391">
        <v>0.70069999999999999</v>
      </c>
      <c r="BV110" s="391">
        <v>0.69259999999999999</v>
      </c>
      <c r="BW110" s="391">
        <v>0.66390000000000005</v>
      </c>
      <c r="BX110" s="391">
        <v>0.72019999999999995</v>
      </c>
      <c r="BY110" s="391">
        <v>0.64370000000000005</v>
      </c>
      <c r="BZ110" s="391">
        <v>0.69040000000000001</v>
      </c>
      <c r="CA110" s="539" t="s">
        <v>410</v>
      </c>
      <c r="CB110" s="537" t="s">
        <v>548</v>
      </c>
      <c r="CC110" s="537" t="s">
        <v>548</v>
      </c>
      <c r="CD110" s="538">
        <v>0.68069999999999997</v>
      </c>
      <c r="CE110" s="538">
        <v>0.69689999999999996</v>
      </c>
      <c r="CF110" s="538">
        <v>0.65590000000000004</v>
      </c>
      <c r="CG110" s="538">
        <v>0.71589999999999998</v>
      </c>
      <c r="CH110" s="538">
        <v>0.66639999999999999</v>
      </c>
      <c r="CI110" s="538">
        <v>0.68579999999999997</v>
      </c>
      <c r="CJ110" s="669" t="s">
        <v>410</v>
      </c>
      <c r="CK110" s="672">
        <v>22</v>
      </c>
      <c r="CL110" s="672">
        <v>22</v>
      </c>
      <c r="CM110" s="645">
        <v>0.68920000000000003</v>
      </c>
      <c r="CN110" s="645">
        <v>0.70179999999999998</v>
      </c>
      <c r="CO110" s="645">
        <v>0.6784</v>
      </c>
      <c r="CP110" s="645">
        <v>0.72030000000000005</v>
      </c>
      <c r="CQ110" s="645">
        <v>0.71850000000000003</v>
      </c>
      <c r="CR110" s="645">
        <v>0.69899999999999995</v>
      </c>
    </row>
    <row r="111" spans="1:96" x14ac:dyDescent="0.3">
      <c r="A111" s="62" t="s">
        <v>54</v>
      </c>
      <c r="B111" s="200" t="s">
        <v>53</v>
      </c>
      <c r="C111" s="200" t="s">
        <v>573</v>
      </c>
      <c r="D111" s="200" t="s">
        <v>422</v>
      </c>
      <c r="E111" s="200" t="s">
        <v>794</v>
      </c>
      <c r="F111" s="200" t="s">
        <v>222</v>
      </c>
      <c r="G111" s="243" t="s">
        <v>409</v>
      </c>
      <c r="H111" s="241" t="s">
        <v>699</v>
      </c>
      <c r="I111" s="241" t="s">
        <v>699</v>
      </c>
      <c r="J111" s="241">
        <v>0.73670000000000002</v>
      </c>
      <c r="K111" s="241">
        <v>0.749</v>
      </c>
      <c r="L111" s="241">
        <v>0.74380000000000002</v>
      </c>
      <c r="M111" s="241">
        <v>0.74270000000000003</v>
      </c>
      <c r="N111" s="241">
        <v>0.72209999999999996</v>
      </c>
      <c r="O111" s="241">
        <v>0.74139999999999995</v>
      </c>
      <c r="P111" s="252" t="s">
        <v>409</v>
      </c>
      <c r="Q111" s="249" t="s">
        <v>674</v>
      </c>
      <c r="R111" s="249" t="s">
        <v>674</v>
      </c>
      <c r="S111" s="249">
        <v>0.73499999999999999</v>
      </c>
      <c r="T111" s="249">
        <v>0.74939999999999996</v>
      </c>
      <c r="U111" s="249">
        <v>0.74280000000000002</v>
      </c>
      <c r="V111" s="249">
        <v>0.73540000000000005</v>
      </c>
      <c r="W111" s="249">
        <v>0.72419999999999995</v>
      </c>
      <c r="X111" s="249">
        <v>0.73939999999999995</v>
      </c>
      <c r="Y111" s="211" t="s">
        <v>409</v>
      </c>
      <c r="Z111" s="200" t="s">
        <v>470</v>
      </c>
      <c r="AA111" s="200" t="s">
        <v>470</v>
      </c>
      <c r="AB111" s="203">
        <v>0.75039999999999996</v>
      </c>
      <c r="AC111" s="203">
        <v>0.76349999999999996</v>
      </c>
      <c r="AD111" s="203">
        <v>0.748</v>
      </c>
      <c r="AE111" s="203">
        <v>0.73899999999999999</v>
      </c>
      <c r="AF111" s="203">
        <v>0.7369</v>
      </c>
      <c r="AG111" s="203">
        <v>0.74919999999999998</v>
      </c>
      <c r="AH111" s="230" t="s">
        <v>409</v>
      </c>
      <c r="AI111" s="200" t="s">
        <v>457</v>
      </c>
      <c r="AJ111" s="200" t="s">
        <v>457</v>
      </c>
      <c r="AK111" s="203">
        <v>0.76959999999999995</v>
      </c>
      <c r="AL111" s="203">
        <v>0.77359999999999995</v>
      </c>
      <c r="AM111" s="203">
        <v>0.75790000000000002</v>
      </c>
      <c r="AN111" s="203">
        <v>0.75380000000000003</v>
      </c>
      <c r="AO111" s="203">
        <v>0.75170000000000003</v>
      </c>
      <c r="AP111" s="203">
        <v>0.76280000000000003</v>
      </c>
      <c r="AQ111" s="214" t="s">
        <v>408</v>
      </c>
      <c r="AR111" s="200" t="s">
        <v>434</v>
      </c>
      <c r="AS111" s="200" t="s">
        <v>434</v>
      </c>
      <c r="AT111" s="203">
        <v>0.78759999999999997</v>
      </c>
      <c r="AU111" s="203">
        <v>0.77739999999999998</v>
      </c>
      <c r="AV111" s="203">
        <v>0.76449999999999996</v>
      </c>
      <c r="AW111" s="203">
        <v>0.77</v>
      </c>
      <c r="AX111" s="203">
        <v>0.75590000000000002</v>
      </c>
      <c r="AY111" s="203">
        <v>0.77339999999999998</v>
      </c>
      <c r="AZ111" s="213" t="s">
        <v>408</v>
      </c>
      <c r="BA111" s="200" t="s">
        <v>451</v>
      </c>
      <c r="BB111" s="200" t="s">
        <v>451</v>
      </c>
      <c r="BC111" s="203">
        <v>0.79320000000000002</v>
      </c>
      <c r="BD111" s="203">
        <v>0.77210000000000001</v>
      </c>
      <c r="BE111" s="203">
        <v>0.76449999999999996</v>
      </c>
      <c r="BF111" s="203">
        <v>0.77600000000000002</v>
      </c>
      <c r="BG111" s="203">
        <v>0.75449999999999995</v>
      </c>
      <c r="BH111" s="203">
        <v>0.77470000000000006</v>
      </c>
      <c r="BI111" s="215" t="s">
        <v>409</v>
      </c>
      <c r="BJ111" s="222">
        <v>80</v>
      </c>
      <c r="BK111" s="222">
        <v>80</v>
      </c>
      <c r="BL111" s="203">
        <v>0.78449999999999998</v>
      </c>
      <c r="BM111" s="203">
        <v>0.75039999999999996</v>
      </c>
      <c r="BN111" s="203">
        <v>0.754</v>
      </c>
      <c r="BO111" s="203">
        <v>0.77159999999999995</v>
      </c>
      <c r="BP111" s="203">
        <v>0.74129999999999996</v>
      </c>
      <c r="BQ111" s="203">
        <v>0.76329999999999998</v>
      </c>
      <c r="BR111" s="414" t="s">
        <v>409</v>
      </c>
      <c r="BS111" s="391">
        <v>86</v>
      </c>
      <c r="BT111" s="391">
        <v>86</v>
      </c>
      <c r="BU111" s="391">
        <v>0.77700000000000002</v>
      </c>
      <c r="BV111" s="391">
        <v>0.74650000000000005</v>
      </c>
      <c r="BW111" s="391">
        <v>0.753</v>
      </c>
      <c r="BX111" s="391">
        <v>0.78349999999999997</v>
      </c>
      <c r="BY111" s="391">
        <v>0.76229999999999998</v>
      </c>
      <c r="BZ111" s="391">
        <v>0.76480000000000004</v>
      </c>
      <c r="CA111" s="549" t="s">
        <v>409</v>
      </c>
      <c r="CB111" s="537" t="s">
        <v>645</v>
      </c>
      <c r="CC111" s="537" t="s">
        <v>645</v>
      </c>
      <c r="CD111" s="538">
        <v>0.7742</v>
      </c>
      <c r="CE111" s="538">
        <v>0.74470000000000003</v>
      </c>
      <c r="CF111" s="538">
        <v>0.73950000000000005</v>
      </c>
      <c r="CG111" s="538">
        <v>0.79349999999999998</v>
      </c>
      <c r="CH111" s="538">
        <v>0.77039999999999997</v>
      </c>
      <c r="CI111" s="538">
        <v>0.76349999999999996</v>
      </c>
      <c r="CJ111" s="671" t="s">
        <v>408</v>
      </c>
      <c r="CK111" s="668">
        <v>80</v>
      </c>
      <c r="CL111" s="668">
        <v>80</v>
      </c>
      <c r="CM111" s="659">
        <v>0.78510000000000002</v>
      </c>
      <c r="CN111" s="659">
        <v>0.75870000000000004</v>
      </c>
      <c r="CO111" s="659">
        <v>0.75180000000000002</v>
      </c>
      <c r="CP111" s="659">
        <v>0.80889999999999995</v>
      </c>
      <c r="CQ111" s="659">
        <v>0.80969999999999998</v>
      </c>
      <c r="CR111" s="659">
        <v>0.77869999999999995</v>
      </c>
    </row>
    <row r="112" spans="1:96" x14ac:dyDescent="0.3">
      <c r="A112" s="62" t="s">
        <v>798</v>
      </c>
      <c r="B112" s="200">
        <v>325754004203</v>
      </c>
      <c r="C112" s="200" t="s">
        <v>573</v>
      </c>
      <c r="D112" s="200" t="s">
        <v>422</v>
      </c>
      <c r="E112" s="200" t="s">
        <v>794</v>
      </c>
      <c r="F112" s="200" t="s">
        <v>222</v>
      </c>
      <c r="G112" s="242" t="s">
        <v>546</v>
      </c>
      <c r="H112" s="241" t="s">
        <v>639</v>
      </c>
      <c r="I112" s="241" t="s">
        <v>639</v>
      </c>
      <c r="J112" s="241">
        <v>0.66439999999999999</v>
      </c>
      <c r="K112" s="241">
        <v>0.65410000000000001</v>
      </c>
      <c r="L112" s="241">
        <v>0.63719999999999999</v>
      </c>
      <c r="M112" s="241">
        <v>0.67220000000000002</v>
      </c>
      <c r="N112" s="241">
        <v>0.66679999999999995</v>
      </c>
      <c r="O112" s="241">
        <v>0.65769999999999995</v>
      </c>
      <c r="P112" s="250" t="s">
        <v>546</v>
      </c>
      <c r="Q112" s="249" t="s">
        <v>534</v>
      </c>
      <c r="R112" s="249" t="s">
        <v>534</v>
      </c>
      <c r="S112" s="249">
        <v>0.65239999999999998</v>
      </c>
      <c r="T112" s="249">
        <v>0.65329999999999999</v>
      </c>
      <c r="U112" s="249">
        <v>0.64749999999999996</v>
      </c>
      <c r="V112" s="249">
        <v>0.65590000000000004</v>
      </c>
      <c r="W112" s="249">
        <v>0.6512</v>
      </c>
      <c r="X112" s="249">
        <v>0.6522</v>
      </c>
      <c r="Y112" s="207" t="s">
        <v>546</v>
      </c>
      <c r="Z112" s="200" t="s">
        <v>534</v>
      </c>
      <c r="AA112" s="200" t="s">
        <v>534</v>
      </c>
      <c r="AB112" s="203">
        <v>0.65239999999999998</v>
      </c>
      <c r="AC112" s="203">
        <v>0.65329999999999999</v>
      </c>
      <c r="AD112" s="203">
        <v>0.64749999999999996</v>
      </c>
      <c r="AE112" s="203">
        <v>0.65590000000000004</v>
      </c>
      <c r="AF112" s="203">
        <v>0.6512</v>
      </c>
      <c r="AG112" s="203">
        <v>0.6522</v>
      </c>
      <c r="AH112" s="227" t="s">
        <v>546</v>
      </c>
      <c r="AI112" s="200" t="s">
        <v>534</v>
      </c>
      <c r="AJ112" s="200" t="s">
        <v>534</v>
      </c>
      <c r="AK112" s="203">
        <v>0.65239999999999998</v>
      </c>
      <c r="AL112" s="203">
        <v>0.65329999999999999</v>
      </c>
      <c r="AM112" s="203">
        <v>0.64749999999999996</v>
      </c>
      <c r="AN112" s="203">
        <v>0.65590000000000004</v>
      </c>
      <c r="AO112" s="203">
        <v>0.6512</v>
      </c>
      <c r="AP112" s="203">
        <v>0.6522</v>
      </c>
      <c r="AQ112" s="208" t="s">
        <v>546</v>
      </c>
      <c r="AR112" s="200" t="s">
        <v>534</v>
      </c>
      <c r="AS112" s="200" t="s">
        <v>534</v>
      </c>
      <c r="AT112" s="203">
        <v>0.65239999999999998</v>
      </c>
      <c r="AU112" s="203">
        <v>0.65329999999999999</v>
      </c>
      <c r="AV112" s="203">
        <v>0.64749999999999996</v>
      </c>
      <c r="AW112" s="203">
        <v>0.65590000000000004</v>
      </c>
      <c r="AX112" s="203">
        <v>0.6512</v>
      </c>
      <c r="AY112" s="203">
        <v>0.6522</v>
      </c>
      <c r="AZ112" s="207" t="s">
        <v>546</v>
      </c>
      <c r="BA112" s="200" t="s">
        <v>534</v>
      </c>
      <c r="BB112" s="200" t="s">
        <v>534</v>
      </c>
      <c r="BC112" s="203">
        <v>0.65239999999999998</v>
      </c>
      <c r="BD112" s="203">
        <v>0.65329999999999999</v>
      </c>
      <c r="BE112" s="203">
        <v>0.64749999999999996</v>
      </c>
      <c r="BF112" s="203">
        <v>0.65590000000000004</v>
      </c>
      <c r="BG112" s="203">
        <v>0.6512</v>
      </c>
      <c r="BH112" s="203">
        <v>0.6522</v>
      </c>
      <c r="BI112" s="206" t="s">
        <v>546</v>
      </c>
      <c r="BJ112" s="222">
        <v>23</v>
      </c>
      <c r="BK112" s="222">
        <v>23</v>
      </c>
      <c r="BL112" s="203">
        <v>0.65239999999999998</v>
      </c>
      <c r="BM112" s="203">
        <v>0.65329999999999999</v>
      </c>
      <c r="BN112" s="203">
        <v>0.64749999999999996</v>
      </c>
      <c r="BO112" s="203">
        <v>0.65590000000000004</v>
      </c>
      <c r="BP112" s="203">
        <v>0.6512</v>
      </c>
      <c r="BQ112" s="203">
        <v>0.6522</v>
      </c>
      <c r="BS112" s="389"/>
      <c r="BT112" s="389"/>
      <c r="BU112" s="389"/>
      <c r="BV112" s="389"/>
      <c r="BW112" s="389"/>
      <c r="BX112" s="389"/>
      <c r="BY112" s="389"/>
      <c r="BZ112" s="389"/>
    </row>
    <row r="113" spans="1:96" x14ac:dyDescent="0.3">
      <c r="A113" s="62" t="s">
        <v>142</v>
      </c>
      <c r="B113" s="200" t="s">
        <v>141</v>
      </c>
      <c r="C113" s="200" t="s">
        <v>573</v>
      </c>
      <c r="D113" s="200" t="s">
        <v>422</v>
      </c>
      <c r="E113" s="200" t="s">
        <v>794</v>
      </c>
      <c r="F113" s="200" t="s">
        <v>222</v>
      </c>
      <c r="G113" s="242" t="s">
        <v>546</v>
      </c>
      <c r="H113" s="241" t="s">
        <v>550</v>
      </c>
      <c r="I113" s="241" t="s">
        <v>423</v>
      </c>
      <c r="J113" s="241">
        <v>0.64039999999999997</v>
      </c>
      <c r="K113" s="241">
        <v>0.6401</v>
      </c>
      <c r="L113" s="241">
        <v>0.65339999999999998</v>
      </c>
      <c r="M113" s="241">
        <v>0.65159999999999996</v>
      </c>
      <c r="N113" s="241">
        <v>0.64980000000000004</v>
      </c>
      <c r="O113" s="241">
        <v>0.64659999999999995</v>
      </c>
      <c r="P113" s="250" t="s">
        <v>546</v>
      </c>
      <c r="Q113" s="249" t="s">
        <v>438</v>
      </c>
      <c r="R113" s="249" t="s">
        <v>538</v>
      </c>
      <c r="S113" s="249">
        <v>0.63109999999999999</v>
      </c>
      <c r="T113" s="249">
        <v>0.63839999999999997</v>
      </c>
      <c r="U113" s="249">
        <v>0.65900000000000003</v>
      </c>
      <c r="V113" s="249">
        <v>0.63170000000000004</v>
      </c>
      <c r="W113" s="249">
        <v>0.64759999999999995</v>
      </c>
      <c r="X113" s="249">
        <v>0.64059999999999995</v>
      </c>
      <c r="Y113" s="209" t="s">
        <v>562</v>
      </c>
      <c r="Z113" s="200" t="s">
        <v>145</v>
      </c>
      <c r="AA113" s="200" t="s">
        <v>607</v>
      </c>
      <c r="AB113" s="203">
        <v>0.58599999999999997</v>
      </c>
      <c r="AC113" s="203">
        <v>0.59430000000000005</v>
      </c>
      <c r="AD113" s="203">
        <v>0.58399999999999996</v>
      </c>
      <c r="AE113" s="203">
        <v>0.60719999999999996</v>
      </c>
      <c r="AF113" s="203">
        <v>0.63060000000000005</v>
      </c>
      <c r="AG113" s="203">
        <v>0.5958</v>
      </c>
      <c r="AH113" s="227" t="s">
        <v>546</v>
      </c>
      <c r="AI113" s="200" t="s">
        <v>571</v>
      </c>
      <c r="AJ113" s="200" t="s">
        <v>647</v>
      </c>
      <c r="AK113" s="203">
        <v>0.60860000000000003</v>
      </c>
      <c r="AL113" s="203">
        <v>0.64039999999999997</v>
      </c>
      <c r="AM113" s="203">
        <v>0.61360000000000003</v>
      </c>
      <c r="AN113" s="203">
        <v>0.65049999999999997</v>
      </c>
      <c r="AO113" s="203">
        <v>0.62919999999999998</v>
      </c>
      <c r="AP113" s="203">
        <v>0.62829999999999997</v>
      </c>
      <c r="AQ113" s="208" t="s">
        <v>546</v>
      </c>
      <c r="AR113" s="200" t="s">
        <v>556</v>
      </c>
      <c r="AS113" s="200" t="s">
        <v>557</v>
      </c>
      <c r="AT113" s="203">
        <v>0.63629999999999998</v>
      </c>
      <c r="AU113" s="203">
        <v>0.65129999999999999</v>
      </c>
      <c r="AV113" s="203">
        <v>0.62270000000000003</v>
      </c>
      <c r="AW113" s="203">
        <v>0.67659999999999998</v>
      </c>
      <c r="AX113" s="203">
        <v>0.6431</v>
      </c>
      <c r="AY113" s="203">
        <v>0.64649999999999996</v>
      </c>
      <c r="AZ113" s="207" t="s">
        <v>546</v>
      </c>
      <c r="BA113" s="200" t="s">
        <v>449</v>
      </c>
      <c r="BB113" s="200" t="s">
        <v>571</v>
      </c>
      <c r="BC113" s="203">
        <v>0.63880000000000003</v>
      </c>
      <c r="BD113" s="203">
        <v>0.64019999999999999</v>
      </c>
      <c r="BE113" s="203">
        <v>0.62</v>
      </c>
      <c r="BF113" s="203">
        <v>0.67869999999999997</v>
      </c>
      <c r="BG113" s="203">
        <v>0.63819999999999999</v>
      </c>
      <c r="BH113" s="203">
        <v>0.64400000000000002</v>
      </c>
      <c r="BI113" s="206" t="s">
        <v>546</v>
      </c>
      <c r="BJ113" s="222">
        <v>42</v>
      </c>
      <c r="BK113" s="222">
        <v>39</v>
      </c>
      <c r="BL113" s="203">
        <v>0.63919999999999999</v>
      </c>
      <c r="BM113" s="203">
        <v>0.61470000000000002</v>
      </c>
      <c r="BN113" s="203">
        <v>0.59370000000000001</v>
      </c>
      <c r="BO113" s="203">
        <v>0.6663</v>
      </c>
      <c r="BP113" s="203">
        <v>0.63290000000000002</v>
      </c>
      <c r="BQ113" s="203">
        <v>0.62880000000000003</v>
      </c>
      <c r="BR113" s="412" t="s">
        <v>546</v>
      </c>
      <c r="BS113" s="391">
        <v>38</v>
      </c>
      <c r="BT113" s="391">
        <v>38</v>
      </c>
      <c r="BU113" s="391">
        <v>0.65429999999999999</v>
      </c>
      <c r="BV113" s="391">
        <v>0.63590000000000002</v>
      </c>
      <c r="BW113" s="391">
        <v>0.60909999999999997</v>
      </c>
      <c r="BX113" s="391">
        <v>0.69279999999999997</v>
      </c>
      <c r="BY113" s="391">
        <v>0.64559999999999995</v>
      </c>
      <c r="BZ113" s="391">
        <v>0.64780000000000004</v>
      </c>
      <c r="CA113" s="539" t="s">
        <v>410</v>
      </c>
      <c r="CB113" s="537" t="s">
        <v>556</v>
      </c>
      <c r="CC113" s="537" t="s">
        <v>556</v>
      </c>
      <c r="CD113" s="538">
        <v>0.70830000000000004</v>
      </c>
      <c r="CE113" s="538">
        <v>0.67959999999999998</v>
      </c>
      <c r="CF113" s="538">
        <v>0.67079999999999995</v>
      </c>
      <c r="CG113" s="538">
        <v>0.73970000000000002</v>
      </c>
      <c r="CH113" s="538">
        <v>0.69130000000000003</v>
      </c>
      <c r="CI113" s="538">
        <v>0.69899999999999995</v>
      </c>
      <c r="CJ113" s="667" t="s">
        <v>409</v>
      </c>
      <c r="CK113" s="668">
        <v>46</v>
      </c>
      <c r="CL113" s="668">
        <v>46</v>
      </c>
      <c r="CM113" s="659">
        <v>0.72019999999999995</v>
      </c>
      <c r="CN113" s="659">
        <v>0.70909999999999995</v>
      </c>
      <c r="CO113" s="659">
        <v>0.71579999999999999</v>
      </c>
      <c r="CP113" s="659">
        <v>0.75309999999999999</v>
      </c>
      <c r="CQ113" s="659">
        <v>0.71540000000000004</v>
      </c>
      <c r="CR113" s="659">
        <v>0.72389999999999999</v>
      </c>
    </row>
    <row r="114" spans="1:96" x14ac:dyDescent="0.3">
      <c r="A114" s="62" t="s">
        <v>149</v>
      </c>
      <c r="B114" s="200" t="s">
        <v>148</v>
      </c>
      <c r="C114" s="200" t="s">
        <v>573</v>
      </c>
      <c r="D114" s="200" t="s">
        <v>422</v>
      </c>
      <c r="E114" s="200" t="s">
        <v>794</v>
      </c>
      <c r="F114" s="200" t="s">
        <v>222</v>
      </c>
      <c r="G114" s="242" t="s">
        <v>546</v>
      </c>
      <c r="H114" s="241" t="s">
        <v>563</v>
      </c>
      <c r="I114" s="241" t="s">
        <v>563</v>
      </c>
      <c r="J114" s="241">
        <v>0.65349999999999997</v>
      </c>
      <c r="K114" s="241">
        <v>0.66259999999999997</v>
      </c>
      <c r="L114" s="241">
        <v>0.67169999999999996</v>
      </c>
      <c r="M114" s="241">
        <v>0.68430000000000002</v>
      </c>
      <c r="N114" s="241">
        <v>0.66120000000000001</v>
      </c>
      <c r="O114" s="241">
        <v>0.66749999999999998</v>
      </c>
      <c r="P114" s="250" t="s">
        <v>546</v>
      </c>
      <c r="Q114" s="249" t="s">
        <v>814</v>
      </c>
      <c r="R114" s="249" t="s">
        <v>815</v>
      </c>
      <c r="S114" s="249">
        <v>0.63900000000000001</v>
      </c>
      <c r="T114" s="249">
        <v>0.66239999999999999</v>
      </c>
      <c r="U114" s="249">
        <v>0.65439999999999998</v>
      </c>
      <c r="V114" s="249">
        <v>0.66930000000000001</v>
      </c>
      <c r="W114" s="249">
        <v>0.65720000000000001</v>
      </c>
      <c r="X114" s="249">
        <v>0.65639999999999998</v>
      </c>
      <c r="Y114" s="207" t="s">
        <v>546</v>
      </c>
      <c r="Z114" s="200" t="s">
        <v>710</v>
      </c>
      <c r="AA114" s="200" t="s">
        <v>493</v>
      </c>
      <c r="AB114" s="203">
        <v>0.62690000000000001</v>
      </c>
      <c r="AC114" s="203">
        <v>0.66349999999999998</v>
      </c>
      <c r="AD114" s="203">
        <v>0.64249999999999996</v>
      </c>
      <c r="AE114" s="203">
        <v>0.66039999999999999</v>
      </c>
      <c r="AF114" s="203">
        <v>0.67179999999999995</v>
      </c>
      <c r="AG114" s="203">
        <v>0.65010000000000001</v>
      </c>
      <c r="AH114" s="227" t="s">
        <v>546</v>
      </c>
      <c r="AI114" s="200" t="s">
        <v>480</v>
      </c>
      <c r="AJ114" s="200" t="s">
        <v>614</v>
      </c>
      <c r="AK114" s="203">
        <v>0.62319999999999998</v>
      </c>
      <c r="AL114" s="203">
        <v>0.67059999999999997</v>
      </c>
      <c r="AM114" s="203">
        <v>0.64159999999999995</v>
      </c>
      <c r="AN114" s="203">
        <v>0.67010000000000003</v>
      </c>
      <c r="AO114" s="203">
        <v>0.66910000000000003</v>
      </c>
      <c r="AP114" s="203">
        <v>0.65269999999999995</v>
      </c>
      <c r="AQ114" s="208" t="s">
        <v>546</v>
      </c>
      <c r="AR114" s="200" t="s">
        <v>505</v>
      </c>
      <c r="AS114" s="200" t="s">
        <v>552</v>
      </c>
      <c r="AT114" s="203">
        <v>0.63600000000000001</v>
      </c>
      <c r="AU114" s="203">
        <v>0.66459999999999997</v>
      </c>
      <c r="AV114" s="203">
        <v>0.6421</v>
      </c>
      <c r="AW114" s="203">
        <v>0.68810000000000004</v>
      </c>
      <c r="AX114" s="203">
        <v>0.67049999999999998</v>
      </c>
      <c r="AY114" s="203">
        <v>0.65869999999999995</v>
      </c>
      <c r="AZ114" s="207" t="s">
        <v>546</v>
      </c>
      <c r="BA114" s="200" t="s">
        <v>451</v>
      </c>
      <c r="BB114" s="200" t="s">
        <v>453</v>
      </c>
      <c r="BC114" s="203">
        <v>0.63090000000000002</v>
      </c>
      <c r="BD114" s="203">
        <v>0.63380000000000003</v>
      </c>
      <c r="BE114" s="203">
        <v>0.61839999999999995</v>
      </c>
      <c r="BF114" s="203">
        <v>0.69089999999999996</v>
      </c>
      <c r="BG114" s="203">
        <v>0.65039999999999998</v>
      </c>
      <c r="BH114" s="203">
        <v>0.64400000000000002</v>
      </c>
      <c r="BI114" s="206" t="s">
        <v>546</v>
      </c>
      <c r="BJ114" s="222">
        <v>75</v>
      </c>
      <c r="BK114" s="222">
        <v>69</v>
      </c>
      <c r="BL114" s="203">
        <v>0.62560000000000004</v>
      </c>
      <c r="BM114" s="203">
        <v>0.61780000000000002</v>
      </c>
      <c r="BN114" s="203">
        <v>0.61070000000000002</v>
      </c>
      <c r="BO114" s="203">
        <v>0.68379999999999996</v>
      </c>
      <c r="BP114" s="203">
        <v>0.63090000000000002</v>
      </c>
      <c r="BQ114" s="203">
        <v>0.63419999999999999</v>
      </c>
      <c r="BR114" s="412" t="s">
        <v>546</v>
      </c>
      <c r="BS114" s="391">
        <v>76</v>
      </c>
      <c r="BT114" s="391">
        <v>76</v>
      </c>
      <c r="BU114" s="391">
        <v>0.65429999999999999</v>
      </c>
      <c r="BV114" s="391">
        <v>0.63370000000000004</v>
      </c>
      <c r="BW114" s="391">
        <v>0.63970000000000005</v>
      </c>
      <c r="BX114" s="391">
        <v>0.71509999999999996</v>
      </c>
      <c r="BY114" s="391">
        <v>0.64159999999999995</v>
      </c>
      <c r="BZ114" s="391">
        <v>0.65920000000000001</v>
      </c>
      <c r="CA114" s="540" t="s">
        <v>546</v>
      </c>
      <c r="CB114" s="537" t="s">
        <v>587</v>
      </c>
      <c r="CC114" s="537" t="s">
        <v>587</v>
      </c>
      <c r="CD114" s="538">
        <v>0.64449999999999996</v>
      </c>
      <c r="CE114" s="538">
        <v>0.63149999999999995</v>
      </c>
      <c r="CF114" s="538">
        <v>0.628</v>
      </c>
      <c r="CG114" s="538">
        <v>0.71</v>
      </c>
      <c r="CH114" s="538">
        <v>0.63300000000000001</v>
      </c>
      <c r="CI114" s="538">
        <v>0.65190000000000003</v>
      </c>
      <c r="CJ114" s="670" t="s">
        <v>546</v>
      </c>
      <c r="CK114" s="665">
        <v>91</v>
      </c>
      <c r="CL114" s="665">
        <v>90</v>
      </c>
      <c r="CM114" s="509">
        <v>0.65480000000000005</v>
      </c>
      <c r="CN114" s="509">
        <v>0.64190000000000003</v>
      </c>
      <c r="CO114" s="509">
        <v>0.62350000000000005</v>
      </c>
      <c r="CP114" s="509">
        <v>0.71379999999999999</v>
      </c>
      <c r="CQ114" s="509">
        <v>0.66790000000000005</v>
      </c>
      <c r="CR114" s="509">
        <v>0.65920000000000001</v>
      </c>
    </row>
    <row r="115" spans="1:96" x14ac:dyDescent="0.3">
      <c r="A115" s="62" t="s">
        <v>140</v>
      </c>
      <c r="B115" s="200" t="s">
        <v>139</v>
      </c>
      <c r="C115" s="200" t="s">
        <v>573</v>
      </c>
      <c r="D115" s="200" t="s">
        <v>422</v>
      </c>
      <c r="E115" s="200" t="s">
        <v>794</v>
      </c>
      <c r="F115" s="200" t="s">
        <v>222</v>
      </c>
      <c r="G115" s="242" t="s">
        <v>546</v>
      </c>
      <c r="H115" s="241" t="s">
        <v>575</v>
      </c>
      <c r="I115" s="241" t="s">
        <v>575</v>
      </c>
      <c r="J115" s="241">
        <v>0.66900000000000004</v>
      </c>
      <c r="K115" s="241">
        <v>0.67600000000000005</v>
      </c>
      <c r="L115" s="241">
        <v>0.67490000000000006</v>
      </c>
      <c r="M115" s="241">
        <v>0.6653</v>
      </c>
      <c r="N115" s="241">
        <v>0.64780000000000004</v>
      </c>
      <c r="O115" s="241">
        <v>0.66949999999999998</v>
      </c>
      <c r="P115" s="248" t="s">
        <v>410</v>
      </c>
      <c r="Q115" s="249" t="s">
        <v>550</v>
      </c>
      <c r="R115" s="249" t="s">
        <v>550</v>
      </c>
      <c r="S115" s="249">
        <v>0.65800000000000003</v>
      </c>
      <c r="T115" s="249">
        <v>0.6764</v>
      </c>
      <c r="U115" s="249">
        <v>0.69669999999999999</v>
      </c>
      <c r="V115" s="249">
        <v>0.67290000000000005</v>
      </c>
      <c r="W115" s="249">
        <v>0.65859999999999996</v>
      </c>
      <c r="X115" s="249">
        <v>0.67459999999999998</v>
      </c>
      <c r="Y115" s="204" t="s">
        <v>410</v>
      </c>
      <c r="Z115" s="200" t="s">
        <v>438</v>
      </c>
      <c r="AA115" s="200" t="s">
        <v>449</v>
      </c>
      <c r="AB115" s="203">
        <v>0.64449999999999996</v>
      </c>
      <c r="AC115" s="203">
        <v>0.68279999999999996</v>
      </c>
      <c r="AD115" s="203">
        <v>0.70760000000000001</v>
      </c>
      <c r="AE115" s="203">
        <v>0.67030000000000001</v>
      </c>
      <c r="AF115" s="203">
        <v>0.67520000000000002</v>
      </c>
      <c r="AG115" s="203">
        <v>0.67620000000000002</v>
      </c>
      <c r="AH115" s="231" t="s">
        <v>410</v>
      </c>
      <c r="AI115" s="200" t="s">
        <v>613</v>
      </c>
      <c r="AJ115" s="200" t="s">
        <v>483</v>
      </c>
      <c r="AK115" s="203">
        <v>0.66839999999999999</v>
      </c>
      <c r="AL115" s="203">
        <v>0.70379999999999998</v>
      </c>
      <c r="AM115" s="203">
        <v>0.71879999999999999</v>
      </c>
      <c r="AN115" s="203">
        <v>0.7198</v>
      </c>
      <c r="AO115" s="203">
        <v>0.69840000000000002</v>
      </c>
      <c r="AP115" s="203">
        <v>0.70240000000000002</v>
      </c>
      <c r="AQ115" s="216" t="s">
        <v>409</v>
      </c>
      <c r="AR115" s="200" t="s">
        <v>468</v>
      </c>
      <c r="AS115" s="200" t="s">
        <v>469</v>
      </c>
      <c r="AT115" s="203">
        <v>0.70830000000000004</v>
      </c>
      <c r="AU115" s="203">
        <v>0.71589999999999998</v>
      </c>
      <c r="AV115" s="203">
        <v>0.72270000000000001</v>
      </c>
      <c r="AW115" s="203">
        <v>0.76339999999999997</v>
      </c>
      <c r="AX115" s="203">
        <v>0.73570000000000002</v>
      </c>
      <c r="AY115" s="203">
        <v>0.72819999999999996</v>
      </c>
      <c r="AZ115" s="211" t="s">
        <v>409</v>
      </c>
      <c r="BA115" s="200" t="s">
        <v>444</v>
      </c>
      <c r="BB115" s="200" t="s">
        <v>448</v>
      </c>
      <c r="BC115" s="203">
        <v>0.72189999999999999</v>
      </c>
      <c r="BD115" s="203">
        <v>0.71479999999999999</v>
      </c>
      <c r="BE115" s="203">
        <v>0.7077</v>
      </c>
      <c r="BF115" s="203">
        <v>0.75580000000000003</v>
      </c>
      <c r="BG115" s="203">
        <v>0.72799999999999998</v>
      </c>
      <c r="BH115" s="203">
        <v>0.72529999999999994</v>
      </c>
      <c r="BI115" s="201" t="s">
        <v>410</v>
      </c>
      <c r="BJ115" s="222">
        <v>87</v>
      </c>
      <c r="BK115" s="222">
        <v>87</v>
      </c>
      <c r="BL115" s="203">
        <v>0.70820000000000005</v>
      </c>
      <c r="BM115" s="203">
        <v>0.69079999999999997</v>
      </c>
      <c r="BN115" s="203">
        <v>0.68920000000000003</v>
      </c>
      <c r="BO115" s="203">
        <v>0.74409999999999998</v>
      </c>
      <c r="BP115" s="203">
        <v>0.69510000000000005</v>
      </c>
      <c r="BQ115" s="203">
        <v>0.70709999999999995</v>
      </c>
      <c r="BR115" s="410" t="s">
        <v>410</v>
      </c>
      <c r="BS115" s="391">
        <v>98</v>
      </c>
      <c r="BT115" s="391">
        <v>98</v>
      </c>
      <c r="BU115" s="391">
        <v>0.68930000000000002</v>
      </c>
      <c r="BV115" s="391">
        <v>0.67579999999999996</v>
      </c>
      <c r="BW115" s="391">
        <v>0.65920000000000001</v>
      </c>
      <c r="BX115" s="391">
        <v>0.72599999999999998</v>
      </c>
      <c r="BY115" s="391">
        <v>0.67949999999999999</v>
      </c>
      <c r="BZ115" s="391">
        <v>0.68689999999999996</v>
      </c>
      <c r="CA115" s="539" t="s">
        <v>410</v>
      </c>
      <c r="CB115" s="537" t="s">
        <v>529</v>
      </c>
      <c r="CC115" s="537" t="s">
        <v>529</v>
      </c>
      <c r="CD115" s="538">
        <v>0.68320000000000003</v>
      </c>
      <c r="CE115" s="538">
        <v>0.66910000000000003</v>
      </c>
      <c r="CF115" s="538">
        <v>0.65410000000000001</v>
      </c>
      <c r="CG115" s="538">
        <v>0.72499999999999998</v>
      </c>
      <c r="CH115" s="538">
        <v>0.69240000000000002</v>
      </c>
      <c r="CI115" s="538">
        <v>0.68359999999999999</v>
      </c>
      <c r="CJ115" s="669" t="s">
        <v>410</v>
      </c>
      <c r="CK115" s="668">
        <v>115</v>
      </c>
      <c r="CL115" s="668">
        <v>115</v>
      </c>
      <c r="CM115" s="659">
        <v>0.68459999999999999</v>
      </c>
      <c r="CN115" s="659">
        <v>0.67630000000000001</v>
      </c>
      <c r="CO115" s="659">
        <v>0.65500000000000003</v>
      </c>
      <c r="CP115" s="659">
        <v>0.72529999999999994</v>
      </c>
      <c r="CQ115" s="659">
        <v>0.72250000000000003</v>
      </c>
      <c r="CR115" s="659">
        <v>0.68810000000000004</v>
      </c>
    </row>
    <row r="116" spans="1:96" x14ac:dyDescent="0.3">
      <c r="A116" s="62" t="s">
        <v>122</v>
      </c>
      <c r="B116" s="200" t="s">
        <v>121</v>
      </c>
      <c r="C116" s="200" t="s">
        <v>573</v>
      </c>
      <c r="D116" s="200" t="s">
        <v>422</v>
      </c>
      <c r="E116" s="200" t="s">
        <v>794</v>
      </c>
      <c r="F116" s="200" t="s">
        <v>222</v>
      </c>
      <c r="G116" s="240" t="s">
        <v>410</v>
      </c>
      <c r="H116" s="241" t="s">
        <v>840</v>
      </c>
      <c r="I116" s="241" t="s">
        <v>267</v>
      </c>
      <c r="J116" s="241">
        <v>0.68520000000000003</v>
      </c>
      <c r="K116" s="241">
        <v>0.70399999999999996</v>
      </c>
      <c r="L116" s="241">
        <v>0.70079999999999998</v>
      </c>
      <c r="M116" s="241">
        <v>0.71779999999999999</v>
      </c>
      <c r="N116" s="241">
        <v>0.67959999999999998</v>
      </c>
      <c r="O116" s="241">
        <v>0.70030000000000003</v>
      </c>
      <c r="P116" s="248" t="s">
        <v>410</v>
      </c>
      <c r="Q116" s="249" t="s">
        <v>873</v>
      </c>
      <c r="R116" s="249" t="s">
        <v>712</v>
      </c>
      <c r="S116" s="249">
        <v>0.70099999999999996</v>
      </c>
      <c r="T116" s="249">
        <v>0.72870000000000001</v>
      </c>
      <c r="U116" s="249">
        <v>0.71489999999999998</v>
      </c>
      <c r="V116" s="249">
        <v>0.72389999999999999</v>
      </c>
      <c r="W116" s="249">
        <v>0.68840000000000001</v>
      </c>
      <c r="X116" s="249">
        <v>0.71489999999999998</v>
      </c>
      <c r="Y116" s="211" t="s">
        <v>409</v>
      </c>
      <c r="Z116" s="200" t="s">
        <v>658</v>
      </c>
      <c r="AA116" s="200" t="s">
        <v>659</v>
      </c>
      <c r="AB116" s="203">
        <v>0.71789999999999998</v>
      </c>
      <c r="AC116" s="203">
        <v>0.74470000000000003</v>
      </c>
      <c r="AD116" s="203">
        <v>0.71879999999999999</v>
      </c>
      <c r="AE116" s="203">
        <v>0.73399999999999999</v>
      </c>
      <c r="AF116" s="203">
        <v>0.71530000000000005</v>
      </c>
      <c r="AG116" s="203">
        <v>0.7278</v>
      </c>
      <c r="AH116" s="230" t="s">
        <v>409</v>
      </c>
      <c r="AI116" s="200" t="s">
        <v>590</v>
      </c>
      <c r="AJ116" s="200" t="s">
        <v>591</v>
      </c>
      <c r="AK116" s="203">
        <v>0.73560000000000003</v>
      </c>
      <c r="AL116" s="203">
        <v>0.74790000000000001</v>
      </c>
      <c r="AM116" s="203">
        <v>0.72460000000000002</v>
      </c>
      <c r="AN116" s="203">
        <v>0.74919999999999998</v>
      </c>
      <c r="AO116" s="203">
        <v>0.72189999999999999</v>
      </c>
      <c r="AP116" s="203">
        <v>0.73799999999999999</v>
      </c>
      <c r="AQ116" s="216" t="s">
        <v>409</v>
      </c>
      <c r="AR116" s="200" t="s">
        <v>447</v>
      </c>
      <c r="AS116" s="200" t="s">
        <v>464</v>
      </c>
      <c r="AT116" s="203">
        <v>0.7339</v>
      </c>
      <c r="AU116" s="203">
        <v>0.73089999999999999</v>
      </c>
      <c r="AV116" s="203">
        <v>0.71179999999999999</v>
      </c>
      <c r="AW116" s="203">
        <v>0.76270000000000004</v>
      </c>
      <c r="AX116" s="203">
        <v>0.73280000000000001</v>
      </c>
      <c r="AY116" s="203">
        <v>0.73470000000000002</v>
      </c>
      <c r="AZ116" s="211" t="s">
        <v>409</v>
      </c>
      <c r="BA116" s="200" t="s">
        <v>759</v>
      </c>
      <c r="BB116" s="200" t="s">
        <v>760</v>
      </c>
      <c r="BC116" s="203">
        <v>0.73140000000000005</v>
      </c>
      <c r="BD116" s="203">
        <v>0.70479999999999998</v>
      </c>
      <c r="BE116" s="203">
        <v>0.69610000000000005</v>
      </c>
      <c r="BF116" s="203">
        <v>0.76490000000000002</v>
      </c>
      <c r="BG116" s="203">
        <v>0.73260000000000003</v>
      </c>
      <c r="BH116" s="203">
        <v>0.72489999999999999</v>
      </c>
      <c r="BI116" s="201" t="s">
        <v>410</v>
      </c>
      <c r="BJ116" s="222">
        <v>427</v>
      </c>
      <c r="BK116" s="222">
        <v>425</v>
      </c>
      <c r="BL116" s="203">
        <v>0.72</v>
      </c>
      <c r="BM116" s="203">
        <v>0.67900000000000005</v>
      </c>
      <c r="BN116" s="203">
        <v>0.68149999999999999</v>
      </c>
      <c r="BO116" s="203">
        <v>0.75600000000000001</v>
      </c>
      <c r="BP116" s="203">
        <v>0.71740000000000004</v>
      </c>
      <c r="BQ116" s="203">
        <v>0.70979999999999999</v>
      </c>
      <c r="BR116" s="410" t="s">
        <v>410</v>
      </c>
      <c r="BS116" s="391">
        <v>448</v>
      </c>
      <c r="BT116" s="391">
        <v>446</v>
      </c>
      <c r="BU116" s="391">
        <v>0.71319999999999995</v>
      </c>
      <c r="BV116" s="391">
        <v>0.6663</v>
      </c>
      <c r="BW116" s="391">
        <v>0.66949999999999998</v>
      </c>
      <c r="BX116" s="391">
        <v>0.75019999999999998</v>
      </c>
      <c r="BY116" s="391">
        <v>0.70840000000000003</v>
      </c>
      <c r="BZ116" s="391">
        <v>0.70050000000000001</v>
      </c>
      <c r="CA116" s="539" t="s">
        <v>410</v>
      </c>
      <c r="CB116" s="537" t="s">
        <v>1005</v>
      </c>
      <c r="CC116" s="537" t="s">
        <v>1006</v>
      </c>
      <c r="CD116" s="538">
        <v>0.71419999999999995</v>
      </c>
      <c r="CE116" s="538">
        <v>0.66690000000000005</v>
      </c>
      <c r="CF116" s="538">
        <v>0.67479999999999996</v>
      </c>
      <c r="CG116" s="538">
        <v>0.74750000000000005</v>
      </c>
      <c r="CH116" s="538">
        <v>0.71060000000000001</v>
      </c>
      <c r="CI116" s="538">
        <v>0.7016</v>
      </c>
      <c r="CJ116" s="669" t="s">
        <v>410</v>
      </c>
      <c r="CK116" s="665">
        <v>487</v>
      </c>
      <c r="CL116" s="665">
        <v>483</v>
      </c>
      <c r="CM116" s="509">
        <v>0.72099999999999997</v>
      </c>
      <c r="CN116" s="509">
        <v>0.68340000000000001</v>
      </c>
      <c r="CO116" s="509">
        <v>0.6804</v>
      </c>
      <c r="CP116" s="509">
        <v>0.75590000000000002</v>
      </c>
      <c r="CQ116" s="509">
        <v>0.73480000000000001</v>
      </c>
      <c r="CR116" s="509">
        <v>0.71209999999999996</v>
      </c>
    </row>
    <row r="117" spans="1:96" x14ac:dyDescent="0.3">
      <c r="A117" s="62" t="s">
        <v>198</v>
      </c>
      <c r="B117" s="200" t="s">
        <v>197</v>
      </c>
      <c r="C117" s="200" t="s">
        <v>573</v>
      </c>
      <c r="D117" s="200" t="s">
        <v>422</v>
      </c>
      <c r="E117" s="200" t="s">
        <v>794</v>
      </c>
      <c r="F117" s="200" t="s">
        <v>222</v>
      </c>
      <c r="G117" s="243" t="s">
        <v>409</v>
      </c>
      <c r="H117" s="241" t="s">
        <v>565</v>
      </c>
      <c r="I117" s="241" t="s">
        <v>565</v>
      </c>
      <c r="J117" s="241">
        <v>0.71120000000000005</v>
      </c>
      <c r="K117" s="241">
        <v>0.73340000000000005</v>
      </c>
      <c r="L117" s="241">
        <v>0.72909999999999997</v>
      </c>
      <c r="M117" s="241">
        <v>0.70830000000000004</v>
      </c>
      <c r="N117" s="241">
        <v>0.72599999999999998</v>
      </c>
      <c r="O117" s="241">
        <v>0.72089999999999999</v>
      </c>
      <c r="P117" s="252" t="s">
        <v>409</v>
      </c>
      <c r="Q117" s="249" t="s">
        <v>570</v>
      </c>
      <c r="R117" s="249" t="s">
        <v>570</v>
      </c>
      <c r="S117" s="249">
        <v>0.72919999999999996</v>
      </c>
      <c r="T117" s="249">
        <v>0.74490000000000001</v>
      </c>
      <c r="U117" s="249">
        <v>0.72589999999999999</v>
      </c>
      <c r="V117" s="249">
        <v>0.72370000000000001</v>
      </c>
      <c r="W117" s="249">
        <v>0.74770000000000003</v>
      </c>
      <c r="X117" s="249">
        <v>0.73219999999999996</v>
      </c>
      <c r="Y117" s="211" t="s">
        <v>409</v>
      </c>
      <c r="Z117" s="200" t="s">
        <v>82</v>
      </c>
      <c r="AA117" s="200" t="s">
        <v>82</v>
      </c>
      <c r="AB117" s="203">
        <v>0.76500000000000001</v>
      </c>
      <c r="AC117" s="203">
        <v>0.76970000000000005</v>
      </c>
      <c r="AD117" s="203">
        <v>0.75129999999999997</v>
      </c>
      <c r="AE117" s="203">
        <v>0.74670000000000003</v>
      </c>
      <c r="AF117" s="203">
        <v>0.77139999999999997</v>
      </c>
      <c r="AG117" s="203">
        <v>0.75919999999999999</v>
      </c>
      <c r="AH117" s="233" t="s">
        <v>408</v>
      </c>
      <c r="AI117" s="200" t="s">
        <v>574</v>
      </c>
      <c r="AJ117" s="200" t="s">
        <v>574</v>
      </c>
      <c r="AK117" s="203">
        <v>0.78959999999999997</v>
      </c>
      <c r="AL117" s="203">
        <v>0.78610000000000002</v>
      </c>
      <c r="AM117" s="203">
        <v>0.77529999999999999</v>
      </c>
      <c r="AN117" s="203">
        <v>0.76770000000000005</v>
      </c>
      <c r="AO117" s="203">
        <v>0.78979999999999995</v>
      </c>
      <c r="AP117" s="203">
        <v>0.78039999999999998</v>
      </c>
      <c r="AQ117" s="214" t="s">
        <v>408</v>
      </c>
      <c r="AR117" s="200" t="s">
        <v>424</v>
      </c>
      <c r="AS117" s="200" t="s">
        <v>425</v>
      </c>
      <c r="AT117" s="203">
        <v>0.79820000000000002</v>
      </c>
      <c r="AU117" s="203">
        <v>0.78749999999999998</v>
      </c>
      <c r="AV117" s="203">
        <v>0.77639999999999998</v>
      </c>
      <c r="AW117" s="203">
        <v>0.78680000000000005</v>
      </c>
      <c r="AX117" s="203">
        <v>0.80459999999999998</v>
      </c>
      <c r="AY117" s="203">
        <v>0.78859999999999997</v>
      </c>
      <c r="AZ117" s="211" t="s">
        <v>409</v>
      </c>
      <c r="BA117" s="200" t="s">
        <v>663</v>
      </c>
      <c r="BB117" s="200" t="s">
        <v>529</v>
      </c>
      <c r="BC117" s="203">
        <v>0.77900000000000003</v>
      </c>
      <c r="BD117" s="203">
        <v>0.75939999999999996</v>
      </c>
      <c r="BE117" s="203">
        <v>0.7349</v>
      </c>
      <c r="BF117" s="203">
        <v>0.77400000000000002</v>
      </c>
      <c r="BG117" s="203">
        <v>0.78310000000000002</v>
      </c>
      <c r="BH117" s="203">
        <v>0.76349999999999996</v>
      </c>
      <c r="BI117" s="215" t="s">
        <v>409</v>
      </c>
      <c r="BJ117" s="222">
        <v>151</v>
      </c>
      <c r="BK117" s="222">
        <v>135</v>
      </c>
      <c r="BL117" s="203">
        <v>0.76339999999999997</v>
      </c>
      <c r="BM117" s="203">
        <v>0.73640000000000005</v>
      </c>
      <c r="BN117" s="203">
        <v>0.71060000000000001</v>
      </c>
      <c r="BO117" s="203">
        <v>0.75900000000000001</v>
      </c>
      <c r="BP117" s="203">
        <v>0.74209999999999998</v>
      </c>
      <c r="BQ117" s="203">
        <v>0.74229999999999996</v>
      </c>
      <c r="BR117" s="414" t="s">
        <v>409</v>
      </c>
      <c r="BS117" s="391">
        <v>146</v>
      </c>
      <c r="BT117" s="391">
        <v>146</v>
      </c>
      <c r="BU117" s="391">
        <v>0.77070000000000005</v>
      </c>
      <c r="BV117" s="391">
        <v>0.73380000000000001</v>
      </c>
      <c r="BW117" s="391">
        <v>0.72319999999999995</v>
      </c>
      <c r="BX117" s="391">
        <v>0.7702</v>
      </c>
      <c r="BY117" s="391">
        <v>0.74660000000000004</v>
      </c>
      <c r="BZ117" s="391">
        <v>0.74929999999999997</v>
      </c>
      <c r="CA117" s="549" t="s">
        <v>409</v>
      </c>
      <c r="CB117" s="537" t="s">
        <v>675</v>
      </c>
      <c r="CC117" s="537" t="s">
        <v>675</v>
      </c>
      <c r="CD117" s="538">
        <v>0.77559999999999996</v>
      </c>
      <c r="CE117" s="538">
        <v>0.7369</v>
      </c>
      <c r="CF117" s="538">
        <v>0.74719999999999998</v>
      </c>
      <c r="CG117" s="538">
        <v>0.78169999999999995</v>
      </c>
      <c r="CH117" s="538">
        <v>0.76749999999999996</v>
      </c>
      <c r="CI117" s="538">
        <v>0.76090000000000002</v>
      </c>
      <c r="CJ117" s="671" t="s">
        <v>408</v>
      </c>
      <c r="CK117" s="668">
        <v>164</v>
      </c>
      <c r="CL117" s="668">
        <v>164</v>
      </c>
      <c r="CM117" s="659">
        <v>0.79169999999999996</v>
      </c>
      <c r="CN117" s="659">
        <v>0.74909999999999999</v>
      </c>
      <c r="CO117" s="659">
        <v>0.75280000000000002</v>
      </c>
      <c r="CP117" s="659">
        <v>0.80020000000000002</v>
      </c>
      <c r="CQ117" s="659">
        <v>0.81359999999999999</v>
      </c>
      <c r="CR117" s="659">
        <v>0.77659999999999996</v>
      </c>
    </row>
    <row r="118" spans="1:96" x14ac:dyDescent="0.3">
      <c r="A118" s="62" t="s">
        <v>165</v>
      </c>
      <c r="B118" s="200" t="s">
        <v>164</v>
      </c>
      <c r="C118" s="200" t="s">
        <v>573</v>
      </c>
      <c r="D118" s="200" t="s">
        <v>422</v>
      </c>
      <c r="E118" s="200" t="s">
        <v>794</v>
      </c>
      <c r="F118" s="200" t="s">
        <v>222</v>
      </c>
      <c r="G118" s="240" t="s">
        <v>410</v>
      </c>
      <c r="H118" s="241" t="s">
        <v>486</v>
      </c>
      <c r="I118" s="241" t="s">
        <v>483</v>
      </c>
      <c r="J118" s="241">
        <v>0.67689999999999995</v>
      </c>
      <c r="K118" s="241">
        <v>0.6694</v>
      </c>
      <c r="L118" s="241">
        <v>0.6724</v>
      </c>
      <c r="M118" s="241">
        <v>0.69199999999999995</v>
      </c>
      <c r="N118" s="241">
        <v>0.67290000000000005</v>
      </c>
      <c r="O118" s="241">
        <v>0.67730000000000001</v>
      </c>
      <c r="P118" s="248" t="s">
        <v>410</v>
      </c>
      <c r="Q118" s="249" t="s">
        <v>613</v>
      </c>
      <c r="R118" s="249" t="s">
        <v>486</v>
      </c>
      <c r="S118" s="249">
        <v>0.67530000000000001</v>
      </c>
      <c r="T118" s="249">
        <v>0.68159999999999998</v>
      </c>
      <c r="U118" s="249">
        <v>0.65359999999999996</v>
      </c>
      <c r="V118" s="249">
        <v>0.68369999999999997</v>
      </c>
      <c r="W118" s="249">
        <v>0.66600000000000004</v>
      </c>
      <c r="X118" s="249">
        <v>0.67300000000000004</v>
      </c>
      <c r="Y118" s="204" t="s">
        <v>410</v>
      </c>
      <c r="Z118" s="200" t="s">
        <v>684</v>
      </c>
      <c r="AA118" s="200" t="s">
        <v>490</v>
      </c>
      <c r="AB118" s="203">
        <v>0.6956</v>
      </c>
      <c r="AC118" s="203">
        <v>0.71089999999999998</v>
      </c>
      <c r="AD118" s="203">
        <v>0.67210000000000003</v>
      </c>
      <c r="AE118" s="203">
        <v>0.68969999999999998</v>
      </c>
      <c r="AF118" s="203">
        <v>0.68120000000000003</v>
      </c>
      <c r="AG118" s="203">
        <v>0.69120000000000004</v>
      </c>
      <c r="AH118" s="231" t="s">
        <v>410</v>
      </c>
      <c r="AI118" s="200" t="s">
        <v>586</v>
      </c>
      <c r="AJ118" s="200" t="s">
        <v>425</v>
      </c>
      <c r="AK118" s="203">
        <v>0.7026</v>
      </c>
      <c r="AL118" s="203">
        <v>0.71199999999999997</v>
      </c>
      <c r="AM118" s="203">
        <v>0.66590000000000005</v>
      </c>
      <c r="AN118" s="203">
        <v>0.6895</v>
      </c>
      <c r="AO118" s="203">
        <v>0.68010000000000004</v>
      </c>
      <c r="AP118" s="203">
        <v>0.6915</v>
      </c>
      <c r="AQ118" s="205" t="s">
        <v>410</v>
      </c>
      <c r="AR118" s="200" t="s">
        <v>516</v>
      </c>
      <c r="AS118" s="200" t="s">
        <v>452</v>
      </c>
      <c r="AT118" s="203">
        <v>0.70609999999999995</v>
      </c>
      <c r="AU118" s="203">
        <v>0.71050000000000002</v>
      </c>
      <c r="AV118" s="203">
        <v>0.66239999999999999</v>
      </c>
      <c r="AW118" s="203">
        <v>0.69310000000000005</v>
      </c>
      <c r="AX118" s="203">
        <v>0.68769999999999998</v>
      </c>
      <c r="AY118" s="203">
        <v>0.69259999999999999</v>
      </c>
      <c r="AZ118" s="204" t="s">
        <v>410</v>
      </c>
      <c r="BA118" s="200" t="s">
        <v>448</v>
      </c>
      <c r="BB118" s="200" t="s">
        <v>551</v>
      </c>
      <c r="BC118" s="203">
        <v>0.70630000000000004</v>
      </c>
      <c r="BD118" s="203">
        <v>0.69440000000000002</v>
      </c>
      <c r="BE118" s="203">
        <v>0.64570000000000005</v>
      </c>
      <c r="BF118" s="203">
        <v>0.70330000000000004</v>
      </c>
      <c r="BG118" s="203">
        <v>0.69020000000000004</v>
      </c>
      <c r="BH118" s="203">
        <v>0.68759999999999999</v>
      </c>
      <c r="BI118" s="201" t="s">
        <v>410</v>
      </c>
      <c r="BJ118" s="222">
        <v>92</v>
      </c>
      <c r="BK118" s="222">
        <v>88</v>
      </c>
      <c r="BL118" s="203">
        <v>0.69799999999999995</v>
      </c>
      <c r="BM118" s="203">
        <v>0.66249999999999998</v>
      </c>
      <c r="BN118" s="203">
        <v>0.62980000000000003</v>
      </c>
      <c r="BO118" s="203">
        <v>0.70920000000000005</v>
      </c>
      <c r="BP118" s="203">
        <v>0.68230000000000002</v>
      </c>
      <c r="BQ118" s="203">
        <v>0.67549999999999999</v>
      </c>
      <c r="BR118" s="410" t="s">
        <v>410</v>
      </c>
      <c r="BS118" s="391">
        <v>126</v>
      </c>
      <c r="BT118" s="391">
        <v>125</v>
      </c>
      <c r="BU118" s="391">
        <v>0.68740000000000001</v>
      </c>
      <c r="BV118" s="391">
        <v>0.66080000000000005</v>
      </c>
      <c r="BW118" s="391">
        <v>0.64370000000000005</v>
      </c>
      <c r="BX118" s="391">
        <v>0.71430000000000005</v>
      </c>
      <c r="BY118" s="391">
        <v>0.67359999999999998</v>
      </c>
      <c r="BZ118" s="391">
        <v>0.67630000000000001</v>
      </c>
      <c r="CA118" s="539" t="s">
        <v>410</v>
      </c>
      <c r="CB118" s="537" t="s">
        <v>441</v>
      </c>
      <c r="CC118" s="537" t="s">
        <v>521</v>
      </c>
      <c r="CD118" s="538">
        <v>0.68320000000000003</v>
      </c>
      <c r="CE118" s="538">
        <v>0.66100000000000003</v>
      </c>
      <c r="CF118" s="538">
        <v>0.65659999999999996</v>
      </c>
      <c r="CG118" s="538">
        <v>0.71250000000000002</v>
      </c>
      <c r="CH118" s="538">
        <v>0.67600000000000005</v>
      </c>
      <c r="CI118" s="538">
        <v>0.67810000000000004</v>
      </c>
      <c r="CJ118" s="669" t="s">
        <v>410</v>
      </c>
      <c r="CK118" s="672">
        <v>157</v>
      </c>
      <c r="CL118" s="672">
        <v>156</v>
      </c>
      <c r="CM118" s="645">
        <v>0.69079999999999997</v>
      </c>
      <c r="CN118" s="645">
        <v>0.67210000000000003</v>
      </c>
      <c r="CO118" s="645">
        <v>0.66959999999999997</v>
      </c>
      <c r="CP118" s="645">
        <v>0.71079999999999999</v>
      </c>
      <c r="CQ118" s="645">
        <v>0.68579999999999997</v>
      </c>
      <c r="CR118" s="645">
        <v>0.68579999999999997</v>
      </c>
    </row>
    <row r="119" spans="1:96" x14ac:dyDescent="0.3">
      <c r="A119" s="62" t="s">
        <v>212</v>
      </c>
      <c r="B119" s="200" t="s">
        <v>211</v>
      </c>
      <c r="C119" s="200" t="s">
        <v>573</v>
      </c>
      <c r="D119" s="200" t="s">
        <v>422</v>
      </c>
      <c r="E119" s="200" t="s">
        <v>794</v>
      </c>
      <c r="F119" s="200" t="s">
        <v>222</v>
      </c>
      <c r="G119" s="200"/>
      <c r="H119" s="200"/>
      <c r="I119" s="200"/>
      <c r="J119" s="200"/>
      <c r="K119" s="200"/>
      <c r="L119" s="200"/>
      <c r="M119" s="200"/>
      <c r="N119" s="200"/>
      <c r="O119" s="200"/>
      <c r="P119" s="239"/>
      <c r="Q119" s="200"/>
      <c r="R119" s="200"/>
      <c r="S119" s="200"/>
      <c r="T119" s="200"/>
      <c r="U119" s="200"/>
      <c r="V119" s="200"/>
      <c r="W119" s="200"/>
      <c r="X119" s="200"/>
      <c r="Y119" s="211" t="s">
        <v>409</v>
      </c>
      <c r="Z119" s="200" t="s">
        <v>639</v>
      </c>
      <c r="AA119" s="200" t="s">
        <v>639</v>
      </c>
      <c r="AB119" s="203">
        <v>0.75419999999999998</v>
      </c>
      <c r="AC119" s="203">
        <v>0.73250000000000004</v>
      </c>
      <c r="AD119" s="203">
        <v>0.751</v>
      </c>
      <c r="AE119" s="203">
        <v>0.77759999999999996</v>
      </c>
      <c r="AF119" s="203">
        <v>0.74419999999999997</v>
      </c>
      <c r="AG119" s="203">
        <v>0.75309999999999999</v>
      </c>
      <c r="AH119" s="230" t="s">
        <v>409</v>
      </c>
      <c r="AI119" s="200" t="s">
        <v>548</v>
      </c>
      <c r="AJ119" s="200" t="s">
        <v>548</v>
      </c>
      <c r="AK119" s="203">
        <v>0.74029999999999996</v>
      </c>
      <c r="AL119" s="203">
        <v>0.71499999999999997</v>
      </c>
      <c r="AM119" s="203">
        <v>0.7218</v>
      </c>
      <c r="AN119" s="203">
        <v>0.75719999999999998</v>
      </c>
      <c r="AO119" s="203">
        <v>0.72130000000000005</v>
      </c>
      <c r="AP119" s="203">
        <v>0.73260000000000003</v>
      </c>
      <c r="AQ119" s="205" t="s">
        <v>410</v>
      </c>
      <c r="AR119" s="200" t="s">
        <v>438</v>
      </c>
      <c r="AS119" s="200" t="s">
        <v>449</v>
      </c>
      <c r="AT119" s="203">
        <v>0.71120000000000005</v>
      </c>
      <c r="AU119" s="203">
        <v>0.69720000000000004</v>
      </c>
      <c r="AV119" s="203">
        <v>0.70479999999999998</v>
      </c>
      <c r="AW119" s="203">
        <v>0.75009999999999999</v>
      </c>
      <c r="AX119" s="203">
        <v>0.68430000000000002</v>
      </c>
      <c r="AY119" s="203">
        <v>0.71340000000000003</v>
      </c>
      <c r="AZ119" s="204" t="s">
        <v>410</v>
      </c>
      <c r="BA119" s="200" t="s">
        <v>556</v>
      </c>
      <c r="BB119" s="200" t="s">
        <v>484</v>
      </c>
      <c r="BC119" s="203">
        <v>0.68510000000000004</v>
      </c>
      <c r="BD119" s="203">
        <v>0.6855</v>
      </c>
      <c r="BE119" s="203">
        <v>0.67200000000000004</v>
      </c>
      <c r="BF119" s="203">
        <v>0.73509999999999998</v>
      </c>
      <c r="BG119" s="203">
        <v>0.66359999999999997</v>
      </c>
      <c r="BH119" s="203">
        <v>0.69210000000000005</v>
      </c>
      <c r="BI119" s="201" t="s">
        <v>410</v>
      </c>
      <c r="BJ119" s="222">
        <v>64</v>
      </c>
      <c r="BK119" s="222">
        <v>62</v>
      </c>
      <c r="BL119" s="203">
        <v>0.67810000000000004</v>
      </c>
      <c r="BM119" s="203">
        <v>0.68969999999999998</v>
      </c>
      <c r="BN119" s="203">
        <v>0.69069999999999998</v>
      </c>
      <c r="BO119" s="203">
        <v>0.73199999999999998</v>
      </c>
      <c r="BP119" s="203">
        <v>0.65529999999999999</v>
      </c>
      <c r="BQ119" s="203">
        <v>0.69440000000000002</v>
      </c>
      <c r="BR119" s="410" t="s">
        <v>410</v>
      </c>
      <c r="BS119" s="391">
        <v>71</v>
      </c>
      <c r="BT119" s="391">
        <v>71</v>
      </c>
      <c r="BU119" s="391">
        <v>0.6855</v>
      </c>
      <c r="BV119" s="391">
        <v>0.69010000000000005</v>
      </c>
      <c r="BW119" s="391">
        <v>0.69110000000000005</v>
      </c>
      <c r="BX119" s="391">
        <v>0.72660000000000002</v>
      </c>
      <c r="BY119" s="391">
        <v>0.6663</v>
      </c>
      <c r="BZ119" s="391">
        <v>0.69589999999999996</v>
      </c>
      <c r="CA119" s="539" t="s">
        <v>410</v>
      </c>
      <c r="CB119" s="537" t="s">
        <v>425</v>
      </c>
      <c r="CC119" s="537" t="s">
        <v>553</v>
      </c>
      <c r="CD119" s="538">
        <v>0.67530000000000001</v>
      </c>
      <c r="CE119" s="538">
        <v>0.66590000000000005</v>
      </c>
      <c r="CF119" s="538">
        <v>0.6764</v>
      </c>
      <c r="CG119" s="538">
        <v>0.70920000000000005</v>
      </c>
      <c r="CH119" s="538">
        <v>0.64810000000000001</v>
      </c>
      <c r="CI119" s="538">
        <v>0.67910000000000004</v>
      </c>
      <c r="CJ119" s="669" t="s">
        <v>410</v>
      </c>
      <c r="CK119" s="665">
        <v>80</v>
      </c>
      <c r="CL119" s="665">
        <v>79</v>
      </c>
      <c r="CM119" s="509">
        <v>0.68469999999999998</v>
      </c>
      <c r="CN119" s="509">
        <v>0.66979999999999995</v>
      </c>
      <c r="CO119" s="509">
        <v>0.65620000000000001</v>
      </c>
      <c r="CP119" s="509">
        <v>0.71560000000000001</v>
      </c>
      <c r="CQ119" s="509">
        <v>0.66600000000000004</v>
      </c>
      <c r="CR119" s="509">
        <v>0.6804</v>
      </c>
    </row>
    <row r="120" spans="1:96" x14ac:dyDescent="0.3">
      <c r="A120" s="62" t="s">
        <v>57</v>
      </c>
      <c r="B120" s="200" t="s">
        <v>56</v>
      </c>
      <c r="C120" s="200" t="s">
        <v>573</v>
      </c>
      <c r="D120" s="200" t="s">
        <v>422</v>
      </c>
      <c r="E120" s="200" t="s">
        <v>794</v>
      </c>
      <c r="F120" s="200" t="s">
        <v>222</v>
      </c>
      <c r="G120" s="240" t="s">
        <v>410</v>
      </c>
      <c r="H120" s="241" t="s">
        <v>476</v>
      </c>
      <c r="I120" s="241" t="s">
        <v>477</v>
      </c>
      <c r="J120" s="241">
        <v>0.66830000000000001</v>
      </c>
      <c r="K120" s="241">
        <v>0.65600000000000003</v>
      </c>
      <c r="L120" s="241">
        <v>0.68179999999999996</v>
      </c>
      <c r="M120" s="241">
        <v>0.70050000000000001</v>
      </c>
      <c r="N120" s="241">
        <v>0.65210000000000001</v>
      </c>
      <c r="O120" s="241">
        <v>0.67479999999999996</v>
      </c>
      <c r="P120" s="248" t="s">
        <v>410</v>
      </c>
      <c r="Q120" s="249" t="s">
        <v>470</v>
      </c>
      <c r="R120" s="249" t="s">
        <v>491</v>
      </c>
      <c r="S120" s="249">
        <v>0.6633</v>
      </c>
      <c r="T120" s="249">
        <v>0.65739999999999998</v>
      </c>
      <c r="U120" s="249">
        <v>0.68159999999999998</v>
      </c>
      <c r="V120" s="249">
        <v>0.68779999999999997</v>
      </c>
      <c r="W120" s="249">
        <v>0.65620000000000001</v>
      </c>
      <c r="X120" s="249">
        <v>0.67130000000000001</v>
      </c>
      <c r="Y120" s="204" t="s">
        <v>410</v>
      </c>
      <c r="Z120" s="200" t="s">
        <v>699</v>
      </c>
      <c r="AA120" s="200" t="s">
        <v>699</v>
      </c>
      <c r="AB120" s="203">
        <v>0.67200000000000004</v>
      </c>
      <c r="AC120" s="203">
        <v>0.67920000000000003</v>
      </c>
      <c r="AD120" s="203">
        <v>0.67420000000000002</v>
      </c>
      <c r="AE120" s="203">
        <v>0.69750000000000001</v>
      </c>
      <c r="AF120" s="203">
        <v>0.66920000000000002</v>
      </c>
      <c r="AG120" s="203">
        <v>0.67979999999999996</v>
      </c>
      <c r="AH120" s="231" t="s">
        <v>410</v>
      </c>
      <c r="AI120" s="200" t="s">
        <v>638</v>
      </c>
      <c r="AJ120" s="200" t="s">
        <v>638</v>
      </c>
      <c r="AK120" s="203">
        <v>0.66169999999999995</v>
      </c>
      <c r="AL120" s="203">
        <v>0.68220000000000003</v>
      </c>
      <c r="AM120" s="203">
        <v>0.67530000000000001</v>
      </c>
      <c r="AN120" s="203">
        <v>0.69679999999999997</v>
      </c>
      <c r="AO120" s="203">
        <v>0.66549999999999998</v>
      </c>
      <c r="AP120" s="203">
        <v>0.67800000000000005</v>
      </c>
      <c r="AQ120" s="205" t="s">
        <v>410</v>
      </c>
      <c r="AR120" s="200" t="s">
        <v>539</v>
      </c>
      <c r="AS120" s="200" t="s">
        <v>540</v>
      </c>
      <c r="AT120" s="203">
        <v>0.66479999999999995</v>
      </c>
      <c r="AU120" s="203">
        <v>0.68669999999999998</v>
      </c>
      <c r="AV120" s="203">
        <v>0.6704</v>
      </c>
      <c r="AW120" s="203">
        <v>0.71679999999999999</v>
      </c>
      <c r="AX120" s="203">
        <v>0.66359999999999997</v>
      </c>
      <c r="AY120" s="203">
        <v>0.68300000000000005</v>
      </c>
      <c r="AZ120" s="204" t="s">
        <v>410</v>
      </c>
      <c r="BA120" s="200" t="s">
        <v>434</v>
      </c>
      <c r="BB120" s="200" t="s">
        <v>588</v>
      </c>
      <c r="BC120" s="203">
        <v>0.64800000000000002</v>
      </c>
      <c r="BD120" s="203">
        <v>0.66669999999999996</v>
      </c>
      <c r="BE120" s="203">
        <v>0.65439999999999998</v>
      </c>
      <c r="BF120" s="203">
        <v>0.71860000000000002</v>
      </c>
      <c r="BG120" s="203">
        <v>0.65669999999999995</v>
      </c>
      <c r="BH120" s="203">
        <v>0.67079999999999995</v>
      </c>
      <c r="BI120" s="206" t="s">
        <v>546</v>
      </c>
      <c r="BJ120" s="222">
        <v>98</v>
      </c>
      <c r="BK120" s="222">
        <v>93</v>
      </c>
      <c r="BL120" s="203">
        <v>0.64770000000000005</v>
      </c>
      <c r="BM120" s="203">
        <v>0.6532</v>
      </c>
      <c r="BN120" s="203">
        <v>0.64180000000000004</v>
      </c>
      <c r="BO120" s="203">
        <v>0.7087</v>
      </c>
      <c r="BP120" s="203">
        <v>0.64419999999999999</v>
      </c>
      <c r="BQ120" s="203">
        <v>0.66139999999999999</v>
      </c>
      <c r="BR120" s="412" t="s">
        <v>546</v>
      </c>
      <c r="BS120" s="391">
        <v>90</v>
      </c>
      <c r="BT120" s="391">
        <v>88</v>
      </c>
      <c r="BU120" s="391">
        <v>0.66149999999999998</v>
      </c>
      <c r="BV120" s="391">
        <v>0.66090000000000004</v>
      </c>
      <c r="BW120" s="391">
        <v>0.64300000000000002</v>
      </c>
      <c r="BX120" s="391">
        <v>0.71419999999999995</v>
      </c>
      <c r="BY120" s="391">
        <v>0.63119999999999998</v>
      </c>
      <c r="BZ120" s="391">
        <v>0.66690000000000005</v>
      </c>
      <c r="CA120" s="539" t="s">
        <v>410</v>
      </c>
      <c r="CB120" s="537" t="s">
        <v>645</v>
      </c>
      <c r="CC120" s="537" t="s">
        <v>425</v>
      </c>
      <c r="CD120" s="538">
        <v>0.68130000000000002</v>
      </c>
      <c r="CE120" s="538">
        <v>0.66830000000000001</v>
      </c>
      <c r="CF120" s="538">
        <v>0.66390000000000005</v>
      </c>
      <c r="CG120" s="538">
        <v>0.71750000000000003</v>
      </c>
      <c r="CH120" s="538">
        <v>0.62780000000000002</v>
      </c>
      <c r="CI120" s="538">
        <v>0.67849999999999999</v>
      </c>
      <c r="CJ120" s="669" t="s">
        <v>410</v>
      </c>
      <c r="CK120" s="672">
        <v>91</v>
      </c>
      <c r="CL120" s="672">
        <v>90</v>
      </c>
      <c r="CM120" s="645">
        <v>0.69469999999999998</v>
      </c>
      <c r="CN120" s="645">
        <v>0.67100000000000004</v>
      </c>
      <c r="CO120" s="645">
        <v>0.67300000000000004</v>
      </c>
      <c r="CP120" s="645">
        <v>0.72250000000000003</v>
      </c>
      <c r="CQ120" s="645">
        <v>0.66600000000000004</v>
      </c>
      <c r="CR120" s="645">
        <v>0.68840000000000001</v>
      </c>
    </row>
    <row r="121" spans="1:96" x14ac:dyDescent="0.3">
      <c r="A121" s="62" t="s">
        <v>196</v>
      </c>
      <c r="B121" s="200" t="s">
        <v>195</v>
      </c>
      <c r="C121" s="200" t="s">
        <v>573</v>
      </c>
      <c r="D121" s="200" t="s">
        <v>422</v>
      </c>
      <c r="E121" s="200" t="s">
        <v>794</v>
      </c>
      <c r="F121" s="200" t="s">
        <v>222</v>
      </c>
      <c r="G121" s="243" t="s">
        <v>409</v>
      </c>
      <c r="H121" s="241" t="s">
        <v>547</v>
      </c>
      <c r="I121" s="241" t="s">
        <v>547</v>
      </c>
      <c r="J121" s="241">
        <v>0.7399</v>
      </c>
      <c r="K121" s="241">
        <v>0.79079999999999995</v>
      </c>
      <c r="L121" s="241">
        <v>0.75160000000000005</v>
      </c>
      <c r="M121" s="241">
        <v>0.77329999999999999</v>
      </c>
      <c r="N121" s="241">
        <v>0.71679999999999999</v>
      </c>
      <c r="O121" s="241">
        <v>0.76029999999999998</v>
      </c>
      <c r="P121" s="252" t="s">
        <v>409</v>
      </c>
      <c r="Q121" s="249" t="s">
        <v>484</v>
      </c>
      <c r="R121" s="249" t="s">
        <v>484</v>
      </c>
      <c r="S121" s="249">
        <v>0.753</v>
      </c>
      <c r="T121" s="249">
        <v>0.76790000000000003</v>
      </c>
      <c r="U121" s="249">
        <v>0.73850000000000005</v>
      </c>
      <c r="V121" s="249">
        <v>0.74980000000000002</v>
      </c>
      <c r="W121" s="249">
        <v>0.71750000000000003</v>
      </c>
      <c r="X121" s="249">
        <v>0.74960000000000004</v>
      </c>
      <c r="Y121" s="211" t="s">
        <v>409</v>
      </c>
      <c r="Z121" s="200" t="s">
        <v>549</v>
      </c>
      <c r="AA121" s="200" t="s">
        <v>549</v>
      </c>
      <c r="AB121" s="203">
        <v>0.7722</v>
      </c>
      <c r="AC121" s="203">
        <v>0.78180000000000005</v>
      </c>
      <c r="AD121" s="203">
        <v>0.75409999999999999</v>
      </c>
      <c r="AE121" s="203">
        <v>0.76039999999999996</v>
      </c>
      <c r="AF121" s="203">
        <v>0.747</v>
      </c>
      <c r="AG121" s="203">
        <v>0.76559999999999995</v>
      </c>
      <c r="AH121" s="233" t="s">
        <v>408</v>
      </c>
      <c r="AI121" s="200" t="s">
        <v>575</v>
      </c>
      <c r="AJ121" s="200" t="s">
        <v>575</v>
      </c>
      <c r="AK121" s="203">
        <v>0.79079999999999995</v>
      </c>
      <c r="AL121" s="203">
        <v>0.78159999999999996</v>
      </c>
      <c r="AM121" s="203">
        <v>0.76290000000000002</v>
      </c>
      <c r="AN121" s="203">
        <v>0.76060000000000005</v>
      </c>
      <c r="AO121" s="203">
        <v>0.78090000000000004</v>
      </c>
      <c r="AP121" s="203">
        <v>0.77449999999999997</v>
      </c>
      <c r="AQ121" s="214" t="s">
        <v>408</v>
      </c>
      <c r="AR121" s="200" t="s">
        <v>423</v>
      </c>
      <c r="AS121" s="200" t="s">
        <v>423</v>
      </c>
      <c r="AT121" s="203">
        <v>0.80149999999999999</v>
      </c>
      <c r="AU121" s="203">
        <v>0.7974</v>
      </c>
      <c r="AV121" s="203">
        <v>0.77280000000000004</v>
      </c>
      <c r="AW121" s="203">
        <v>0.79479999999999995</v>
      </c>
      <c r="AX121" s="203">
        <v>0.82489999999999997</v>
      </c>
      <c r="AY121" s="203">
        <v>0.79420000000000002</v>
      </c>
      <c r="AZ121" s="213" t="s">
        <v>408</v>
      </c>
      <c r="BA121" s="200" t="s">
        <v>602</v>
      </c>
      <c r="BB121" s="200" t="s">
        <v>602</v>
      </c>
      <c r="BC121" s="203">
        <v>0.81179999999999997</v>
      </c>
      <c r="BD121" s="203">
        <v>0.78969999999999996</v>
      </c>
      <c r="BE121" s="203">
        <v>0.7581</v>
      </c>
      <c r="BF121" s="203">
        <v>0.79749999999999999</v>
      </c>
      <c r="BG121" s="203">
        <v>0.81420000000000003</v>
      </c>
      <c r="BH121" s="203">
        <v>0.79120000000000001</v>
      </c>
      <c r="BI121" s="212" t="s">
        <v>408</v>
      </c>
      <c r="BJ121" s="222">
        <v>75</v>
      </c>
      <c r="BK121" s="222">
        <v>75</v>
      </c>
      <c r="BL121" s="203">
        <v>0.8054</v>
      </c>
      <c r="BM121" s="203">
        <v>0.77969999999999995</v>
      </c>
      <c r="BN121" s="203">
        <v>0.7581</v>
      </c>
      <c r="BO121" s="203">
        <v>0.80030000000000001</v>
      </c>
      <c r="BP121" s="203">
        <v>0.77939999999999998</v>
      </c>
      <c r="BQ121" s="203">
        <v>0.78539999999999999</v>
      </c>
      <c r="BR121" s="413" t="s">
        <v>408</v>
      </c>
      <c r="BS121" s="391">
        <v>93</v>
      </c>
      <c r="BT121" s="391">
        <v>93</v>
      </c>
      <c r="BU121" s="391">
        <v>0.80730000000000002</v>
      </c>
      <c r="BV121" s="391">
        <v>0.77590000000000003</v>
      </c>
      <c r="BW121" s="391">
        <v>0.75929999999999997</v>
      </c>
      <c r="BX121" s="391">
        <v>0.80400000000000005</v>
      </c>
      <c r="BY121" s="391">
        <v>0.7732</v>
      </c>
      <c r="BZ121" s="391">
        <v>0.78559999999999997</v>
      </c>
      <c r="CA121" s="541" t="s">
        <v>408</v>
      </c>
      <c r="CB121" s="537" t="s">
        <v>653</v>
      </c>
      <c r="CC121" s="537" t="s">
        <v>653</v>
      </c>
      <c r="CD121" s="538">
        <v>0.79510000000000003</v>
      </c>
      <c r="CE121" s="538">
        <v>0.77159999999999995</v>
      </c>
      <c r="CF121" s="538">
        <v>0.76380000000000003</v>
      </c>
      <c r="CG121" s="538">
        <v>0.80940000000000001</v>
      </c>
      <c r="CH121" s="538">
        <v>0.76400000000000001</v>
      </c>
      <c r="CI121" s="538">
        <v>0.7833</v>
      </c>
      <c r="CJ121" s="671" t="s">
        <v>408</v>
      </c>
      <c r="CK121" s="665">
        <v>76</v>
      </c>
      <c r="CL121" s="665">
        <v>76</v>
      </c>
      <c r="CM121" s="509">
        <v>0.80879999999999996</v>
      </c>
      <c r="CN121" s="509">
        <v>0.7823</v>
      </c>
      <c r="CO121" s="509">
        <v>0.77339999999999998</v>
      </c>
      <c r="CP121" s="509">
        <v>0.82089999999999996</v>
      </c>
      <c r="CQ121" s="509">
        <v>0.79530000000000001</v>
      </c>
      <c r="CR121" s="509">
        <v>0.79630000000000001</v>
      </c>
    </row>
    <row r="122" spans="1:96" x14ac:dyDescent="0.3">
      <c r="A122" s="62" t="s">
        <v>19</v>
      </c>
      <c r="B122" s="200" t="s">
        <v>18</v>
      </c>
      <c r="C122" s="200" t="s">
        <v>573</v>
      </c>
      <c r="D122" s="200" t="s">
        <v>422</v>
      </c>
      <c r="E122" s="200" t="s">
        <v>794</v>
      </c>
      <c r="F122" s="200" t="s">
        <v>222</v>
      </c>
      <c r="G122" s="243" t="s">
        <v>409</v>
      </c>
      <c r="H122" s="241" t="s">
        <v>478</v>
      </c>
      <c r="I122" s="241" t="s">
        <v>478</v>
      </c>
      <c r="J122" s="241">
        <v>0.73960000000000004</v>
      </c>
      <c r="K122" s="241">
        <v>0.74990000000000001</v>
      </c>
      <c r="L122" s="241">
        <v>0.75049999999999994</v>
      </c>
      <c r="M122" s="241">
        <v>0.74960000000000004</v>
      </c>
      <c r="N122" s="241">
        <v>0.71789999999999998</v>
      </c>
      <c r="O122" s="241">
        <v>0.74509999999999998</v>
      </c>
      <c r="P122" s="252" t="s">
        <v>409</v>
      </c>
      <c r="Q122" s="249" t="s">
        <v>471</v>
      </c>
      <c r="R122" s="249" t="s">
        <v>471</v>
      </c>
      <c r="S122" s="249">
        <v>0.74880000000000002</v>
      </c>
      <c r="T122" s="249">
        <v>0.75590000000000002</v>
      </c>
      <c r="U122" s="249">
        <v>0.75509999999999999</v>
      </c>
      <c r="V122" s="249">
        <v>0.75280000000000002</v>
      </c>
      <c r="W122" s="249">
        <v>0.71540000000000004</v>
      </c>
      <c r="X122" s="249">
        <v>0.75029999999999997</v>
      </c>
      <c r="Y122" s="211" t="s">
        <v>409</v>
      </c>
      <c r="Z122" s="200" t="s">
        <v>577</v>
      </c>
      <c r="AA122" s="200" t="s">
        <v>577</v>
      </c>
      <c r="AB122" s="203">
        <v>0.76039999999999996</v>
      </c>
      <c r="AC122" s="203">
        <v>0.77380000000000004</v>
      </c>
      <c r="AD122" s="203">
        <v>0.75629999999999997</v>
      </c>
      <c r="AE122" s="203">
        <v>0.76380000000000003</v>
      </c>
      <c r="AF122" s="203">
        <v>0.74199999999999999</v>
      </c>
      <c r="AG122" s="203">
        <v>0.76190000000000002</v>
      </c>
      <c r="AH122" s="230" t="s">
        <v>409</v>
      </c>
      <c r="AI122" s="200" t="s">
        <v>577</v>
      </c>
      <c r="AJ122" s="200" t="s">
        <v>578</v>
      </c>
      <c r="AK122" s="203">
        <v>0.76670000000000005</v>
      </c>
      <c r="AL122" s="203">
        <v>0.77680000000000005</v>
      </c>
      <c r="AM122" s="203">
        <v>0.7611</v>
      </c>
      <c r="AN122" s="203">
        <v>0.76990000000000003</v>
      </c>
      <c r="AO122" s="203">
        <v>0.76049999999999995</v>
      </c>
      <c r="AP122" s="203">
        <v>0.76800000000000002</v>
      </c>
      <c r="AQ122" s="214" t="s">
        <v>408</v>
      </c>
      <c r="AR122" s="200" t="s">
        <v>435</v>
      </c>
      <c r="AS122" s="200" t="s">
        <v>436</v>
      </c>
      <c r="AT122" s="203">
        <v>0.77280000000000004</v>
      </c>
      <c r="AU122" s="203">
        <v>0.77710000000000001</v>
      </c>
      <c r="AV122" s="203">
        <v>0.75690000000000002</v>
      </c>
      <c r="AW122" s="203">
        <v>0.77859999999999996</v>
      </c>
      <c r="AX122" s="203">
        <v>0.78320000000000001</v>
      </c>
      <c r="AY122" s="203">
        <v>0.77229999999999999</v>
      </c>
      <c r="AZ122" s="213" t="s">
        <v>408</v>
      </c>
      <c r="BA122" s="200" t="s">
        <v>749</v>
      </c>
      <c r="BB122" s="200" t="s">
        <v>750</v>
      </c>
      <c r="BC122" s="203">
        <v>0.77700000000000002</v>
      </c>
      <c r="BD122" s="203">
        <v>0.76419999999999999</v>
      </c>
      <c r="BE122" s="203">
        <v>0.75249999999999995</v>
      </c>
      <c r="BF122" s="203">
        <v>0.79139999999999999</v>
      </c>
      <c r="BG122" s="203">
        <v>0.77929999999999999</v>
      </c>
      <c r="BH122" s="203">
        <v>0.77190000000000003</v>
      </c>
      <c r="BI122" s="215" t="s">
        <v>409</v>
      </c>
      <c r="BJ122" s="222">
        <v>211</v>
      </c>
      <c r="BK122" s="222">
        <v>210</v>
      </c>
      <c r="BL122" s="203">
        <v>0.77510000000000001</v>
      </c>
      <c r="BM122" s="203">
        <v>0.75029999999999997</v>
      </c>
      <c r="BN122" s="203">
        <v>0.74970000000000003</v>
      </c>
      <c r="BO122" s="203">
        <v>0.78959999999999997</v>
      </c>
      <c r="BP122" s="203">
        <v>0.748</v>
      </c>
      <c r="BQ122" s="203">
        <v>0.76470000000000005</v>
      </c>
      <c r="BR122" s="414" t="s">
        <v>409</v>
      </c>
      <c r="BS122" s="391">
        <v>198</v>
      </c>
      <c r="BT122" s="391">
        <v>198</v>
      </c>
      <c r="BU122" s="391">
        <v>0.77129999999999999</v>
      </c>
      <c r="BV122" s="391">
        <v>0.74070000000000003</v>
      </c>
      <c r="BW122" s="391">
        <v>0.75119999999999998</v>
      </c>
      <c r="BX122" s="391">
        <v>0.78790000000000004</v>
      </c>
      <c r="BY122" s="391">
        <v>0.7399</v>
      </c>
      <c r="BZ122" s="391">
        <v>0.76100000000000001</v>
      </c>
      <c r="CA122" s="549" t="s">
        <v>409</v>
      </c>
      <c r="CB122" s="537" t="s">
        <v>458</v>
      </c>
      <c r="CC122" s="537" t="s">
        <v>458</v>
      </c>
      <c r="CD122" s="538">
        <v>0.7621</v>
      </c>
      <c r="CE122" s="538">
        <v>0.73529999999999995</v>
      </c>
      <c r="CF122" s="538">
        <v>0.74819999999999998</v>
      </c>
      <c r="CG122" s="538">
        <v>0.78210000000000002</v>
      </c>
      <c r="CH122" s="538">
        <v>0.74219999999999997</v>
      </c>
      <c r="CI122" s="538">
        <v>0.75580000000000003</v>
      </c>
      <c r="CJ122" s="667" t="s">
        <v>409</v>
      </c>
      <c r="CK122" s="668">
        <v>217</v>
      </c>
      <c r="CL122" s="668">
        <v>217</v>
      </c>
      <c r="CM122" s="659">
        <v>0.7571</v>
      </c>
      <c r="CN122" s="659">
        <v>0.74070000000000003</v>
      </c>
      <c r="CO122" s="659">
        <v>0.75360000000000005</v>
      </c>
      <c r="CP122" s="659">
        <v>0.7853</v>
      </c>
      <c r="CQ122" s="659">
        <v>0.77359999999999995</v>
      </c>
      <c r="CR122" s="659">
        <v>0.76029999999999998</v>
      </c>
    </row>
    <row r="123" spans="1:96" x14ac:dyDescent="0.3">
      <c r="A123" s="62" t="s">
        <v>118</v>
      </c>
      <c r="B123" s="200" t="s">
        <v>117</v>
      </c>
      <c r="C123" s="200" t="s">
        <v>573</v>
      </c>
      <c r="D123" s="200" t="s">
        <v>422</v>
      </c>
      <c r="E123" s="200" t="s">
        <v>794</v>
      </c>
      <c r="F123" s="200" t="s">
        <v>222</v>
      </c>
      <c r="G123" s="240" t="s">
        <v>410</v>
      </c>
      <c r="H123" s="241" t="s">
        <v>669</v>
      </c>
      <c r="I123" s="241" t="s">
        <v>669</v>
      </c>
      <c r="J123" s="241">
        <v>0.69650000000000001</v>
      </c>
      <c r="K123" s="241">
        <v>0.68859999999999999</v>
      </c>
      <c r="L123" s="241">
        <v>0.71840000000000004</v>
      </c>
      <c r="M123" s="241">
        <v>0.71660000000000001</v>
      </c>
      <c r="N123" s="241">
        <v>0.67700000000000005</v>
      </c>
      <c r="O123" s="241">
        <v>0.70289999999999997</v>
      </c>
      <c r="P123" s="248" t="s">
        <v>410</v>
      </c>
      <c r="Q123" s="249" t="s">
        <v>669</v>
      </c>
      <c r="R123" s="249" t="s">
        <v>669</v>
      </c>
      <c r="S123" s="249">
        <v>0.69550000000000001</v>
      </c>
      <c r="T123" s="249">
        <v>0.69669999999999999</v>
      </c>
      <c r="U123" s="249">
        <v>0.71840000000000004</v>
      </c>
      <c r="V123" s="249">
        <v>0.71489999999999998</v>
      </c>
      <c r="W123" s="249">
        <v>0.68279999999999996</v>
      </c>
      <c r="X123" s="249">
        <v>0.7046</v>
      </c>
      <c r="Y123" s="204" t="s">
        <v>410</v>
      </c>
      <c r="Z123" s="200" t="s">
        <v>451</v>
      </c>
      <c r="AA123" s="200" t="s">
        <v>451</v>
      </c>
      <c r="AB123" s="203">
        <v>0.70330000000000004</v>
      </c>
      <c r="AC123" s="203">
        <v>0.71579999999999999</v>
      </c>
      <c r="AD123" s="203">
        <v>0.71609999999999996</v>
      </c>
      <c r="AE123" s="203">
        <v>0.71789999999999998</v>
      </c>
      <c r="AF123" s="203">
        <v>0.70669999999999999</v>
      </c>
      <c r="AG123" s="203">
        <v>0.71279999999999999</v>
      </c>
      <c r="AH123" s="231" t="s">
        <v>410</v>
      </c>
      <c r="AI123" s="200" t="s">
        <v>553</v>
      </c>
      <c r="AJ123" s="200" t="s">
        <v>553</v>
      </c>
      <c r="AK123" s="203">
        <v>0.69399999999999995</v>
      </c>
      <c r="AL123" s="203">
        <v>0.72070000000000001</v>
      </c>
      <c r="AM123" s="203">
        <v>0.70440000000000003</v>
      </c>
      <c r="AN123" s="203">
        <v>0.72019999999999995</v>
      </c>
      <c r="AO123" s="203">
        <v>0.72470000000000001</v>
      </c>
      <c r="AP123" s="203">
        <v>0.71099999999999997</v>
      </c>
      <c r="AQ123" s="205" t="s">
        <v>410</v>
      </c>
      <c r="AR123" s="200" t="s">
        <v>452</v>
      </c>
      <c r="AS123" s="200" t="s">
        <v>452</v>
      </c>
      <c r="AT123" s="203">
        <v>0.70299999999999996</v>
      </c>
      <c r="AU123" s="203">
        <v>0.7167</v>
      </c>
      <c r="AV123" s="203">
        <v>0.69799999999999995</v>
      </c>
      <c r="AW123" s="203">
        <v>0.73499999999999999</v>
      </c>
      <c r="AX123" s="203">
        <v>0.72689999999999999</v>
      </c>
      <c r="AY123" s="203">
        <v>0.71419999999999995</v>
      </c>
      <c r="AZ123" s="204" t="s">
        <v>410</v>
      </c>
      <c r="BA123" s="200" t="s">
        <v>452</v>
      </c>
      <c r="BB123" s="200" t="s">
        <v>424</v>
      </c>
      <c r="BC123" s="203">
        <v>0.70760000000000001</v>
      </c>
      <c r="BD123" s="203">
        <v>0.69820000000000004</v>
      </c>
      <c r="BE123" s="203">
        <v>0.67930000000000001</v>
      </c>
      <c r="BF123" s="203">
        <v>0.73299999999999998</v>
      </c>
      <c r="BG123" s="203">
        <v>0.70420000000000005</v>
      </c>
      <c r="BH123" s="203">
        <v>0.70450000000000002</v>
      </c>
      <c r="BI123" s="201" t="s">
        <v>410</v>
      </c>
      <c r="BJ123" s="222">
        <v>88</v>
      </c>
      <c r="BK123" s="222">
        <v>86</v>
      </c>
      <c r="BL123" s="203">
        <v>0.71450000000000002</v>
      </c>
      <c r="BM123" s="203">
        <v>0.67020000000000002</v>
      </c>
      <c r="BN123" s="203">
        <v>0.64990000000000003</v>
      </c>
      <c r="BO123" s="203">
        <v>0.71189999999999998</v>
      </c>
      <c r="BP123" s="203">
        <v>0.66810000000000003</v>
      </c>
      <c r="BQ123" s="203">
        <v>0.68520000000000003</v>
      </c>
      <c r="BR123" s="410" t="s">
        <v>410</v>
      </c>
      <c r="BS123" s="391">
        <v>96</v>
      </c>
      <c r="BT123" s="391">
        <v>95</v>
      </c>
      <c r="BU123" s="391">
        <v>0.73050000000000004</v>
      </c>
      <c r="BV123" s="391">
        <v>0.67930000000000001</v>
      </c>
      <c r="BW123" s="391">
        <v>0.64990000000000003</v>
      </c>
      <c r="BX123" s="391">
        <v>0.72219999999999995</v>
      </c>
      <c r="BY123" s="391">
        <v>0.67449999999999999</v>
      </c>
      <c r="BZ123" s="391">
        <v>0.69389999999999996</v>
      </c>
      <c r="CA123" s="539" t="s">
        <v>410</v>
      </c>
      <c r="CB123" s="537" t="s">
        <v>528</v>
      </c>
      <c r="CC123" s="537" t="s">
        <v>560</v>
      </c>
      <c r="CD123" s="538">
        <v>0.7359</v>
      </c>
      <c r="CE123" s="538">
        <v>0.68020000000000003</v>
      </c>
      <c r="CF123" s="538">
        <v>0.67169999999999996</v>
      </c>
      <c r="CG123" s="538">
        <v>0.72940000000000005</v>
      </c>
      <c r="CH123" s="538">
        <v>0.6885</v>
      </c>
      <c r="CI123" s="538">
        <v>0.70309999999999995</v>
      </c>
      <c r="CJ123" s="669" t="s">
        <v>410</v>
      </c>
      <c r="CK123" s="665">
        <v>107</v>
      </c>
      <c r="CL123" s="665">
        <v>107</v>
      </c>
      <c r="CM123" s="509">
        <v>0.74019999999999997</v>
      </c>
      <c r="CN123" s="509">
        <v>0.69679999999999997</v>
      </c>
      <c r="CO123" s="509">
        <v>0.68899999999999995</v>
      </c>
      <c r="CP123" s="509">
        <v>0.74490000000000001</v>
      </c>
      <c r="CQ123" s="509">
        <v>0.72140000000000004</v>
      </c>
      <c r="CR123" s="509">
        <v>0.71799999999999997</v>
      </c>
    </row>
    <row r="124" spans="1:96" x14ac:dyDescent="0.3">
      <c r="A124" s="62" t="s">
        <v>206</v>
      </c>
      <c r="B124" s="200" t="s">
        <v>205</v>
      </c>
      <c r="C124" s="200" t="s">
        <v>573</v>
      </c>
      <c r="D124" s="200" t="s">
        <v>422</v>
      </c>
      <c r="E124" s="200" t="s">
        <v>794</v>
      </c>
      <c r="F124" s="200" t="s">
        <v>222</v>
      </c>
      <c r="G124" s="200"/>
      <c r="H124" s="200"/>
      <c r="I124" s="200"/>
      <c r="J124" s="200"/>
      <c r="K124" s="200"/>
      <c r="L124" s="200"/>
      <c r="M124" s="200"/>
      <c r="N124" s="200"/>
      <c r="O124" s="200"/>
      <c r="P124" s="248" t="s">
        <v>410</v>
      </c>
      <c r="Q124" s="249" t="s">
        <v>538</v>
      </c>
      <c r="R124" s="249" t="s">
        <v>538</v>
      </c>
      <c r="S124" s="249">
        <v>0.65590000000000004</v>
      </c>
      <c r="T124" s="249">
        <v>0.70109999999999995</v>
      </c>
      <c r="U124" s="249">
        <v>0.6774</v>
      </c>
      <c r="V124" s="249">
        <v>0.68500000000000005</v>
      </c>
      <c r="W124" s="249">
        <v>0.68840000000000001</v>
      </c>
      <c r="X124" s="249">
        <v>0.68049999999999999</v>
      </c>
      <c r="Y124" s="204" t="s">
        <v>410</v>
      </c>
      <c r="Z124" s="200" t="s">
        <v>490</v>
      </c>
      <c r="AA124" s="200" t="s">
        <v>490</v>
      </c>
      <c r="AB124" s="203">
        <v>0.66890000000000005</v>
      </c>
      <c r="AC124" s="203">
        <v>0.7147</v>
      </c>
      <c r="AD124" s="203">
        <v>0.68679999999999997</v>
      </c>
      <c r="AE124" s="203">
        <v>0.69979999999999998</v>
      </c>
      <c r="AF124" s="203">
        <v>0.71379999999999999</v>
      </c>
      <c r="AG124" s="203">
        <v>0.69420000000000004</v>
      </c>
      <c r="AH124" s="231" t="s">
        <v>410</v>
      </c>
      <c r="AI124" s="200" t="s">
        <v>529</v>
      </c>
      <c r="AJ124" s="200" t="s">
        <v>529</v>
      </c>
      <c r="AK124" s="203">
        <v>0.70269999999999999</v>
      </c>
      <c r="AL124" s="203">
        <v>0.73009999999999997</v>
      </c>
      <c r="AM124" s="203">
        <v>0.70079999999999998</v>
      </c>
      <c r="AN124" s="203">
        <v>0.72799999999999998</v>
      </c>
      <c r="AO124" s="203">
        <v>0.71650000000000003</v>
      </c>
      <c r="AP124" s="203">
        <v>0.71550000000000002</v>
      </c>
      <c r="AQ124" s="216" t="s">
        <v>409</v>
      </c>
      <c r="AR124" s="200" t="s">
        <v>467</v>
      </c>
      <c r="AS124" s="200" t="s">
        <v>467</v>
      </c>
      <c r="AT124" s="203">
        <v>0.72709999999999997</v>
      </c>
      <c r="AU124" s="203">
        <v>0.73109999999999997</v>
      </c>
      <c r="AV124" s="203">
        <v>0.70579999999999998</v>
      </c>
      <c r="AW124" s="203">
        <v>0.74670000000000003</v>
      </c>
      <c r="AX124" s="203">
        <v>0.74119999999999997</v>
      </c>
      <c r="AY124" s="203">
        <v>0.72870000000000001</v>
      </c>
      <c r="AZ124" s="211" t="s">
        <v>409</v>
      </c>
      <c r="BA124" s="200" t="s">
        <v>563</v>
      </c>
      <c r="BB124" s="200" t="s">
        <v>563</v>
      </c>
      <c r="BC124" s="203">
        <v>0.74390000000000001</v>
      </c>
      <c r="BD124" s="203">
        <v>0.72870000000000001</v>
      </c>
      <c r="BE124" s="203">
        <v>0.70399999999999996</v>
      </c>
      <c r="BF124" s="203">
        <v>0.75819999999999999</v>
      </c>
      <c r="BG124" s="203">
        <v>0.75</v>
      </c>
      <c r="BH124" s="203">
        <v>0.73499999999999999</v>
      </c>
      <c r="BI124" s="215" t="s">
        <v>409</v>
      </c>
      <c r="BJ124" s="222">
        <v>143</v>
      </c>
      <c r="BK124" s="222">
        <v>143</v>
      </c>
      <c r="BL124" s="203">
        <v>0.74860000000000004</v>
      </c>
      <c r="BM124" s="203">
        <v>0.72160000000000002</v>
      </c>
      <c r="BN124" s="203">
        <v>0.70799999999999996</v>
      </c>
      <c r="BO124" s="203">
        <v>0.75760000000000005</v>
      </c>
      <c r="BP124" s="203">
        <v>0.74960000000000004</v>
      </c>
      <c r="BQ124" s="203">
        <v>0.73519999999999996</v>
      </c>
      <c r="BR124" s="414" t="s">
        <v>409</v>
      </c>
      <c r="BS124" s="391">
        <v>150</v>
      </c>
      <c r="BT124" s="391">
        <v>150</v>
      </c>
      <c r="BU124" s="391">
        <v>0.75390000000000001</v>
      </c>
      <c r="BV124" s="391">
        <v>0.71940000000000004</v>
      </c>
      <c r="BW124" s="391">
        <v>0.69979999999999998</v>
      </c>
      <c r="BX124" s="391">
        <v>0.76519999999999999</v>
      </c>
      <c r="BY124" s="391">
        <v>0.74639999999999995</v>
      </c>
      <c r="BZ124" s="391">
        <v>0.73550000000000004</v>
      </c>
      <c r="CA124" s="549" t="s">
        <v>409</v>
      </c>
      <c r="CB124" s="537" t="s">
        <v>716</v>
      </c>
      <c r="CC124" s="537" t="s">
        <v>656</v>
      </c>
      <c r="CD124" s="538">
        <v>0.76359999999999995</v>
      </c>
      <c r="CE124" s="538">
        <v>0.73109999999999997</v>
      </c>
      <c r="CF124" s="538">
        <v>0.71040000000000003</v>
      </c>
      <c r="CG124" s="538">
        <v>0.77359999999999995</v>
      </c>
      <c r="CH124" s="538">
        <v>0.74929999999999997</v>
      </c>
      <c r="CI124" s="538">
        <v>0.745</v>
      </c>
      <c r="CJ124" s="667" t="s">
        <v>409</v>
      </c>
      <c r="CK124" s="665">
        <v>151</v>
      </c>
      <c r="CL124" s="665">
        <v>150</v>
      </c>
      <c r="CM124" s="509">
        <v>0.75849999999999995</v>
      </c>
      <c r="CN124" s="509">
        <v>0.73309999999999997</v>
      </c>
      <c r="CO124" s="509">
        <v>0.69940000000000002</v>
      </c>
      <c r="CP124" s="509">
        <v>0.77329999999999999</v>
      </c>
      <c r="CQ124" s="509">
        <v>0.75939999999999996</v>
      </c>
      <c r="CR124" s="509">
        <v>0.74250000000000005</v>
      </c>
    </row>
    <row r="125" spans="1:96" x14ac:dyDescent="0.3">
      <c r="A125" s="62" t="s">
        <v>202</v>
      </c>
      <c r="B125" s="200" t="s">
        <v>201</v>
      </c>
      <c r="C125" s="200" t="s">
        <v>573</v>
      </c>
      <c r="D125" s="200" t="s">
        <v>422</v>
      </c>
      <c r="E125" s="200" t="s">
        <v>794</v>
      </c>
      <c r="F125" s="200" t="s">
        <v>222</v>
      </c>
      <c r="G125" s="240" t="s">
        <v>410</v>
      </c>
      <c r="H125" s="241" t="s">
        <v>145</v>
      </c>
      <c r="I125" s="241" t="s">
        <v>438</v>
      </c>
      <c r="J125" s="241">
        <v>0.67190000000000005</v>
      </c>
      <c r="K125" s="241">
        <v>0.71140000000000003</v>
      </c>
      <c r="L125" s="241">
        <v>0.69420000000000004</v>
      </c>
      <c r="M125" s="241">
        <v>0.71079999999999999</v>
      </c>
      <c r="N125" s="241">
        <v>0.68140000000000001</v>
      </c>
      <c r="O125" s="241">
        <v>0.69589999999999996</v>
      </c>
      <c r="P125" s="248" t="s">
        <v>410</v>
      </c>
      <c r="Q125" s="249" t="s">
        <v>804</v>
      </c>
      <c r="R125" s="249" t="s">
        <v>874</v>
      </c>
      <c r="S125" s="249">
        <v>0.69140000000000001</v>
      </c>
      <c r="T125" s="249">
        <v>0.71</v>
      </c>
      <c r="U125" s="249">
        <v>0.70050000000000001</v>
      </c>
      <c r="V125" s="249">
        <v>0.70540000000000003</v>
      </c>
      <c r="W125" s="249">
        <v>0.69069999999999998</v>
      </c>
      <c r="X125" s="249">
        <v>0.70099999999999996</v>
      </c>
      <c r="Y125" s="204" t="s">
        <v>410</v>
      </c>
      <c r="Z125" s="200" t="s">
        <v>667</v>
      </c>
      <c r="AA125" s="200" t="s">
        <v>267</v>
      </c>
      <c r="AB125" s="203">
        <v>0.70530000000000004</v>
      </c>
      <c r="AC125" s="203">
        <v>0.72640000000000005</v>
      </c>
      <c r="AD125" s="203">
        <v>0.7077</v>
      </c>
      <c r="AE125" s="203">
        <v>0.72589999999999999</v>
      </c>
      <c r="AF125" s="203">
        <v>0.70860000000000001</v>
      </c>
      <c r="AG125" s="203">
        <v>0.7157</v>
      </c>
      <c r="AH125" s="230" t="s">
        <v>409</v>
      </c>
      <c r="AI125" s="200" t="s">
        <v>594</v>
      </c>
      <c r="AJ125" s="200" t="s">
        <v>595</v>
      </c>
      <c r="AK125" s="203">
        <v>0.72330000000000005</v>
      </c>
      <c r="AL125" s="203">
        <v>0.73829999999999996</v>
      </c>
      <c r="AM125" s="203">
        <v>0.72650000000000003</v>
      </c>
      <c r="AN125" s="203">
        <v>0.748</v>
      </c>
      <c r="AO125" s="203">
        <v>0.71830000000000005</v>
      </c>
      <c r="AP125" s="203">
        <v>0.73280000000000001</v>
      </c>
      <c r="AQ125" s="216" t="s">
        <v>409</v>
      </c>
      <c r="AR125" s="200" t="s">
        <v>446</v>
      </c>
      <c r="AS125" s="200" t="s">
        <v>447</v>
      </c>
      <c r="AT125" s="203">
        <v>0.73719999999999997</v>
      </c>
      <c r="AU125" s="203">
        <v>0.74050000000000005</v>
      </c>
      <c r="AV125" s="203">
        <v>0.73719999999999997</v>
      </c>
      <c r="AW125" s="203">
        <v>0.76529999999999998</v>
      </c>
      <c r="AX125" s="203">
        <v>0.73089999999999999</v>
      </c>
      <c r="AY125" s="203">
        <v>0.74399999999999999</v>
      </c>
      <c r="AZ125" s="211" t="s">
        <v>409</v>
      </c>
      <c r="BA125" s="200" t="s">
        <v>753</v>
      </c>
      <c r="BB125" s="200" t="s">
        <v>754</v>
      </c>
      <c r="BC125" s="203">
        <v>0.75029999999999997</v>
      </c>
      <c r="BD125" s="203">
        <v>0.73619999999999997</v>
      </c>
      <c r="BE125" s="203">
        <v>0.74550000000000005</v>
      </c>
      <c r="BF125" s="203">
        <v>0.77300000000000002</v>
      </c>
      <c r="BG125" s="203">
        <v>0.73650000000000004</v>
      </c>
      <c r="BH125" s="203">
        <v>0.75009999999999999</v>
      </c>
      <c r="BI125" s="215" t="s">
        <v>409</v>
      </c>
      <c r="BJ125" s="222">
        <v>321</v>
      </c>
      <c r="BK125" s="222">
        <v>320</v>
      </c>
      <c r="BL125" s="203">
        <v>0.7621</v>
      </c>
      <c r="BM125" s="203">
        <v>0.73760000000000003</v>
      </c>
      <c r="BN125" s="203">
        <v>0.74819999999999998</v>
      </c>
      <c r="BO125" s="203">
        <v>0.77429999999999999</v>
      </c>
      <c r="BP125" s="203">
        <v>0.73099999999999998</v>
      </c>
      <c r="BQ125" s="203">
        <v>0.75360000000000005</v>
      </c>
      <c r="BR125" s="414" t="s">
        <v>409</v>
      </c>
      <c r="BS125" s="391">
        <v>313</v>
      </c>
      <c r="BT125" s="391">
        <v>313</v>
      </c>
      <c r="BU125" s="391">
        <v>0.76670000000000005</v>
      </c>
      <c r="BV125" s="391">
        <v>0.74099999999999999</v>
      </c>
      <c r="BW125" s="391">
        <v>0.74739999999999995</v>
      </c>
      <c r="BX125" s="391">
        <v>0.78100000000000003</v>
      </c>
      <c r="BY125" s="391">
        <v>0.73970000000000002</v>
      </c>
      <c r="BZ125" s="391">
        <v>0.75749999999999995</v>
      </c>
      <c r="CA125" s="549" t="s">
        <v>409</v>
      </c>
      <c r="CB125" s="537" t="s">
        <v>620</v>
      </c>
      <c r="CC125" s="537" t="s">
        <v>784</v>
      </c>
      <c r="CD125" s="538">
        <v>0.77339999999999998</v>
      </c>
      <c r="CE125" s="538">
        <v>0.75009999999999999</v>
      </c>
      <c r="CF125" s="538">
        <v>0.755</v>
      </c>
      <c r="CG125" s="538">
        <v>0.78849999999999998</v>
      </c>
      <c r="CH125" s="538">
        <v>0.746</v>
      </c>
      <c r="CI125" s="538">
        <v>0.76519999999999999</v>
      </c>
      <c r="CJ125" s="667" t="s">
        <v>409</v>
      </c>
      <c r="CK125" s="665">
        <v>329</v>
      </c>
      <c r="CL125" s="665">
        <v>325</v>
      </c>
      <c r="CM125" s="509">
        <v>0.76090000000000002</v>
      </c>
      <c r="CN125" s="509">
        <v>0.74060000000000004</v>
      </c>
      <c r="CO125" s="509">
        <v>0.74470000000000003</v>
      </c>
      <c r="CP125" s="509">
        <v>0.78349999999999997</v>
      </c>
      <c r="CQ125" s="509">
        <v>0.76329999999999998</v>
      </c>
      <c r="CR125" s="509">
        <v>0.75790000000000002</v>
      </c>
    </row>
    <row r="126" spans="1:96" x14ac:dyDescent="0.3">
      <c r="A126" s="188" t="s">
        <v>880</v>
      </c>
      <c r="B126" s="200" t="s">
        <v>213</v>
      </c>
      <c r="C126" s="200" t="s">
        <v>573</v>
      </c>
      <c r="D126" s="200" t="s">
        <v>422</v>
      </c>
      <c r="E126" s="200" t="s">
        <v>794</v>
      </c>
      <c r="F126" s="200" t="s">
        <v>222</v>
      </c>
      <c r="G126" s="200"/>
      <c r="H126" s="200"/>
      <c r="I126" s="200"/>
      <c r="J126" s="200"/>
      <c r="K126" s="200"/>
      <c r="L126" s="200"/>
      <c r="M126" s="200"/>
      <c r="N126" s="200"/>
      <c r="O126" s="200"/>
      <c r="P126" s="239"/>
      <c r="Q126" s="200"/>
      <c r="R126" s="200"/>
      <c r="S126" s="200"/>
      <c r="T126" s="200"/>
      <c r="U126" s="200"/>
      <c r="V126" s="200"/>
      <c r="W126" s="200"/>
      <c r="X126" s="200"/>
      <c r="Y126" s="211" t="s">
        <v>409</v>
      </c>
      <c r="Z126" s="200" t="s">
        <v>548</v>
      </c>
      <c r="AA126" s="200" t="s">
        <v>548</v>
      </c>
      <c r="AB126" s="203">
        <v>0.74919999999999998</v>
      </c>
      <c r="AC126" s="203">
        <v>0.7772</v>
      </c>
      <c r="AD126" s="203">
        <v>0.74929999999999997</v>
      </c>
      <c r="AE126" s="203">
        <v>0.76480000000000004</v>
      </c>
      <c r="AF126" s="203">
        <v>0.85799999999999998</v>
      </c>
      <c r="AG126" s="203">
        <v>0.76770000000000005</v>
      </c>
      <c r="AH126" s="233" t="s">
        <v>408</v>
      </c>
      <c r="AI126" s="200" t="s">
        <v>538</v>
      </c>
      <c r="AJ126" s="200" t="s">
        <v>538</v>
      </c>
      <c r="AK126" s="203">
        <v>0.75609999999999999</v>
      </c>
      <c r="AL126" s="203">
        <v>0.78790000000000004</v>
      </c>
      <c r="AM126" s="203">
        <v>0.76800000000000002</v>
      </c>
      <c r="AN126" s="203">
        <v>0.78259999999999996</v>
      </c>
      <c r="AO126" s="203">
        <v>0.85160000000000002</v>
      </c>
      <c r="AP126" s="203">
        <v>0.77969999999999995</v>
      </c>
      <c r="AQ126" s="214" t="s">
        <v>408</v>
      </c>
      <c r="AR126" s="200" t="s">
        <v>428</v>
      </c>
      <c r="AS126" s="200" t="s">
        <v>429</v>
      </c>
      <c r="AT126" s="203">
        <v>0.76559999999999995</v>
      </c>
      <c r="AU126" s="203">
        <v>0.77580000000000005</v>
      </c>
      <c r="AV126" s="203">
        <v>0.76500000000000001</v>
      </c>
      <c r="AW126" s="203">
        <v>0.78859999999999997</v>
      </c>
      <c r="AX126" s="203">
        <v>0.84240000000000004</v>
      </c>
      <c r="AY126" s="203">
        <v>0.77900000000000003</v>
      </c>
      <c r="AZ126" s="213" t="s">
        <v>408</v>
      </c>
      <c r="BA126" s="200" t="s">
        <v>589</v>
      </c>
      <c r="BB126" s="200" t="s">
        <v>428</v>
      </c>
      <c r="BC126" s="203">
        <v>0.78139999999999998</v>
      </c>
      <c r="BD126" s="203">
        <v>0.76659999999999995</v>
      </c>
      <c r="BE126" s="203">
        <v>0.75070000000000003</v>
      </c>
      <c r="BF126" s="203">
        <v>0.79269999999999996</v>
      </c>
      <c r="BG126" s="203">
        <v>0.8286</v>
      </c>
      <c r="BH126" s="203">
        <v>0.77710000000000001</v>
      </c>
      <c r="BI126" s="215" t="s">
        <v>409</v>
      </c>
      <c r="BJ126" s="222">
        <v>99</v>
      </c>
      <c r="BK126" s="222">
        <v>98</v>
      </c>
      <c r="BL126" s="203">
        <v>0.78449999999999998</v>
      </c>
      <c r="BM126" s="203">
        <v>0.74709999999999999</v>
      </c>
      <c r="BN126" s="203">
        <v>0.73470000000000002</v>
      </c>
      <c r="BO126" s="203">
        <v>0.77790000000000004</v>
      </c>
      <c r="BP126" s="203">
        <v>0.78069999999999995</v>
      </c>
      <c r="BQ126" s="203">
        <v>0.76259999999999994</v>
      </c>
      <c r="BR126" s="414" t="s">
        <v>409</v>
      </c>
      <c r="BS126" s="391">
        <v>106</v>
      </c>
      <c r="BT126" s="391">
        <v>106</v>
      </c>
      <c r="BU126" s="391">
        <v>0.77480000000000004</v>
      </c>
      <c r="BV126" s="391">
        <v>0.73599999999999999</v>
      </c>
      <c r="BW126" s="391">
        <v>0.71850000000000003</v>
      </c>
      <c r="BX126" s="391">
        <v>0.7722</v>
      </c>
      <c r="BY126" s="391">
        <v>0.78420000000000001</v>
      </c>
      <c r="BZ126" s="391">
        <v>0.753</v>
      </c>
      <c r="CA126" s="549" t="s">
        <v>409</v>
      </c>
      <c r="CB126" s="537" t="s">
        <v>445</v>
      </c>
      <c r="CC126" s="537" t="s">
        <v>445</v>
      </c>
      <c r="CD126" s="538">
        <v>0.76690000000000003</v>
      </c>
      <c r="CE126" s="538">
        <v>0.7369</v>
      </c>
      <c r="CF126" s="538">
        <v>0.73340000000000005</v>
      </c>
      <c r="CG126" s="538">
        <v>0.77639999999999998</v>
      </c>
      <c r="CH126" s="538">
        <v>0.79359999999999997</v>
      </c>
      <c r="CI126" s="538">
        <v>0.75649999999999995</v>
      </c>
      <c r="CJ126" s="667" t="s">
        <v>409</v>
      </c>
      <c r="CK126" s="668">
        <v>156</v>
      </c>
      <c r="CL126" s="668">
        <v>155</v>
      </c>
      <c r="CM126" s="659">
        <v>0.76819999999999999</v>
      </c>
      <c r="CN126" s="659">
        <v>0.75380000000000003</v>
      </c>
      <c r="CO126" s="659">
        <v>0.74329999999999996</v>
      </c>
      <c r="CP126" s="659">
        <v>0.78820000000000001</v>
      </c>
      <c r="CQ126" s="659">
        <v>0.82410000000000005</v>
      </c>
      <c r="CR126" s="659">
        <v>0.76800000000000002</v>
      </c>
    </row>
    <row r="127" spans="1:96" x14ac:dyDescent="0.3">
      <c r="A127" s="62" t="s">
        <v>177</v>
      </c>
      <c r="B127" s="200" t="s">
        <v>176</v>
      </c>
      <c r="C127" s="200" t="s">
        <v>573</v>
      </c>
      <c r="D127" s="200" t="s">
        <v>422</v>
      </c>
      <c r="E127" s="200" t="s">
        <v>794</v>
      </c>
      <c r="F127" s="200" t="s">
        <v>222</v>
      </c>
      <c r="G127" s="243" t="s">
        <v>409</v>
      </c>
      <c r="H127" s="241" t="s">
        <v>448</v>
      </c>
      <c r="I127" s="241" t="s">
        <v>448</v>
      </c>
      <c r="J127" s="241">
        <v>0.72330000000000005</v>
      </c>
      <c r="K127" s="241">
        <v>0.74009999999999998</v>
      </c>
      <c r="L127" s="241">
        <v>0.75419999999999998</v>
      </c>
      <c r="M127" s="241">
        <v>0.77</v>
      </c>
      <c r="N127" s="241">
        <v>0.77059999999999995</v>
      </c>
      <c r="O127" s="241">
        <v>0.74870000000000003</v>
      </c>
      <c r="P127" s="252" t="s">
        <v>409</v>
      </c>
      <c r="Q127" s="249" t="s">
        <v>552</v>
      </c>
      <c r="R127" s="249" t="s">
        <v>653</v>
      </c>
      <c r="S127" s="249">
        <v>0.71760000000000002</v>
      </c>
      <c r="T127" s="249">
        <v>0.73909999999999998</v>
      </c>
      <c r="U127" s="249">
        <v>0.75080000000000002</v>
      </c>
      <c r="V127" s="249">
        <v>0.75170000000000003</v>
      </c>
      <c r="W127" s="249">
        <v>0.76859999999999995</v>
      </c>
      <c r="X127" s="249">
        <v>0.74199999999999999</v>
      </c>
      <c r="Y127" s="211" t="s">
        <v>409</v>
      </c>
      <c r="Z127" s="200" t="s">
        <v>552</v>
      </c>
      <c r="AA127" s="200" t="s">
        <v>653</v>
      </c>
      <c r="AB127" s="203">
        <v>0.71519999999999995</v>
      </c>
      <c r="AC127" s="203">
        <v>0.73870000000000002</v>
      </c>
      <c r="AD127" s="203">
        <v>0.74319999999999997</v>
      </c>
      <c r="AE127" s="203">
        <v>0.74299999999999999</v>
      </c>
      <c r="AF127" s="203">
        <v>0.76770000000000005</v>
      </c>
      <c r="AG127" s="203">
        <v>0.73750000000000004</v>
      </c>
      <c r="AH127" s="234" t="s">
        <v>409</v>
      </c>
      <c r="AI127" s="200" t="s">
        <v>588</v>
      </c>
      <c r="AJ127" s="200" t="s">
        <v>552</v>
      </c>
      <c r="AK127" s="203">
        <v>0.72040000000000004</v>
      </c>
      <c r="AL127" s="203">
        <v>0.73960000000000004</v>
      </c>
      <c r="AM127" s="203">
        <v>0.74560000000000004</v>
      </c>
      <c r="AN127" s="203">
        <v>0.75190000000000001</v>
      </c>
      <c r="AO127" s="203">
        <v>0.76839999999999997</v>
      </c>
      <c r="AP127" s="203">
        <v>0.74160000000000004</v>
      </c>
      <c r="AQ127" s="216" t="s">
        <v>409</v>
      </c>
      <c r="AR127" s="200" t="s">
        <v>444</v>
      </c>
      <c r="AS127" s="200" t="s">
        <v>444</v>
      </c>
      <c r="AT127" s="203">
        <v>0.72719999999999996</v>
      </c>
      <c r="AU127" s="203">
        <v>0.74780000000000002</v>
      </c>
      <c r="AV127" s="203">
        <v>0.74719999999999998</v>
      </c>
      <c r="AW127" s="203">
        <v>0.77149999999999996</v>
      </c>
      <c r="AX127" s="203">
        <v>0.77890000000000004</v>
      </c>
      <c r="AY127" s="203">
        <v>0.75080000000000002</v>
      </c>
      <c r="AZ127" s="211" t="s">
        <v>409</v>
      </c>
      <c r="BA127" s="200" t="s">
        <v>684</v>
      </c>
      <c r="BB127" s="200" t="s">
        <v>581</v>
      </c>
      <c r="BC127" s="203">
        <v>0.73960000000000004</v>
      </c>
      <c r="BD127" s="203">
        <v>0.74219999999999997</v>
      </c>
      <c r="BE127" s="203">
        <v>0.74990000000000001</v>
      </c>
      <c r="BF127" s="203">
        <v>0.78120000000000001</v>
      </c>
      <c r="BG127" s="203">
        <v>0.80049999999999999</v>
      </c>
      <c r="BH127" s="203">
        <v>0.75690000000000002</v>
      </c>
      <c r="BI127" s="215" t="s">
        <v>409</v>
      </c>
      <c r="BJ127" s="222">
        <v>59</v>
      </c>
      <c r="BK127" s="222">
        <v>58</v>
      </c>
      <c r="BL127" s="203">
        <v>0.75570000000000004</v>
      </c>
      <c r="BM127" s="203">
        <v>0.75170000000000003</v>
      </c>
      <c r="BN127" s="203">
        <v>0.75780000000000003</v>
      </c>
      <c r="BO127" s="203">
        <v>0.77310000000000001</v>
      </c>
      <c r="BP127" s="203">
        <v>0.81740000000000002</v>
      </c>
      <c r="BQ127" s="203">
        <v>0.76400000000000001</v>
      </c>
      <c r="BR127" s="414" t="s">
        <v>409</v>
      </c>
      <c r="BS127" s="391">
        <v>55</v>
      </c>
      <c r="BT127" s="391">
        <v>55</v>
      </c>
      <c r="BU127" s="391">
        <v>0.76019999999999999</v>
      </c>
      <c r="BV127" s="391">
        <v>0.73939999999999995</v>
      </c>
      <c r="BW127" s="391">
        <v>0.74629999999999996</v>
      </c>
      <c r="BX127" s="391">
        <v>0.7591</v>
      </c>
      <c r="BY127" s="391">
        <v>0.81459999999999999</v>
      </c>
      <c r="BZ127" s="391">
        <v>0.75609999999999999</v>
      </c>
      <c r="CA127" s="541" t="s">
        <v>408</v>
      </c>
      <c r="CB127" s="537" t="s">
        <v>581</v>
      </c>
      <c r="CC127" s="537" t="s">
        <v>581</v>
      </c>
      <c r="CD127" s="538">
        <v>0.77759999999999996</v>
      </c>
      <c r="CE127" s="538">
        <v>0.75539999999999996</v>
      </c>
      <c r="CF127" s="538">
        <v>0.76559999999999995</v>
      </c>
      <c r="CG127" s="538">
        <v>0.78359999999999996</v>
      </c>
      <c r="CH127" s="538">
        <v>0.80789999999999995</v>
      </c>
      <c r="CI127" s="538">
        <v>0.77339999999999998</v>
      </c>
      <c r="CJ127" s="667" t="s">
        <v>409</v>
      </c>
      <c r="CK127" s="668">
        <v>87</v>
      </c>
      <c r="CL127" s="668">
        <v>87</v>
      </c>
      <c r="CM127" s="659">
        <v>0.76870000000000005</v>
      </c>
      <c r="CN127" s="659">
        <v>0.745</v>
      </c>
      <c r="CO127" s="659">
        <v>0.74280000000000002</v>
      </c>
      <c r="CP127" s="659">
        <v>0.7893</v>
      </c>
      <c r="CQ127" s="659">
        <v>0.80420000000000003</v>
      </c>
      <c r="CR127" s="659">
        <v>0.76480000000000004</v>
      </c>
    </row>
    <row r="128" spans="1:96" x14ac:dyDescent="0.3">
      <c r="A128" s="62" t="s">
        <v>289</v>
      </c>
      <c r="B128" s="200" t="s">
        <v>78</v>
      </c>
      <c r="C128" s="200" t="s">
        <v>573</v>
      </c>
      <c r="D128" s="200" t="s">
        <v>422</v>
      </c>
      <c r="E128" s="200" t="s">
        <v>794</v>
      </c>
      <c r="F128" s="200" t="s">
        <v>222</v>
      </c>
      <c r="G128" s="244" t="s">
        <v>562</v>
      </c>
      <c r="H128" s="241" t="s">
        <v>438</v>
      </c>
      <c r="I128" s="241" t="s">
        <v>570</v>
      </c>
      <c r="J128" s="241">
        <v>0.5907</v>
      </c>
      <c r="K128" s="241">
        <v>0.59370000000000001</v>
      </c>
      <c r="L128" s="241">
        <v>0.62860000000000005</v>
      </c>
      <c r="M128" s="241">
        <v>0.61719999999999997</v>
      </c>
      <c r="N128" s="241">
        <v>0.61809999999999998</v>
      </c>
      <c r="O128" s="241">
        <v>0.60840000000000005</v>
      </c>
      <c r="P128" s="242" t="s">
        <v>546</v>
      </c>
      <c r="Q128" s="241" t="s">
        <v>484</v>
      </c>
      <c r="R128" s="241" t="s">
        <v>557</v>
      </c>
      <c r="S128" s="241">
        <v>0.6079</v>
      </c>
      <c r="T128" s="241">
        <v>0.61980000000000002</v>
      </c>
      <c r="U128" s="241">
        <v>0.64890000000000003</v>
      </c>
      <c r="V128" s="241">
        <v>0.64829999999999999</v>
      </c>
      <c r="W128" s="241">
        <v>0.62170000000000003</v>
      </c>
      <c r="X128" s="241">
        <v>0.63049999999999995</v>
      </c>
      <c r="Y128" s="200"/>
      <c r="Z128" s="200"/>
      <c r="AA128" s="200"/>
      <c r="AB128" s="203"/>
      <c r="AC128" s="203"/>
      <c r="AD128" s="203"/>
      <c r="AE128" s="203"/>
      <c r="AF128" s="203"/>
      <c r="AG128" s="203"/>
      <c r="AH128" s="235"/>
      <c r="AI128" s="200"/>
      <c r="AJ128" s="200"/>
      <c r="AK128" s="203"/>
      <c r="AL128" s="203"/>
      <c r="AM128" s="203"/>
      <c r="AN128" s="203"/>
      <c r="AO128" s="203"/>
      <c r="AP128" s="203"/>
      <c r="AQ128" s="200"/>
      <c r="AR128" s="200"/>
      <c r="AS128" s="200"/>
      <c r="AT128" s="203"/>
      <c r="AU128" s="203"/>
      <c r="AV128" s="203"/>
      <c r="AW128" s="203"/>
      <c r="AX128" s="203"/>
      <c r="AY128" s="203"/>
      <c r="AZ128" s="200"/>
      <c r="BA128" s="200"/>
      <c r="BB128" s="200"/>
      <c r="BC128" s="203"/>
      <c r="BD128" s="203"/>
      <c r="BE128" s="203"/>
      <c r="BF128" s="203"/>
      <c r="BG128" s="203"/>
      <c r="BH128" s="203"/>
      <c r="BI128" s="217" t="s">
        <v>562</v>
      </c>
      <c r="BJ128" s="222">
        <v>18</v>
      </c>
      <c r="BK128" s="222">
        <v>18</v>
      </c>
      <c r="BL128" s="203">
        <v>0.60750000000000004</v>
      </c>
      <c r="BM128" s="203">
        <v>0.5696</v>
      </c>
      <c r="BN128" s="203">
        <v>0.54020000000000001</v>
      </c>
      <c r="BO128" s="203">
        <v>0.62419999999999998</v>
      </c>
      <c r="BP128" s="203">
        <v>0.61150000000000004</v>
      </c>
      <c r="BQ128" s="203">
        <v>0.58740000000000003</v>
      </c>
      <c r="BR128" s="411" t="s">
        <v>562</v>
      </c>
      <c r="BS128" s="391">
        <v>22</v>
      </c>
      <c r="BT128" s="391">
        <v>21</v>
      </c>
      <c r="BU128" s="391">
        <v>0.58220000000000005</v>
      </c>
      <c r="BV128" s="391">
        <v>0.57840000000000003</v>
      </c>
      <c r="BW128" s="391">
        <v>0.5504</v>
      </c>
      <c r="BX128" s="391">
        <v>0.64049999999999996</v>
      </c>
      <c r="BY128" s="391">
        <v>0.62890000000000001</v>
      </c>
      <c r="BZ128" s="391">
        <v>0.59099999999999997</v>
      </c>
      <c r="CA128" s="536" t="s">
        <v>562</v>
      </c>
      <c r="CB128" s="537" t="s">
        <v>561</v>
      </c>
      <c r="CC128" s="537" t="s">
        <v>808</v>
      </c>
      <c r="CD128" s="538">
        <v>0.61219999999999997</v>
      </c>
      <c r="CE128" s="538">
        <v>0.60599999999999998</v>
      </c>
      <c r="CF128" s="538">
        <v>0.58499999999999996</v>
      </c>
      <c r="CG128" s="538">
        <v>0.65790000000000004</v>
      </c>
      <c r="CH128" s="538">
        <v>0.63880000000000003</v>
      </c>
      <c r="CI128" s="538">
        <v>0.61709999999999998</v>
      </c>
      <c r="CJ128" s="670" t="s">
        <v>546</v>
      </c>
      <c r="CK128" s="668">
        <v>33</v>
      </c>
      <c r="CL128" s="668">
        <v>32</v>
      </c>
      <c r="CM128" s="659">
        <v>0.64639999999999997</v>
      </c>
      <c r="CN128" s="659">
        <v>0.61350000000000005</v>
      </c>
      <c r="CO128" s="659">
        <v>0.60799999999999998</v>
      </c>
      <c r="CP128" s="659">
        <v>0.66679999999999995</v>
      </c>
      <c r="CQ128" s="659">
        <v>0.63880000000000003</v>
      </c>
      <c r="CR128" s="659">
        <v>0.6341</v>
      </c>
    </row>
    <row r="129" spans="1:96" x14ac:dyDescent="0.3">
      <c r="A129" s="62" t="s">
        <v>71</v>
      </c>
      <c r="B129" s="200" t="s">
        <v>70</v>
      </c>
      <c r="C129" s="200" t="s">
        <v>573</v>
      </c>
      <c r="D129" s="200" t="s">
        <v>422</v>
      </c>
      <c r="E129" s="200" t="s">
        <v>794</v>
      </c>
      <c r="F129" s="200" t="s">
        <v>222</v>
      </c>
      <c r="G129" s="240" t="s">
        <v>410</v>
      </c>
      <c r="H129" s="241" t="s">
        <v>804</v>
      </c>
      <c r="I129" s="241" t="s">
        <v>720</v>
      </c>
      <c r="J129" s="241">
        <v>0.70189999999999997</v>
      </c>
      <c r="K129" s="241">
        <v>0.70279999999999998</v>
      </c>
      <c r="L129" s="241">
        <v>0.72060000000000002</v>
      </c>
      <c r="M129" s="241">
        <v>0.72030000000000005</v>
      </c>
      <c r="N129" s="241">
        <v>0.7</v>
      </c>
      <c r="O129" s="241">
        <v>0.71050000000000002</v>
      </c>
      <c r="P129" s="248" t="s">
        <v>410</v>
      </c>
      <c r="Q129" s="249" t="s">
        <v>875</v>
      </c>
      <c r="R129" s="249" t="s">
        <v>715</v>
      </c>
      <c r="S129" s="249">
        <v>0.70230000000000004</v>
      </c>
      <c r="T129" s="249">
        <v>0.69399999999999995</v>
      </c>
      <c r="U129" s="249">
        <v>0.71060000000000001</v>
      </c>
      <c r="V129" s="249">
        <v>0.71060000000000001</v>
      </c>
      <c r="W129" s="249">
        <v>0.69740000000000002</v>
      </c>
      <c r="X129" s="249">
        <v>0.70389999999999997</v>
      </c>
      <c r="Y129" s="204" t="s">
        <v>410</v>
      </c>
      <c r="Z129" s="200" t="s">
        <v>666</v>
      </c>
      <c r="AA129" s="200" t="s">
        <v>436</v>
      </c>
      <c r="AB129" s="203">
        <v>0.71689999999999998</v>
      </c>
      <c r="AC129" s="203">
        <v>0.71609999999999996</v>
      </c>
      <c r="AD129" s="203">
        <v>0.71789999999999998</v>
      </c>
      <c r="AE129" s="203">
        <v>0.72270000000000001</v>
      </c>
      <c r="AF129" s="203">
        <v>0.71779999999999999</v>
      </c>
      <c r="AG129" s="203">
        <v>0.71840000000000004</v>
      </c>
      <c r="AH129" s="234" t="s">
        <v>409</v>
      </c>
      <c r="AI129" s="200" t="s">
        <v>600</v>
      </c>
      <c r="AJ129" s="200" t="s">
        <v>600</v>
      </c>
      <c r="AK129" s="203">
        <v>0.72989999999999999</v>
      </c>
      <c r="AL129" s="203">
        <v>0.72219999999999995</v>
      </c>
      <c r="AM129" s="203">
        <v>0.72250000000000003</v>
      </c>
      <c r="AN129" s="203">
        <v>0.73609999999999998</v>
      </c>
      <c r="AO129" s="203">
        <v>0.72629999999999995</v>
      </c>
      <c r="AP129" s="203">
        <v>0.72760000000000002</v>
      </c>
      <c r="AQ129" s="216" t="s">
        <v>409</v>
      </c>
      <c r="AR129" s="200" t="s">
        <v>458</v>
      </c>
      <c r="AS129" s="200" t="s">
        <v>459</v>
      </c>
      <c r="AT129" s="203">
        <v>0.73740000000000006</v>
      </c>
      <c r="AU129" s="203">
        <v>0.73099999999999998</v>
      </c>
      <c r="AV129" s="203">
        <v>0.72760000000000002</v>
      </c>
      <c r="AW129" s="203">
        <v>0.74939999999999996</v>
      </c>
      <c r="AX129" s="203">
        <v>0.73860000000000003</v>
      </c>
      <c r="AY129" s="203">
        <v>0.73650000000000004</v>
      </c>
      <c r="AZ129" s="211" t="s">
        <v>409</v>
      </c>
      <c r="BA129" s="200" t="s">
        <v>487</v>
      </c>
      <c r="BB129" s="200" t="s">
        <v>756</v>
      </c>
      <c r="BC129" s="203">
        <v>0.73860000000000003</v>
      </c>
      <c r="BD129" s="203">
        <v>0.71609999999999996</v>
      </c>
      <c r="BE129" s="203">
        <v>0.70860000000000001</v>
      </c>
      <c r="BF129" s="203">
        <v>0.75329999999999997</v>
      </c>
      <c r="BG129" s="203">
        <v>0.74070000000000003</v>
      </c>
      <c r="BH129" s="203">
        <v>0.73</v>
      </c>
      <c r="BI129" s="215" t="s">
        <v>409</v>
      </c>
      <c r="BJ129" s="222">
        <v>247</v>
      </c>
      <c r="BK129" s="222">
        <v>246</v>
      </c>
      <c r="BL129" s="203">
        <v>0.73729999999999996</v>
      </c>
      <c r="BM129" s="203">
        <v>0.71</v>
      </c>
      <c r="BN129" s="203">
        <v>0.70420000000000005</v>
      </c>
      <c r="BO129" s="203">
        <v>0.74880000000000002</v>
      </c>
      <c r="BP129" s="203">
        <v>0.73560000000000003</v>
      </c>
      <c r="BQ129" s="203">
        <v>0.72589999999999999</v>
      </c>
      <c r="BR129" s="414" t="s">
        <v>409</v>
      </c>
      <c r="BS129" s="391">
        <v>283</v>
      </c>
      <c r="BT129" s="391">
        <v>282</v>
      </c>
      <c r="BU129" s="391">
        <v>0.73719999999999997</v>
      </c>
      <c r="BV129" s="391">
        <v>0.70669999999999999</v>
      </c>
      <c r="BW129" s="391">
        <v>0.70320000000000005</v>
      </c>
      <c r="BX129" s="391">
        <v>0.74629999999999996</v>
      </c>
      <c r="BY129" s="391">
        <v>0.73729999999999996</v>
      </c>
      <c r="BZ129" s="391">
        <v>0.72440000000000004</v>
      </c>
      <c r="CA129" s="549" t="s">
        <v>409</v>
      </c>
      <c r="CB129" s="537" t="s">
        <v>838</v>
      </c>
      <c r="CC129" s="537" t="s">
        <v>591</v>
      </c>
      <c r="CD129" s="538">
        <v>0.74170000000000003</v>
      </c>
      <c r="CE129" s="538">
        <v>0.70669999999999999</v>
      </c>
      <c r="CF129" s="538">
        <v>0.71850000000000003</v>
      </c>
      <c r="CG129" s="538">
        <v>0.74990000000000001</v>
      </c>
      <c r="CH129" s="538">
        <v>0.74460000000000004</v>
      </c>
      <c r="CI129" s="538">
        <v>0.73040000000000005</v>
      </c>
      <c r="CJ129" s="667" t="s">
        <v>409</v>
      </c>
      <c r="CK129" s="668">
        <v>317</v>
      </c>
      <c r="CL129" s="668">
        <v>316</v>
      </c>
      <c r="CM129" s="659">
        <v>0.74570000000000003</v>
      </c>
      <c r="CN129" s="659">
        <v>0.71030000000000004</v>
      </c>
      <c r="CO129" s="659">
        <v>0.71950000000000003</v>
      </c>
      <c r="CP129" s="659">
        <v>0.75700000000000001</v>
      </c>
      <c r="CQ129" s="659">
        <v>0.76019999999999999</v>
      </c>
      <c r="CR129" s="659">
        <v>0.73519999999999996</v>
      </c>
    </row>
    <row r="130" spans="1:96" x14ac:dyDescent="0.3">
      <c r="A130" s="62" t="s">
        <v>208</v>
      </c>
      <c r="B130" s="200" t="s">
        <v>207</v>
      </c>
      <c r="C130" s="200" t="s">
        <v>573</v>
      </c>
      <c r="D130" s="200" t="s">
        <v>422</v>
      </c>
      <c r="E130" s="200" t="s">
        <v>794</v>
      </c>
      <c r="F130" s="200" t="s">
        <v>222</v>
      </c>
      <c r="G130" s="200"/>
      <c r="H130" s="200"/>
      <c r="I130" s="200"/>
      <c r="J130" s="200"/>
      <c r="K130" s="200"/>
      <c r="L130" s="200"/>
      <c r="M130" s="200"/>
      <c r="N130" s="200"/>
      <c r="O130" s="200"/>
      <c r="P130" s="248" t="s">
        <v>410</v>
      </c>
      <c r="Q130" s="249" t="s">
        <v>545</v>
      </c>
      <c r="R130" s="249" t="s">
        <v>668</v>
      </c>
      <c r="S130" s="249">
        <v>0.7228</v>
      </c>
      <c r="T130" s="249">
        <v>0.71050000000000002</v>
      </c>
      <c r="U130" s="249">
        <v>0.72650000000000003</v>
      </c>
      <c r="V130" s="249">
        <v>0.70479999999999998</v>
      </c>
      <c r="W130" s="249">
        <v>0.68810000000000004</v>
      </c>
      <c r="X130" s="249">
        <v>0.71399999999999997</v>
      </c>
      <c r="Y130" s="211" t="s">
        <v>409</v>
      </c>
      <c r="Z130" s="200" t="s">
        <v>647</v>
      </c>
      <c r="AA130" s="200" t="s">
        <v>655</v>
      </c>
      <c r="AB130" s="203">
        <v>0.73340000000000005</v>
      </c>
      <c r="AC130" s="203">
        <v>0.73509999999999998</v>
      </c>
      <c r="AD130" s="203">
        <v>0.73380000000000001</v>
      </c>
      <c r="AE130" s="203">
        <v>0.72250000000000003</v>
      </c>
      <c r="AF130" s="203">
        <v>0.72589999999999999</v>
      </c>
      <c r="AG130" s="203">
        <v>0.73080000000000001</v>
      </c>
      <c r="AH130" s="230" t="s">
        <v>409</v>
      </c>
      <c r="AI130" s="200" t="s">
        <v>557</v>
      </c>
      <c r="AJ130" s="200" t="s">
        <v>570</v>
      </c>
      <c r="AK130" s="203">
        <v>0.73870000000000002</v>
      </c>
      <c r="AL130" s="203">
        <v>0.73760000000000003</v>
      </c>
      <c r="AM130" s="203">
        <v>0.73950000000000005</v>
      </c>
      <c r="AN130" s="203">
        <v>0.73670000000000002</v>
      </c>
      <c r="AO130" s="203">
        <v>0.74170000000000003</v>
      </c>
      <c r="AP130" s="203">
        <v>0.73839999999999995</v>
      </c>
      <c r="AQ130" s="216" t="s">
        <v>409</v>
      </c>
      <c r="AR130" s="200" t="s">
        <v>438</v>
      </c>
      <c r="AS130" s="200" t="s">
        <v>449</v>
      </c>
      <c r="AT130" s="203">
        <v>0.74739999999999995</v>
      </c>
      <c r="AU130" s="203">
        <v>0.73580000000000001</v>
      </c>
      <c r="AV130" s="203">
        <v>0.72430000000000005</v>
      </c>
      <c r="AW130" s="203">
        <v>0.75109999999999999</v>
      </c>
      <c r="AX130" s="203">
        <v>0.77349999999999997</v>
      </c>
      <c r="AY130" s="203">
        <v>0.74219999999999997</v>
      </c>
      <c r="AZ130" s="211" t="s">
        <v>409</v>
      </c>
      <c r="BA130" s="200" t="s">
        <v>485</v>
      </c>
      <c r="BB130" s="200" t="s">
        <v>556</v>
      </c>
      <c r="BC130" s="203">
        <v>0.75580000000000003</v>
      </c>
      <c r="BD130" s="203">
        <v>0.72370000000000001</v>
      </c>
      <c r="BE130" s="203">
        <v>0.71040000000000003</v>
      </c>
      <c r="BF130" s="203">
        <v>0.75590000000000002</v>
      </c>
      <c r="BG130" s="203">
        <v>0.7702</v>
      </c>
      <c r="BH130" s="203">
        <v>0.73909999999999998</v>
      </c>
      <c r="BI130" s="215" t="s">
        <v>409</v>
      </c>
      <c r="BJ130" s="222">
        <v>51</v>
      </c>
      <c r="BK130" s="222">
        <v>49</v>
      </c>
      <c r="BL130" s="203">
        <v>0.74560000000000004</v>
      </c>
      <c r="BM130" s="203">
        <v>0.70760000000000001</v>
      </c>
      <c r="BN130" s="203">
        <v>0.69320000000000004</v>
      </c>
      <c r="BO130" s="203">
        <v>0.74329999999999996</v>
      </c>
      <c r="BP130" s="203">
        <v>0.73860000000000003</v>
      </c>
      <c r="BQ130" s="203">
        <v>0.72370000000000001</v>
      </c>
      <c r="BR130" s="414" t="s">
        <v>409</v>
      </c>
      <c r="BS130" s="391">
        <v>50</v>
      </c>
      <c r="BT130" s="391">
        <v>50</v>
      </c>
      <c r="BU130" s="391">
        <v>0.75739999999999996</v>
      </c>
      <c r="BV130" s="391">
        <v>0.71409999999999996</v>
      </c>
      <c r="BW130" s="391">
        <v>0.7147</v>
      </c>
      <c r="BX130" s="391">
        <v>0.74909999999999999</v>
      </c>
      <c r="BY130" s="391">
        <v>0.74070000000000003</v>
      </c>
      <c r="BZ130" s="391">
        <v>0.73429999999999995</v>
      </c>
      <c r="CA130" s="549" t="s">
        <v>409</v>
      </c>
      <c r="CB130" s="537" t="s">
        <v>468</v>
      </c>
      <c r="CC130" s="537" t="s">
        <v>468</v>
      </c>
      <c r="CD130" s="538">
        <v>0.74809999999999999</v>
      </c>
      <c r="CE130" s="538">
        <v>0.7077</v>
      </c>
      <c r="CF130" s="538">
        <v>0.71550000000000002</v>
      </c>
      <c r="CG130" s="538">
        <v>0.751</v>
      </c>
      <c r="CH130" s="538">
        <v>0.73780000000000001</v>
      </c>
      <c r="CI130" s="538">
        <v>0.73109999999999997</v>
      </c>
      <c r="CJ130" s="667" t="s">
        <v>409</v>
      </c>
      <c r="CK130" s="668">
        <v>58</v>
      </c>
      <c r="CL130" s="668">
        <v>58</v>
      </c>
      <c r="CM130" s="659">
        <v>0.75239999999999996</v>
      </c>
      <c r="CN130" s="659">
        <v>0.72319999999999995</v>
      </c>
      <c r="CO130" s="659">
        <v>0.70789999999999997</v>
      </c>
      <c r="CP130" s="659">
        <v>0.76439999999999997</v>
      </c>
      <c r="CQ130" s="659">
        <v>0.76370000000000005</v>
      </c>
      <c r="CR130" s="659">
        <v>0.73899999999999999</v>
      </c>
    </row>
    <row r="131" spans="1:96" x14ac:dyDescent="0.3">
      <c r="A131" s="62" t="s">
        <v>99</v>
      </c>
      <c r="B131" s="200" t="s">
        <v>98</v>
      </c>
      <c r="C131" s="200" t="s">
        <v>573</v>
      </c>
      <c r="D131" s="200" t="s">
        <v>422</v>
      </c>
      <c r="E131" s="200" t="s">
        <v>794</v>
      </c>
      <c r="F131" s="200" t="s">
        <v>222</v>
      </c>
      <c r="G131" s="243" t="s">
        <v>409</v>
      </c>
      <c r="H131" s="241" t="s">
        <v>503</v>
      </c>
      <c r="I131" s="241" t="s">
        <v>503</v>
      </c>
      <c r="J131" s="241">
        <v>0.71789999999999998</v>
      </c>
      <c r="K131" s="241">
        <v>0.72650000000000003</v>
      </c>
      <c r="L131" s="241">
        <v>0.74209999999999998</v>
      </c>
      <c r="M131" s="241">
        <v>0.73919999999999997</v>
      </c>
      <c r="N131" s="241">
        <v>0.73440000000000005</v>
      </c>
      <c r="O131" s="241">
        <v>0.73170000000000002</v>
      </c>
      <c r="P131" s="252" t="s">
        <v>409</v>
      </c>
      <c r="Q131" s="249" t="s">
        <v>427</v>
      </c>
      <c r="R131" s="249" t="s">
        <v>427</v>
      </c>
      <c r="S131" s="249">
        <v>0.72430000000000005</v>
      </c>
      <c r="T131" s="249">
        <v>0.73070000000000002</v>
      </c>
      <c r="U131" s="249">
        <v>0.73519999999999996</v>
      </c>
      <c r="V131" s="249">
        <v>0.73580000000000001</v>
      </c>
      <c r="W131" s="249">
        <v>0.73529999999999995</v>
      </c>
      <c r="X131" s="249">
        <v>0.73180000000000001</v>
      </c>
      <c r="Y131" s="211" t="s">
        <v>409</v>
      </c>
      <c r="Z131" s="200" t="s">
        <v>640</v>
      </c>
      <c r="AA131" s="200" t="s">
        <v>640</v>
      </c>
      <c r="AB131" s="203">
        <v>0.73729999999999996</v>
      </c>
      <c r="AC131" s="203">
        <v>0.74539999999999995</v>
      </c>
      <c r="AD131" s="203">
        <v>0.7359</v>
      </c>
      <c r="AE131" s="203">
        <v>0.73860000000000003</v>
      </c>
      <c r="AF131" s="203">
        <v>0.74160000000000004</v>
      </c>
      <c r="AG131" s="203">
        <v>0.73950000000000005</v>
      </c>
      <c r="AH131" s="234" t="s">
        <v>409</v>
      </c>
      <c r="AI131" s="200" t="s">
        <v>585</v>
      </c>
      <c r="AJ131" s="200" t="s">
        <v>585</v>
      </c>
      <c r="AK131" s="203">
        <v>0.75009999999999999</v>
      </c>
      <c r="AL131" s="203">
        <v>0.75419999999999998</v>
      </c>
      <c r="AM131" s="203">
        <v>0.72740000000000005</v>
      </c>
      <c r="AN131" s="203">
        <v>0.74929999999999997</v>
      </c>
      <c r="AO131" s="203">
        <v>0.73509999999999998</v>
      </c>
      <c r="AP131" s="203">
        <v>0.74439999999999995</v>
      </c>
      <c r="AQ131" s="216" t="s">
        <v>409</v>
      </c>
      <c r="AR131" s="200" t="s">
        <v>426</v>
      </c>
      <c r="AS131" s="200" t="s">
        <v>426</v>
      </c>
      <c r="AT131" s="203">
        <v>0.76180000000000003</v>
      </c>
      <c r="AU131" s="203">
        <v>0.75580000000000003</v>
      </c>
      <c r="AV131" s="203">
        <v>0.75249999999999995</v>
      </c>
      <c r="AW131" s="203">
        <v>0.75660000000000005</v>
      </c>
      <c r="AX131" s="203">
        <v>0.7379</v>
      </c>
      <c r="AY131" s="203">
        <v>0.75519999999999998</v>
      </c>
      <c r="AZ131" s="211" t="s">
        <v>409</v>
      </c>
      <c r="BA131" s="200" t="s">
        <v>640</v>
      </c>
      <c r="BB131" s="200" t="s">
        <v>640</v>
      </c>
      <c r="BC131" s="203">
        <v>0.76759999999999995</v>
      </c>
      <c r="BD131" s="203">
        <v>0.73560000000000003</v>
      </c>
      <c r="BE131" s="203">
        <v>0.74270000000000003</v>
      </c>
      <c r="BF131" s="203">
        <v>0.7631</v>
      </c>
      <c r="BG131" s="203">
        <v>0.73019999999999996</v>
      </c>
      <c r="BH131" s="203">
        <v>0.75049999999999994</v>
      </c>
      <c r="BI131" s="215" t="s">
        <v>409</v>
      </c>
      <c r="BJ131" s="222">
        <v>58</v>
      </c>
      <c r="BK131" s="222">
        <v>57</v>
      </c>
      <c r="BL131" s="203">
        <v>0.76500000000000001</v>
      </c>
      <c r="BM131" s="203">
        <v>0.72689999999999999</v>
      </c>
      <c r="BN131" s="203">
        <v>0.73960000000000004</v>
      </c>
      <c r="BO131" s="203">
        <v>0.76229999999999998</v>
      </c>
      <c r="BP131" s="203">
        <v>0.71630000000000005</v>
      </c>
      <c r="BQ131" s="203">
        <v>0.746</v>
      </c>
      <c r="BR131" s="414" t="s">
        <v>409</v>
      </c>
      <c r="BS131" s="391">
        <v>67</v>
      </c>
      <c r="BT131" s="391">
        <v>66</v>
      </c>
      <c r="BU131" s="391">
        <v>0.74950000000000006</v>
      </c>
      <c r="BV131" s="391">
        <v>0.71419999999999995</v>
      </c>
      <c r="BW131" s="391">
        <v>0.71450000000000002</v>
      </c>
      <c r="BX131" s="391">
        <v>0.76139999999999997</v>
      </c>
      <c r="BY131" s="391">
        <v>0.71930000000000005</v>
      </c>
      <c r="BZ131" s="391">
        <v>0.73370000000000002</v>
      </c>
      <c r="CA131" s="549" t="s">
        <v>409</v>
      </c>
      <c r="CB131" s="537" t="s">
        <v>428</v>
      </c>
      <c r="CC131" s="537" t="s">
        <v>429</v>
      </c>
      <c r="CD131" s="538">
        <v>0.74890000000000001</v>
      </c>
      <c r="CE131" s="538">
        <v>0.72019999999999995</v>
      </c>
      <c r="CF131" s="538">
        <v>0.72619999999999996</v>
      </c>
      <c r="CG131" s="538">
        <v>0.77959999999999996</v>
      </c>
      <c r="CH131" s="538">
        <v>0.74270000000000003</v>
      </c>
      <c r="CI131" s="538">
        <v>0.74360000000000004</v>
      </c>
      <c r="CJ131" s="667" t="s">
        <v>409</v>
      </c>
      <c r="CK131" s="668">
        <v>71</v>
      </c>
      <c r="CL131" s="668">
        <v>70</v>
      </c>
      <c r="CM131" s="659">
        <v>0.74680000000000002</v>
      </c>
      <c r="CN131" s="659">
        <v>0.71519999999999995</v>
      </c>
      <c r="CO131" s="659">
        <v>0.72640000000000005</v>
      </c>
      <c r="CP131" s="659">
        <v>0.77490000000000003</v>
      </c>
      <c r="CQ131" s="659">
        <v>0.76180000000000003</v>
      </c>
      <c r="CR131" s="659">
        <v>0.74239999999999995</v>
      </c>
    </row>
    <row r="132" spans="1:96" x14ac:dyDescent="0.3">
      <c r="A132" s="62" t="s">
        <v>73</v>
      </c>
      <c r="B132" s="200" t="s">
        <v>72</v>
      </c>
      <c r="C132" s="200" t="s">
        <v>573</v>
      </c>
      <c r="D132" s="200" t="s">
        <v>422</v>
      </c>
      <c r="E132" s="200" t="s">
        <v>794</v>
      </c>
      <c r="F132" s="200" t="s">
        <v>222</v>
      </c>
      <c r="G132" s="242" t="s">
        <v>546</v>
      </c>
      <c r="H132" s="241" t="s">
        <v>585</v>
      </c>
      <c r="I132" s="241" t="s">
        <v>640</v>
      </c>
      <c r="J132" s="241">
        <v>0.6341</v>
      </c>
      <c r="K132" s="241">
        <v>0.65010000000000001</v>
      </c>
      <c r="L132" s="241">
        <v>0.66139999999999999</v>
      </c>
      <c r="M132" s="241">
        <v>0.65869999999999995</v>
      </c>
      <c r="N132" s="241">
        <v>0.65859999999999996</v>
      </c>
      <c r="O132" s="241">
        <v>0.65169999999999995</v>
      </c>
      <c r="P132" s="250" t="s">
        <v>546</v>
      </c>
      <c r="Q132" s="249" t="s">
        <v>551</v>
      </c>
      <c r="R132" s="249" t="s">
        <v>643</v>
      </c>
      <c r="S132" s="249">
        <v>0.63560000000000005</v>
      </c>
      <c r="T132" s="249">
        <v>0.66510000000000002</v>
      </c>
      <c r="U132" s="249">
        <v>0.67200000000000004</v>
      </c>
      <c r="V132" s="249">
        <v>0.65859999999999996</v>
      </c>
      <c r="W132" s="249">
        <v>0.65480000000000005</v>
      </c>
      <c r="X132" s="249">
        <v>0.65759999999999996</v>
      </c>
      <c r="Y132" s="204" t="s">
        <v>410</v>
      </c>
      <c r="Z132" s="200" t="s">
        <v>574</v>
      </c>
      <c r="AA132" s="200" t="s">
        <v>664</v>
      </c>
      <c r="AB132" s="203">
        <v>0.65210000000000001</v>
      </c>
      <c r="AC132" s="203">
        <v>0.6885</v>
      </c>
      <c r="AD132" s="203">
        <v>0.68730000000000002</v>
      </c>
      <c r="AE132" s="203">
        <v>0.67959999999999998</v>
      </c>
      <c r="AF132" s="203">
        <v>0.67379999999999995</v>
      </c>
      <c r="AG132" s="203">
        <v>0.67659999999999998</v>
      </c>
      <c r="AH132" s="231" t="s">
        <v>410</v>
      </c>
      <c r="AI132" s="200" t="s">
        <v>503</v>
      </c>
      <c r="AJ132" s="200" t="s">
        <v>503</v>
      </c>
      <c r="AK132" s="203">
        <v>0.67090000000000005</v>
      </c>
      <c r="AL132" s="203">
        <v>0.71709999999999996</v>
      </c>
      <c r="AM132" s="203">
        <v>0.71450000000000002</v>
      </c>
      <c r="AN132" s="203">
        <v>0.70640000000000003</v>
      </c>
      <c r="AO132" s="203">
        <v>0.66249999999999998</v>
      </c>
      <c r="AP132" s="203">
        <v>0.69920000000000004</v>
      </c>
      <c r="AQ132" s="205" t="s">
        <v>410</v>
      </c>
      <c r="AR132" s="200" t="s">
        <v>500</v>
      </c>
      <c r="AS132" s="200" t="s">
        <v>500</v>
      </c>
      <c r="AT132" s="203">
        <v>0.67849999999999999</v>
      </c>
      <c r="AU132" s="203">
        <v>0.70989999999999998</v>
      </c>
      <c r="AV132" s="203">
        <v>0.69850000000000001</v>
      </c>
      <c r="AW132" s="203">
        <v>0.71840000000000004</v>
      </c>
      <c r="AX132" s="203">
        <v>0.6865</v>
      </c>
      <c r="AY132" s="203">
        <v>0.70020000000000004</v>
      </c>
      <c r="AZ132" s="204" t="s">
        <v>410</v>
      </c>
      <c r="BA132" s="200" t="s">
        <v>587</v>
      </c>
      <c r="BB132" s="200" t="s">
        <v>587</v>
      </c>
      <c r="BC132" s="203">
        <v>0.68740000000000001</v>
      </c>
      <c r="BD132" s="203">
        <v>0.69689999999999996</v>
      </c>
      <c r="BE132" s="203">
        <v>0.68569999999999998</v>
      </c>
      <c r="BF132" s="203">
        <v>0.72209999999999996</v>
      </c>
      <c r="BG132" s="203">
        <v>0.67449999999999999</v>
      </c>
      <c r="BH132" s="203">
        <v>0.69620000000000004</v>
      </c>
      <c r="BI132" s="201" t="s">
        <v>410</v>
      </c>
      <c r="BJ132" s="222">
        <v>78</v>
      </c>
      <c r="BK132" s="222">
        <v>78</v>
      </c>
      <c r="BL132" s="203">
        <v>0.69040000000000001</v>
      </c>
      <c r="BM132" s="203">
        <v>0.67079999999999995</v>
      </c>
      <c r="BN132" s="203">
        <v>0.65300000000000002</v>
      </c>
      <c r="BO132" s="203">
        <v>0.71020000000000005</v>
      </c>
      <c r="BP132" s="203">
        <v>0.65210000000000001</v>
      </c>
      <c r="BQ132" s="203">
        <v>0.67889999999999995</v>
      </c>
      <c r="BR132" s="410" t="s">
        <v>410</v>
      </c>
      <c r="BS132" s="391">
        <v>78</v>
      </c>
      <c r="BT132" s="391">
        <v>78</v>
      </c>
      <c r="BU132" s="391">
        <v>0.70009999999999994</v>
      </c>
      <c r="BV132" s="391">
        <v>0.65869999999999995</v>
      </c>
      <c r="BW132" s="391">
        <v>0.65590000000000004</v>
      </c>
      <c r="BX132" s="391">
        <v>0.7157</v>
      </c>
      <c r="BY132" s="391">
        <v>0.63529999999999998</v>
      </c>
      <c r="BZ132" s="391">
        <v>0.67900000000000005</v>
      </c>
      <c r="CA132" s="539" t="s">
        <v>410</v>
      </c>
      <c r="CB132" s="537" t="s">
        <v>505</v>
      </c>
      <c r="CC132" s="537" t="s">
        <v>505</v>
      </c>
      <c r="CD132" s="538">
        <v>0.71550000000000002</v>
      </c>
      <c r="CE132" s="538">
        <v>0.67379999999999995</v>
      </c>
      <c r="CF132" s="538">
        <v>0.68020000000000003</v>
      </c>
      <c r="CG132" s="538">
        <v>0.7379</v>
      </c>
      <c r="CH132" s="538">
        <v>0.6573</v>
      </c>
      <c r="CI132" s="538">
        <v>0.69840000000000002</v>
      </c>
      <c r="CJ132" s="667" t="s">
        <v>409</v>
      </c>
      <c r="CK132" s="668">
        <v>116</v>
      </c>
      <c r="CL132" s="668">
        <v>116</v>
      </c>
      <c r="CM132" s="659">
        <v>0.73480000000000001</v>
      </c>
      <c r="CN132" s="659">
        <v>0.69989999999999997</v>
      </c>
      <c r="CO132" s="659">
        <v>0.70530000000000004</v>
      </c>
      <c r="CP132" s="659">
        <v>0.76329999999999998</v>
      </c>
      <c r="CQ132" s="659">
        <v>0.70430000000000004</v>
      </c>
      <c r="CR132" s="659">
        <v>0.72409999999999997</v>
      </c>
    </row>
    <row r="133" spans="1:96" x14ac:dyDescent="0.3">
      <c r="C133" s="220"/>
      <c r="D133" s="220"/>
      <c r="E133" s="220"/>
      <c r="F133" s="220"/>
      <c r="G133" s="220"/>
      <c r="H133" s="220"/>
      <c r="I133" s="220"/>
      <c r="J133" s="220"/>
      <c r="K133" s="220"/>
      <c r="L133" s="220"/>
      <c r="M133" s="220"/>
      <c r="N133" s="220"/>
      <c r="O133" s="220"/>
      <c r="P133" s="220"/>
      <c r="Q133" s="220"/>
      <c r="R133" s="220"/>
      <c r="S133" s="220"/>
      <c r="T133" s="220"/>
      <c r="U133" s="220"/>
      <c r="V133" s="220"/>
      <c r="W133" s="220"/>
      <c r="X133" s="220"/>
      <c r="Y133" s="220"/>
      <c r="Z133" s="223"/>
      <c r="AA133" s="224"/>
      <c r="AB133" s="238"/>
      <c r="AC133" s="238"/>
      <c r="AD133" s="238"/>
      <c r="AE133" s="238"/>
      <c r="AF133" s="238"/>
      <c r="AG133" s="238"/>
      <c r="AH133" s="236"/>
      <c r="AI133" s="221"/>
      <c r="AJ133" s="221"/>
      <c r="AK133" s="238"/>
      <c r="AL133" s="238"/>
      <c r="AM133" s="238"/>
      <c r="AN133" s="238"/>
      <c r="AO133" s="238"/>
      <c r="AP133" s="238"/>
      <c r="AQ133" s="221"/>
      <c r="AR133" s="221"/>
      <c r="AS133" s="221"/>
      <c r="AT133" s="238"/>
      <c r="AU133" s="238"/>
      <c r="AV133" s="238"/>
      <c r="AW133" s="238"/>
      <c r="AX133" s="238"/>
      <c r="AY133" s="238"/>
      <c r="AZ133" s="221"/>
      <c r="BA133" s="221"/>
      <c r="BB133" s="221"/>
      <c r="BC133" s="238"/>
      <c r="BD133" s="238"/>
      <c r="BE133" s="238"/>
      <c r="BF133" s="238"/>
      <c r="BG133" s="238"/>
      <c r="BH133" s="238"/>
      <c r="BI133" s="221"/>
      <c r="BJ133" s="221"/>
      <c r="BK133" s="221"/>
      <c r="BL133" s="238"/>
      <c r="BM133" s="238"/>
      <c r="BN133" s="238"/>
      <c r="BO133" s="238"/>
      <c r="BP133" s="238"/>
      <c r="BQ133" s="238"/>
    </row>
    <row r="134" spans="1:96" x14ac:dyDescent="0.3">
      <c r="C134" s="220"/>
      <c r="D134" s="220"/>
      <c r="E134" s="220"/>
      <c r="F134" s="220"/>
      <c r="G134" s="220"/>
      <c r="H134" s="220"/>
      <c r="I134" s="220"/>
      <c r="J134" s="220"/>
      <c r="K134" s="220"/>
      <c r="L134" s="220"/>
      <c r="M134" s="220"/>
      <c r="N134" s="220"/>
      <c r="O134" s="220"/>
      <c r="P134" s="220"/>
      <c r="Q134" s="220"/>
      <c r="R134" s="220"/>
      <c r="S134" s="220"/>
      <c r="T134" s="220"/>
      <c r="U134" s="220"/>
      <c r="V134" s="220"/>
      <c r="W134" s="220"/>
      <c r="X134" s="220"/>
      <c r="Y134" s="220"/>
      <c r="Z134" s="220"/>
      <c r="AB134" s="238"/>
      <c r="AC134" s="238"/>
      <c r="AD134" s="238"/>
      <c r="AE134" s="238"/>
      <c r="AF134" s="238"/>
      <c r="AG134" s="238"/>
      <c r="AH134" s="236"/>
      <c r="AI134" s="221"/>
      <c r="AJ134" s="221"/>
      <c r="AK134" s="238"/>
      <c r="AL134" s="238"/>
      <c r="AM134" s="238"/>
      <c r="AN134" s="238"/>
      <c r="AO134" s="238"/>
      <c r="AP134" s="238"/>
      <c r="AQ134" s="221"/>
      <c r="AR134" s="221"/>
      <c r="AS134" s="221"/>
      <c r="AT134" s="238"/>
      <c r="AU134" s="238"/>
      <c r="AV134" s="238"/>
      <c r="AW134" s="238"/>
      <c r="AX134" s="238"/>
      <c r="AY134" s="238"/>
      <c r="AZ134" s="221"/>
      <c r="BA134" s="221"/>
      <c r="BB134" s="221"/>
      <c r="BC134" s="238"/>
      <c r="BD134" s="238"/>
      <c r="BE134" s="238"/>
      <c r="BF134" s="238"/>
      <c r="BG134" s="238"/>
      <c r="BH134" s="238"/>
      <c r="BI134" s="221"/>
      <c r="BJ134" s="221"/>
      <c r="BK134" s="221"/>
      <c r="BL134" s="238"/>
      <c r="BM134" s="238"/>
      <c r="BN134" s="238"/>
      <c r="BO134" s="238"/>
      <c r="BP134" s="238"/>
      <c r="BQ134" s="238"/>
    </row>
    <row r="135" spans="1:96" x14ac:dyDescent="0.3">
      <c r="C135" s="220"/>
      <c r="D135" s="220"/>
      <c r="E135" s="220"/>
      <c r="F135" s="220"/>
      <c r="G135" s="220"/>
      <c r="H135" s="220"/>
      <c r="I135" s="220"/>
      <c r="J135" s="220"/>
      <c r="K135" s="220"/>
      <c r="L135" s="220"/>
      <c r="M135" s="220"/>
      <c r="N135" s="220"/>
      <c r="O135" s="220"/>
      <c r="P135" s="220"/>
      <c r="Q135" s="220"/>
      <c r="R135" s="220"/>
      <c r="S135" s="220"/>
      <c r="T135" s="220"/>
      <c r="U135" s="220"/>
      <c r="V135" s="220"/>
      <c r="W135" s="220"/>
      <c r="X135" s="220"/>
      <c r="Y135" s="220"/>
      <c r="Z135" s="220"/>
      <c r="AB135" s="238"/>
      <c r="AC135" s="238"/>
      <c r="AD135" s="238"/>
      <c r="AE135" s="238"/>
      <c r="AF135" s="238"/>
      <c r="AG135" s="238"/>
      <c r="AH135" s="236"/>
      <c r="AI135" s="221"/>
      <c r="AJ135" s="221"/>
      <c r="AK135" s="238"/>
      <c r="AL135" s="238"/>
      <c r="AM135" s="238"/>
      <c r="AN135" s="238"/>
      <c r="AO135" s="238"/>
      <c r="AP135" s="238"/>
      <c r="AQ135" s="221"/>
      <c r="AR135" s="221"/>
      <c r="AS135" s="221"/>
      <c r="AT135" s="238"/>
      <c r="AU135" s="238"/>
      <c r="AV135" s="238"/>
      <c r="AW135" s="238"/>
      <c r="AX135" s="238"/>
      <c r="AY135" s="238"/>
      <c r="AZ135" s="221"/>
      <c r="BA135" s="221"/>
      <c r="BB135" s="221"/>
      <c r="BC135" s="238"/>
      <c r="BD135" s="238"/>
      <c r="BE135" s="238"/>
      <c r="BF135" s="238"/>
      <c r="BG135" s="238"/>
      <c r="BH135" s="238"/>
      <c r="BI135" s="221"/>
      <c r="BJ135" s="221"/>
      <c r="BK135" s="221"/>
      <c r="BL135" s="238"/>
      <c r="BM135" s="238"/>
      <c r="BN135" s="238"/>
      <c r="BO135" s="238"/>
      <c r="BP135" s="238"/>
      <c r="BQ135" s="238"/>
    </row>
    <row r="136" spans="1:96" x14ac:dyDescent="0.3">
      <c r="C136" s="220"/>
      <c r="D136" s="220"/>
      <c r="E136" s="220"/>
      <c r="F136" s="220"/>
      <c r="G136" s="220"/>
      <c r="H136" s="220"/>
      <c r="I136" s="220"/>
      <c r="J136" s="220"/>
      <c r="K136" s="220"/>
      <c r="L136" s="220"/>
      <c r="M136" s="220"/>
      <c r="N136" s="220"/>
      <c r="O136" s="220"/>
      <c r="P136" s="220"/>
      <c r="Q136" s="220"/>
      <c r="R136" s="220"/>
      <c r="S136" s="220"/>
      <c r="T136" s="220"/>
      <c r="U136" s="220"/>
      <c r="V136" s="220"/>
      <c r="W136" s="220"/>
      <c r="X136" s="220"/>
      <c r="Y136" s="220"/>
      <c r="Z136" s="220"/>
      <c r="AB136" s="238"/>
      <c r="AC136" s="238"/>
      <c r="AD136" s="238"/>
      <c r="AE136" s="238"/>
      <c r="AF136" s="238"/>
      <c r="AG136" s="238"/>
      <c r="AH136" s="236"/>
      <c r="AI136" s="221"/>
      <c r="AJ136" s="221"/>
      <c r="AK136" s="238"/>
      <c r="AL136" s="238"/>
      <c r="AM136" s="238"/>
      <c r="AN136" s="238"/>
      <c r="AO136" s="238"/>
      <c r="AP136" s="238"/>
      <c r="AQ136" s="221"/>
      <c r="AR136" s="221"/>
      <c r="AS136" s="221"/>
      <c r="AT136" s="238"/>
      <c r="AU136" s="238"/>
      <c r="AV136" s="238"/>
      <c r="AW136" s="238"/>
      <c r="AX136" s="238"/>
      <c r="AY136" s="238"/>
      <c r="AZ136" s="221"/>
      <c r="BA136" s="221"/>
      <c r="BB136" s="221"/>
      <c r="BC136" s="238"/>
      <c r="BD136" s="238"/>
      <c r="BE136" s="238"/>
      <c r="BF136" s="238"/>
      <c r="BG136" s="238"/>
      <c r="BH136" s="238"/>
      <c r="BI136" s="221"/>
      <c r="BJ136" s="221"/>
      <c r="BK136" s="221"/>
      <c r="BL136" s="238"/>
      <c r="BM136" s="238"/>
      <c r="BN136" s="238"/>
      <c r="BO136" s="238"/>
      <c r="BP136" s="238"/>
      <c r="BQ136" s="238"/>
    </row>
    <row r="137" spans="1:96" x14ac:dyDescent="0.3">
      <c r="C137" s="220"/>
      <c r="D137" s="220"/>
      <c r="E137" s="220"/>
      <c r="F137" s="220"/>
      <c r="G137" s="220"/>
      <c r="H137" s="220"/>
      <c r="I137" s="220"/>
      <c r="J137" s="220"/>
      <c r="K137" s="220"/>
      <c r="L137" s="220"/>
      <c r="M137" s="220"/>
      <c r="N137" s="220"/>
      <c r="O137" s="220"/>
      <c r="P137" s="220"/>
      <c r="Q137" s="220"/>
      <c r="R137" s="220"/>
      <c r="S137" s="220"/>
      <c r="T137" s="220"/>
      <c r="U137" s="220"/>
      <c r="V137" s="220"/>
      <c r="W137" s="220"/>
      <c r="X137" s="220"/>
      <c r="Y137" s="220"/>
      <c r="Z137" s="220"/>
    </row>
  </sheetData>
  <sheetProtection algorithmName="SHA-512" hashValue="j439wedzZThqMLpc1bqXonQ69ODcFuI3iCuMkAJm15FR0PMalGUC8NfHSuGlhNmGgUWn5YS/6aIA7+bMHf+HLQ==" saltValue="nNDt0qDtDHeYZEamTOenHw==" spinCount="100000" sheet="1" objects="1" scenarios="1"/>
  <sortState ref="A6:BQ132">
    <sortCondition ref="A6:A132"/>
  </sortState>
  <mergeCells count="10">
    <mergeCell ref="CJ4:CR4"/>
    <mergeCell ref="BR4:BZ4"/>
    <mergeCell ref="CA4:CI4"/>
    <mergeCell ref="G4:O4"/>
    <mergeCell ref="P4:X4"/>
    <mergeCell ref="BI4:BQ4"/>
    <mergeCell ref="AZ4:BH4"/>
    <mergeCell ref="AQ4:AY4"/>
    <mergeCell ref="AH4:AP4"/>
    <mergeCell ref="Y4:AG4"/>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104D1E-84A8-4E06-BEB3-569ACF00C4A3}">
  <sheetPr codeName="Hoja4">
    <tabColor theme="6"/>
  </sheetPr>
  <dimension ref="A1:Q43"/>
  <sheetViews>
    <sheetView zoomScale="70" zoomScaleNormal="70" workbookViewId="0">
      <selection activeCell="E11" sqref="E11:L11"/>
    </sheetView>
  </sheetViews>
  <sheetFormatPr baseColWidth="10" defaultColWidth="12.5546875" defaultRowHeight="15.6" x14ac:dyDescent="0.3"/>
  <cols>
    <col min="1" max="1" width="3.6640625" style="701" customWidth="1"/>
    <col min="2" max="2" width="12.5546875" style="701"/>
    <col min="3" max="3" width="29.6640625" style="701" customWidth="1"/>
    <col min="4" max="4" width="20.77734375" style="701" customWidth="1"/>
    <col min="5" max="5" width="26.44140625" style="701" customWidth="1"/>
    <col min="6" max="6" width="14" style="701" customWidth="1"/>
    <col min="7" max="7" width="23.44140625" style="701" customWidth="1"/>
    <col min="8" max="8" width="16.88671875" style="701" customWidth="1"/>
    <col min="9" max="9" width="8.109375" style="701" customWidth="1"/>
    <col min="10" max="10" width="3.6640625" style="701" customWidth="1"/>
    <col min="11" max="11" width="12.88671875" style="701" customWidth="1"/>
    <col min="12" max="12" width="36" style="701" bestFit="1" customWidth="1"/>
    <col min="13" max="13" width="16.33203125" style="701" customWidth="1"/>
    <col min="14" max="16384" width="12.5546875" style="701"/>
  </cols>
  <sheetData>
    <row r="1" spans="1:17" x14ac:dyDescent="0.3">
      <c r="A1" s="685"/>
      <c r="B1" s="685"/>
      <c r="C1" s="685"/>
      <c r="D1" s="685"/>
      <c r="E1" s="685"/>
      <c r="F1" s="685"/>
      <c r="G1" s="685"/>
      <c r="H1" s="685"/>
      <c r="I1" s="685"/>
      <c r="J1" s="685"/>
      <c r="K1" s="685"/>
      <c r="L1" s="685"/>
      <c r="M1" s="685"/>
      <c r="N1" s="685"/>
      <c r="O1" s="685"/>
      <c r="P1" s="685"/>
      <c r="Q1" s="685"/>
    </row>
    <row r="2" spans="1:17" x14ac:dyDescent="0.3">
      <c r="A2" s="685"/>
      <c r="B2" s="685"/>
      <c r="C2" s="685"/>
      <c r="D2" s="685"/>
      <c r="E2" s="702"/>
      <c r="F2" s="685"/>
      <c r="G2" s="685"/>
      <c r="H2" s="685"/>
      <c r="I2" s="685"/>
      <c r="J2" s="685"/>
      <c r="K2" s="685"/>
      <c r="L2" s="685"/>
      <c r="M2" s="685"/>
      <c r="N2" s="685"/>
      <c r="O2" s="685"/>
      <c r="P2" s="685"/>
      <c r="Q2" s="685"/>
    </row>
    <row r="3" spans="1:17" x14ac:dyDescent="0.3">
      <c r="A3" s="685"/>
      <c r="B3" s="685"/>
      <c r="C3" s="685"/>
      <c r="D3" s="685"/>
      <c r="E3" s="685"/>
      <c r="F3" s="685"/>
      <c r="G3" s="685"/>
      <c r="H3" s="685"/>
      <c r="I3" s="685"/>
      <c r="J3" s="685"/>
      <c r="K3" s="685"/>
      <c r="L3" s="685"/>
      <c r="M3" s="685"/>
      <c r="N3" s="685"/>
      <c r="O3" s="685"/>
      <c r="P3" s="685"/>
      <c r="Q3" s="685"/>
    </row>
    <row r="4" spans="1:17" x14ac:dyDescent="0.3">
      <c r="A4" s="685"/>
      <c r="B4" s="685"/>
      <c r="C4" s="685"/>
      <c r="D4" s="685"/>
      <c r="E4" s="685"/>
      <c r="F4" s="685"/>
      <c r="G4" s="685"/>
      <c r="H4" s="685"/>
      <c r="I4" s="685"/>
      <c r="J4" s="685"/>
      <c r="K4" s="685"/>
      <c r="L4" s="685"/>
      <c r="M4" s="685"/>
      <c r="N4" s="685"/>
      <c r="O4" s="685"/>
      <c r="P4" s="685"/>
      <c r="Q4" s="685"/>
    </row>
    <row r="5" spans="1:17" x14ac:dyDescent="0.3">
      <c r="A5" s="685"/>
      <c r="B5" s="685"/>
      <c r="C5" s="685"/>
      <c r="D5" s="685"/>
      <c r="E5" s="685"/>
      <c r="F5" s="685"/>
      <c r="G5" s="685"/>
      <c r="H5" s="685"/>
      <c r="I5" s="685"/>
      <c r="J5" s="685"/>
      <c r="K5" s="685"/>
      <c r="L5" s="685"/>
      <c r="M5" s="685"/>
      <c r="N5" s="685"/>
      <c r="O5" s="685"/>
      <c r="P5" s="685"/>
      <c r="Q5" s="685"/>
    </row>
    <row r="6" spans="1:17" x14ac:dyDescent="0.3">
      <c r="A6" s="685"/>
      <c r="B6" s="685"/>
      <c r="C6" s="685"/>
      <c r="D6" s="685"/>
      <c r="E6" s="685"/>
      <c r="F6" s="685"/>
      <c r="G6" s="685"/>
      <c r="H6" s="685"/>
      <c r="I6" s="685"/>
      <c r="J6" s="685"/>
      <c r="K6" s="685"/>
      <c r="L6" s="685"/>
      <c r="M6" s="685"/>
      <c r="N6" s="685"/>
      <c r="O6" s="685"/>
      <c r="P6" s="685"/>
      <c r="Q6" s="685"/>
    </row>
    <row r="7" spans="1:17" ht="45" customHeight="1" x14ac:dyDescent="0.3">
      <c r="A7" s="685"/>
      <c r="B7" s="760" t="s">
        <v>1028</v>
      </c>
      <c r="C7" s="761"/>
      <c r="D7" s="761"/>
      <c r="E7" s="761"/>
      <c r="F7" s="761"/>
      <c r="G7" s="761"/>
      <c r="H7" s="761"/>
      <c r="I7" s="761"/>
      <c r="J7" s="761"/>
      <c r="K7" s="761"/>
      <c r="L7" s="761"/>
      <c r="M7" s="761"/>
      <c r="N7" s="761"/>
      <c r="O7" s="761"/>
      <c r="P7" s="761"/>
      <c r="Q7" s="685"/>
    </row>
    <row r="8" spans="1:17" ht="33" customHeight="1" x14ac:dyDescent="0.3">
      <c r="A8" s="685"/>
      <c r="B8" s="685"/>
      <c r="C8" s="685"/>
      <c r="D8" s="685"/>
      <c r="E8" s="685"/>
      <c r="F8" s="685"/>
      <c r="G8" s="685"/>
      <c r="H8" s="685"/>
      <c r="I8" s="685"/>
      <c r="J8" s="685"/>
      <c r="K8" s="685"/>
      <c r="L8" s="685"/>
      <c r="M8" s="685"/>
      <c r="N8" s="685"/>
      <c r="O8" s="685"/>
      <c r="P8" s="685"/>
      <c r="Q8" s="685"/>
    </row>
    <row r="9" spans="1:17" ht="39" customHeight="1" x14ac:dyDescent="0.3">
      <c r="A9" s="685"/>
      <c r="B9" s="762" t="s">
        <v>895</v>
      </c>
      <c r="C9" s="762"/>
      <c r="D9" s="762"/>
      <c r="E9" s="766" t="s">
        <v>61</v>
      </c>
      <c r="F9" s="766"/>
      <c r="G9" s="766"/>
      <c r="H9" s="766"/>
      <c r="I9" s="766"/>
      <c r="J9" s="766"/>
      <c r="K9" s="766"/>
      <c r="L9" s="766"/>
      <c r="M9" s="715"/>
      <c r="N9" s="767" t="s">
        <v>1029</v>
      </c>
      <c r="O9" s="767"/>
      <c r="P9" s="767"/>
      <c r="Q9" s="685"/>
    </row>
    <row r="10" spans="1:17" ht="39" customHeight="1" x14ac:dyDescent="0.3">
      <c r="A10" s="685"/>
      <c r="B10" s="717" t="s">
        <v>905</v>
      </c>
      <c r="C10" s="717"/>
      <c r="D10" s="717"/>
      <c r="E10" s="766" t="s">
        <v>12</v>
      </c>
      <c r="F10" s="766"/>
      <c r="G10" s="766"/>
      <c r="H10" s="766"/>
      <c r="I10" s="766"/>
      <c r="J10" s="766"/>
      <c r="K10" s="766"/>
      <c r="L10" s="766"/>
      <c r="M10" s="716"/>
      <c r="N10" s="767"/>
      <c r="O10" s="767"/>
      <c r="P10" s="767"/>
      <c r="Q10" s="685"/>
    </row>
    <row r="11" spans="1:17" ht="39" customHeight="1" x14ac:dyDescent="0.3">
      <c r="A11" s="685"/>
      <c r="B11" s="717" t="s">
        <v>906</v>
      </c>
      <c r="C11" s="717"/>
      <c r="D11" s="717"/>
      <c r="E11" s="766" t="s">
        <v>936</v>
      </c>
      <c r="F11" s="766"/>
      <c r="G11" s="766"/>
      <c r="H11" s="766"/>
      <c r="I11" s="766"/>
      <c r="J11" s="766"/>
      <c r="K11" s="766"/>
      <c r="L11" s="766"/>
      <c r="M11" s="716"/>
      <c r="N11" s="767"/>
      <c r="O11" s="767"/>
      <c r="P11" s="767"/>
      <c r="Q11" s="685"/>
    </row>
    <row r="12" spans="1:17" ht="18" x14ac:dyDescent="0.35">
      <c r="A12" s="685"/>
      <c r="B12" s="683"/>
      <c r="C12" s="683"/>
      <c r="D12" s="683"/>
      <c r="E12" s="683"/>
      <c r="F12" s="684"/>
      <c r="G12" s="684"/>
      <c r="H12" s="684"/>
      <c r="I12" s="685"/>
      <c r="J12" s="685"/>
      <c r="K12" s="685"/>
      <c r="L12" s="685"/>
      <c r="M12" s="685"/>
      <c r="N12" s="685"/>
      <c r="O12" s="685"/>
      <c r="P12" s="685"/>
      <c r="Q12" s="685"/>
    </row>
    <row r="13" spans="1:17" ht="25.5" customHeight="1" x14ac:dyDescent="0.3">
      <c r="A13" s="685"/>
      <c r="B13" s="765" t="s">
        <v>404</v>
      </c>
      <c r="C13" s="765"/>
      <c r="D13" s="765"/>
      <c r="E13" s="765"/>
      <c r="F13" s="685"/>
      <c r="G13" s="685"/>
      <c r="H13" s="703"/>
      <c r="I13" s="703"/>
      <c r="J13" s="703"/>
      <c r="K13" s="685"/>
      <c r="L13" s="685"/>
      <c r="M13" s="685"/>
      <c r="N13" s="685"/>
      <c r="O13" s="685"/>
      <c r="P13" s="685"/>
      <c r="Q13" s="685"/>
    </row>
    <row r="14" spans="1:17" ht="31.2" x14ac:dyDescent="0.3">
      <c r="A14" s="685"/>
      <c r="B14" s="704" t="s">
        <v>405</v>
      </c>
      <c r="C14" s="705" t="str">
        <f>E9</f>
        <v>INSTITUCION EDUCATIVA EDUARDO SANTOS</v>
      </c>
      <c r="D14" s="706" t="str">
        <f>E10</f>
        <v>OFICIALES URBANOS DE SOACHA</v>
      </c>
      <c r="E14" s="707" t="str">
        <f>E11</f>
        <v>COMUNA 6 OFICIAL</v>
      </c>
      <c r="F14" s="685"/>
      <c r="G14" s="685"/>
      <c r="H14" s="703"/>
      <c r="I14" s="703"/>
      <c r="J14" s="703"/>
      <c r="K14" s="685"/>
      <c r="L14" s="685"/>
      <c r="M14" s="685"/>
      <c r="N14" s="685"/>
      <c r="O14" s="685"/>
      <c r="P14" s="685"/>
      <c r="Q14" s="685"/>
    </row>
    <row r="15" spans="1:17" ht="20.399999999999999" x14ac:dyDescent="0.3">
      <c r="A15" s="685"/>
      <c r="B15" s="690">
        <v>2016</v>
      </c>
      <c r="C15" s="708">
        <f>VLOOKUP($E$9,PGLOBAL!$A$10:$Q$167,8,0)</f>
        <v>261</v>
      </c>
      <c r="D15" s="708">
        <f>VLOOKUP($E$10,PGLOBAL!$A$10:$Q$167,8,0)</f>
        <v>260</v>
      </c>
      <c r="E15" s="708">
        <f>VLOOKUP($E$11,PGLOBAL!$A$10:$Q$167,8,0)</f>
        <v>259.33333333333331</v>
      </c>
      <c r="F15" s="685"/>
      <c r="G15" s="685"/>
      <c r="H15" s="703"/>
      <c r="I15" s="703"/>
      <c r="J15" s="703"/>
      <c r="K15" s="685"/>
      <c r="L15" s="685"/>
      <c r="M15" s="685"/>
      <c r="N15" s="685"/>
      <c r="O15" s="685"/>
      <c r="P15" s="685"/>
      <c r="Q15" s="685"/>
    </row>
    <row r="16" spans="1:17" ht="20.399999999999999" x14ac:dyDescent="0.3">
      <c r="A16" s="685"/>
      <c r="B16" s="690">
        <v>2017</v>
      </c>
      <c r="C16" s="708">
        <f>VLOOKUP($E$9,PGLOBAL!$A$10:$Q$167,10,0)</f>
        <v>258</v>
      </c>
      <c r="D16" s="708">
        <f>VLOOKUP($E$10,PGLOBAL!$A$10:$Q$167,10,0)</f>
        <v>257</v>
      </c>
      <c r="E16" s="708">
        <f>VLOOKUP($E$11,PGLOBAL!$A$10:$Q$167,10,0)</f>
        <v>257</v>
      </c>
      <c r="F16" s="685"/>
      <c r="G16" s="685"/>
      <c r="H16" s="703"/>
      <c r="I16" s="703"/>
      <c r="J16" s="703"/>
      <c r="K16" s="685"/>
      <c r="L16" s="685"/>
      <c r="M16" s="685"/>
      <c r="N16" s="685"/>
      <c r="O16" s="685"/>
      <c r="P16" s="685"/>
      <c r="Q16" s="685"/>
    </row>
    <row r="17" spans="1:17" ht="20.399999999999999" x14ac:dyDescent="0.3">
      <c r="A17" s="685"/>
      <c r="B17" s="690">
        <v>2018</v>
      </c>
      <c r="C17" s="708">
        <f>VLOOKUP($E$9,PGLOBAL!$A$10:$Q$167,12,0)</f>
        <v>248</v>
      </c>
      <c r="D17" s="708">
        <f>VLOOKUP($E$10,PGLOBAL!$A$10:$Q$167,12,0)</f>
        <v>252</v>
      </c>
      <c r="E17" s="708">
        <f>VLOOKUP($E$11,PGLOBAL!$A$10:$Q$167,12,0)</f>
        <v>252.33333333333334</v>
      </c>
      <c r="F17" s="685"/>
      <c r="G17" s="685"/>
      <c r="H17" s="703"/>
      <c r="I17" s="703"/>
      <c r="J17" s="703"/>
      <c r="K17" s="685"/>
      <c r="L17" s="685"/>
      <c r="M17" s="685"/>
      <c r="N17" s="685"/>
      <c r="O17" s="685"/>
      <c r="P17" s="685"/>
      <c r="Q17" s="685"/>
    </row>
    <row r="18" spans="1:17" ht="20.399999999999999" x14ac:dyDescent="0.35">
      <c r="A18" s="683"/>
      <c r="B18" s="690">
        <v>2019</v>
      </c>
      <c r="C18" s="708">
        <f>VLOOKUP($E$9,PGLOBAL!$A$10:$Q$167,14,0)</f>
        <v>250</v>
      </c>
      <c r="D18" s="708">
        <f>VLOOKUP($E$10,PGLOBAL!$A$10:$Q$167,14,0)</f>
        <v>249</v>
      </c>
      <c r="E18" s="708">
        <f>VLOOKUP($E$11,PGLOBAL!$A$10:$Q$167,14,0)</f>
        <v>250</v>
      </c>
      <c r="F18" s="684"/>
      <c r="G18" s="684"/>
      <c r="H18" s="703"/>
      <c r="I18" s="703"/>
      <c r="J18" s="703"/>
      <c r="K18" s="685"/>
      <c r="L18" s="685"/>
      <c r="M18" s="685"/>
      <c r="N18" s="685"/>
      <c r="O18" s="685"/>
      <c r="P18" s="685"/>
      <c r="Q18" s="685"/>
    </row>
    <row r="19" spans="1:17" ht="20.399999999999999" x14ac:dyDescent="0.3">
      <c r="A19" s="685"/>
      <c r="B19" s="690">
        <v>2020</v>
      </c>
      <c r="C19" s="708">
        <f>VLOOKUP($E$9,PGLOBAL!$A$10:$Q$167,16,0)</f>
        <v>250</v>
      </c>
      <c r="D19" s="708">
        <f>VLOOKUP($E$10,PGLOBAL!$A$10:$Q$167,16,0)</f>
        <v>251</v>
      </c>
      <c r="E19" s="708">
        <f>VLOOKUP($E$11,PGLOBAL!$A$10:$Q$167,16,0)</f>
        <v>251.33333333333334</v>
      </c>
      <c r="F19" s="685"/>
      <c r="G19" s="685"/>
      <c r="H19" s="703"/>
      <c r="I19" s="703"/>
      <c r="J19" s="703"/>
      <c r="K19" s="685"/>
      <c r="L19" s="685"/>
      <c r="M19" s="685"/>
      <c r="N19" s="685"/>
      <c r="O19" s="685"/>
      <c r="P19" s="685"/>
      <c r="Q19" s="685"/>
    </row>
    <row r="20" spans="1:17" ht="20.399999999999999" x14ac:dyDescent="0.3">
      <c r="A20" s="685"/>
      <c r="B20" s="690">
        <v>2021</v>
      </c>
      <c r="C20" s="708">
        <f>VLOOKUP($E$9,PGLOBAL!$A$10:$U$167,18,0)</f>
        <v>250</v>
      </c>
      <c r="D20" s="708">
        <f>VLOOKUP($E$10,PGLOBAL!$A$10:$U$167,18,0)</f>
        <v>248</v>
      </c>
      <c r="E20" s="708">
        <f>VLOOKUP($E$11,PGLOBAL!$A$10:$U$167,18,0)</f>
        <v>246.33333333333334</v>
      </c>
      <c r="F20" s="685"/>
      <c r="G20" s="685"/>
      <c r="H20" s="703"/>
      <c r="I20" s="703"/>
      <c r="J20" s="703"/>
      <c r="K20" s="685"/>
      <c r="L20" s="685"/>
      <c r="M20" s="685"/>
      <c r="N20" s="685"/>
      <c r="O20" s="685"/>
      <c r="P20" s="685"/>
      <c r="Q20" s="685"/>
    </row>
    <row r="21" spans="1:17" ht="18" customHeight="1" x14ac:dyDescent="0.3">
      <c r="A21" s="685"/>
      <c r="B21" s="690">
        <v>2022</v>
      </c>
      <c r="C21" s="708">
        <f>VLOOKUP($E$9,PGLOBAL!$A$10:$Y$167,22,0)</f>
        <v>256</v>
      </c>
      <c r="D21" s="708">
        <f>VLOOKUP($E$10,PGLOBAL!$A$10:$Y$167,22,0)</f>
        <v>252</v>
      </c>
      <c r="E21" s="708">
        <f>VLOOKUP($E$11,PGLOBAL!$A$10:$Y$167,22,0)</f>
        <v>251</v>
      </c>
      <c r="F21" s="685"/>
      <c r="G21" s="685"/>
      <c r="H21" s="703"/>
      <c r="I21" s="703"/>
      <c r="J21" s="703"/>
      <c r="K21" s="685"/>
      <c r="L21" s="685"/>
      <c r="M21" s="685"/>
      <c r="N21" s="685"/>
      <c r="O21" s="685"/>
      <c r="P21" s="685"/>
      <c r="Q21" s="685"/>
    </row>
    <row r="22" spans="1:17" ht="20.399999999999999" x14ac:dyDescent="0.3">
      <c r="A22" s="685"/>
      <c r="B22" s="690">
        <v>2023</v>
      </c>
      <c r="C22" s="708">
        <f>VLOOKUP($E$9,PGLOBAL!$A$10:$AC$167,26,0)</f>
        <v>253</v>
      </c>
      <c r="D22" s="708">
        <f>VLOOKUP($E$10,PGLOBAL!$A$10:$AC$167,26,0)</f>
        <v>253</v>
      </c>
      <c r="E22" s="708">
        <f>VLOOKUP($E$11,PGLOBAL!$A$10:$AC$167,26,0)</f>
        <v>249.33333333333334</v>
      </c>
      <c r="F22" s="685"/>
      <c r="G22" s="685"/>
      <c r="H22" s="685"/>
      <c r="I22" s="685"/>
      <c r="J22" s="685"/>
      <c r="K22" s="685"/>
      <c r="L22" s="685"/>
      <c r="M22" s="685"/>
      <c r="N22" s="685"/>
      <c r="O22" s="685"/>
      <c r="P22" s="685"/>
      <c r="Q22" s="685"/>
    </row>
    <row r="23" spans="1:17" ht="20.399999999999999" x14ac:dyDescent="0.3">
      <c r="A23" s="685"/>
      <c r="B23" s="690">
        <v>2024</v>
      </c>
      <c r="C23" s="708"/>
      <c r="D23" s="708"/>
      <c r="E23" s="708"/>
      <c r="F23" s="685"/>
      <c r="G23" s="685"/>
      <c r="H23" s="685"/>
      <c r="I23" s="685"/>
      <c r="J23" s="685"/>
      <c r="K23" s="685"/>
      <c r="L23" s="685"/>
      <c r="M23" s="685"/>
      <c r="N23" s="685"/>
      <c r="O23" s="685"/>
      <c r="P23" s="685"/>
      <c r="Q23" s="685"/>
    </row>
    <row r="24" spans="1:17" x14ac:dyDescent="0.3">
      <c r="A24" s="685"/>
      <c r="B24" s="685"/>
      <c r="C24" s="685"/>
      <c r="D24" s="685"/>
      <c r="E24" s="685"/>
      <c r="F24" s="685"/>
      <c r="G24" s="685"/>
      <c r="H24" s="763"/>
      <c r="I24" s="763"/>
      <c r="J24" s="763"/>
      <c r="K24" s="685"/>
      <c r="L24" s="685"/>
      <c r="M24" s="685"/>
      <c r="N24" s="685"/>
      <c r="O24" s="685"/>
      <c r="P24" s="685"/>
      <c r="Q24" s="685"/>
    </row>
    <row r="25" spans="1:17" ht="15.75" customHeight="1" x14ac:dyDescent="0.3">
      <c r="A25" s="685"/>
      <c r="B25" s="685"/>
      <c r="C25" s="685"/>
      <c r="D25" s="685"/>
      <c r="E25" s="685"/>
      <c r="F25" s="685"/>
      <c r="G25" s="685"/>
      <c r="H25" s="763"/>
      <c r="I25" s="763"/>
      <c r="J25" s="763"/>
      <c r="K25" s="756" t="s">
        <v>882</v>
      </c>
      <c r="L25" s="757"/>
      <c r="M25" s="758"/>
      <c r="N25" s="685"/>
      <c r="O25" s="685"/>
      <c r="P25" s="685"/>
      <c r="Q25" s="685"/>
    </row>
    <row r="26" spans="1:17" ht="20.25" customHeight="1" x14ac:dyDescent="0.3">
      <c r="A26" s="685"/>
      <c r="B26" s="685"/>
      <c r="C26" s="685"/>
      <c r="D26" s="685"/>
      <c r="E26" s="685"/>
      <c r="F26" s="685"/>
      <c r="G26" s="685"/>
      <c r="H26" s="763"/>
      <c r="I26" s="763"/>
      <c r="J26" s="763"/>
      <c r="K26" s="687" t="s">
        <v>405</v>
      </c>
      <c r="L26" s="687" t="s">
        <v>881</v>
      </c>
      <c r="M26" s="687" t="s">
        <v>406</v>
      </c>
      <c r="N26" s="685"/>
      <c r="O26" s="685"/>
      <c r="P26" s="685"/>
      <c r="Q26" s="685"/>
    </row>
    <row r="27" spans="1:17" ht="21.75" customHeight="1" x14ac:dyDescent="0.3">
      <c r="A27" s="685"/>
      <c r="B27" s="709"/>
      <c r="C27" s="709"/>
      <c r="D27" s="685"/>
      <c r="E27" s="685"/>
      <c r="F27" s="685"/>
      <c r="G27" s="685"/>
      <c r="H27" s="763"/>
      <c r="I27" s="763"/>
      <c r="J27" s="763"/>
      <c r="K27" s="710">
        <v>2016</v>
      </c>
      <c r="L27" s="711">
        <f>VLOOKUP($E$9,Clasificación!$A$6:$BQ$132,33,0)</f>
        <v>0.67190000000000005</v>
      </c>
      <c r="M27" s="711" t="str">
        <f>VLOOKUP($E$9,Clasificación!$A$6:$BQ$132,25,0)</f>
        <v>B</v>
      </c>
      <c r="N27" s="685"/>
      <c r="O27" s="685"/>
      <c r="P27" s="685"/>
      <c r="Q27" s="685"/>
    </row>
    <row r="28" spans="1:17" ht="19.5" customHeight="1" x14ac:dyDescent="0.3">
      <c r="A28" s="685"/>
      <c r="B28" s="764"/>
      <c r="C28" s="764"/>
      <c r="D28" s="709"/>
      <c r="E28" s="685"/>
      <c r="F28" s="685"/>
      <c r="G28" s="685"/>
      <c r="H28" s="763"/>
      <c r="I28" s="763"/>
      <c r="J28" s="763"/>
      <c r="K28" s="710">
        <v>2017</v>
      </c>
      <c r="L28" s="711">
        <f>VLOOKUP($E$9,Clasificación!$A$6:$BQ$132,42,0)</f>
        <v>0.68530000000000002</v>
      </c>
      <c r="M28" s="711" t="str">
        <f>VLOOKUP($E$9,Clasificación!$A$6:$BQ$132,34,0)</f>
        <v>B</v>
      </c>
      <c r="N28" s="685"/>
      <c r="O28" s="685"/>
      <c r="P28" s="685"/>
      <c r="Q28" s="685"/>
    </row>
    <row r="29" spans="1:17" ht="20.399999999999999" x14ac:dyDescent="0.3">
      <c r="A29" s="685"/>
      <c r="B29" s="709"/>
      <c r="C29" s="709"/>
      <c r="D29" s="709"/>
      <c r="E29" s="685"/>
      <c r="F29" s="685"/>
      <c r="G29" s="685"/>
      <c r="H29" s="763"/>
      <c r="I29" s="763"/>
      <c r="J29" s="763"/>
      <c r="K29" s="710">
        <v>2018</v>
      </c>
      <c r="L29" s="711">
        <f>VLOOKUP($E$9,Clasificación!$A$6:$BQ$132,51,0)</f>
        <v>0.68720000000000003</v>
      </c>
      <c r="M29" s="711" t="str">
        <f>VLOOKUP($E$9,Clasificación!$A$6:$BQ$132,43,0)</f>
        <v>B</v>
      </c>
      <c r="N29" s="685"/>
      <c r="O29" s="685"/>
      <c r="P29" s="685"/>
      <c r="Q29" s="685"/>
    </row>
    <row r="30" spans="1:17" ht="20.399999999999999" x14ac:dyDescent="0.3">
      <c r="A30" s="685"/>
      <c r="B30" s="712"/>
      <c r="C30" s="713"/>
      <c r="D30" s="713"/>
      <c r="E30" s="685"/>
      <c r="F30" s="685"/>
      <c r="G30" s="685"/>
      <c r="H30" s="763"/>
      <c r="I30" s="763"/>
      <c r="J30" s="763"/>
      <c r="K30" s="710">
        <v>2019</v>
      </c>
      <c r="L30" s="711">
        <f>VLOOKUP($E$9,Clasificación!$A$6:$BQ$132,60,0)</f>
        <v>0.68120000000000003</v>
      </c>
      <c r="M30" s="711" t="str">
        <f>VLOOKUP($E$9,Clasificación!$A$6:$BQ$132,52,0)</f>
        <v>B</v>
      </c>
      <c r="N30" s="685"/>
      <c r="O30" s="685"/>
      <c r="P30" s="685"/>
      <c r="Q30" s="685"/>
    </row>
    <row r="31" spans="1:17" ht="20.399999999999999" x14ac:dyDescent="0.3">
      <c r="A31" s="685"/>
      <c r="B31" s="712"/>
      <c r="C31" s="714"/>
      <c r="D31" s="713"/>
      <c r="E31" s="685"/>
      <c r="F31" s="685"/>
      <c r="G31" s="685"/>
      <c r="H31" s="685"/>
      <c r="I31" s="685"/>
      <c r="J31" s="685"/>
      <c r="K31" s="710">
        <v>2020</v>
      </c>
      <c r="L31" s="711">
        <f>VLOOKUP($E$9,Clasificación!$A$6:$BZ$132,69,0)</f>
        <v>0.67159999999999997</v>
      </c>
      <c r="M31" s="711" t="str">
        <f>VLOOKUP($E$9,Clasificación!$A$6:$BQ$132,61,0)</f>
        <v>B</v>
      </c>
      <c r="N31" s="685"/>
      <c r="O31" s="685"/>
      <c r="P31" s="685"/>
      <c r="Q31" s="685"/>
    </row>
    <row r="32" spans="1:17" ht="20.399999999999999" x14ac:dyDescent="0.3">
      <c r="A32" s="685"/>
      <c r="B32" s="712"/>
      <c r="C32" s="713"/>
      <c r="D32" s="713"/>
      <c r="E32" s="685"/>
      <c r="F32" s="685"/>
      <c r="G32" s="685"/>
      <c r="H32" s="685"/>
      <c r="I32" s="685"/>
      <c r="J32" s="685"/>
      <c r="K32" s="710">
        <v>2021</v>
      </c>
      <c r="L32" s="711">
        <f>VLOOKUP($E$9,Clasificación!$A$6:$BZ$132,78,0)</f>
        <v>0.67720000000000002</v>
      </c>
      <c r="M32" s="711" t="str">
        <f>VLOOKUP($E$9,Clasificación!$A$6:$BZ$132,70,0)</f>
        <v>B</v>
      </c>
      <c r="N32" s="685"/>
      <c r="O32" s="685"/>
      <c r="P32" s="685"/>
      <c r="Q32" s="685"/>
    </row>
    <row r="33" spans="1:17" ht="20.399999999999999" x14ac:dyDescent="0.3">
      <c r="A33" s="685"/>
      <c r="B33" s="712"/>
      <c r="C33" s="714"/>
      <c r="D33" s="713"/>
      <c r="E33" s="685"/>
      <c r="F33" s="685"/>
      <c r="G33" s="685"/>
      <c r="H33" s="685"/>
      <c r="I33" s="685"/>
      <c r="J33" s="685"/>
      <c r="K33" s="710">
        <v>2022</v>
      </c>
      <c r="L33" s="711">
        <f>VLOOKUP($E$9,Clasificación!$A$6:$CI$132,87,0)</f>
        <v>0.68200000000000005</v>
      </c>
      <c r="M33" s="711" t="str">
        <f>VLOOKUP($E$9,Clasificación!$A$6:$CI$132,79,0)</f>
        <v>B</v>
      </c>
      <c r="N33" s="685"/>
      <c r="O33" s="685"/>
      <c r="P33" s="685"/>
      <c r="Q33" s="685"/>
    </row>
    <row r="34" spans="1:17" ht="20.399999999999999" x14ac:dyDescent="0.3">
      <c r="A34" s="685"/>
      <c r="B34" s="712"/>
      <c r="C34" s="713"/>
      <c r="D34" s="713"/>
      <c r="E34" s="685"/>
      <c r="F34" s="685"/>
      <c r="G34" s="685"/>
      <c r="H34" s="685"/>
      <c r="I34" s="685"/>
      <c r="J34" s="702"/>
      <c r="K34" s="710">
        <v>2023</v>
      </c>
      <c r="L34" s="711">
        <f>VLOOKUP($E$9,Clasificación!$A$6:$CR$132,96,0)</f>
        <v>0.68410000000000004</v>
      </c>
      <c r="M34" s="711" t="str">
        <f>VLOOKUP($E$9,Clasificación!$A$6:$CR$132,88,0)</f>
        <v>B</v>
      </c>
      <c r="N34" s="702"/>
      <c r="O34" s="702"/>
      <c r="P34" s="685"/>
      <c r="Q34" s="685"/>
    </row>
    <row r="35" spans="1:17" ht="20.399999999999999" x14ac:dyDescent="0.3">
      <c r="A35" s="685"/>
      <c r="B35" s="712"/>
      <c r="C35" s="713"/>
      <c r="D35" s="713"/>
      <c r="E35" s="685"/>
      <c r="F35" s="685"/>
      <c r="G35" s="685"/>
      <c r="H35" s="685"/>
      <c r="I35" s="685"/>
      <c r="J35" s="702"/>
      <c r="K35" s="710">
        <v>2024</v>
      </c>
      <c r="L35" s="711"/>
      <c r="M35" s="711"/>
      <c r="N35" s="702"/>
      <c r="O35" s="702"/>
      <c r="P35" s="685"/>
      <c r="Q35" s="685"/>
    </row>
    <row r="36" spans="1:17" ht="20.399999999999999" x14ac:dyDescent="0.3">
      <c r="A36" s="685"/>
      <c r="B36" s="712"/>
      <c r="C36" s="713"/>
      <c r="D36" s="713"/>
      <c r="E36" s="685"/>
      <c r="F36" s="685"/>
      <c r="G36" s="685"/>
      <c r="H36" s="685"/>
      <c r="I36" s="685"/>
      <c r="J36" s="702"/>
      <c r="K36" s="702"/>
      <c r="L36" s="702"/>
      <c r="M36" s="702"/>
      <c r="N36" s="702"/>
      <c r="O36" s="702"/>
      <c r="P36" s="685"/>
      <c r="Q36" s="685"/>
    </row>
    <row r="37" spans="1:17" ht="20.399999999999999" x14ac:dyDescent="0.3">
      <c r="A37" s="685"/>
      <c r="B37" s="712"/>
      <c r="C37" s="713"/>
      <c r="D37" s="713"/>
      <c r="E37" s="685"/>
      <c r="F37" s="685"/>
      <c r="G37" s="685"/>
      <c r="H37" s="685"/>
      <c r="I37" s="685"/>
      <c r="J37" s="702"/>
      <c r="K37" s="702"/>
      <c r="L37" s="702"/>
      <c r="M37" s="702"/>
      <c r="N37" s="702"/>
      <c r="O37" s="702"/>
      <c r="P37" s="685"/>
      <c r="Q37" s="685"/>
    </row>
    <row r="38" spans="1:17" x14ac:dyDescent="0.3">
      <c r="A38" s="685"/>
      <c r="B38" s="685"/>
      <c r="C38" s="685"/>
      <c r="D38" s="685"/>
      <c r="E38" s="685"/>
      <c r="F38" s="685"/>
      <c r="G38" s="685"/>
      <c r="H38" s="685"/>
      <c r="I38" s="685"/>
      <c r="J38" s="685"/>
      <c r="K38" s="685"/>
      <c r="L38" s="685"/>
      <c r="M38" s="685"/>
      <c r="N38" s="685"/>
      <c r="O38" s="685"/>
      <c r="P38" s="685"/>
      <c r="Q38" s="685"/>
    </row>
    <row r="39" spans="1:17" x14ac:dyDescent="0.3">
      <c r="A39" s="685"/>
      <c r="B39" s="685"/>
      <c r="C39" s="685"/>
      <c r="D39" s="685"/>
      <c r="E39" s="685"/>
      <c r="F39" s="685"/>
      <c r="G39" s="685"/>
      <c r="H39" s="685"/>
      <c r="I39" s="685"/>
      <c r="J39" s="685"/>
      <c r="K39" s="685"/>
      <c r="L39" s="685"/>
      <c r="M39" s="685"/>
      <c r="N39" s="685"/>
      <c r="O39" s="685"/>
      <c r="P39" s="685"/>
      <c r="Q39" s="685"/>
    </row>
    <row r="40" spans="1:17" x14ac:dyDescent="0.3">
      <c r="A40" s="685"/>
      <c r="B40" s="685"/>
      <c r="C40" s="685"/>
      <c r="D40" s="685"/>
      <c r="E40" s="685"/>
      <c r="F40" s="685"/>
      <c r="G40" s="685"/>
      <c r="H40" s="685"/>
      <c r="I40" s="685"/>
      <c r="J40" s="685"/>
      <c r="K40" s="685"/>
      <c r="L40" s="685"/>
      <c r="M40" s="685"/>
      <c r="N40" s="685"/>
      <c r="O40" s="685"/>
      <c r="P40" s="685"/>
      <c r="Q40" s="685"/>
    </row>
    <row r="41" spans="1:17" x14ac:dyDescent="0.3">
      <c r="A41" s="685"/>
      <c r="B41" s="685"/>
      <c r="C41" s="685"/>
      <c r="D41" s="685"/>
      <c r="E41" s="685"/>
      <c r="F41" s="685"/>
      <c r="G41" s="685"/>
      <c r="H41" s="685"/>
      <c r="I41" s="685"/>
      <c r="J41" s="685"/>
      <c r="K41" s="685"/>
      <c r="L41" s="685"/>
      <c r="M41" s="685"/>
      <c r="N41" s="685"/>
      <c r="O41" s="685"/>
      <c r="P41" s="685"/>
      <c r="Q41" s="685"/>
    </row>
    <row r="42" spans="1:17" x14ac:dyDescent="0.3">
      <c r="A42" s="685"/>
      <c r="B42" s="685"/>
      <c r="C42" s="685"/>
      <c r="D42" s="685"/>
      <c r="E42" s="685"/>
      <c r="F42" s="685"/>
      <c r="G42" s="685"/>
      <c r="H42" s="685"/>
      <c r="I42" s="685"/>
      <c r="J42" s="685"/>
      <c r="K42" s="685"/>
      <c r="L42" s="685"/>
      <c r="M42" s="685"/>
      <c r="N42" s="685"/>
      <c r="O42" s="685"/>
      <c r="P42" s="685"/>
      <c r="Q42" s="685"/>
    </row>
    <row r="43" spans="1:17" ht="20.25" customHeight="1" x14ac:dyDescent="0.3">
      <c r="A43" s="685"/>
      <c r="B43" s="759" t="s">
        <v>975</v>
      </c>
      <c r="C43" s="759"/>
      <c r="D43" s="759"/>
      <c r="E43" s="759"/>
      <c r="F43" s="759"/>
      <c r="G43" s="759"/>
      <c r="H43" s="759"/>
      <c r="I43" s="759"/>
      <c r="J43" s="759"/>
      <c r="K43" s="759"/>
      <c r="L43" s="759"/>
      <c r="M43" s="759"/>
      <c r="N43" s="759"/>
      <c r="O43" s="759"/>
      <c r="P43" s="759"/>
      <c r="Q43" s="759"/>
    </row>
  </sheetData>
  <sheetProtection algorithmName="SHA-512" hashValue="Thz1DVCZZt/4AfDepGJahgvNrVxpQY54zjBsrKFI+GQbIbGU5zAlPrL879nPySDmVkZC8/MIUNFmHI/MdVNfhg==" saltValue="qmGP2rUpHdU1P7KeT9IyNw==" spinCount="100000" sheet="1" objects="1" scenarios="1"/>
  <mergeCells count="11">
    <mergeCell ref="K25:M25"/>
    <mergeCell ref="B43:Q43"/>
    <mergeCell ref="B7:P7"/>
    <mergeCell ref="B9:D9"/>
    <mergeCell ref="H24:J30"/>
    <mergeCell ref="B28:C28"/>
    <mergeCell ref="B13:E13"/>
    <mergeCell ref="E10:L10"/>
    <mergeCell ref="E11:L11"/>
    <mergeCell ref="E9:L9"/>
    <mergeCell ref="N9:P11"/>
  </mergeCells>
  <pageMargins left="0.39370078740157483" right="0.39370078740157483" top="0.39370078740157483" bottom="0.39370078740157483" header="0.31496062992125984" footer="0.31496062992125984"/>
  <pageSetup scale="75" orientation="portrait"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5E3D4237-D11D-4A60-89E7-DF1701F6E9D9}">
          <x14:formula1>
            <xm:f>PGLOBAL!$A$10:$A$167</xm:f>
          </x14:formula1>
          <xm:sqref>E9:L9</xm:sqref>
        </x14:dataValidation>
        <x14:dataValidation type="list" allowBlank="1" showInputMessage="1" showErrorMessage="1" xr:uid="{B89EDE3D-37A5-46EA-8DFA-EF62A9D758E2}">
          <x14:formula1>
            <xm:f>PGLOBAL!$A$10:$A$168</xm:f>
          </x14:formula1>
          <xm:sqref>E10:L11</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85C95E-9DF8-401F-A57B-FF3AAB5D5675}">
  <sheetPr codeName="Hoja5">
    <tabColor rgb="FFFF0000"/>
  </sheetPr>
  <dimension ref="A2:Z323"/>
  <sheetViews>
    <sheetView topLeftCell="A22" zoomScale="63" zoomScaleNormal="63" workbookViewId="0">
      <selection activeCell="E10" sqref="E10:J10"/>
    </sheetView>
  </sheetViews>
  <sheetFormatPr baseColWidth="10" defaultColWidth="12.5546875" defaultRowHeight="15.6" x14ac:dyDescent="0.3"/>
  <cols>
    <col min="1" max="1" width="6.109375" style="184" customWidth="1"/>
    <col min="2" max="2" width="13" style="184" customWidth="1"/>
    <col min="3" max="3" width="32.44140625" style="156" customWidth="1"/>
    <col min="4" max="4" width="15.109375" style="156" customWidth="1"/>
    <col min="5" max="5" width="14.44140625" style="156" customWidth="1"/>
    <col min="6" max="7" width="23.44140625" style="156" customWidth="1"/>
    <col min="8" max="8" width="5.109375" style="156" customWidth="1"/>
    <col min="9" max="9" width="17.6640625" style="156" customWidth="1"/>
    <col min="10" max="10" width="48.5546875" style="156" customWidth="1"/>
    <col min="11" max="14" width="15.109375" style="156" customWidth="1"/>
    <col min="15" max="16" width="22.33203125" style="156" customWidth="1"/>
    <col min="17" max="17" width="4.88671875" style="156" customWidth="1"/>
    <col min="18" max="18" width="16.5546875" style="156" customWidth="1"/>
    <col min="19" max="19" width="15.5546875" style="156" customWidth="1"/>
    <col min="20" max="20" width="12.5546875" style="156"/>
    <col min="21" max="21" width="54" style="156" customWidth="1"/>
    <col min="22" max="22" width="12.5546875" style="156"/>
    <col min="23" max="23" width="14.109375" style="156" customWidth="1"/>
    <col min="24" max="24" width="15.88671875" style="156" customWidth="1"/>
    <col min="25" max="16384" width="12.5546875" style="156"/>
  </cols>
  <sheetData>
    <row r="2" spans="1:26" x14ac:dyDescent="0.3">
      <c r="A2" s="175"/>
      <c r="B2" s="175"/>
      <c r="C2" s="154"/>
      <c r="D2" s="154"/>
      <c r="E2" s="154"/>
      <c r="F2" s="154"/>
      <c r="G2" s="154"/>
      <c r="H2" s="154"/>
      <c r="I2" s="154"/>
      <c r="J2" s="154"/>
      <c r="K2" s="154"/>
      <c r="L2" s="154"/>
      <c r="M2" s="154"/>
      <c r="N2" s="154"/>
      <c r="O2" s="154"/>
      <c r="P2" s="154"/>
      <c r="Q2" s="154"/>
      <c r="R2" s="154"/>
      <c r="S2" s="154"/>
      <c r="T2" s="154"/>
      <c r="U2" s="154"/>
      <c r="V2" s="154"/>
      <c r="W2" s="154"/>
      <c r="X2" s="154"/>
      <c r="Y2" s="154"/>
      <c r="Z2" s="154"/>
    </row>
    <row r="3" spans="1:26" x14ac:dyDescent="0.3">
      <c r="A3" s="175"/>
      <c r="B3" s="175"/>
      <c r="C3" s="154"/>
      <c r="D3" s="154"/>
      <c r="E3" s="154"/>
      <c r="F3" s="154"/>
      <c r="G3" s="154"/>
      <c r="H3" s="154"/>
      <c r="I3" s="154"/>
      <c r="J3" s="154"/>
      <c r="K3" s="154"/>
      <c r="L3" s="154"/>
      <c r="M3" s="154"/>
      <c r="N3" s="154"/>
      <c r="O3" s="154"/>
      <c r="P3" s="154"/>
      <c r="Q3" s="154"/>
      <c r="R3" s="154"/>
      <c r="S3" s="154"/>
      <c r="T3" s="154"/>
      <c r="U3" s="154"/>
      <c r="V3" s="154"/>
      <c r="W3" s="154"/>
      <c r="X3" s="154"/>
      <c r="Y3" s="154"/>
      <c r="Z3" s="154"/>
    </row>
    <row r="4" spans="1:26" ht="21" x14ac:dyDescent="0.35">
      <c r="A4" s="154"/>
      <c r="B4" s="154"/>
      <c r="C4" s="322"/>
      <c r="D4" s="322"/>
      <c r="E4" s="322"/>
      <c r="F4" s="322"/>
      <c r="G4" s="176"/>
      <c r="H4" s="176"/>
      <c r="I4" s="176"/>
      <c r="J4" s="176"/>
      <c r="K4" s="176"/>
      <c r="L4" s="176"/>
      <c r="M4" s="176"/>
      <c r="N4" s="176"/>
      <c r="O4" s="176"/>
      <c r="P4" s="176"/>
      <c r="Q4" s="154"/>
      <c r="R4" s="154"/>
      <c r="S4" s="154"/>
      <c r="T4" s="154"/>
      <c r="U4" s="154"/>
      <c r="V4" s="154"/>
      <c r="W4" s="154"/>
      <c r="X4" s="154"/>
      <c r="Y4" s="154"/>
      <c r="Z4" s="154"/>
    </row>
    <row r="5" spans="1:26" ht="35.25" customHeight="1" x14ac:dyDescent="0.4">
      <c r="A5" s="154"/>
      <c r="B5" s="154"/>
      <c r="C5" s="154"/>
      <c r="D5" s="154"/>
      <c r="E5" s="154"/>
      <c r="F5" s="154"/>
      <c r="G5" s="316"/>
      <c r="H5" s="176"/>
      <c r="I5" s="176"/>
      <c r="J5" s="176"/>
      <c r="K5" s="176"/>
      <c r="L5" s="176"/>
      <c r="M5" s="176"/>
      <c r="N5" s="176"/>
      <c r="O5" s="176"/>
      <c r="P5" s="176"/>
      <c r="Q5" s="154"/>
      <c r="R5" s="154"/>
      <c r="S5" s="154"/>
      <c r="T5" s="154"/>
      <c r="U5" s="154"/>
      <c r="V5" s="154"/>
      <c r="W5" s="154"/>
      <c r="X5" s="154"/>
      <c r="Y5" s="154"/>
      <c r="Z5" s="154"/>
    </row>
    <row r="6" spans="1:26" ht="35.25" customHeight="1" x14ac:dyDescent="0.3">
      <c r="A6" s="154"/>
      <c r="B6" s="848" t="s">
        <v>884</v>
      </c>
      <c r="C6" s="848"/>
      <c r="D6" s="848"/>
      <c r="E6" s="848"/>
      <c r="F6" s="848"/>
      <c r="G6" s="848"/>
      <c r="H6" s="848"/>
      <c r="I6" s="848"/>
      <c r="J6" s="848"/>
      <c r="K6" s="848"/>
      <c r="L6" s="848"/>
      <c r="M6" s="848"/>
      <c r="N6" s="848"/>
      <c r="O6" s="848"/>
      <c r="P6" s="848"/>
      <c r="Q6" s="848"/>
      <c r="R6" s="848"/>
      <c r="S6" s="848"/>
      <c r="T6" s="848"/>
      <c r="U6" s="848"/>
      <c r="V6" s="848"/>
      <c r="W6" s="154"/>
      <c r="X6" s="154"/>
      <c r="Y6" s="154"/>
      <c r="Z6" s="154"/>
    </row>
    <row r="7" spans="1:26" ht="20.399999999999999" x14ac:dyDescent="0.35">
      <c r="A7" s="317"/>
      <c r="B7" s="317"/>
      <c r="C7" s="318"/>
      <c r="D7" s="318"/>
      <c r="E7" s="318"/>
      <c r="F7" s="318"/>
      <c r="G7" s="318"/>
      <c r="H7" s="154"/>
      <c r="I7" s="154"/>
      <c r="J7" s="154"/>
      <c r="K7" s="154"/>
      <c r="L7" s="154"/>
      <c r="M7" s="154"/>
      <c r="N7" s="154"/>
      <c r="O7" s="154"/>
      <c r="P7" s="154"/>
      <c r="Q7" s="154"/>
      <c r="R7" s="154"/>
      <c r="S7" s="154"/>
      <c r="T7" s="154"/>
      <c r="U7" s="154"/>
      <c r="V7" s="154"/>
      <c r="W7" s="154"/>
      <c r="X7" s="154"/>
      <c r="Y7" s="154"/>
      <c r="Z7" s="154"/>
    </row>
    <row r="8" spans="1:26" ht="44.25" customHeight="1" x14ac:dyDescent="0.3">
      <c r="A8" s="175"/>
      <c r="B8" s="846" t="s">
        <v>895</v>
      </c>
      <c r="C8" s="846"/>
      <c r="D8" s="846"/>
      <c r="E8" s="847" t="str">
        <f>PuntajeGlobal!E9</f>
        <v>INSTITUCION EDUCATIVA EDUARDO SANTOS</v>
      </c>
      <c r="F8" s="847"/>
      <c r="G8" s="847"/>
      <c r="H8" s="847"/>
      <c r="I8" s="847"/>
      <c r="J8" s="847"/>
      <c r="K8" s="328"/>
      <c r="L8" s="328"/>
      <c r="M8" s="328"/>
      <c r="N8" s="328"/>
      <c r="O8" s="328"/>
      <c r="P8" s="154"/>
      <c r="Q8" s="154"/>
      <c r="R8" s="154"/>
      <c r="S8" s="154"/>
      <c r="T8" s="154"/>
      <c r="U8" s="154"/>
      <c r="V8" s="154"/>
      <c r="W8" s="154"/>
      <c r="X8" s="154"/>
      <c r="Y8" s="154"/>
      <c r="Z8" s="154"/>
    </row>
    <row r="9" spans="1:26" ht="44.25" customHeight="1" x14ac:dyDescent="0.3">
      <c r="A9" s="175"/>
      <c r="B9" s="443" t="s">
        <v>905</v>
      </c>
      <c r="C9" s="443"/>
      <c r="D9" s="443"/>
      <c r="E9" s="847" t="str">
        <f>PuntajeGlobal!E10</f>
        <v>OFICIALES URBANOS DE SOACHA</v>
      </c>
      <c r="F9" s="847"/>
      <c r="G9" s="847"/>
      <c r="H9" s="847"/>
      <c r="I9" s="847"/>
      <c r="J9" s="847"/>
      <c r="K9" s="327"/>
      <c r="L9" s="327"/>
      <c r="M9" s="327"/>
      <c r="N9" s="327"/>
      <c r="O9" s="327"/>
      <c r="P9" s="154"/>
      <c r="Q9" s="154"/>
      <c r="R9" s="154"/>
      <c r="S9" s="154"/>
      <c r="T9" s="154"/>
      <c r="U9" s="154"/>
      <c r="V9" s="154"/>
      <c r="W9" s="154"/>
      <c r="X9" s="154"/>
      <c r="Y9" s="154"/>
      <c r="Z9" s="154"/>
    </row>
    <row r="10" spans="1:26" ht="44.25" customHeight="1" x14ac:dyDescent="0.3">
      <c r="A10" s="175"/>
      <c r="B10" s="443" t="s">
        <v>906</v>
      </c>
      <c r="C10" s="443"/>
      <c r="D10" s="443"/>
      <c r="E10" s="847" t="str">
        <f>PuntajeGlobal!E11</f>
        <v>COMUNA 6 OFICIAL</v>
      </c>
      <c r="F10" s="847"/>
      <c r="G10" s="847"/>
      <c r="H10" s="847"/>
      <c r="I10" s="847"/>
      <c r="J10" s="847"/>
      <c r="K10" s="327"/>
      <c r="L10" s="327"/>
      <c r="M10" s="327"/>
      <c r="N10" s="327"/>
      <c r="O10" s="327"/>
      <c r="P10" s="154"/>
      <c r="Q10" s="154"/>
      <c r="R10" s="154"/>
      <c r="S10" s="154"/>
      <c r="T10" s="154"/>
      <c r="U10" s="154"/>
      <c r="V10" s="154"/>
      <c r="W10" s="154"/>
      <c r="X10" s="154"/>
      <c r="Y10" s="154"/>
      <c r="Z10" s="154"/>
    </row>
    <row r="11" spans="1:26" ht="41.25" customHeight="1" x14ac:dyDescent="0.5">
      <c r="A11" s="176"/>
      <c r="B11" s="176"/>
      <c r="C11" s="272"/>
      <c r="D11" s="177"/>
      <c r="E11" s="177"/>
      <c r="F11" s="177"/>
      <c r="G11" s="177"/>
      <c r="H11" s="177"/>
      <c r="I11" s="154"/>
      <c r="J11" s="154"/>
      <c r="K11" s="154"/>
      <c r="L11" s="154"/>
      <c r="M11" s="154"/>
      <c r="N11" s="154"/>
      <c r="O11" s="154"/>
      <c r="P11" s="154"/>
      <c r="Q11" s="154"/>
      <c r="R11" s="821" t="s">
        <v>1071</v>
      </c>
      <c r="S11" s="821"/>
      <c r="T11" s="821"/>
      <c r="U11" s="821"/>
      <c r="V11" s="821"/>
      <c r="W11" s="821"/>
      <c r="X11" s="821"/>
      <c r="Y11" s="821"/>
      <c r="Z11" s="154"/>
    </row>
    <row r="12" spans="1:26" ht="33" customHeight="1" x14ac:dyDescent="0.35">
      <c r="A12" s="176"/>
      <c r="B12" s="775" t="s">
        <v>730</v>
      </c>
      <c r="C12" s="775"/>
      <c r="D12" s="775"/>
      <c r="E12" s="775"/>
      <c r="F12" s="775"/>
      <c r="G12" s="177"/>
      <c r="H12" s="177"/>
      <c r="I12" s="832" t="s">
        <v>883</v>
      </c>
      <c r="J12" s="832"/>
      <c r="K12" s="832"/>
      <c r="L12" s="832"/>
      <c r="M12" s="832"/>
      <c r="N12" s="832"/>
      <c r="O12" s="154"/>
      <c r="P12" s="268"/>
      <c r="Q12" s="154"/>
      <c r="R12" s="589" t="s">
        <v>1063</v>
      </c>
      <c r="S12" s="589" t="s">
        <v>1064</v>
      </c>
      <c r="T12" s="826" t="s">
        <v>1065</v>
      </c>
      <c r="U12" s="826"/>
      <c r="V12" s="826"/>
      <c r="W12" s="826"/>
      <c r="X12" s="826"/>
      <c r="Y12" s="826"/>
      <c r="Z12" s="154"/>
    </row>
    <row r="13" spans="1:26" ht="43.5" customHeight="1" x14ac:dyDescent="0.35">
      <c r="A13" s="175"/>
      <c r="B13" s="305" t="s">
        <v>405</v>
      </c>
      <c r="C13" s="306" t="str">
        <f>$E$8</f>
        <v>INSTITUCION EDUCATIVA EDUARDO SANTOS</v>
      </c>
      <c r="D13" s="771" t="str">
        <f>$E$9</f>
        <v>OFICIALES URBANOS DE SOACHA</v>
      </c>
      <c r="E13" s="771"/>
      <c r="F13" s="307" t="str">
        <f>$E$10</f>
        <v>COMUNA 6 OFICIAL</v>
      </c>
      <c r="G13" s="178"/>
      <c r="H13" s="178"/>
      <c r="I13" s="592" t="s">
        <v>405</v>
      </c>
      <c r="J13" s="592" t="s">
        <v>407</v>
      </c>
      <c r="K13" s="453" t="s">
        <v>725</v>
      </c>
      <c r="L13" s="296" t="s">
        <v>726</v>
      </c>
      <c r="M13" s="297" t="s">
        <v>727</v>
      </c>
      <c r="N13" s="298" t="s">
        <v>728</v>
      </c>
      <c r="O13" s="268" t="s">
        <v>729</v>
      </c>
      <c r="P13" s="179"/>
      <c r="Q13" s="154"/>
      <c r="R13" s="590">
        <v>1</v>
      </c>
      <c r="S13" s="591" t="s">
        <v>725</v>
      </c>
      <c r="T13" s="828" t="s">
        <v>1066</v>
      </c>
      <c r="U13" s="849"/>
      <c r="V13" s="849"/>
      <c r="W13" s="849"/>
      <c r="X13" s="849"/>
      <c r="Y13" s="849"/>
      <c r="Z13" s="154"/>
    </row>
    <row r="14" spans="1:26" ht="26.25" customHeight="1" x14ac:dyDescent="0.3">
      <c r="A14" s="154"/>
      <c r="B14" s="293">
        <v>2016</v>
      </c>
      <c r="C14" s="273">
        <f>VLOOKUP($E$8,LC!$A$10:$AV$167,4,0)</f>
        <v>53</v>
      </c>
      <c r="D14" s="768">
        <f>VLOOKUP($E$9,LC!$A$10:$AV$167,4,0)</f>
        <v>53</v>
      </c>
      <c r="E14" s="768"/>
      <c r="F14" s="273">
        <f>VLOOKUP($E$10,LC!$A$10:$AV$167,4,0)</f>
        <v>52.666666666666664</v>
      </c>
      <c r="G14" s="178"/>
      <c r="H14" s="178"/>
      <c r="I14" s="593"/>
      <c r="J14" s="593"/>
      <c r="K14" s="588">
        <v>1</v>
      </c>
      <c r="L14" s="300">
        <v>2</v>
      </c>
      <c r="M14" s="301">
        <v>3</v>
      </c>
      <c r="N14" s="302">
        <v>4</v>
      </c>
      <c r="O14" s="179" t="s">
        <v>889</v>
      </c>
      <c r="P14" s="180"/>
      <c r="Q14" s="154"/>
      <c r="R14" s="823">
        <v>2</v>
      </c>
      <c r="S14" s="823" t="s">
        <v>726</v>
      </c>
      <c r="T14" s="850" t="s">
        <v>1067</v>
      </c>
      <c r="U14" s="851"/>
      <c r="V14" s="851"/>
      <c r="W14" s="851"/>
      <c r="X14" s="851"/>
      <c r="Y14" s="851"/>
      <c r="Z14" s="154"/>
    </row>
    <row r="15" spans="1:26" ht="21.75" customHeight="1" x14ac:dyDescent="0.3">
      <c r="A15" s="154"/>
      <c r="B15" s="293">
        <v>2017</v>
      </c>
      <c r="C15" s="273">
        <f>VLOOKUP($E$8,LC!$A$10:$AV$167,13,0)</f>
        <v>53</v>
      </c>
      <c r="D15" s="768">
        <f>VLOOKUP($E$9,LC!$A$10:$AV$167,13,0)</f>
        <v>54</v>
      </c>
      <c r="E15" s="768"/>
      <c r="F15" s="273">
        <f>VLOOKUP($E$10,LC!$A$10:$AV$167,13,0)</f>
        <v>52.666666666666664</v>
      </c>
      <c r="G15" s="178"/>
      <c r="H15" s="178"/>
      <c r="I15" s="829">
        <v>2016</v>
      </c>
      <c r="J15" s="594" t="str">
        <f>$E$8</f>
        <v>INSTITUCION EDUCATIVA EDUARDO SANTOS</v>
      </c>
      <c r="K15" s="279">
        <f>VLOOKUP($E$8,LC!$A$10:$AV$167,6,0)</f>
        <v>0.01</v>
      </c>
      <c r="L15" s="309">
        <f>VLOOKUP($E$8,LC!$A$10:$AV$167,7,0)</f>
        <v>0.4</v>
      </c>
      <c r="M15" s="456">
        <f>VLOOKUP($E$8,LC!$A$10:$AV$167,8,0)</f>
        <v>0.55000000000000004</v>
      </c>
      <c r="N15" s="457">
        <f>VLOOKUP($E$8,LC!$A$10:$AV$167,9,0)</f>
        <v>0.04</v>
      </c>
      <c r="O15" s="180">
        <f t="shared" ref="O15:O32" si="0">K15+L15</f>
        <v>0.41000000000000003</v>
      </c>
      <c r="P15" s="180"/>
      <c r="Q15" s="154"/>
      <c r="R15" s="823"/>
      <c r="S15" s="823"/>
      <c r="T15" s="851"/>
      <c r="U15" s="851"/>
      <c r="V15" s="851"/>
      <c r="W15" s="851"/>
      <c r="X15" s="851"/>
      <c r="Y15" s="851"/>
      <c r="Z15" s="154"/>
    </row>
    <row r="16" spans="1:26" ht="21.75" customHeight="1" x14ac:dyDescent="0.3">
      <c r="A16" s="154"/>
      <c r="B16" s="293">
        <v>2018</v>
      </c>
      <c r="C16" s="273">
        <f>VLOOKUP($E$8,LC!$A$10:$AV$167,22,0)</f>
        <v>52</v>
      </c>
      <c r="D16" s="768">
        <f>VLOOKUP($E$9,LC!$A$10:$AV$167,22,0)</f>
        <v>53</v>
      </c>
      <c r="E16" s="768"/>
      <c r="F16" s="273">
        <f>VLOOKUP($E$10,LC!$A$10:$AV$167,22,0)</f>
        <v>52.666666666666664</v>
      </c>
      <c r="G16" s="178"/>
      <c r="H16" s="178"/>
      <c r="I16" s="830"/>
      <c r="J16" s="594" t="str">
        <f>$E$9</f>
        <v>OFICIALES URBANOS DE SOACHA</v>
      </c>
      <c r="K16" s="279">
        <f>VLOOKUP($E$9,LC!$A$10:$AV$167,6,0)</f>
        <v>0.01</v>
      </c>
      <c r="L16" s="309">
        <f>VLOOKUP($E$9,LC!$A$10:$AV$167,7,0)</f>
        <v>0.39</v>
      </c>
      <c r="M16" s="456">
        <f>VLOOKUP($E$9,LC!$A$10:$AV$167,8,0)</f>
        <v>0.54</v>
      </c>
      <c r="N16" s="457">
        <f>VLOOKUP($E$9,LC!$A$10:$AV$167,9,0)</f>
        <v>0.05</v>
      </c>
      <c r="O16" s="180">
        <f t="shared" si="0"/>
        <v>0.4</v>
      </c>
      <c r="P16" s="180"/>
      <c r="Q16" s="154"/>
      <c r="R16" s="823"/>
      <c r="S16" s="823"/>
      <c r="T16" s="851"/>
      <c r="U16" s="851"/>
      <c r="V16" s="851"/>
      <c r="W16" s="851"/>
      <c r="X16" s="851"/>
      <c r="Y16" s="851"/>
      <c r="Z16" s="154"/>
    </row>
    <row r="17" spans="1:26" ht="20.100000000000001" customHeight="1" x14ac:dyDescent="0.3">
      <c r="A17" s="154"/>
      <c r="B17" s="293">
        <v>2019</v>
      </c>
      <c r="C17" s="273">
        <f>VLOOKUP($E$8,LC!$A$10:$AV$167,31,0)</f>
        <v>53</v>
      </c>
      <c r="D17" s="768">
        <f>VLOOKUP($E$9,LC!$A$10:$AV$167,31,0)</f>
        <v>53</v>
      </c>
      <c r="E17" s="768"/>
      <c r="F17" s="273">
        <f>VLOOKUP($E$10,LC!$A$10:$AV$167,31,0)</f>
        <v>52.666666666666664</v>
      </c>
      <c r="G17" s="178"/>
      <c r="H17" s="178"/>
      <c r="I17" s="831"/>
      <c r="J17" s="594" t="str">
        <f>$E$10</f>
        <v>COMUNA 6 OFICIAL</v>
      </c>
      <c r="K17" s="279">
        <f>VLOOKUP($E$10,LC!$A$10:$AV$167,6,0)</f>
        <v>6.6666666666666671E-3</v>
      </c>
      <c r="L17" s="309">
        <f>VLOOKUP($E$10,LC!$A$10:$AV$167,7,0)</f>
        <v>0.41</v>
      </c>
      <c r="M17" s="456">
        <f>VLOOKUP($E$10,LC!$A$10:$AV$167,8,0)</f>
        <v>0.54</v>
      </c>
      <c r="N17" s="457">
        <f>VLOOKUP($E$10,LC!$A$10:$AV$167,9,0)</f>
        <v>4.3333333333333335E-2</v>
      </c>
      <c r="O17" s="180">
        <f t="shared" si="0"/>
        <v>0.41666666666666663</v>
      </c>
      <c r="P17" s="180"/>
      <c r="Q17" s="154"/>
      <c r="R17" s="823"/>
      <c r="S17" s="823"/>
      <c r="T17" s="851"/>
      <c r="U17" s="851"/>
      <c r="V17" s="851"/>
      <c r="W17" s="851"/>
      <c r="X17" s="851"/>
      <c r="Y17" s="851"/>
      <c r="Z17" s="154"/>
    </row>
    <row r="18" spans="1:26" ht="20.100000000000001" customHeight="1" x14ac:dyDescent="0.3">
      <c r="A18" s="154"/>
      <c r="B18" s="293">
        <v>2020</v>
      </c>
      <c r="C18" s="273">
        <f>VLOOKUP($E$8,LC!$A$10:$AV$167,40,0)</f>
        <v>53</v>
      </c>
      <c r="D18" s="768">
        <f>VLOOKUP($E$9,LC!$A$10:$AV$167,40,0)</f>
        <v>53</v>
      </c>
      <c r="E18" s="768"/>
      <c r="F18" s="273">
        <f>VLOOKUP($E$10,LC!$A$10:$AV$167,40,0)</f>
        <v>53</v>
      </c>
      <c r="G18" s="178"/>
      <c r="H18" s="178"/>
      <c r="I18" s="829">
        <v>2017</v>
      </c>
      <c r="J18" s="594" t="str">
        <f>$E$8</f>
        <v>INSTITUCION EDUCATIVA EDUARDO SANTOS</v>
      </c>
      <c r="K18" s="279">
        <f>VLOOKUP($E$8,LC!$A$10:$AV$167,15,0)</f>
        <v>0</v>
      </c>
      <c r="L18" s="309">
        <f>VLOOKUP($E$8,LC!$A$10:$AV$167,16,0)</f>
        <v>0.37</v>
      </c>
      <c r="M18" s="456">
        <f>VLOOKUP($E$8,LC!$A$10:$AV$167,17,0)</f>
        <v>0.59</v>
      </c>
      <c r="N18" s="457">
        <f>VLOOKUP($E$8,LC!$A$10:$AV$167,18,0)</f>
        <v>0.03</v>
      </c>
      <c r="O18" s="180">
        <f t="shared" si="0"/>
        <v>0.37</v>
      </c>
      <c r="P18" s="180"/>
      <c r="Q18" s="154"/>
      <c r="R18" s="823"/>
      <c r="S18" s="823"/>
      <c r="T18" s="851"/>
      <c r="U18" s="851"/>
      <c r="V18" s="851"/>
      <c r="W18" s="851"/>
      <c r="X18" s="851"/>
      <c r="Y18" s="851"/>
      <c r="Z18" s="154"/>
    </row>
    <row r="19" spans="1:26" ht="20.100000000000001" customHeight="1" x14ac:dyDescent="0.3">
      <c r="A19" s="154"/>
      <c r="B19" s="293">
        <v>2021</v>
      </c>
      <c r="C19" s="273">
        <f>VLOOKUP($E$8,LC!$A$10:$BG$167,49,0)</f>
        <v>53</v>
      </c>
      <c r="D19" s="768">
        <f>VLOOKUP($E$9,LC!$A$10:$BG$167,49,0)</f>
        <v>53</v>
      </c>
      <c r="E19" s="768"/>
      <c r="F19" s="273">
        <f>VLOOKUP($E$10,LC!$A$10:$BG$167,49,0)</f>
        <v>52.333333333333336</v>
      </c>
      <c r="G19" s="178"/>
      <c r="H19" s="178"/>
      <c r="I19" s="830"/>
      <c r="J19" s="594" t="str">
        <f>$E$9</f>
        <v>OFICIALES URBANOS DE SOACHA</v>
      </c>
      <c r="K19" s="279">
        <f>VLOOKUP($E$9,LC!$A$10:$AV$167,15,0)</f>
        <v>0.01</v>
      </c>
      <c r="L19" s="309">
        <f>VLOOKUP($E$9,LC!$A$10:$AV$167,16,0)</f>
        <v>0.34</v>
      </c>
      <c r="M19" s="456">
        <f>VLOOKUP($E$9,LC!$A$10:$AV$167,17,0)</f>
        <v>0.56999999999999995</v>
      </c>
      <c r="N19" s="457">
        <f>VLOOKUP($E$9,LC!$A$10:$AV$167,18,0)</f>
        <v>7.0000000000000007E-2</v>
      </c>
      <c r="O19" s="180">
        <f t="shared" si="0"/>
        <v>0.35000000000000003</v>
      </c>
      <c r="P19" s="180"/>
      <c r="Q19" s="154"/>
      <c r="R19" s="823"/>
      <c r="S19" s="823"/>
      <c r="T19" s="851"/>
      <c r="U19" s="851"/>
      <c r="V19" s="851"/>
      <c r="W19" s="851"/>
      <c r="X19" s="851"/>
      <c r="Y19" s="851"/>
      <c r="Z19" s="154"/>
    </row>
    <row r="20" spans="1:26" ht="20.100000000000001" customHeight="1" x14ac:dyDescent="0.3">
      <c r="A20" s="154"/>
      <c r="B20" s="293">
        <v>2022</v>
      </c>
      <c r="C20" s="273">
        <f>VLOOKUP($E$8,LC!$A$10:$BR$167,60,0)</f>
        <v>54</v>
      </c>
      <c r="D20" s="768">
        <f>VLOOKUP($E$9,LC!$A$10:$BR$167,60,0)</f>
        <v>53</v>
      </c>
      <c r="E20" s="768"/>
      <c r="F20" s="273">
        <f>VLOOKUP($E$10,LC!$A$10:$BR$167,60,0)</f>
        <v>53</v>
      </c>
      <c r="G20" s="178"/>
      <c r="H20" s="178"/>
      <c r="I20" s="831"/>
      <c r="J20" s="594" t="str">
        <f>$E$10</f>
        <v>COMUNA 6 OFICIAL</v>
      </c>
      <c r="K20" s="279">
        <f>VLOOKUP($E$10,LC!$A$10:$AV$167,15,0)</f>
        <v>6.6666666666666671E-3</v>
      </c>
      <c r="L20" s="309">
        <f>VLOOKUP($E$10,LC!$A$10:$AV$167,16,0)</f>
        <v>0.39999999999999997</v>
      </c>
      <c r="M20" s="456">
        <f>VLOOKUP($E$10,LC!$A$10:$AV$167,17,0)</f>
        <v>0.54666666666666675</v>
      </c>
      <c r="N20" s="457">
        <f>VLOOKUP($E$10,LC!$A$10:$AV$167,18,0)</f>
        <v>4.6666666666666669E-2</v>
      </c>
      <c r="O20" s="180">
        <f t="shared" si="0"/>
        <v>0.40666666666666662</v>
      </c>
      <c r="P20" s="180"/>
      <c r="Q20" s="154"/>
      <c r="R20" s="823"/>
      <c r="S20" s="823"/>
      <c r="T20" s="851"/>
      <c r="U20" s="851"/>
      <c r="V20" s="851"/>
      <c r="W20" s="851"/>
      <c r="X20" s="851"/>
      <c r="Y20" s="851"/>
      <c r="Z20" s="154"/>
    </row>
    <row r="21" spans="1:26" ht="20.100000000000001" customHeight="1" x14ac:dyDescent="0.3">
      <c r="A21" s="154"/>
      <c r="B21" s="293">
        <v>2023</v>
      </c>
      <c r="C21" s="646">
        <f>VLOOKUP($E$8,LC!$A$10:$CC$167,71,0)</f>
        <v>53</v>
      </c>
      <c r="D21" s="768">
        <f>VLOOKUP($E$9,LC!$A$10:$CC$167,71,0)</f>
        <v>53</v>
      </c>
      <c r="E21" s="768"/>
      <c r="F21" s="646">
        <f>VLOOKUP($E$10,LC!$A$10:$CC$167,71,0)</f>
        <v>52.333333333333336</v>
      </c>
      <c r="G21" s="178"/>
      <c r="H21" s="178"/>
      <c r="I21" s="829">
        <v>2018</v>
      </c>
      <c r="J21" s="594" t="str">
        <f>$E$8</f>
        <v>INSTITUCION EDUCATIVA EDUARDO SANTOS</v>
      </c>
      <c r="K21" s="279">
        <f>VLOOKUP($E$8,LC!$A$10:$AV$167,24,0)</f>
        <v>0.01</v>
      </c>
      <c r="L21" s="309">
        <f>VLOOKUP($E$8,LC!$A$10:$AV$167,25,0)</f>
        <v>0.43</v>
      </c>
      <c r="M21" s="456">
        <f>VLOOKUP($E$8,LC!$A$10:$AV$167,26,0)</f>
        <v>0.48</v>
      </c>
      <c r="N21" s="457">
        <f>VLOOKUP($E$8,LC!$A$10:$AV$167,27,0)</f>
        <v>7.0000000000000007E-2</v>
      </c>
      <c r="O21" s="180">
        <f t="shared" si="0"/>
        <v>0.44</v>
      </c>
      <c r="P21" s="180"/>
      <c r="Q21" s="154"/>
      <c r="R21" s="823"/>
      <c r="S21" s="823"/>
      <c r="T21" s="851"/>
      <c r="U21" s="851"/>
      <c r="V21" s="851"/>
      <c r="W21" s="851"/>
      <c r="X21" s="851"/>
      <c r="Y21" s="851"/>
      <c r="Z21" s="154"/>
    </row>
    <row r="22" spans="1:26" ht="20.100000000000001" customHeight="1" x14ac:dyDescent="0.3">
      <c r="A22" s="154"/>
      <c r="B22" s="154"/>
      <c r="C22" s="154"/>
      <c r="D22" s="154"/>
      <c r="E22" s="178"/>
      <c r="F22" s="178"/>
      <c r="G22" s="178"/>
      <c r="H22" s="178"/>
      <c r="I22" s="830"/>
      <c r="J22" s="594" t="str">
        <f>$E$9</f>
        <v>OFICIALES URBANOS DE SOACHA</v>
      </c>
      <c r="K22" s="279">
        <f>VLOOKUP($E$9,LC!$A$10:$AV$167,24,0)</f>
        <v>0.02</v>
      </c>
      <c r="L22" s="309">
        <f>VLOOKUP($E$9,LC!$A$10:$AV$167,25,0)</f>
        <v>0.37</v>
      </c>
      <c r="M22" s="456">
        <f>VLOOKUP($E$9,LC!$A$10:$AV$167,26,0)</f>
        <v>0.53</v>
      </c>
      <c r="N22" s="457">
        <f>VLOOKUP($E$9,LC!$A$10:$AV$167,27,0)</f>
        <v>0.08</v>
      </c>
      <c r="O22" s="180">
        <f t="shared" si="0"/>
        <v>0.39</v>
      </c>
      <c r="P22" s="180"/>
      <c r="Q22" s="154"/>
      <c r="R22" s="823"/>
      <c r="S22" s="823"/>
      <c r="T22" s="851"/>
      <c r="U22" s="851"/>
      <c r="V22" s="851"/>
      <c r="W22" s="851"/>
      <c r="X22" s="851"/>
      <c r="Y22" s="851"/>
      <c r="Z22" s="154"/>
    </row>
    <row r="23" spans="1:26" ht="20.100000000000001" customHeight="1" x14ac:dyDescent="0.3">
      <c r="A23" s="173"/>
      <c r="B23" s="173"/>
      <c r="C23" s="173"/>
      <c r="D23" s="173"/>
      <c r="E23" s="178"/>
      <c r="F23" s="178"/>
      <c r="G23" s="178"/>
      <c r="H23" s="178"/>
      <c r="I23" s="831"/>
      <c r="J23" s="594" t="str">
        <f>$E$10</f>
        <v>COMUNA 6 OFICIAL</v>
      </c>
      <c r="K23" s="279">
        <f>VLOOKUP($E$10,LC!$A$10:$AV$167,24,0)</f>
        <v>2.6666666666666661E-2</v>
      </c>
      <c r="L23" s="309">
        <f>VLOOKUP($E$10,LC!$A$10:$AV$167,25,0)</f>
        <v>0.41</v>
      </c>
      <c r="M23" s="456">
        <f>VLOOKUP($E$10,LC!$A$10:$AV$167,26,0)</f>
        <v>0.47666666666666663</v>
      </c>
      <c r="N23" s="457">
        <f>VLOOKUP($E$10,LC!$A$10:$AV$167,27,0)</f>
        <v>8.666666666666667E-2</v>
      </c>
      <c r="O23" s="180">
        <f t="shared" si="0"/>
        <v>0.43666666666666665</v>
      </c>
      <c r="P23" s="180"/>
      <c r="Q23" s="154"/>
      <c r="R23" s="825">
        <v>3</v>
      </c>
      <c r="S23" s="825" t="s">
        <v>727</v>
      </c>
      <c r="T23" s="824" t="s">
        <v>1068</v>
      </c>
      <c r="U23" s="824"/>
      <c r="V23" s="824"/>
      <c r="W23" s="824"/>
      <c r="X23" s="824"/>
      <c r="Y23" s="824"/>
      <c r="Z23" s="154"/>
    </row>
    <row r="24" spans="1:26" ht="20.100000000000001" customHeight="1" x14ac:dyDescent="0.3">
      <c r="A24" s="285"/>
      <c r="B24" s="286"/>
      <c r="C24" s="286"/>
      <c r="D24" s="286"/>
      <c r="E24" s="178"/>
      <c r="F24" s="178"/>
      <c r="G24" s="178"/>
      <c r="H24" s="178"/>
      <c r="I24" s="829">
        <v>2019</v>
      </c>
      <c r="J24" s="594" t="str">
        <f>$E$8</f>
        <v>INSTITUCION EDUCATIVA EDUARDO SANTOS</v>
      </c>
      <c r="K24" s="279">
        <f>VLOOKUP($E$8,LC!$A$10:$AV$167,33,0)</f>
        <v>0.01</v>
      </c>
      <c r="L24" s="309">
        <f>VLOOKUP($E$8,LC!$A$10:$AV$167,34,0)</f>
        <v>0.36</v>
      </c>
      <c r="M24" s="456">
        <f>VLOOKUP($E$8,LC!$A$10:$AV$167,35,0)</f>
        <v>0.55000000000000004</v>
      </c>
      <c r="N24" s="457">
        <f>VLOOKUP($E$8,LC!$A$10:$AV$167,36,0)</f>
        <v>0.08</v>
      </c>
      <c r="O24" s="180">
        <f t="shared" si="0"/>
        <v>0.37</v>
      </c>
      <c r="P24" s="180"/>
      <c r="Q24" s="154"/>
      <c r="R24" s="825"/>
      <c r="S24" s="825"/>
      <c r="T24" s="824"/>
      <c r="U24" s="824"/>
      <c r="V24" s="824"/>
      <c r="W24" s="824"/>
      <c r="X24" s="824"/>
      <c r="Y24" s="824"/>
      <c r="Z24" s="154"/>
    </row>
    <row r="25" spans="1:26" ht="20.100000000000001" customHeight="1" x14ac:dyDescent="0.3">
      <c r="A25" s="285"/>
      <c r="B25" s="286"/>
      <c r="C25" s="286"/>
      <c r="D25" s="286"/>
      <c r="E25" s="178"/>
      <c r="F25" s="178"/>
      <c r="G25" s="178"/>
      <c r="H25" s="178"/>
      <c r="I25" s="830"/>
      <c r="J25" s="594" t="str">
        <f>$E$9</f>
        <v>OFICIALES URBANOS DE SOACHA</v>
      </c>
      <c r="K25" s="279">
        <f>VLOOKUP($E$9,LC!$A$10:$AV$167,33,0)</f>
        <v>0.02</v>
      </c>
      <c r="L25" s="309">
        <f>VLOOKUP($E$9,LC!$A$10:$AV$167,34,0)</f>
        <v>0.35</v>
      </c>
      <c r="M25" s="456">
        <f>VLOOKUP($E$9,LC!$A$10:$AV$167,35,0)</f>
        <v>0.55000000000000004</v>
      </c>
      <c r="N25" s="457">
        <f>VLOOKUP($E$9,LC!$A$10:$AV$167,36,0)</f>
        <v>0.08</v>
      </c>
      <c r="O25" s="180">
        <f t="shared" si="0"/>
        <v>0.37</v>
      </c>
      <c r="P25" s="180"/>
      <c r="Q25" s="154"/>
      <c r="R25" s="825"/>
      <c r="S25" s="825"/>
      <c r="T25" s="824"/>
      <c r="U25" s="824"/>
      <c r="V25" s="824"/>
      <c r="W25" s="824"/>
      <c r="X25" s="824"/>
      <c r="Y25" s="824"/>
      <c r="Z25" s="154"/>
    </row>
    <row r="26" spans="1:26" ht="20.100000000000001" customHeight="1" x14ac:dyDescent="0.3">
      <c r="A26" s="173"/>
      <c r="B26" s="173"/>
      <c r="C26" s="173"/>
      <c r="D26" s="173"/>
      <c r="E26" s="178"/>
      <c r="F26" s="178"/>
      <c r="G26" s="178"/>
      <c r="H26" s="178"/>
      <c r="I26" s="831"/>
      <c r="J26" s="594" t="str">
        <f>$E$10</f>
        <v>COMUNA 6 OFICIAL</v>
      </c>
      <c r="K26" s="279">
        <f>VLOOKUP($E$10,LC!$A$10:$AV$167,33,0)</f>
        <v>2.3333333333333334E-2</v>
      </c>
      <c r="L26" s="309">
        <f>VLOOKUP($E$10,LC!$A$10:$AV$167,34,0)</f>
        <v>0.35666666666666663</v>
      </c>
      <c r="M26" s="456">
        <f>VLOOKUP($E$10,LC!$A$10:$AV$167,35,0)</f>
        <v>0.55000000000000004</v>
      </c>
      <c r="N26" s="457">
        <f>VLOOKUP($E$10,LC!$A$10:$AV$167,36,0)</f>
        <v>7.3333333333333348E-2</v>
      </c>
      <c r="O26" s="180">
        <f t="shared" si="0"/>
        <v>0.37999999999999995</v>
      </c>
      <c r="P26" s="180"/>
      <c r="Q26" s="154"/>
      <c r="R26" s="825"/>
      <c r="S26" s="825"/>
      <c r="T26" s="824"/>
      <c r="U26" s="824"/>
      <c r="V26" s="824"/>
      <c r="W26" s="824"/>
      <c r="X26" s="824"/>
      <c r="Y26" s="824"/>
      <c r="Z26" s="154"/>
    </row>
    <row r="27" spans="1:26" ht="20.100000000000001" customHeight="1" x14ac:dyDescent="0.3">
      <c r="A27" s="285"/>
      <c r="B27" s="286"/>
      <c r="C27" s="286"/>
      <c r="D27" s="286"/>
      <c r="E27" s="178"/>
      <c r="F27" s="178"/>
      <c r="G27" s="178"/>
      <c r="H27" s="178"/>
      <c r="I27" s="829">
        <v>2020</v>
      </c>
      <c r="J27" s="594" t="str">
        <f>$E$8</f>
        <v>INSTITUCION EDUCATIVA EDUARDO SANTOS</v>
      </c>
      <c r="K27" s="279">
        <f>VLOOKUP($E$8,LC!$A$10:$AV$167,42,0)</f>
        <v>0.06</v>
      </c>
      <c r="L27" s="309">
        <f>VLOOKUP($E$8,LC!$A$10:$AV$167,43,0)</f>
        <v>0.35</v>
      </c>
      <c r="M27" s="456">
        <f>VLOOKUP($E$8,LC!$A$10:$AV$167,44,0)</f>
        <v>0.48</v>
      </c>
      <c r="N27" s="457">
        <f>VLOOKUP($E$8,LC!$A$10:$AV$167,45,0)</f>
        <v>0.11</v>
      </c>
      <c r="O27" s="180">
        <f t="shared" si="0"/>
        <v>0.41</v>
      </c>
      <c r="P27" s="180"/>
      <c r="Q27" s="154"/>
      <c r="R27" s="825"/>
      <c r="S27" s="825"/>
      <c r="T27" s="824"/>
      <c r="U27" s="824"/>
      <c r="V27" s="824"/>
      <c r="W27" s="824"/>
      <c r="X27" s="824"/>
      <c r="Y27" s="824"/>
      <c r="Z27" s="154"/>
    </row>
    <row r="28" spans="1:26" ht="20.100000000000001" customHeight="1" x14ac:dyDescent="0.3">
      <c r="A28" s="285"/>
      <c r="B28" s="286"/>
      <c r="C28" s="286"/>
      <c r="D28" s="286"/>
      <c r="E28" s="178"/>
      <c r="F28" s="178"/>
      <c r="G28" s="178"/>
      <c r="H28" s="178"/>
      <c r="I28" s="830"/>
      <c r="J28" s="594" t="str">
        <f>$E$9</f>
        <v>OFICIALES URBANOS DE SOACHA</v>
      </c>
      <c r="K28" s="279">
        <f>VLOOKUP($E$9,LC!$A$10:$AV$167,42,0)</f>
        <v>0.02</v>
      </c>
      <c r="L28" s="309">
        <f>VLOOKUP($E$9,LC!$A$10:$AV$167,43,0)</f>
        <v>0.35</v>
      </c>
      <c r="M28" s="456">
        <f>VLOOKUP($E$9,LC!$A$10:$AV$167,44,0)</f>
        <v>0.56000000000000005</v>
      </c>
      <c r="N28" s="457">
        <f>VLOOKUP($E$9,LC!$A$10:$AV$167,45,0)</f>
        <v>7.0000000000000007E-2</v>
      </c>
      <c r="O28" s="180">
        <f t="shared" si="0"/>
        <v>0.37</v>
      </c>
      <c r="P28" s="180"/>
      <c r="Q28" s="154"/>
      <c r="R28" s="825"/>
      <c r="S28" s="825"/>
      <c r="T28" s="824"/>
      <c r="U28" s="824"/>
      <c r="V28" s="824"/>
      <c r="W28" s="824"/>
      <c r="X28" s="824"/>
      <c r="Y28" s="824"/>
      <c r="Z28" s="154"/>
    </row>
    <row r="29" spans="1:26" ht="20.100000000000001" customHeight="1" x14ac:dyDescent="0.3">
      <c r="A29" s="285"/>
      <c r="B29" s="286"/>
      <c r="C29" s="286"/>
      <c r="D29" s="286"/>
      <c r="E29" s="178"/>
      <c r="F29" s="178"/>
      <c r="G29" s="178"/>
      <c r="H29" s="178"/>
      <c r="I29" s="831"/>
      <c r="J29" s="594" t="str">
        <f>$E$10</f>
        <v>COMUNA 6 OFICIAL</v>
      </c>
      <c r="K29" s="279">
        <f>VLOOKUP($E$10,LC!$A$10:$AV$167,42,0)</f>
        <v>0.03</v>
      </c>
      <c r="L29" s="309">
        <f>VLOOKUP($E$10,LC!$A$10:$AV$167,43,0)</f>
        <v>0.36000000000000004</v>
      </c>
      <c r="M29" s="456">
        <f>VLOOKUP($E$10,LC!$A$10:$AV$167,44,0)</f>
        <v>0.53666666666666663</v>
      </c>
      <c r="N29" s="457">
        <f>VLOOKUP($E$10,LC!$A$10:$AV$167,45,0)</f>
        <v>7.6666666666666675E-2</v>
      </c>
      <c r="O29" s="180">
        <f t="shared" si="0"/>
        <v>0.39</v>
      </c>
      <c r="P29" s="180"/>
      <c r="Q29" s="154"/>
      <c r="R29" s="825"/>
      <c r="S29" s="825"/>
      <c r="T29" s="824"/>
      <c r="U29" s="824"/>
      <c r="V29" s="824"/>
      <c r="W29" s="824"/>
      <c r="X29" s="824"/>
      <c r="Y29" s="824"/>
      <c r="Z29" s="154"/>
    </row>
    <row r="30" spans="1:26" ht="20.100000000000001" customHeight="1" x14ac:dyDescent="0.3">
      <c r="A30" s="285"/>
      <c r="B30" s="286"/>
      <c r="C30" s="286"/>
      <c r="D30" s="286"/>
      <c r="E30" s="178"/>
      <c r="F30" s="178"/>
      <c r="G30" s="178"/>
      <c r="H30" s="178"/>
      <c r="I30" s="829">
        <v>2021</v>
      </c>
      <c r="J30" s="594" t="str">
        <f>$E$8</f>
        <v>INSTITUCION EDUCATIVA EDUARDO SANTOS</v>
      </c>
      <c r="K30" s="279">
        <f>VLOOKUP($E$8,LC!$A$10:$BG$167,53,0)</f>
        <v>0.03</v>
      </c>
      <c r="L30" s="309">
        <f>VLOOKUP($E$8,LC!$A$10:$BG$167,54,0)</f>
        <v>0.39</v>
      </c>
      <c r="M30" s="456">
        <f>VLOOKUP($E$8,LC!$A$10:$BG$167,55,0)</f>
        <v>0.49</v>
      </c>
      <c r="N30" s="457">
        <f>VLOOKUP($E$8,LC!$A$10:$BG$167,56,0)</f>
        <v>0.1</v>
      </c>
      <c r="O30" s="180">
        <f t="shared" si="0"/>
        <v>0.42000000000000004</v>
      </c>
      <c r="P30" s="180"/>
      <c r="Q30" s="154"/>
      <c r="R30" s="825"/>
      <c r="S30" s="825"/>
      <c r="T30" s="824"/>
      <c r="U30" s="824"/>
      <c r="V30" s="824"/>
      <c r="W30" s="824"/>
      <c r="X30" s="824"/>
      <c r="Y30" s="824"/>
      <c r="Z30" s="154"/>
    </row>
    <row r="31" spans="1:26" ht="20.100000000000001" customHeight="1" x14ac:dyDescent="0.3">
      <c r="A31" s="173"/>
      <c r="B31" s="173"/>
      <c r="C31" s="173"/>
      <c r="D31" s="173"/>
      <c r="E31" s="178"/>
      <c r="F31" s="178"/>
      <c r="G31" s="178"/>
      <c r="H31" s="178"/>
      <c r="I31" s="830"/>
      <c r="J31" s="594" t="str">
        <f>$E$9</f>
        <v>OFICIALES URBANOS DE SOACHA</v>
      </c>
      <c r="K31" s="279">
        <f>VLOOKUP($E$9,LC!$A$10:$BG$167,53,0)</f>
        <v>0.02</v>
      </c>
      <c r="L31" s="309">
        <f>VLOOKUP($E$9,LC!$A$10:$BG$167,54,0)</f>
        <v>0.37</v>
      </c>
      <c r="M31" s="456">
        <f>VLOOKUP($E$9,LC!$A$10:$BG$167,55,0)</f>
        <v>0.52</v>
      </c>
      <c r="N31" s="457">
        <f>VLOOKUP($E$9,LC!$A$10:$BG$167,56,0)</f>
        <v>0.09</v>
      </c>
      <c r="O31" s="180">
        <f t="shared" si="0"/>
        <v>0.39</v>
      </c>
      <c r="P31" s="180"/>
      <c r="Q31" s="154"/>
      <c r="R31" s="825"/>
      <c r="S31" s="825"/>
      <c r="T31" s="824"/>
      <c r="U31" s="824"/>
      <c r="V31" s="824"/>
      <c r="W31" s="824"/>
      <c r="X31" s="824"/>
      <c r="Y31" s="824"/>
      <c r="Z31" s="154"/>
    </row>
    <row r="32" spans="1:26" ht="20.100000000000001" customHeight="1" x14ac:dyDescent="0.3">
      <c r="A32" s="173"/>
      <c r="B32" s="173"/>
      <c r="C32" s="173"/>
      <c r="D32" s="173"/>
      <c r="E32" s="178"/>
      <c r="F32" s="178"/>
      <c r="G32" s="178"/>
      <c r="H32" s="178"/>
      <c r="I32" s="831"/>
      <c r="J32" s="594" t="str">
        <f>$E$10</f>
        <v>COMUNA 6 OFICIAL</v>
      </c>
      <c r="K32" s="279">
        <f>VLOOKUP($E$10,LC!$A$10:$BG$167,53,0)</f>
        <v>3.3333333333333333E-2</v>
      </c>
      <c r="L32" s="309">
        <f>VLOOKUP($E$10,LC!$A$10:$BG$167,54,0)</f>
        <v>0.39666666666666667</v>
      </c>
      <c r="M32" s="456">
        <f>VLOOKUP($E$10,LC!$A$10:$BG$167,55,0)</f>
        <v>0.5033333333333333</v>
      </c>
      <c r="N32" s="457">
        <f>VLOOKUP($E$10,LC!$A$10:$BG$167,56,0)</f>
        <v>7.3333333333333334E-2</v>
      </c>
      <c r="O32" s="180">
        <f t="shared" si="0"/>
        <v>0.43</v>
      </c>
      <c r="P32" s="276"/>
      <c r="Q32" s="154"/>
      <c r="R32" s="825"/>
      <c r="S32" s="825"/>
      <c r="T32" s="824"/>
      <c r="U32" s="824"/>
      <c r="V32" s="824"/>
      <c r="W32" s="824"/>
      <c r="X32" s="824"/>
      <c r="Y32" s="824"/>
      <c r="Z32" s="154"/>
    </row>
    <row r="33" spans="1:26" ht="19.8" customHeight="1" x14ac:dyDescent="0.35">
      <c r="A33" s="176"/>
      <c r="B33" s="181"/>
      <c r="C33" s="157"/>
      <c r="D33" s="268"/>
      <c r="E33" s="268"/>
      <c r="F33" s="268"/>
      <c r="G33" s="268"/>
      <c r="H33" s="268"/>
      <c r="I33" s="829">
        <v>2022</v>
      </c>
      <c r="J33" s="594" t="str">
        <f>$E$8</f>
        <v>INSTITUCION EDUCATIVA EDUARDO SANTOS</v>
      </c>
      <c r="K33" s="279">
        <f>VLOOKUP($E$8,LC!$A$10:$BR$167,64,0)</f>
        <v>0.01</v>
      </c>
      <c r="L33" s="309">
        <f>VLOOKUP($E$8,LC!$A$10:$BR$167,65,0)</f>
        <v>0.33</v>
      </c>
      <c r="M33" s="456">
        <f>VLOOKUP($E$8,LC!$A$10:$BR$167,66,0)</f>
        <v>0.6</v>
      </c>
      <c r="N33" s="457">
        <f>VLOOKUP($E$8,LC!$A$10:$BR$167,67,0)</f>
        <v>0.05</v>
      </c>
      <c r="O33" s="180">
        <f t="shared" ref="O33:O38" si="1">K33+L33</f>
        <v>0.34</v>
      </c>
      <c r="P33" s="173"/>
      <c r="Q33" s="154"/>
      <c r="R33" s="825"/>
      <c r="S33" s="825"/>
      <c r="T33" s="824"/>
      <c r="U33" s="824"/>
      <c r="V33" s="824"/>
      <c r="W33" s="824"/>
      <c r="X33" s="824"/>
      <c r="Y33" s="824"/>
      <c r="Z33" s="154"/>
    </row>
    <row r="34" spans="1:26" ht="19.8" customHeight="1" x14ac:dyDescent="0.35">
      <c r="A34" s="176"/>
      <c r="B34" s="181"/>
      <c r="C34" s="157"/>
      <c r="D34" s="268"/>
      <c r="E34" s="268"/>
      <c r="F34" s="268"/>
      <c r="G34" s="268"/>
      <c r="H34" s="268"/>
      <c r="I34" s="830"/>
      <c r="J34" s="594" t="str">
        <f>$E$9</f>
        <v>OFICIALES URBANOS DE SOACHA</v>
      </c>
      <c r="K34" s="279">
        <f>VLOOKUP($E$9,LC!$A$10:$BR$167,64,0)</f>
        <v>0.02</v>
      </c>
      <c r="L34" s="309">
        <f>VLOOKUP($E$9,LC!$A$10:$BR$167,65,0)</f>
        <v>0.34</v>
      </c>
      <c r="M34" s="456">
        <f>VLOOKUP($E$9,LC!$A$10:$BR$167,66,0)</f>
        <v>0.56000000000000005</v>
      </c>
      <c r="N34" s="457">
        <f>VLOOKUP($E$9,LC!$A$10:$BR$167,67,0)</f>
        <v>0.09</v>
      </c>
      <c r="O34" s="180">
        <f t="shared" si="1"/>
        <v>0.36000000000000004</v>
      </c>
      <c r="P34" s="173"/>
      <c r="Q34" s="154"/>
      <c r="R34" s="825"/>
      <c r="S34" s="825"/>
      <c r="T34" s="824"/>
      <c r="U34" s="824"/>
      <c r="V34" s="824"/>
      <c r="W34" s="824"/>
      <c r="X34" s="824"/>
      <c r="Y34" s="824"/>
      <c r="Z34" s="154"/>
    </row>
    <row r="35" spans="1:26" ht="19.8" customHeight="1" x14ac:dyDescent="0.35">
      <c r="A35" s="176"/>
      <c r="B35" s="181"/>
      <c r="C35" s="157"/>
      <c r="D35" s="268"/>
      <c r="E35" s="268"/>
      <c r="F35" s="268"/>
      <c r="G35" s="268"/>
      <c r="H35" s="268"/>
      <c r="I35" s="831"/>
      <c r="J35" s="594" t="str">
        <f>$E$10</f>
        <v>COMUNA 6 OFICIAL</v>
      </c>
      <c r="K35" s="279">
        <f>VLOOKUP($E$10,LC!$A$10:$BR$167,64,0)</f>
        <v>2.3333333333333334E-2</v>
      </c>
      <c r="L35" s="309">
        <f>VLOOKUP($E$10,LC!$A$10:$BR$167,65,0)</f>
        <v>0.35666666666666663</v>
      </c>
      <c r="M35" s="456">
        <f>VLOOKUP($E$10,LC!$A$10:$BR$167,66,0)</f>
        <v>0.54</v>
      </c>
      <c r="N35" s="457">
        <f>VLOOKUP($E$10,LC!$A$10:$BR$167,67,0)</f>
        <v>7.3333333333333334E-2</v>
      </c>
      <c r="O35" s="180">
        <f t="shared" si="1"/>
        <v>0.37999999999999995</v>
      </c>
      <c r="P35" s="173"/>
      <c r="Q35" s="154"/>
      <c r="R35" s="823">
        <v>4</v>
      </c>
      <c r="S35" s="823" t="s">
        <v>728</v>
      </c>
      <c r="T35" s="822" t="s">
        <v>1069</v>
      </c>
      <c r="U35" s="822"/>
      <c r="V35" s="822"/>
      <c r="W35" s="822"/>
      <c r="X35" s="822"/>
      <c r="Y35" s="822"/>
      <c r="Z35" s="154"/>
    </row>
    <row r="36" spans="1:26" ht="19.8" customHeight="1" x14ac:dyDescent="0.35">
      <c r="A36" s="176"/>
      <c r="B36" s="181"/>
      <c r="C36" s="157"/>
      <c r="D36" s="268"/>
      <c r="E36" s="268"/>
      <c r="F36" s="268"/>
      <c r="G36" s="268"/>
      <c r="H36" s="268"/>
      <c r="I36" s="829">
        <v>2023</v>
      </c>
      <c r="J36" s="594" t="str">
        <f>$E$8</f>
        <v>INSTITUCION EDUCATIVA EDUARDO SANTOS</v>
      </c>
      <c r="K36" s="279">
        <f>VLOOKUP($E$8,LC!$A$10:$CC$167,75,0)</f>
        <v>0.02</v>
      </c>
      <c r="L36" s="309">
        <f>VLOOKUP($E$8,LC!$A$10:$CC$167,76,0)</f>
        <v>0.39</v>
      </c>
      <c r="M36" s="456">
        <f>VLOOKUP($E$8,LC!$A$10:$CC$167,77,0)</f>
        <v>0.54</v>
      </c>
      <c r="N36" s="457">
        <f>VLOOKUP($E$8,LC!$A$10:$CC$167,78,0)</f>
        <v>0.05</v>
      </c>
      <c r="O36" s="180">
        <f t="shared" si="1"/>
        <v>0.41000000000000003</v>
      </c>
      <c r="P36" s="173"/>
      <c r="Q36" s="154"/>
      <c r="R36" s="823"/>
      <c r="S36" s="823"/>
      <c r="T36" s="822"/>
      <c r="U36" s="822"/>
      <c r="V36" s="822"/>
      <c r="W36" s="822"/>
      <c r="X36" s="822"/>
      <c r="Y36" s="822"/>
      <c r="Z36" s="154"/>
    </row>
    <row r="37" spans="1:26" ht="19.8" customHeight="1" x14ac:dyDescent="0.35">
      <c r="A37" s="176"/>
      <c r="B37" s="181"/>
      <c r="C37" s="157"/>
      <c r="D37" s="268"/>
      <c r="E37" s="268"/>
      <c r="F37" s="268"/>
      <c r="G37" s="268"/>
      <c r="H37" s="268"/>
      <c r="I37" s="830"/>
      <c r="J37" s="594" t="str">
        <f>$E$9</f>
        <v>OFICIALES URBANOS DE SOACHA</v>
      </c>
      <c r="K37" s="279">
        <f>VLOOKUP($E$9,LC!$A$10:$CC$167,75,0)</f>
        <v>0.02</v>
      </c>
      <c r="L37" s="309">
        <f>VLOOKUP($E$9,LC!$A$10:$CC$167,76,0)</f>
        <v>0.35</v>
      </c>
      <c r="M37" s="456">
        <f>VLOOKUP($E$9,LC!$A$10:$CC$167,77,0)</f>
        <v>0.55000000000000004</v>
      </c>
      <c r="N37" s="457">
        <f>VLOOKUP($E$9,LC!$A$10:$CC$167,78,0)</f>
        <v>0.08</v>
      </c>
      <c r="O37" s="180">
        <f t="shared" si="1"/>
        <v>0.37</v>
      </c>
      <c r="P37" s="173"/>
      <c r="Q37" s="154"/>
      <c r="R37" s="823"/>
      <c r="S37" s="823"/>
      <c r="T37" s="822"/>
      <c r="U37" s="822"/>
      <c r="V37" s="822"/>
      <c r="W37" s="822"/>
      <c r="X37" s="822"/>
      <c r="Y37" s="822"/>
      <c r="Z37" s="154"/>
    </row>
    <row r="38" spans="1:26" ht="19.8" customHeight="1" x14ac:dyDescent="0.35">
      <c r="A38" s="176"/>
      <c r="B38" s="181"/>
      <c r="C38" s="157"/>
      <c r="D38" s="268"/>
      <c r="E38" s="268"/>
      <c r="F38" s="268"/>
      <c r="G38" s="268"/>
      <c r="H38" s="268"/>
      <c r="I38" s="831"/>
      <c r="J38" s="594" t="str">
        <f>$E$10</f>
        <v>COMUNA 6 OFICIAL</v>
      </c>
      <c r="K38" s="279">
        <f>VLOOKUP($E$10,LC!$A$10:$CC$167,75,0)</f>
        <v>2.3333333333333334E-2</v>
      </c>
      <c r="L38" s="309">
        <f>VLOOKUP($E$10,LC!$A$10:$CC$167,76,0)</f>
        <v>0.38999999999999996</v>
      </c>
      <c r="M38" s="456">
        <f>VLOOKUP($E$10,LC!$A$10:$CC$167,77,0)</f>
        <v>0.53333333333333333</v>
      </c>
      <c r="N38" s="457">
        <f>VLOOKUP($E$10,LC!$A$10:$CC$167,78,0)</f>
        <v>4.9999999999999996E-2</v>
      </c>
      <c r="O38" s="180">
        <f t="shared" si="1"/>
        <v>0.41333333333333327</v>
      </c>
      <c r="P38" s="173"/>
      <c r="Q38" s="154"/>
      <c r="R38" s="823"/>
      <c r="S38" s="823"/>
      <c r="T38" s="822"/>
      <c r="U38" s="822"/>
      <c r="V38" s="822"/>
      <c r="W38" s="822"/>
      <c r="X38" s="822"/>
      <c r="Y38" s="822"/>
      <c r="Z38" s="154"/>
    </row>
    <row r="39" spans="1:26" ht="18" x14ac:dyDescent="0.35">
      <c r="A39" s="176"/>
      <c r="B39" s="181"/>
      <c r="C39" s="157"/>
      <c r="D39" s="268"/>
      <c r="E39" s="268"/>
      <c r="F39" s="268"/>
      <c r="G39" s="268"/>
      <c r="H39" s="268"/>
      <c r="I39" s="277"/>
      <c r="J39" s="277"/>
      <c r="K39" s="278"/>
      <c r="L39" s="173"/>
      <c r="M39" s="173"/>
      <c r="N39" s="173"/>
      <c r="O39" s="173"/>
      <c r="P39" s="173"/>
      <c r="Q39" s="154"/>
      <c r="R39" s="823"/>
      <c r="S39" s="823"/>
      <c r="T39" s="822"/>
      <c r="U39" s="822"/>
      <c r="V39" s="822"/>
      <c r="W39" s="822"/>
      <c r="X39" s="822"/>
      <c r="Y39" s="822"/>
      <c r="Z39" s="154"/>
    </row>
    <row r="40" spans="1:26" ht="18" x14ac:dyDescent="0.35">
      <c r="A40" s="176"/>
      <c r="B40" s="181"/>
      <c r="C40" s="157"/>
      <c r="D40" s="268"/>
      <c r="E40" s="268"/>
      <c r="F40" s="268"/>
      <c r="G40" s="268"/>
      <c r="H40" s="268"/>
      <c r="I40" s="277"/>
      <c r="J40" s="277"/>
      <c r="K40" s="278"/>
      <c r="L40" s="173"/>
      <c r="M40" s="173"/>
      <c r="N40" s="173"/>
      <c r="O40" s="173"/>
      <c r="P40" s="173"/>
      <c r="Q40" s="154"/>
      <c r="R40" s="823"/>
      <c r="S40" s="823"/>
      <c r="T40" s="822"/>
      <c r="U40" s="822"/>
      <c r="V40" s="822"/>
      <c r="W40" s="822"/>
      <c r="X40" s="822"/>
      <c r="Y40" s="822"/>
      <c r="Z40" s="154"/>
    </row>
    <row r="41" spans="1:26" ht="18" x14ac:dyDescent="0.35">
      <c r="A41" s="176"/>
      <c r="B41" s="181"/>
      <c r="C41" s="157"/>
      <c r="D41" s="268"/>
      <c r="E41" s="268"/>
      <c r="F41" s="268"/>
      <c r="G41" s="268"/>
      <c r="H41" s="268"/>
      <c r="I41" s="277"/>
      <c r="J41" s="277"/>
      <c r="K41" s="278"/>
      <c r="L41" s="173"/>
      <c r="M41" s="173"/>
      <c r="N41" s="173"/>
      <c r="O41" s="173"/>
      <c r="P41" s="173"/>
      <c r="Q41" s="154"/>
      <c r="R41" s="823"/>
      <c r="S41" s="823"/>
      <c r="T41" s="822"/>
      <c r="U41" s="822"/>
      <c r="V41" s="822"/>
      <c r="W41" s="822"/>
      <c r="X41" s="822"/>
      <c r="Y41" s="822"/>
      <c r="Z41" s="154"/>
    </row>
    <row r="42" spans="1:26" ht="18" x14ac:dyDescent="0.35">
      <c r="A42" s="176"/>
      <c r="B42" s="181"/>
      <c r="C42" s="157"/>
      <c r="D42" s="268"/>
      <c r="E42" s="268"/>
      <c r="F42" s="268"/>
      <c r="G42" s="268"/>
      <c r="H42" s="268"/>
      <c r="I42" s="277"/>
      <c r="J42" s="277"/>
      <c r="K42" s="278"/>
      <c r="L42" s="173"/>
      <c r="M42" s="173"/>
      <c r="N42" s="173"/>
      <c r="O42" s="173"/>
      <c r="P42" s="173"/>
      <c r="Q42" s="154"/>
      <c r="R42" s="823"/>
      <c r="S42" s="823"/>
      <c r="T42" s="822"/>
      <c r="U42" s="822"/>
      <c r="V42" s="822"/>
      <c r="W42" s="822"/>
      <c r="X42" s="822"/>
      <c r="Y42" s="822"/>
      <c r="Z42" s="154"/>
    </row>
    <row r="43" spans="1:26" ht="18" x14ac:dyDescent="0.35">
      <c r="A43" s="176"/>
      <c r="B43" s="181"/>
      <c r="C43" s="157"/>
      <c r="D43" s="268"/>
      <c r="E43" s="268"/>
      <c r="F43" s="268"/>
      <c r="G43" s="268"/>
      <c r="H43" s="268"/>
      <c r="I43" s="277"/>
      <c r="J43" s="277"/>
      <c r="K43" s="278"/>
      <c r="L43" s="173"/>
      <c r="M43" s="173"/>
      <c r="N43" s="173"/>
      <c r="O43" s="173"/>
      <c r="P43" s="173"/>
      <c r="Q43" s="154"/>
      <c r="R43" s="823"/>
      <c r="S43" s="823"/>
      <c r="T43" s="822"/>
      <c r="U43" s="822"/>
      <c r="V43" s="822"/>
      <c r="W43" s="822"/>
      <c r="X43" s="822"/>
      <c r="Y43" s="822"/>
      <c r="Z43" s="154"/>
    </row>
    <row r="44" spans="1:26" ht="18" x14ac:dyDescent="0.35">
      <c r="A44" s="176"/>
      <c r="B44" s="181"/>
      <c r="C44" s="157"/>
      <c r="D44" s="268"/>
      <c r="E44" s="268"/>
      <c r="F44" s="268"/>
      <c r="G44" s="268"/>
      <c r="H44" s="268"/>
      <c r="I44" s="277"/>
      <c r="J44" s="277"/>
      <c r="K44" s="278"/>
      <c r="L44" s="173"/>
      <c r="M44" s="173"/>
      <c r="N44" s="173"/>
      <c r="O44" s="173"/>
      <c r="P44" s="173"/>
      <c r="Q44" s="154"/>
      <c r="R44" s="823"/>
      <c r="S44" s="823"/>
      <c r="T44" s="822"/>
      <c r="U44" s="822"/>
      <c r="V44" s="822"/>
      <c r="W44" s="822"/>
      <c r="X44" s="822"/>
      <c r="Y44" s="822"/>
      <c r="Z44" s="154"/>
    </row>
    <row r="45" spans="1:26" ht="18" x14ac:dyDescent="0.35">
      <c r="A45" s="176"/>
      <c r="B45" s="181"/>
      <c r="C45" s="157"/>
      <c r="D45" s="268"/>
      <c r="E45" s="268"/>
      <c r="F45" s="268"/>
      <c r="G45" s="268"/>
      <c r="H45" s="268"/>
      <c r="I45" s="277"/>
      <c r="J45" s="277"/>
      <c r="K45" s="278"/>
      <c r="L45" s="173"/>
      <c r="M45" s="173"/>
      <c r="N45" s="173"/>
      <c r="O45" s="173"/>
      <c r="P45" s="173"/>
      <c r="Q45" s="154"/>
      <c r="R45" s="154"/>
      <c r="S45" s="154"/>
      <c r="T45" s="154"/>
      <c r="U45" s="154"/>
      <c r="V45" s="154"/>
      <c r="W45" s="154"/>
      <c r="X45" s="154"/>
      <c r="Y45" s="154"/>
      <c r="Z45" s="154"/>
    </row>
    <row r="46" spans="1:26" ht="18" x14ac:dyDescent="0.35">
      <c r="A46" s="176"/>
      <c r="B46" s="181"/>
      <c r="C46" s="157"/>
      <c r="D46" s="268"/>
      <c r="E46" s="268"/>
      <c r="F46" s="268"/>
      <c r="G46" s="268"/>
      <c r="H46" s="268"/>
      <c r="I46" s="277"/>
      <c r="J46" s="277"/>
      <c r="K46" s="278"/>
      <c r="L46" s="173"/>
      <c r="M46" s="173"/>
      <c r="N46" s="173"/>
      <c r="O46" s="173"/>
      <c r="P46" s="173"/>
      <c r="Q46" s="154"/>
      <c r="R46" s="154"/>
      <c r="S46" s="154"/>
      <c r="T46" s="154"/>
      <c r="U46" s="154"/>
      <c r="V46" s="154"/>
      <c r="W46" s="154"/>
      <c r="X46" s="154"/>
      <c r="Y46" s="154"/>
      <c r="Z46" s="154"/>
    </row>
    <row r="47" spans="1:26" ht="18" x14ac:dyDescent="0.35">
      <c r="A47" s="176"/>
      <c r="B47" s="181"/>
      <c r="C47" s="157"/>
      <c r="D47" s="268"/>
      <c r="E47" s="268"/>
      <c r="F47" s="268"/>
      <c r="G47" s="268"/>
      <c r="H47" s="268"/>
      <c r="I47" s="277"/>
      <c r="J47" s="277"/>
      <c r="K47" s="278"/>
      <c r="L47" s="173"/>
      <c r="M47" s="173"/>
      <c r="N47" s="173"/>
      <c r="O47" s="173"/>
      <c r="P47" s="173"/>
      <c r="Q47" s="154"/>
      <c r="R47" s="154"/>
      <c r="S47" s="154"/>
      <c r="T47" s="154"/>
      <c r="U47" s="154"/>
      <c r="V47" s="154"/>
      <c r="W47" s="154"/>
      <c r="X47" s="154"/>
      <c r="Y47" s="154"/>
      <c r="Z47" s="154"/>
    </row>
    <row r="48" spans="1:26" ht="18" x14ac:dyDescent="0.35">
      <c r="A48" s="176"/>
      <c r="B48" s="181"/>
      <c r="C48" s="157"/>
      <c r="D48" s="268"/>
      <c r="E48" s="268"/>
      <c r="F48" s="268"/>
      <c r="G48" s="268"/>
      <c r="H48" s="268"/>
      <c r="I48" s="277"/>
      <c r="J48" s="277"/>
      <c r="K48" s="278"/>
      <c r="L48" s="173"/>
      <c r="M48" s="173"/>
      <c r="N48" s="173"/>
      <c r="O48" s="173"/>
      <c r="P48" s="173"/>
      <c r="Q48" s="154"/>
      <c r="R48" s="154"/>
      <c r="S48" s="154"/>
      <c r="T48" s="154"/>
      <c r="U48" s="154"/>
      <c r="V48" s="154"/>
      <c r="W48" s="154"/>
      <c r="X48" s="154"/>
      <c r="Y48" s="154"/>
      <c r="Z48" s="154"/>
    </row>
    <row r="49" spans="1:26" ht="18" x14ac:dyDescent="0.35">
      <c r="A49" s="176"/>
      <c r="B49" s="181"/>
      <c r="C49" s="157"/>
      <c r="D49" s="268"/>
      <c r="E49" s="268"/>
      <c r="F49" s="268"/>
      <c r="G49" s="268"/>
      <c r="H49" s="268"/>
      <c r="I49" s="277"/>
      <c r="J49" s="277"/>
      <c r="K49" s="278"/>
      <c r="L49" s="173"/>
      <c r="M49" s="173"/>
      <c r="N49" s="173"/>
      <c r="O49" s="173"/>
      <c r="P49" s="173"/>
      <c r="Q49" s="154"/>
      <c r="R49" s="154"/>
      <c r="S49" s="154"/>
      <c r="T49" s="154"/>
      <c r="U49" s="154"/>
      <c r="V49" s="154"/>
      <c r="W49" s="154"/>
      <c r="X49" s="154"/>
      <c r="Y49" s="154"/>
      <c r="Z49" s="154"/>
    </row>
    <row r="50" spans="1:26" ht="18" x14ac:dyDescent="0.35">
      <c r="A50" s="176"/>
      <c r="B50" s="181"/>
      <c r="C50" s="157"/>
      <c r="D50" s="268"/>
      <c r="E50" s="268"/>
      <c r="F50" s="268"/>
      <c r="G50" s="268"/>
      <c r="H50" s="268"/>
      <c r="I50" s="277"/>
      <c r="J50" s="277"/>
      <c r="K50" s="278"/>
      <c r="L50" s="173"/>
      <c r="M50" s="173"/>
      <c r="N50" s="173"/>
      <c r="O50" s="173"/>
      <c r="P50" s="173"/>
      <c r="Q50" s="154"/>
      <c r="R50" s="154"/>
      <c r="S50" s="154"/>
      <c r="T50" s="154"/>
      <c r="U50" s="154"/>
      <c r="V50" s="154"/>
      <c r="W50" s="154"/>
      <c r="X50" s="154"/>
      <c r="Y50" s="154"/>
      <c r="Z50" s="154"/>
    </row>
    <row r="51" spans="1:26" ht="18" x14ac:dyDescent="0.35">
      <c r="A51" s="176"/>
      <c r="B51" s="181"/>
      <c r="C51" s="157"/>
      <c r="D51" s="268"/>
      <c r="E51" s="268"/>
      <c r="F51" s="268"/>
      <c r="G51" s="268"/>
      <c r="H51" s="268"/>
      <c r="I51" s="268"/>
      <c r="J51" s="268"/>
      <c r="K51" s="164"/>
      <c r="L51" s="154"/>
      <c r="M51" s="154"/>
      <c r="N51" s="154"/>
      <c r="O51" s="154"/>
      <c r="P51" s="154"/>
      <c r="Q51" s="154"/>
      <c r="R51" s="154"/>
      <c r="S51" s="154"/>
      <c r="T51" s="154"/>
      <c r="U51" s="154"/>
      <c r="V51" s="154"/>
      <c r="W51" s="154"/>
      <c r="X51" s="154"/>
      <c r="Y51" s="154"/>
      <c r="Z51" s="154"/>
    </row>
    <row r="52" spans="1:26" ht="18" x14ac:dyDescent="0.35">
      <c r="A52" s="176"/>
      <c r="B52" s="181"/>
      <c r="C52" s="157"/>
      <c r="D52" s="268"/>
      <c r="E52" s="268"/>
      <c r="F52" s="268"/>
      <c r="G52" s="268"/>
      <c r="H52" s="268"/>
      <c r="I52" s="268"/>
      <c r="J52" s="268"/>
      <c r="K52" s="164"/>
      <c r="L52" s="154"/>
      <c r="M52" s="154"/>
      <c r="N52" s="154"/>
      <c r="O52" s="154"/>
      <c r="P52" s="154"/>
      <c r="Q52" s="154"/>
      <c r="R52" s="154"/>
      <c r="S52" s="154"/>
      <c r="T52" s="154"/>
      <c r="U52" s="154"/>
      <c r="V52" s="154"/>
      <c r="W52" s="154"/>
      <c r="X52" s="154"/>
      <c r="Y52" s="154"/>
      <c r="Z52" s="154"/>
    </row>
    <row r="53" spans="1:26" ht="18" x14ac:dyDescent="0.35">
      <c r="A53" s="176"/>
      <c r="B53" s="181"/>
      <c r="C53" s="157"/>
      <c r="D53" s="268"/>
      <c r="E53" s="268"/>
      <c r="F53" s="268"/>
      <c r="G53" s="268"/>
      <c r="H53" s="268"/>
      <c r="I53" s="268"/>
      <c r="J53" s="268"/>
      <c r="K53" s="164"/>
      <c r="L53" s="154"/>
      <c r="M53" s="154"/>
      <c r="N53" s="154"/>
      <c r="O53" s="154"/>
      <c r="P53" s="154"/>
      <c r="Q53" s="154"/>
      <c r="R53" s="154"/>
      <c r="S53" s="154"/>
      <c r="T53" s="154"/>
      <c r="U53" s="154"/>
      <c r="V53" s="154"/>
      <c r="W53" s="154"/>
      <c r="X53" s="154"/>
      <c r="Y53" s="154"/>
      <c r="Z53" s="154"/>
    </row>
    <row r="54" spans="1:26" ht="18" x14ac:dyDescent="0.35">
      <c r="A54" s="176"/>
      <c r="B54" s="181"/>
      <c r="C54" s="157"/>
      <c r="D54" s="268"/>
      <c r="E54" s="268"/>
      <c r="F54" s="268"/>
      <c r="G54" s="268"/>
      <c r="H54" s="268"/>
      <c r="I54" s="268"/>
      <c r="J54" s="268"/>
      <c r="K54" s="164"/>
      <c r="L54" s="154"/>
      <c r="M54" s="154"/>
      <c r="N54" s="154"/>
      <c r="O54" s="154"/>
      <c r="P54" s="154"/>
      <c r="Q54" s="154"/>
      <c r="R54" s="154"/>
      <c r="S54" s="154"/>
      <c r="T54" s="154"/>
      <c r="U54" s="154"/>
      <c r="V54" s="154"/>
      <c r="W54" s="154"/>
      <c r="X54" s="154"/>
      <c r="Y54" s="154"/>
      <c r="Z54" s="154"/>
    </row>
    <row r="55" spans="1:26" ht="18" x14ac:dyDescent="0.35">
      <c r="A55" s="176"/>
      <c r="B55" s="181"/>
      <c r="C55" s="157"/>
      <c r="D55" s="268"/>
      <c r="E55" s="268"/>
      <c r="F55" s="268"/>
      <c r="G55" s="268"/>
      <c r="H55" s="268"/>
      <c r="I55" s="268"/>
      <c r="J55" s="268"/>
      <c r="K55" s="164"/>
      <c r="L55" s="154"/>
      <c r="M55" s="154"/>
      <c r="N55" s="154"/>
      <c r="O55" s="154"/>
      <c r="P55" s="154"/>
      <c r="Q55" s="154"/>
      <c r="R55" s="154"/>
      <c r="S55" s="154"/>
      <c r="T55" s="154"/>
      <c r="U55" s="154"/>
      <c r="V55" s="154"/>
      <c r="W55" s="154"/>
      <c r="X55" s="154"/>
      <c r="Y55" s="154"/>
      <c r="Z55" s="154"/>
    </row>
    <row r="56" spans="1:26" ht="18" x14ac:dyDescent="0.35">
      <c r="A56" s="176"/>
      <c r="B56" s="181"/>
      <c r="C56" s="157"/>
      <c r="D56" s="268"/>
      <c r="E56" s="268"/>
      <c r="F56" s="268"/>
      <c r="G56" s="268"/>
      <c r="H56" s="268"/>
      <c r="I56" s="268"/>
      <c r="J56" s="268"/>
      <c r="K56" s="164"/>
      <c r="L56" s="154"/>
      <c r="M56" s="154"/>
      <c r="N56" s="154"/>
      <c r="O56" s="154"/>
      <c r="P56" s="154"/>
      <c r="Q56" s="154"/>
      <c r="R56" s="154"/>
      <c r="S56" s="154"/>
      <c r="T56" s="154"/>
      <c r="U56" s="154"/>
      <c r="V56" s="154"/>
      <c r="W56" s="154"/>
      <c r="X56" s="154"/>
      <c r="Y56" s="154"/>
      <c r="Z56" s="154"/>
    </row>
    <row r="57" spans="1:26" ht="18" x14ac:dyDescent="0.35">
      <c r="A57" s="176"/>
      <c r="B57" s="181"/>
      <c r="C57" s="157"/>
      <c r="D57" s="268"/>
      <c r="E57" s="268"/>
      <c r="F57" s="268"/>
      <c r="G57" s="268"/>
      <c r="H57" s="268"/>
      <c r="I57" s="268"/>
      <c r="J57" s="268"/>
      <c r="K57" s="164"/>
      <c r="L57" s="154"/>
      <c r="M57" s="154"/>
      <c r="N57" s="154"/>
      <c r="O57" s="154"/>
      <c r="P57" s="154"/>
      <c r="Q57" s="154"/>
      <c r="R57" s="154"/>
      <c r="S57" s="154"/>
      <c r="T57" s="154"/>
      <c r="U57" s="154"/>
      <c r="V57" s="154"/>
      <c r="W57" s="154"/>
      <c r="X57" s="154"/>
      <c r="Y57" s="154"/>
      <c r="Z57" s="154"/>
    </row>
    <row r="58" spans="1:26" ht="18" x14ac:dyDescent="0.35">
      <c r="A58" s="176"/>
      <c r="B58" s="181"/>
      <c r="C58" s="157"/>
      <c r="D58" s="268"/>
      <c r="E58" s="268"/>
      <c r="F58" s="268"/>
      <c r="G58" s="268"/>
      <c r="H58" s="268"/>
      <c r="I58" s="268"/>
      <c r="J58" s="268"/>
      <c r="K58" s="164"/>
      <c r="L58" s="154"/>
      <c r="M58" s="154"/>
      <c r="N58" s="154"/>
      <c r="O58" s="154"/>
      <c r="P58" s="154"/>
      <c r="Q58" s="154"/>
      <c r="R58" s="154"/>
      <c r="S58" s="154"/>
      <c r="T58" s="154"/>
      <c r="U58" s="154"/>
      <c r="V58" s="154"/>
      <c r="W58" s="154"/>
      <c r="X58" s="154"/>
      <c r="Y58" s="154"/>
      <c r="Z58" s="154"/>
    </row>
    <row r="59" spans="1:26" ht="18" x14ac:dyDescent="0.35">
      <c r="A59" s="176"/>
      <c r="B59" s="181"/>
      <c r="C59" s="157"/>
      <c r="D59" s="268"/>
      <c r="E59" s="268"/>
      <c r="F59" s="268"/>
      <c r="G59" s="268"/>
      <c r="H59" s="268"/>
      <c r="I59" s="268"/>
      <c r="J59" s="268"/>
      <c r="K59" s="164"/>
      <c r="L59" s="154"/>
      <c r="M59" s="154"/>
      <c r="N59" s="154"/>
      <c r="O59" s="154"/>
      <c r="P59" s="154"/>
      <c r="Q59" s="154"/>
      <c r="R59" s="154"/>
      <c r="S59" s="154"/>
      <c r="T59" s="154"/>
      <c r="U59" s="154"/>
      <c r="V59" s="154"/>
      <c r="W59" s="154"/>
      <c r="X59" s="154"/>
      <c r="Y59" s="154"/>
      <c r="Z59" s="154"/>
    </row>
    <row r="60" spans="1:26" ht="18" x14ac:dyDescent="0.35">
      <c r="A60" s="176"/>
      <c r="B60" s="181"/>
      <c r="C60" s="157"/>
      <c r="D60" s="268"/>
      <c r="E60" s="268"/>
      <c r="F60" s="268"/>
      <c r="G60" s="268"/>
      <c r="H60" s="268"/>
      <c r="I60" s="268"/>
      <c r="J60" s="268"/>
      <c r="K60" s="164"/>
      <c r="L60" s="154"/>
      <c r="M60" s="154"/>
      <c r="N60" s="154"/>
      <c r="O60" s="154"/>
      <c r="P60" s="154"/>
      <c r="Q60" s="154"/>
      <c r="R60" s="154"/>
      <c r="S60" s="154"/>
      <c r="T60" s="154"/>
      <c r="U60" s="154"/>
      <c r="V60" s="154"/>
      <c r="W60" s="154"/>
      <c r="X60" s="154"/>
      <c r="Y60" s="154"/>
      <c r="Z60" s="154"/>
    </row>
    <row r="61" spans="1:26" ht="18" x14ac:dyDescent="0.35">
      <c r="A61" s="176"/>
      <c r="B61" s="181"/>
      <c r="C61" s="157"/>
      <c r="D61" s="268"/>
      <c r="E61" s="268"/>
      <c r="F61" s="268"/>
      <c r="G61" s="268"/>
      <c r="H61" s="268"/>
      <c r="I61" s="268"/>
      <c r="J61" s="268"/>
      <c r="K61" s="164"/>
      <c r="L61" s="154"/>
      <c r="M61" s="154"/>
      <c r="N61" s="154"/>
      <c r="O61" s="154"/>
      <c r="P61" s="154"/>
      <c r="Q61" s="154"/>
      <c r="R61" s="154"/>
      <c r="S61" s="154"/>
      <c r="T61" s="154"/>
      <c r="U61" s="154"/>
      <c r="V61" s="154"/>
      <c r="W61" s="154"/>
      <c r="X61" s="154"/>
      <c r="Y61" s="154"/>
      <c r="Z61" s="154"/>
    </row>
    <row r="62" spans="1:26" ht="18" x14ac:dyDescent="0.35">
      <c r="A62" s="176"/>
      <c r="B62" s="181"/>
      <c r="C62" s="157"/>
      <c r="D62" s="268"/>
      <c r="E62" s="268"/>
      <c r="F62" s="268"/>
      <c r="G62" s="268"/>
      <c r="H62" s="268"/>
      <c r="I62" s="268"/>
      <c r="J62" s="268"/>
      <c r="K62" s="164"/>
      <c r="L62" s="154"/>
      <c r="M62" s="154"/>
      <c r="N62" s="154"/>
      <c r="O62" s="154"/>
      <c r="P62" s="154"/>
      <c r="Q62" s="154"/>
      <c r="R62" s="154"/>
      <c r="S62" s="154"/>
      <c r="T62" s="154"/>
      <c r="U62" s="154"/>
      <c r="V62" s="154"/>
      <c r="W62" s="154"/>
      <c r="X62" s="154"/>
      <c r="Y62" s="154"/>
      <c r="Z62" s="154"/>
    </row>
    <row r="63" spans="1:26" ht="18" x14ac:dyDescent="0.35">
      <c r="A63" s="176"/>
      <c r="B63" s="181"/>
      <c r="C63" s="157"/>
      <c r="D63" s="268"/>
      <c r="E63" s="268"/>
      <c r="F63" s="268"/>
      <c r="G63" s="268"/>
      <c r="H63" s="268"/>
      <c r="I63" s="268"/>
      <c r="J63" s="268"/>
      <c r="K63" s="164"/>
      <c r="L63" s="154"/>
      <c r="M63" s="154"/>
      <c r="N63" s="154"/>
      <c r="O63" s="154"/>
      <c r="P63" s="154"/>
      <c r="Q63" s="154"/>
      <c r="R63" s="154"/>
      <c r="S63" s="154"/>
      <c r="T63" s="154"/>
      <c r="U63" s="154"/>
      <c r="V63" s="154"/>
      <c r="W63" s="154"/>
      <c r="X63" s="154"/>
      <c r="Y63" s="154"/>
      <c r="Z63" s="154"/>
    </row>
    <row r="64" spans="1:26" ht="18" x14ac:dyDescent="0.35">
      <c r="A64" s="176"/>
      <c r="B64" s="181"/>
      <c r="C64" s="157"/>
      <c r="D64" s="268"/>
      <c r="E64" s="268"/>
      <c r="F64" s="268"/>
      <c r="G64" s="268"/>
      <c r="H64" s="268"/>
      <c r="I64" s="268"/>
      <c r="J64" s="268"/>
      <c r="K64" s="164"/>
      <c r="L64" s="154"/>
      <c r="M64" s="154"/>
      <c r="N64" s="154"/>
      <c r="O64" s="154"/>
      <c r="P64" s="154"/>
      <c r="Q64" s="154"/>
      <c r="R64" s="154"/>
      <c r="S64" s="154"/>
      <c r="T64" s="154"/>
      <c r="U64" s="154"/>
      <c r="V64" s="154"/>
      <c r="W64" s="154"/>
      <c r="X64" s="154"/>
      <c r="Y64" s="154"/>
      <c r="Z64" s="154"/>
    </row>
    <row r="65" spans="1:26" ht="18" x14ac:dyDescent="0.35">
      <c r="A65" s="176"/>
      <c r="B65" s="181"/>
      <c r="C65" s="157"/>
      <c r="D65" s="268"/>
      <c r="E65" s="268"/>
      <c r="F65" s="268"/>
      <c r="G65" s="268"/>
      <c r="H65" s="268"/>
      <c r="I65" s="268"/>
      <c r="J65" s="268"/>
      <c r="K65" s="164"/>
      <c r="L65" s="154"/>
      <c r="M65" s="154"/>
      <c r="N65" s="154"/>
      <c r="O65" s="154"/>
      <c r="P65" s="154"/>
      <c r="Q65" s="154"/>
      <c r="R65" s="154"/>
      <c r="S65" s="154"/>
      <c r="T65" s="154"/>
      <c r="U65" s="154"/>
      <c r="V65" s="154"/>
      <c r="W65" s="154"/>
      <c r="X65" s="154"/>
      <c r="Y65" s="154"/>
      <c r="Z65" s="154"/>
    </row>
    <row r="66" spans="1:26" x14ac:dyDescent="0.3">
      <c r="A66" s="175"/>
      <c r="B66" s="175"/>
      <c r="C66" s="154"/>
      <c r="D66" s="154"/>
      <c r="E66" s="154"/>
      <c r="F66" s="154"/>
      <c r="G66" s="154"/>
      <c r="H66" s="154"/>
      <c r="I66" s="154"/>
      <c r="J66" s="154"/>
      <c r="K66" s="154"/>
      <c r="L66" s="154"/>
      <c r="M66" s="154"/>
      <c r="N66" s="154"/>
      <c r="O66" s="154"/>
      <c r="P66" s="154"/>
      <c r="Q66" s="154"/>
      <c r="R66" s="154"/>
      <c r="S66" s="154"/>
      <c r="T66" s="154"/>
      <c r="U66" s="154"/>
      <c r="V66" s="154"/>
      <c r="W66" s="154"/>
      <c r="X66" s="154"/>
      <c r="Y66" s="154"/>
      <c r="Z66" s="154"/>
    </row>
    <row r="67" spans="1:26" ht="29.25" customHeight="1" x14ac:dyDescent="0.35">
      <c r="A67" s="175"/>
      <c r="B67" s="175"/>
      <c r="C67" s="292"/>
      <c r="D67" s="154"/>
      <c r="E67" s="154"/>
      <c r="F67" s="154"/>
      <c r="G67" s="154"/>
      <c r="H67" s="154"/>
      <c r="I67" s="154"/>
      <c r="J67" s="154"/>
      <c r="K67" s="154"/>
      <c r="L67" s="154"/>
      <c r="M67" s="154"/>
      <c r="N67" s="154"/>
      <c r="O67" s="154"/>
      <c r="P67" s="154"/>
      <c r="Q67" s="154"/>
      <c r="R67" s="821" t="s">
        <v>1076</v>
      </c>
      <c r="S67" s="821"/>
      <c r="T67" s="821"/>
      <c r="U67" s="821"/>
      <c r="V67" s="821"/>
      <c r="W67" s="821"/>
      <c r="X67" s="821"/>
      <c r="Y67" s="821"/>
      <c r="Z67" s="154"/>
    </row>
    <row r="68" spans="1:26" ht="39.6" customHeight="1" x14ac:dyDescent="0.35">
      <c r="A68" s="175"/>
      <c r="B68" s="175"/>
      <c r="C68" s="292"/>
      <c r="D68" s="154"/>
      <c r="E68" s="154"/>
      <c r="F68" s="154"/>
      <c r="G68" s="154"/>
      <c r="H68" s="154"/>
      <c r="I68" s="154"/>
      <c r="J68" s="154"/>
      <c r="K68" s="154"/>
      <c r="L68" s="154"/>
      <c r="M68" s="154"/>
      <c r="N68" s="154"/>
      <c r="O68" s="154"/>
      <c r="P68" s="268"/>
      <c r="Q68" s="154"/>
      <c r="R68" s="589" t="s">
        <v>1063</v>
      </c>
      <c r="S68" s="589" t="s">
        <v>1064</v>
      </c>
      <c r="T68" s="826" t="s">
        <v>1065</v>
      </c>
      <c r="U68" s="826"/>
      <c r="V68" s="826"/>
      <c r="W68" s="826"/>
      <c r="X68" s="826"/>
      <c r="Y68" s="826"/>
      <c r="Z68" s="154"/>
    </row>
    <row r="69" spans="1:26" ht="29.25" customHeight="1" x14ac:dyDescent="0.3">
      <c r="A69" s="175"/>
      <c r="B69" s="775" t="s">
        <v>733</v>
      </c>
      <c r="C69" s="775"/>
      <c r="D69" s="775"/>
      <c r="E69" s="775"/>
      <c r="F69" s="775"/>
      <c r="G69" s="154"/>
      <c r="H69" s="154"/>
      <c r="I69" s="839" t="s">
        <v>885</v>
      </c>
      <c r="J69" s="839"/>
      <c r="K69" s="839"/>
      <c r="L69" s="839"/>
      <c r="M69" s="839"/>
      <c r="N69" s="839"/>
      <c r="O69" s="154"/>
      <c r="P69" s="179"/>
      <c r="Q69" s="154"/>
      <c r="R69" s="825">
        <v>1</v>
      </c>
      <c r="S69" s="827" t="s">
        <v>725</v>
      </c>
      <c r="T69" s="828" t="s">
        <v>1072</v>
      </c>
      <c r="U69" s="828"/>
      <c r="V69" s="828"/>
      <c r="W69" s="828"/>
      <c r="X69" s="828"/>
      <c r="Y69" s="828"/>
      <c r="Z69" s="154"/>
    </row>
    <row r="70" spans="1:26" ht="43.5" customHeight="1" x14ac:dyDescent="0.35">
      <c r="A70" s="175"/>
      <c r="B70" s="305" t="s">
        <v>405</v>
      </c>
      <c r="C70" s="306" t="str">
        <f>E8</f>
        <v>INSTITUCION EDUCATIVA EDUARDO SANTOS</v>
      </c>
      <c r="D70" s="771" t="str">
        <f>$E$9</f>
        <v>OFICIALES URBANOS DE SOACHA</v>
      </c>
      <c r="E70" s="771"/>
      <c r="F70" s="307" t="str">
        <f>$E$10</f>
        <v>COMUNA 6 OFICIAL</v>
      </c>
      <c r="G70" s="154"/>
      <c r="H70" s="154"/>
      <c r="I70" s="843" t="s">
        <v>405</v>
      </c>
      <c r="J70" s="843" t="s">
        <v>407</v>
      </c>
      <c r="K70" s="295" t="s">
        <v>725</v>
      </c>
      <c r="L70" s="296" t="s">
        <v>726</v>
      </c>
      <c r="M70" s="297" t="s">
        <v>731</v>
      </c>
      <c r="N70" s="298" t="s">
        <v>732</v>
      </c>
      <c r="O70" s="268" t="s">
        <v>729</v>
      </c>
      <c r="P70" s="164"/>
      <c r="Q70" s="154"/>
      <c r="R70" s="825"/>
      <c r="S70" s="827"/>
      <c r="T70" s="828"/>
      <c r="U70" s="828"/>
      <c r="V70" s="828"/>
      <c r="W70" s="828"/>
      <c r="X70" s="828"/>
      <c r="Y70" s="828"/>
      <c r="Z70" s="154"/>
    </row>
    <row r="71" spans="1:26" ht="21.6" customHeight="1" x14ac:dyDescent="0.3">
      <c r="A71" s="175"/>
      <c r="B71" s="293">
        <v>2016</v>
      </c>
      <c r="C71" s="273">
        <f>VLOOKUP($E$8,MATE!$A$10:$AV$167,4,0)</f>
        <v>51</v>
      </c>
      <c r="D71" s="768">
        <f>VLOOKUP($E$9,MATE!$A$10:$AV$167,4,0)</f>
        <v>51</v>
      </c>
      <c r="E71" s="768"/>
      <c r="F71" s="273">
        <f>VLOOKUP($E$10,MATE!$A$10:$AV$167,4,0)</f>
        <v>51</v>
      </c>
      <c r="G71" s="154"/>
      <c r="H71" s="154"/>
      <c r="I71" s="844"/>
      <c r="J71" s="844"/>
      <c r="K71" s="299">
        <v>1</v>
      </c>
      <c r="L71" s="300">
        <v>2</v>
      </c>
      <c r="M71" s="301">
        <v>3</v>
      </c>
      <c r="N71" s="302">
        <v>4</v>
      </c>
      <c r="O71" s="179" t="s">
        <v>889</v>
      </c>
      <c r="P71" s="164"/>
      <c r="Q71" s="154"/>
      <c r="R71" s="825"/>
      <c r="S71" s="827"/>
      <c r="T71" s="828"/>
      <c r="U71" s="828"/>
      <c r="V71" s="828"/>
      <c r="W71" s="828"/>
      <c r="X71" s="828"/>
      <c r="Y71" s="828"/>
      <c r="Z71" s="154"/>
    </row>
    <row r="72" spans="1:26" ht="21.6" customHeight="1" x14ac:dyDescent="0.3">
      <c r="A72" s="175"/>
      <c r="B72" s="293">
        <v>2017</v>
      </c>
      <c r="C72" s="273">
        <f>VLOOKUP($E$8,MATE!$A$10:$AV$167,13,0)</f>
        <v>51</v>
      </c>
      <c r="D72" s="768">
        <f>VLOOKUP($E$9,MATE!$A$10:$AV$167,13,0)</f>
        <v>51</v>
      </c>
      <c r="E72" s="768"/>
      <c r="F72" s="273">
        <f>VLOOKUP($E$10,MATE!$A$10:$AV$167,13,0)</f>
        <v>51.333333333333336</v>
      </c>
      <c r="G72" s="154"/>
      <c r="H72" s="154"/>
      <c r="I72" s="834">
        <v>2016</v>
      </c>
      <c r="J72" s="455" t="str">
        <f>$E$8</f>
        <v>INSTITUCION EDUCATIVA EDUARDO SANTOS</v>
      </c>
      <c r="K72" s="279">
        <f>VLOOKUP($E$8,MATE!$A$10:$AV$167,6,0)</f>
        <v>0.06</v>
      </c>
      <c r="L72" s="309">
        <f>VLOOKUP($E$8,MATE!$A$10:$AV$167,7,0)</f>
        <v>0.42</v>
      </c>
      <c r="M72" s="456">
        <f>VLOOKUP($E$8,MATE!$A$10:$AV$167,8,0)</f>
        <v>0.51</v>
      </c>
      <c r="N72" s="457">
        <f>VLOOKUP($E$8,MATE!$A$10:$AV$167,9,0)</f>
        <v>0.01</v>
      </c>
      <c r="O72" s="164">
        <f t="shared" ref="O72:O89" si="2">K72+L72</f>
        <v>0.48</v>
      </c>
      <c r="P72" s="164"/>
      <c r="Q72" s="154"/>
      <c r="R72" s="809">
        <v>2</v>
      </c>
      <c r="S72" s="809" t="s">
        <v>726</v>
      </c>
      <c r="T72" s="812" t="s">
        <v>1073</v>
      </c>
      <c r="U72" s="813"/>
      <c r="V72" s="813"/>
      <c r="W72" s="813"/>
      <c r="X72" s="813"/>
      <c r="Y72" s="814"/>
      <c r="Z72" s="154"/>
    </row>
    <row r="73" spans="1:26" ht="21" x14ac:dyDescent="0.3">
      <c r="A73" s="175"/>
      <c r="B73" s="293">
        <v>2018</v>
      </c>
      <c r="C73" s="273">
        <f>VLOOKUP($E$8,MATE!$A$10:$AV$167,22,0)</f>
        <v>50</v>
      </c>
      <c r="D73" s="768">
        <f>VLOOKUP($E$9,MATE!$A$10:$AV$167,22,0)</f>
        <v>51</v>
      </c>
      <c r="E73" s="768"/>
      <c r="F73" s="273">
        <f>VLOOKUP($E$10,MATE!$A$10:$AV$167,22,0)</f>
        <v>51</v>
      </c>
      <c r="G73" s="154"/>
      <c r="H73" s="154"/>
      <c r="I73" s="835"/>
      <c r="J73" s="455" t="str">
        <f>$E$9</f>
        <v>OFICIALES URBANOS DE SOACHA</v>
      </c>
      <c r="K73" s="279">
        <f>VLOOKUP($E$9,MATE!$A$10:$AV$167,6,0)</f>
        <v>0.05</v>
      </c>
      <c r="L73" s="309">
        <f>VLOOKUP($E$9,MATE!$A$10:$AV$167,7,0)</f>
        <v>0.44</v>
      </c>
      <c r="M73" s="456">
        <f>VLOOKUP($E$9,MATE!$A$10:$AV$167,8,0)</f>
        <v>0.5</v>
      </c>
      <c r="N73" s="457">
        <f>VLOOKUP($E$9,MATE!$A$10:$AV$167,9,0)</f>
        <v>0.02</v>
      </c>
      <c r="O73" s="164">
        <f t="shared" si="2"/>
        <v>0.49</v>
      </c>
      <c r="P73" s="164"/>
      <c r="Q73" s="154"/>
      <c r="R73" s="810"/>
      <c r="S73" s="810"/>
      <c r="T73" s="815"/>
      <c r="U73" s="816"/>
      <c r="V73" s="816"/>
      <c r="W73" s="816"/>
      <c r="X73" s="816"/>
      <c r="Y73" s="817"/>
      <c r="Z73" s="154"/>
    </row>
    <row r="74" spans="1:26" ht="21" x14ac:dyDescent="0.3">
      <c r="A74" s="175"/>
      <c r="B74" s="293">
        <v>2019</v>
      </c>
      <c r="C74" s="273">
        <f>VLOOKUP($E$8,MATE!$A$10:$AV$167,31,0)</f>
        <v>52</v>
      </c>
      <c r="D74" s="768">
        <f>VLOOKUP($E$9,MATE!$A$10:$AV$167,31,0)</f>
        <v>51</v>
      </c>
      <c r="E74" s="768"/>
      <c r="F74" s="273">
        <f>VLOOKUP($E$10,MATE!$A$10:$AV$167,31,0)</f>
        <v>52</v>
      </c>
      <c r="G74" s="154"/>
      <c r="H74" s="154"/>
      <c r="I74" s="836"/>
      <c r="J74" s="455" t="str">
        <f>$E$10</f>
        <v>COMUNA 6 OFICIAL</v>
      </c>
      <c r="K74" s="279">
        <f>VLOOKUP($E$10,MATE!$A$10:$AV$167,6,0)</f>
        <v>3.3333333333333333E-2</v>
      </c>
      <c r="L74" s="309">
        <f>VLOOKUP($E$10,MATE!$A$10:$AV$167,7,0)</f>
        <v>0.48666666666666664</v>
      </c>
      <c r="M74" s="456">
        <f>VLOOKUP($E$10,MATE!$A$10:$AV$167,8,0)</f>
        <v>0.47</v>
      </c>
      <c r="N74" s="457">
        <f>VLOOKUP($E$10,MATE!$A$10:$AV$167,9,0)</f>
        <v>0.01</v>
      </c>
      <c r="O74" s="164">
        <f t="shared" si="2"/>
        <v>0.52</v>
      </c>
      <c r="P74" s="164"/>
      <c r="Q74" s="154"/>
      <c r="R74" s="810"/>
      <c r="S74" s="810"/>
      <c r="T74" s="815"/>
      <c r="U74" s="816"/>
      <c r="V74" s="816"/>
      <c r="W74" s="816"/>
      <c r="X74" s="816"/>
      <c r="Y74" s="817"/>
      <c r="Z74" s="154"/>
    </row>
    <row r="75" spans="1:26" ht="21" x14ac:dyDescent="0.3">
      <c r="A75" s="175"/>
      <c r="B75" s="293">
        <v>2020</v>
      </c>
      <c r="C75" s="273">
        <f>VLOOKUP($E$8,MATE!$A$10:$AV$167,40,0)</f>
        <v>53</v>
      </c>
      <c r="D75" s="768">
        <f>VLOOKUP($E$9,MATE!$A$10:$AV$167,40,0)</f>
        <v>52</v>
      </c>
      <c r="E75" s="768"/>
      <c r="F75" s="273">
        <f>VLOOKUP($E$10,MATE!$A$10:$AV$167,40,0)</f>
        <v>52.666666666666664</v>
      </c>
      <c r="G75" s="154"/>
      <c r="H75" s="154"/>
      <c r="I75" s="834">
        <v>2017</v>
      </c>
      <c r="J75" s="455" t="str">
        <f>$E$8</f>
        <v>INSTITUCION EDUCATIVA EDUARDO SANTOS</v>
      </c>
      <c r="K75" s="279">
        <f>VLOOKUP($E$8,MATE!$A$10:$AV$167,15,0)</f>
        <v>0.06</v>
      </c>
      <c r="L75" s="309">
        <f>VLOOKUP($E$8,MATE!$A$10:$AV$167,16,0)</f>
        <v>0.42</v>
      </c>
      <c r="M75" s="456">
        <f>VLOOKUP($E$8,MATE!$A$10:$AV$167,17,0)</f>
        <v>0.5</v>
      </c>
      <c r="N75" s="457">
        <f>VLOOKUP($E$8,MATE!$A$10:$AV$167,18,0)</f>
        <v>0.02</v>
      </c>
      <c r="O75" s="164">
        <f t="shared" si="2"/>
        <v>0.48</v>
      </c>
      <c r="P75" s="164"/>
      <c r="Q75" s="154"/>
      <c r="R75" s="810"/>
      <c r="S75" s="810"/>
      <c r="T75" s="815"/>
      <c r="U75" s="816"/>
      <c r="V75" s="816"/>
      <c r="W75" s="816"/>
      <c r="X75" s="816"/>
      <c r="Y75" s="817"/>
      <c r="Z75" s="154"/>
    </row>
    <row r="76" spans="1:26" ht="21" x14ac:dyDescent="0.3">
      <c r="A76" s="175"/>
      <c r="B76" s="293">
        <v>2021</v>
      </c>
      <c r="C76" s="273">
        <f>VLOOKUP($E$8,MATE!$A$10:$BG$167,49,0)</f>
        <v>51</v>
      </c>
      <c r="D76" s="768">
        <f>VLOOKUP($E$9,MATE!$A$10:$BG$167,49,0)</f>
        <v>50</v>
      </c>
      <c r="E76" s="768"/>
      <c r="F76" s="273">
        <f>VLOOKUP($E$10,MATE!$A$10:$BG$167,49,0)</f>
        <v>50.333333333333336</v>
      </c>
      <c r="G76" s="154"/>
      <c r="H76" s="154"/>
      <c r="I76" s="835"/>
      <c r="J76" s="455" t="str">
        <f>$E$9</f>
        <v>OFICIALES URBANOS DE SOACHA</v>
      </c>
      <c r="K76" s="279">
        <f>VLOOKUP($E$9,MATE!$A$10:$AV$167,15,0)</f>
        <v>0.06</v>
      </c>
      <c r="L76" s="309">
        <f>VLOOKUP($E$9,MATE!$A$10:$AV$167,16,0)</f>
        <v>0.42</v>
      </c>
      <c r="M76" s="456">
        <f>VLOOKUP($E$9,MATE!$A$10:$AV$167,17,0)</f>
        <v>0.5</v>
      </c>
      <c r="N76" s="457">
        <f>VLOOKUP($E$9,MATE!$A$10:$AV$167,18,0)</f>
        <v>0.02</v>
      </c>
      <c r="O76" s="164">
        <f t="shared" si="2"/>
        <v>0.48</v>
      </c>
      <c r="P76" s="164"/>
      <c r="Q76" s="154"/>
      <c r="R76" s="810"/>
      <c r="S76" s="810"/>
      <c r="T76" s="815"/>
      <c r="U76" s="816"/>
      <c r="V76" s="816"/>
      <c r="W76" s="816"/>
      <c r="X76" s="816"/>
      <c r="Y76" s="817"/>
      <c r="Z76" s="154"/>
    </row>
    <row r="77" spans="1:26" ht="21" x14ac:dyDescent="0.3">
      <c r="A77" s="175"/>
      <c r="B77" s="293">
        <v>2022</v>
      </c>
      <c r="C77" s="273">
        <f>VLOOKUP($E$8,MATE!$A$10:$BR$167,60,0)</f>
        <v>54</v>
      </c>
      <c r="D77" s="768">
        <f>VLOOKUP($E$9,MATE!$A$10:$BR$167,60,0)</f>
        <v>51</v>
      </c>
      <c r="E77" s="768"/>
      <c r="F77" s="273">
        <f>VLOOKUP($E$10,MATE!$A$10:$BR$167,60,0)</f>
        <v>51.333333333333336</v>
      </c>
      <c r="G77" s="154"/>
      <c r="H77" s="154"/>
      <c r="I77" s="836"/>
      <c r="J77" s="455" t="str">
        <f>$E$10</f>
        <v>COMUNA 6 OFICIAL</v>
      </c>
      <c r="K77" s="279">
        <f>VLOOKUP($E$10,MATE!$A$10:$AV$167,15,0)</f>
        <v>5.000000000000001E-2</v>
      </c>
      <c r="L77" s="309">
        <f>VLOOKUP($E$10,MATE!$A$10:$AV$167,16,0)</f>
        <v>0.41</v>
      </c>
      <c r="M77" s="456">
        <f>VLOOKUP($E$10,MATE!$A$10:$AV$167,17,0)</f>
        <v>0.52333333333333332</v>
      </c>
      <c r="N77" s="457">
        <f>VLOOKUP($E$10,MATE!$A$10:$AV$167,18,0)</f>
        <v>0.02</v>
      </c>
      <c r="O77" s="164">
        <f t="shared" si="2"/>
        <v>0.45999999999999996</v>
      </c>
      <c r="P77" s="164"/>
      <c r="Q77" s="154"/>
      <c r="R77" s="810"/>
      <c r="S77" s="810"/>
      <c r="T77" s="815"/>
      <c r="U77" s="816"/>
      <c r="V77" s="816"/>
      <c r="W77" s="816"/>
      <c r="X77" s="816"/>
      <c r="Y77" s="817"/>
      <c r="Z77" s="154"/>
    </row>
    <row r="78" spans="1:26" ht="21" x14ac:dyDescent="0.3">
      <c r="A78" s="175"/>
      <c r="B78" s="293">
        <v>2023</v>
      </c>
      <c r="C78" s="646">
        <f>VLOOKUP($E$8,MATE!$A$10:$CC$167,71,0)</f>
        <v>53</v>
      </c>
      <c r="D78" s="768">
        <f>VLOOKUP($E$9,MATE!$A$10:$CC$167,71,0)</f>
        <v>51</v>
      </c>
      <c r="E78" s="768"/>
      <c r="F78" s="646">
        <f>VLOOKUP($E$10,MATE!$A$10:$CC$167,71,0)</f>
        <v>51</v>
      </c>
      <c r="G78" s="154"/>
      <c r="H78" s="154"/>
      <c r="I78" s="834">
        <v>2018</v>
      </c>
      <c r="J78" s="455" t="str">
        <f>$E$8</f>
        <v>INSTITUCION EDUCATIVA EDUARDO SANTOS</v>
      </c>
      <c r="K78" s="279">
        <f>VLOOKUP($E$8,MATE!$A$10:$AV$167,24,0)</f>
        <v>0.05</v>
      </c>
      <c r="L78" s="309">
        <f>VLOOKUP($E$8,MATE!$A$10:$AV$167,25,0)</f>
        <v>0.49</v>
      </c>
      <c r="M78" s="456">
        <f>VLOOKUP($E$8,MATE!$A$10:$AV$167,26,0)</f>
        <v>0.45</v>
      </c>
      <c r="N78" s="457">
        <f>VLOOKUP($E$8,MATE!$A$10:$AV$167,27,0)</f>
        <v>0.01</v>
      </c>
      <c r="O78" s="164">
        <f t="shared" si="2"/>
        <v>0.54</v>
      </c>
      <c r="P78" s="164"/>
      <c r="Q78" s="154"/>
      <c r="R78" s="810"/>
      <c r="S78" s="810"/>
      <c r="T78" s="815"/>
      <c r="U78" s="816"/>
      <c r="V78" s="816"/>
      <c r="W78" s="816"/>
      <c r="X78" s="816"/>
      <c r="Y78" s="817"/>
      <c r="Z78" s="154"/>
    </row>
    <row r="79" spans="1:26" ht="21.6" customHeight="1" x14ac:dyDescent="0.3">
      <c r="A79" s="175"/>
      <c r="B79" s="154"/>
      <c r="C79" s="154"/>
      <c r="D79" s="286"/>
      <c r="E79" s="286"/>
      <c r="F79" s="154"/>
      <c r="G79" s="154"/>
      <c r="H79" s="154"/>
      <c r="I79" s="835"/>
      <c r="J79" s="455" t="str">
        <f>$E$9</f>
        <v>OFICIALES URBANOS DE SOACHA</v>
      </c>
      <c r="K79" s="279">
        <f>VLOOKUP($E$9,MATE!$A$10:$AV$167,24,0)</f>
        <v>0.06</v>
      </c>
      <c r="L79" s="309">
        <f>VLOOKUP($E$9,MATE!$A$10:$AV$167,25,0)</f>
        <v>0.43</v>
      </c>
      <c r="M79" s="456">
        <f>VLOOKUP($E$9,MATE!$A$10:$AV$167,26,0)</f>
        <v>0.5</v>
      </c>
      <c r="N79" s="457">
        <f>VLOOKUP($E$9,MATE!$A$10:$AV$167,27,0)</f>
        <v>0.01</v>
      </c>
      <c r="O79" s="164">
        <f t="shared" si="2"/>
        <v>0.49</v>
      </c>
      <c r="P79" s="164"/>
      <c r="Q79" s="154"/>
      <c r="R79" s="810"/>
      <c r="S79" s="810"/>
      <c r="T79" s="815"/>
      <c r="U79" s="816"/>
      <c r="V79" s="816"/>
      <c r="W79" s="816"/>
      <c r="X79" s="816"/>
      <c r="Y79" s="817"/>
      <c r="Z79" s="154"/>
    </row>
    <row r="80" spans="1:26" ht="21.6" customHeight="1" x14ac:dyDescent="0.3">
      <c r="A80" s="175"/>
      <c r="B80" s="154"/>
      <c r="C80" s="154"/>
      <c r="D80" s="286"/>
      <c r="E80" s="286"/>
      <c r="F80" s="154"/>
      <c r="G80" s="154"/>
      <c r="H80" s="154"/>
      <c r="I80" s="836"/>
      <c r="J80" s="455" t="str">
        <f>$E$10</f>
        <v>COMUNA 6 OFICIAL</v>
      </c>
      <c r="K80" s="279">
        <f>VLOOKUP($E$10,MATE!$A$10:$AV$167,24,0)</f>
        <v>4.9999999999999996E-2</v>
      </c>
      <c r="L80" s="309">
        <f>VLOOKUP($E$10,MATE!$A$10:$AV$167,25,0)</f>
        <v>0.4366666666666667</v>
      </c>
      <c r="M80" s="456">
        <f>VLOOKUP($E$10,MATE!$A$10:$AV$167,26,0)</f>
        <v>0.5</v>
      </c>
      <c r="N80" s="457">
        <f>VLOOKUP($E$10,MATE!$A$10:$AV$167,27,0)</f>
        <v>1.6666666666666666E-2</v>
      </c>
      <c r="O80" s="164">
        <f t="shared" si="2"/>
        <v>0.48666666666666669</v>
      </c>
      <c r="P80" s="164"/>
      <c r="Q80" s="154"/>
      <c r="R80" s="810"/>
      <c r="S80" s="810"/>
      <c r="T80" s="815"/>
      <c r="U80" s="816"/>
      <c r="V80" s="816"/>
      <c r="W80" s="816"/>
      <c r="X80" s="816"/>
      <c r="Y80" s="817"/>
      <c r="Z80" s="154"/>
    </row>
    <row r="81" spans="1:26" ht="21.6" customHeight="1" x14ac:dyDescent="0.35">
      <c r="A81" s="285"/>
      <c r="B81" s="294"/>
      <c r="C81" s="292"/>
      <c r="D81" s="154"/>
      <c r="E81" s="154"/>
      <c r="F81" s="154"/>
      <c r="G81" s="154"/>
      <c r="H81" s="154"/>
      <c r="I81" s="834">
        <v>2019</v>
      </c>
      <c r="J81" s="455" t="str">
        <f>$E$8</f>
        <v>INSTITUCION EDUCATIVA EDUARDO SANTOS</v>
      </c>
      <c r="K81" s="279">
        <f>VLOOKUP($E$8,MATE!$A$10:$AV$167,33,0)</f>
        <v>0.05</v>
      </c>
      <c r="L81" s="309">
        <f>VLOOKUP($E$8,MATE!$A$10:$AV$167,34,0)</f>
        <v>0.34</v>
      </c>
      <c r="M81" s="456">
        <f>VLOOKUP($E$8,MATE!$A$10:$AV$167,35,0)</f>
        <v>0.62</v>
      </c>
      <c r="N81" s="457">
        <f>VLOOKUP($E$8,MATE!$A$10:$AV$167,36,0)</f>
        <v>0</v>
      </c>
      <c r="O81" s="164">
        <f t="shared" si="2"/>
        <v>0.39</v>
      </c>
      <c r="P81" s="164"/>
      <c r="Q81" s="154"/>
      <c r="R81" s="810"/>
      <c r="S81" s="810"/>
      <c r="T81" s="815"/>
      <c r="U81" s="816"/>
      <c r="V81" s="816"/>
      <c r="W81" s="816"/>
      <c r="X81" s="816"/>
      <c r="Y81" s="817"/>
      <c r="Z81" s="154"/>
    </row>
    <row r="82" spans="1:26" ht="21" x14ac:dyDescent="0.35">
      <c r="A82" s="285"/>
      <c r="B82" s="294"/>
      <c r="C82" s="292"/>
      <c r="D82" s="154"/>
      <c r="E82" s="154"/>
      <c r="F82" s="154"/>
      <c r="G82" s="154"/>
      <c r="H82" s="154"/>
      <c r="I82" s="835"/>
      <c r="J82" s="455" t="str">
        <f>$E$9</f>
        <v>OFICIALES URBANOS DE SOACHA</v>
      </c>
      <c r="K82" s="279">
        <f>VLOOKUP($E$9,MATE!$A$10:$AV$167,33,0)</f>
        <v>0.05</v>
      </c>
      <c r="L82" s="309">
        <f>VLOOKUP($E$9,MATE!$A$10:$AV$167,34,0)</f>
        <v>0.41</v>
      </c>
      <c r="M82" s="456">
        <f>VLOOKUP($E$9,MATE!$A$10:$AV$167,35,0)</f>
        <v>0.52</v>
      </c>
      <c r="N82" s="457">
        <f>VLOOKUP($E$9,MATE!$A$10:$AV$167,36,0)</f>
        <v>0.02</v>
      </c>
      <c r="O82" s="164">
        <f t="shared" si="2"/>
        <v>0.45999999999999996</v>
      </c>
      <c r="P82" s="164"/>
      <c r="Q82" s="154"/>
      <c r="R82" s="811"/>
      <c r="S82" s="811"/>
      <c r="T82" s="818"/>
      <c r="U82" s="819"/>
      <c r="V82" s="819"/>
      <c r="W82" s="819"/>
      <c r="X82" s="819"/>
      <c r="Y82" s="820"/>
      <c r="Z82" s="154"/>
    </row>
    <row r="83" spans="1:26" ht="21" customHeight="1" x14ac:dyDescent="0.35">
      <c r="A83" s="285"/>
      <c r="B83" s="294"/>
      <c r="C83" s="292"/>
      <c r="D83" s="154"/>
      <c r="E83" s="154"/>
      <c r="F83" s="154"/>
      <c r="G83" s="154"/>
      <c r="H83" s="154"/>
      <c r="I83" s="836"/>
      <c r="J83" s="455" t="str">
        <f>$E$10</f>
        <v>COMUNA 6 OFICIAL</v>
      </c>
      <c r="K83" s="279">
        <f>VLOOKUP($E$10,MATE!$A$10:$AV$167,33,0)</f>
        <v>5.000000000000001E-2</v>
      </c>
      <c r="L83" s="309">
        <f>VLOOKUP($E$10,MATE!$A$10:$AV$167,34,0)</f>
        <v>0.36333333333333334</v>
      </c>
      <c r="M83" s="456">
        <f>VLOOKUP($E$10,MATE!$A$10:$AV$167,35,0)</f>
        <v>0.58333333333333337</v>
      </c>
      <c r="N83" s="457">
        <f>VLOOKUP($E$10,MATE!$A$10:$AV$167,36,0)</f>
        <v>1.3333333333333334E-2</v>
      </c>
      <c r="O83" s="164">
        <f t="shared" si="2"/>
        <v>0.41333333333333333</v>
      </c>
      <c r="P83" s="164"/>
      <c r="Q83" s="154"/>
      <c r="R83" s="825">
        <v>3</v>
      </c>
      <c r="S83" s="825" t="s">
        <v>731</v>
      </c>
      <c r="T83" s="824" t="s">
        <v>1074</v>
      </c>
      <c r="U83" s="824"/>
      <c r="V83" s="824"/>
      <c r="W83" s="824"/>
      <c r="X83" s="824"/>
      <c r="Y83" s="824"/>
      <c r="Z83" s="154"/>
    </row>
    <row r="84" spans="1:26" ht="21" x14ac:dyDescent="0.35">
      <c r="A84" s="285"/>
      <c r="B84" s="294"/>
      <c r="C84" s="292"/>
      <c r="D84" s="154"/>
      <c r="E84" s="154"/>
      <c r="F84" s="154"/>
      <c r="G84" s="154"/>
      <c r="H84" s="154"/>
      <c r="I84" s="834">
        <v>2020</v>
      </c>
      <c r="J84" s="455" t="str">
        <f>$E$8</f>
        <v>INSTITUCION EDUCATIVA EDUARDO SANTOS</v>
      </c>
      <c r="K84" s="279">
        <f>VLOOKUP($E$8,MATE!$A$10:$AV$167,42,0)</f>
        <v>0.02</v>
      </c>
      <c r="L84" s="309">
        <f>VLOOKUP($E$8,MATE!$A$10:$AV$167,43,0)</f>
        <v>0.42</v>
      </c>
      <c r="M84" s="456">
        <f>VLOOKUP($E$8,MATE!$A$10:$AV$167,44,0)</f>
        <v>0.5</v>
      </c>
      <c r="N84" s="457">
        <f>VLOOKUP($E$8,MATE!$A$10:$AV$167,45,0)</f>
        <v>0.06</v>
      </c>
      <c r="O84" s="164">
        <f t="shared" si="2"/>
        <v>0.44</v>
      </c>
      <c r="P84" s="164"/>
      <c r="Q84" s="154"/>
      <c r="R84" s="825"/>
      <c r="S84" s="825"/>
      <c r="T84" s="824"/>
      <c r="U84" s="824"/>
      <c r="V84" s="824"/>
      <c r="W84" s="824"/>
      <c r="X84" s="824"/>
      <c r="Y84" s="824"/>
      <c r="Z84" s="154"/>
    </row>
    <row r="85" spans="1:26" ht="21" x14ac:dyDescent="0.35">
      <c r="A85" s="285"/>
      <c r="B85" s="294"/>
      <c r="C85" s="292"/>
      <c r="D85" s="154"/>
      <c r="E85" s="154"/>
      <c r="F85" s="154"/>
      <c r="G85" s="154"/>
      <c r="H85" s="154"/>
      <c r="I85" s="835"/>
      <c r="J85" s="455" t="str">
        <f>$E$9</f>
        <v>OFICIALES URBANOS DE SOACHA</v>
      </c>
      <c r="K85" s="279">
        <f>VLOOKUP($E$9,MATE!$A$10:$AV$167,42,0)</f>
        <v>0.04</v>
      </c>
      <c r="L85" s="309">
        <f>VLOOKUP($E$9,MATE!$A$10:$AV$167,43,0)</f>
        <v>0.39</v>
      </c>
      <c r="M85" s="456">
        <f>VLOOKUP($E$9,MATE!$A$10:$AV$167,44,0)</f>
        <v>0.54</v>
      </c>
      <c r="N85" s="457">
        <f>VLOOKUP($E$9,MATE!$A$10:$AV$167,45,0)</f>
        <v>0.02</v>
      </c>
      <c r="O85" s="164">
        <f t="shared" si="2"/>
        <v>0.43</v>
      </c>
      <c r="P85" s="164"/>
      <c r="Q85" s="154"/>
      <c r="R85" s="825"/>
      <c r="S85" s="825"/>
      <c r="T85" s="824"/>
      <c r="U85" s="824"/>
      <c r="V85" s="824"/>
      <c r="W85" s="824"/>
      <c r="X85" s="824"/>
      <c r="Y85" s="824"/>
      <c r="Z85" s="154"/>
    </row>
    <row r="86" spans="1:26" ht="21.6" customHeight="1" x14ac:dyDescent="0.35">
      <c r="A86" s="285"/>
      <c r="B86" s="294"/>
      <c r="C86" s="292"/>
      <c r="D86" s="154"/>
      <c r="E86" s="154"/>
      <c r="F86" s="154"/>
      <c r="G86" s="154"/>
      <c r="H86" s="154"/>
      <c r="I86" s="836"/>
      <c r="J86" s="455" t="str">
        <f>$E$10</f>
        <v>COMUNA 6 OFICIAL</v>
      </c>
      <c r="K86" s="279">
        <f>VLOOKUP($E$10,MATE!$A$10:$AV$167,42,0)</f>
        <v>0.02</v>
      </c>
      <c r="L86" s="309">
        <f>VLOOKUP($E$10,MATE!$A$10:$AV$167,43,0)</f>
        <v>0.38333333333333336</v>
      </c>
      <c r="M86" s="456">
        <f>VLOOKUP($E$10,MATE!$A$10:$AV$167,44,0)</f>
        <v>0.56000000000000005</v>
      </c>
      <c r="N86" s="457">
        <f>VLOOKUP($E$10,MATE!$A$10:$AV$167,45,0)</f>
        <v>3.6666666666666667E-2</v>
      </c>
      <c r="O86" s="164">
        <f t="shared" si="2"/>
        <v>0.40333333333333338</v>
      </c>
      <c r="P86" s="164"/>
      <c r="Q86" s="154"/>
      <c r="R86" s="825"/>
      <c r="S86" s="825"/>
      <c r="T86" s="824"/>
      <c r="U86" s="824"/>
      <c r="V86" s="824"/>
      <c r="W86" s="824"/>
      <c r="X86" s="824"/>
      <c r="Y86" s="824"/>
      <c r="Z86" s="154"/>
    </row>
    <row r="87" spans="1:26" ht="21" x14ac:dyDescent="0.35">
      <c r="A87" s="285"/>
      <c r="B87" s="294"/>
      <c r="C87" s="292"/>
      <c r="D87" s="154"/>
      <c r="E87" s="154"/>
      <c r="F87" s="154"/>
      <c r="G87" s="154"/>
      <c r="H87" s="154"/>
      <c r="I87" s="834">
        <v>2021</v>
      </c>
      <c r="J87" s="455" t="str">
        <f>$E$8</f>
        <v>INSTITUCION EDUCATIVA EDUARDO SANTOS</v>
      </c>
      <c r="K87" s="279">
        <f>VLOOKUP($E$8,MATE!$A$10:$BG$167,53,0)</f>
        <v>0.04</v>
      </c>
      <c r="L87" s="309">
        <f>VLOOKUP($E$8,MATE!$A$10:$BG$167,54,0)</f>
        <v>0.45</v>
      </c>
      <c r="M87" s="456">
        <f>VLOOKUP($E$8,MATE!$A$10:$BG$167,55,0)</f>
        <v>0.49</v>
      </c>
      <c r="N87" s="457">
        <f>VLOOKUP($E$8,MATE!$A$10:$BG$167,56,0)</f>
        <v>0.03</v>
      </c>
      <c r="O87" s="164">
        <f t="shared" si="2"/>
        <v>0.49</v>
      </c>
      <c r="P87" s="164"/>
      <c r="Q87" s="154"/>
      <c r="R87" s="825"/>
      <c r="S87" s="825"/>
      <c r="T87" s="824"/>
      <c r="U87" s="824"/>
      <c r="V87" s="824"/>
      <c r="W87" s="824"/>
      <c r="X87" s="824"/>
      <c r="Y87" s="824"/>
      <c r="Z87" s="154"/>
    </row>
    <row r="88" spans="1:26" ht="21" x14ac:dyDescent="0.35">
      <c r="A88" s="285"/>
      <c r="B88" s="294"/>
      <c r="C88" s="292"/>
      <c r="D88" s="154"/>
      <c r="E88" s="154"/>
      <c r="F88" s="154"/>
      <c r="G88" s="154"/>
      <c r="H88" s="154"/>
      <c r="I88" s="835"/>
      <c r="J88" s="455" t="str">
        <f>$E$9</f>
        <v>OFICIALES URBANOS DE SOACHA</v>
      </c>
      <c r="K88" s="279">
        <f>VLOOKUP($E$9,MATE!$A$10:$BG$167,53,0)</f>
        <v>0.06</v>
      </c>
      <c r="L88" s="309">
        <f>VLOOKUP($E$9,MATE!$A$10:$BG$167,54,0)</f>
        <v>0.45</v>
      </c>
      <c r="M88" s="456">
        <f>VLOOKUP($E$9,MATE!$A$10:$BG$167,55,0)</f>
        <v>0.48</v>
      </c>
      <c r="N88" s="457">
        <f>VLOOKUP($E$9,MATE!$A$10:$BG$167,56,0)</f>
        <v>0.01</v>
      </c>
      <c r="O88" s="164">
        <f t="shared" si="2"/>
        <v>0.51</v>
      </c>
      <c r="P88" s="164"/>
      <c r="Q88" s="154"/>
      <c r="R88" s="825"/>
      <c r="S88" s="825"/>
      <c r="T88" s="824"/>
      <c r="U88" s="824"/>
      <c r="V88" s="824"/>
      <c r="W88" s="824"/>
      <c r="X88" s="824"/>
      <c r="Y88" s="824"/>
      <c r="Z88" s="154"/>
    </row>
    <row r="89" spans="1:26" ht="21" x14ac:dyDescent="0.35">
      <c r="A89" s="285"/>
      <c r="B89" s="294"/>
      <c r="C89" s="292"/>
      <c r="D89" s="154"/>
      <c r="E89" s="154"/>
      <c r="F89" s="154"/>
      <c r="G89" s="154"/>
      <c r="H89" s="154"/>
      <c r="I89" s="836"/>
      <c r="J89" s="455" t="str">
        <f>$E$10</f>
        <v>COMUNA 6 OFICIAL</v>
      </c>
      <c r="K89" s="279">
        <f>VLOOKUP($E$10,MATE!$A$10:$BG$167,53,0)</f>
        <v>4.9999999999999996E-2</v>
      </c>
      <c r="L89" s="309">
        <f>VLOOKUP($E$10,MATE!$A$10:$BG$167,54,0)</f>
        <v>0.47333333333333333</v>
      </c>
      <c r="M89" s="456">
        <f>VLOOKUP($E$10,MATE!$A$10:$BG$167,55,0)</f>
        <v>0.46333333333333332</v>
      </c>
      <c r="N89" s="457">
        <f>VLOOKUP($E$10,MATE!$A$10:$BG$167,56,0)</f>
        <v>0.02</v>
      </c>
      <c r="O89" s="164">
        <f t="shared" si="2"/>
        <v>0.52333333333333332</v>
      </c>
      <c r="P89" s="164"/>
      <c r="Q89" s="154"/>
      <c r="R89" s="825"/>
      <c r="S89" s="825"/>
      <c r="T89" s="824"/>
      <c r="U89" s="824"/>
      <c r="V89" s="824"/>
      <c r="W89" s="824"/>
      <c r="X89" s="824"/>
      <c r="Y89" s="824"/>
      <c r="Z89" s="154"/>
    </row>
    <row r="90" spans="1:26" ht="21" x14ac:dyDescent="0.35">
      <c r="A90" s="285"/>
      <c r="B90" s="294"/>
      <c r="C90" s="292"/>
      <c r="D90" s="154"/>
      <c r="E90" s="154"/>
      <c r="F90" s="154"/>
      <c r="G90" s="154"/>
      <c r="H90" s="154"/>
      <c r="I90" s="834">
        <v>2022</v>
      </c>
      <c r="J90" s="455" t="str">
        <f>$E$8</f>
        <v>INSTITUCION EDUCATIVA EDUARDO SANTOS</v>
      </c>
      <c r="K90" s="279">
        <f>VLOOKUP($E$8,MATE!$A$10:$BR$167,64,0)</f>
        <v>0.06</v>
      </c>
      <c r="L90" s="309">
        <f>VLOOKUP($E$8,MATE!$A$10:$BR$167,65,0)</f>
        <v>0.3</v>
      </c>
      <c r="M90" s="456">
        <f>VLOOKUP($E$8,MATE!$A$10:$BR$167,66,0)</f>
        <v>0.6</v>
      </c>
      <c r="N90" s="457">
        <f>VLOOKUP($E$8,MATE!$A$10:$BR$167,67,0)</f>
        <v>0.03</v>
      </c>
      <c r="O90" s="164">
        <f t="shared" ref="O90:O92" si="3">K90+L90</f>
        <v>0.36</v>
      </c>
      <c r="P90" s="164"/>
      <c r="Q90" s="154"/>
      <c r="R90" s="825"/>
      <c r="S90" s="825"/>
      <c r="T90" s="824"/>
      <c r="U90" s="824"/>
      <c r="V90" s="824"/>
      <c r="W90" s="824"/>
      <c r="X90" s="824"/>
      <c r="Y90" s="824"/>
      <c r="Z90" s="154"/>
    </row>
    <row r="91" spans="1:26" ht="21.6" customHeight="1" x14ac:dyDescent="0.35">
      <c r="A91" s="285"/>
      <c r="B91" s="294"/>
      <c r="C91" s="292"/>
      <c r="D91" s="154"/>
      <c r="E91" s="154"/>
      <c r="F91" s="154"/>
      <c r="G91" s="154"/>
      <c r="H91" s="154"/>
      <c r="I91" s="835"/>
      <c r="J91" s="455" t="str">
        <f>$E$9</f>
        <v>OFICIALES URBANOS DE SOACHA</v>
      </c>
      <c r="K91" s="279">
        <f>VLOOKUP($E$9,MATE!$A$10:$BR$167,64,0)</f>
        <v>7.0000000000000007E-2</v>
      </c>
      <c r="L91" s="309">
        <f>VLOOKUP($E$9,MATE!$A$10:$BR$167,65,0)</f>
        <v>0.39</v>
      </c>
      <c r="M91" s="456">
        <f>VLOOKUP($E$9,MATE!$A$10:$BR$167,66,0)</f>
        <v>0.52</v>
      </c>
      <c r="N91" s="457">
        <f>VLOOKUP($E$9,MATE!$A$10:$BR$167,67,0)</f>
        <v>0.02</v>
      </c>
      <c r="O91" s="164">
        <f>K91+L91</f>
        <v>0.46</v>
      </c>
      <c r="P91" s="164"/>
      <c r="Q91" s="154"/>
      <c r="R91" s="825"/>
      <c r="S91" s="825"/>
      <c r="T91" s="824"/>
      <c r="U91" s="824"/>
      <c r="V91" s="824"/>
      <c r="W91" s="824"/>
      <c r="X91" s="824"/>
      <c r="Y91" s="824"/>
      <c r="Z91" s="154"/>
    </row>
    <row r="92" spans="1:26" ht="21.6" customHeight="1" x14ac:dyDescent="0.35">
      <c r="A92" s="285"/>
      <c r="B92" s="294"/>
      <c r="C92" s="292"/>
      <c r="D92" s="154"/>
      <c r="E92" s="154"/>
      <c r="F92" s="154"/>
      <c r="G92" s="154"/>
      <c r="H92" s="154"/>
      <c r="I92" s="836"/>
      <c r="J92" s="455" t="str">
        <f>$E$10</f>
        <v>COMUNA 6 OFICIAL</v>
      </c>
      <c r="K92" s="279">
        <f>VLOOKUP($E$10,MATE!$A$10:$BR$167,64,0)</f>
        <v>8.666666666666667E-2</v>
      </c>
      <c r="L92" s="309">
        <f>VLOOKUP($E$10,MATE!$A$10:$BR$167,65,0)</f>
        <v>0.38000000000000006</v>
      </c>
      <c r="M92" s="456">
        <f>VLOOKUP($E$10,MATE!$A$10:$BR$167,66,0)</f>
        <v>0.51666666666666672</v>
      </c>
      <c r="N92" s="457">
        <f>VLOOKUP($E$10,MATE!$A$10:$BR$167,67,0)</f>
        <v>1.3333333333333334E-2</v>
      </c>
      <c r="O92" s="164">
        <f t="shared" si="3"/>
        <v>0.46666666666666673</v>
      </c>
      <c r="P92" s="154"/>
      <c r="Q92" s="154"/>
      <c r="R92" s="825"/>
      <c r="S92" s="825"/>
      <c r="T92" s="824"/>
      <c r="U92" s="824"/>
      <c r="V92" s="824"/>
      <c r="W92" s="824"/>
      <c r="X92" s="824"/>
      <c r="Y92" s="824"/>
      <c r="Z92" s="154"/>
    </row>
    <row r="93" spans="1:26" ht="21.6" customHeight="1" x14ac:dyDescent="0.35">
      <c r="A93" s="285"/>
      <c r="B93" s="294"/>
      <c r="C93" s="292"/>
      <c r="D93" s="154"/>
      <c r="E93" s="154"/>
      <c r="F93" s="154"/>
      <c r="G93" s="154"/>
      <c r="H93" s="154"/>
      <c r="I93" s="834">
        <v>2023</v>
      </c>
      <c r="J93" s="455" t="str">
        <f>$E$8</f>
        <v>INSTITUCION EDUCATIVA EDUARDO SANTOS</v>
      </c>
      <c r="K93" s="279">
        <f>VLOOKUP($E$8,MATE!$A$10:$CC$167,75,0)</f>
        <v>0.05</v>
      </c>
      <c r="L93" s="309">
        <f>VLOOKUP($E$8,MATE!$A$10:$CC$167,76,0)</f>
        <v>0.33</v>
      </c>
      <c r="M93" s="456">
        <f>VLOOKUP($E$8,MATE!$A$10:$CC$167,77,0)</f>
        <v>0.56999999999999995</v>
      </c>
      <c r="N93" s="457">
        <f>VLOOKUP($E$8,MATE!$A$10:$CC$167,78,0)</f>
        <v>0.05</v>
      </c>
      <c r="O93" s="164">
        <f t="shared" ref="O93" si="4">K93+L93</f>
        <v>0.38</v>
      </c>
      <c r="P93" s="154"/>
      <c r="Q93" s="154"/>
      <c r="R93" s="825"/>
      <c r="S93" s="825"/>
      <c r="T93" s="824"/>
      <c r="U93" s="824"/>
      <c r="V93" s="824"/>
      <c r="W93" s="824"/>
      <c r="X93" s="824"/>
      <c r="Y93" s="824"/>
      <c r="Z93" s="154"/>
    </row>
    <row r="94" spans="1:26" ht="21" x14ac:dyDescent="0.35">
      <c r="A94" s="285"/>
      <c r="B94" s="294"/>
      <c r="C94" s="292"/>
      <c r="D94" s="154"/>
      <c r="E94" s="154"/>
      <c r="F94" s="154"/>
      <c r="G94" s="154"/>
      <c r="H94" s="154"/>
      <c r="I94" s="835"/>
      <c r="J94" s="455" t="str">
        <f>$E$9</f>
        <v>OFICIALES URBANOS DE SOACHA</v>
      </c>
      <c r="K94" s="279">
        <f>VLOOKUP($E$9,MATE!$A$10:$CC$167,75,0)</f>
        <v>7.0000000000000007E-2</v>
      </c>
      <c r="L94" s="309">
        <f>VLOOKUP($E$9,MATE!$A$10:$CC$167,76,0)</f>
        <v>0.4</v>
      </c>
      <c r="M94" s="456">
        <f>VLOOKUP($E$9,MATE!$A$10:$CC$167,77,0)</f>
        <v>0.51</v>
      </c>
      <c r="N94" s="457">
        <f>VLOOKUP($E$9,MATE!$A$10:$CC$167,78,0)</f>
        <v>0.03</v>
      </c>
      <c r="O94" s="164">
        <f>K94+L94</f>
        <v>0.47000000000000003</v>
      </c>
      <c r="P94" s="154"/>
      <c r="Q94" s="154"/>
      <c r="R94" s="825"/>
      <c r="S94" s="825"/>
      <c r="T94" s="824"/>
      <c r="U94" s="824"/>
      <c r="V94" s="824"/>
      <c r="W94" s="824"/>
      <c r="X94" s="824"/>
      <c r="Y94" s="824"/>
      <c r="Z94" s="154"/>
    </row>
    <row r="95" spans="1:26" ht="21" x14ac:dyDescent="0.35">
      <c r="A95" s="285"/>
      <c r="B95" s="294"/>
      <c r="C95" s="292"/>
      <c r="D95" s="154"/>
      <c r="E95" s="154"/>
      <c r="F95" s="154"/>
      <c r="G95" s="154"/>
      <c r="H95" s="154"/>
      <c r="I95" s="836"/>
      <c r="J95" s="455" t="str">
        <f>$E$10</f>
        <v>COMUNA 6 OFICIAL</v>
      </c>
      <c r="K95" s="279">
        <f>VLOOKUP($E$10,MATE!$A$10:$CC$167,75,0)</f>
        <v>7.6666666666666675E-2</v>
      </c>
      <c r="L95" s="309">
        <f>VLOOKUP($E$10,MATE!$A$10:$CC$167,76,0)</f>
        <v>0.41</v>
      </c>
      <c r="M95" s="456">
        <f>VLOOKUP($E$10,MATE!$A$10:$CC$167,77,0)</f>
        <v>0.48</v>
      </c>
      <c r="N95" s="457">
        <f>VLOOKUP($E$10,MATE!$A$10:$CC$167,78,0)</f>
        <v>0.04</v>
      </c>
      <c r="O95" s="164">
        <f t="shared" ref="O95" si="5">K95+L95</f>
        <v>0.48666666666666664</v>
      </c>
      <c r="P95" s="154"/>
      <c r="Q95" s="154"/>
      <c r="R95" s="825"/>
      <c r="S95" s="825"/>
      <c r="T95" s="824"/>
      <c r="U95" s="824"/>
      <c r="V95" s="824"/>
      <c r="W95" s="824"/>
      <c r="X95" s="824"/>
      <c r="Y95" s="824"/>
      <c r="Z95" s="154"/>
    </row>
    <row r="96" spans="1:26" ht="20.399999999999999" x14ac:dyDescent="0.35">
      <c r="A96" s="285"/>
      <c r="B96" s="294"/>
      <c r="C96" s="292"/>
      <c r="D96" s="154"/>
      <c r="E96" s="154"/>
      <c r="F96" s="154"/>
      <c r="G96" s="154"/>
      <c r="H96" s="154"/>
      <c r="I96" s="154"/>
      <c r="J96" s="154"/>
      <c r="K96" s="154"/>
      <c r="L96" s="154"/>
      <c r="M96" s="154"/>
      <c r="N96" s="154"/>
      <c r="O96" s="164"/>
      <c r="P96" s="154"/>
      <c r="Q96" s="154"/>
      <c r="R96" s="825"/>
      <c r="S96" s="825"/>
      <c r="T96" s="824"/>
      <c r="U96" s="824"/>
      <c r="V96" s="824"/>
      <c r="W96" s="824"/>
      <c r="X96" s="824"/>
      <c r="Y96" s="824"/>
      <c r="Z96" s="154"/>
    </row>
    <row r="97" spans="1:26" ht="20.399999999999999" x14ac:dyDescent="0.35">
      <c r="A97" s="285"/>
      <c r="B97" s="294"/>
      <c r="C97" s="292"/>
      <c r="D97" s="154"/>
      <c r="E97" s="154"/>
      <c r="F97" s="154"/>
      <c r="G97" s="154"/>
      <c r="H97" s="154"/>
      <c r="I97" s="154"/>
      <c r="J97" s="154"/>
      <c r="K97" s="154"/>
      <c r="L97" s="154"/>
      <c r="M97" s="154"/>
      <c r="N97" s="154"/>
      <c r="O97" s="164"/>
      <c r="P97" s="154"/>
      <c r="Q97" s="154"/>
      <c r="R97" s="825"/>
      <c r="S97" s="825"/>
      <c r="T97" s="824"/>
      <c r="U97" s="824"/>
      <c r="V97" s="824"/>
      <c r="W97" s="824"/>
      <c r="X97" s="824"/>
      <c r="Y97" s="824"/>
      <c r="Z97" s="154"/>
    </row>
    <row r="98" spans="1:26" ht="20.399999999999999" x14ac:dyDescent="0.35">
      <c r="A98" s="285"/>
      <c r="B98" s="294"/>
      <c r="C98" s="292"/>
      <c r="D98" s="154"/>
      <c r="E98" s="154"/>
      <c r="F98" s="154"/>
      <c r="G98" s="154"/>
      <c r="H98" s="154"/>
      <c r="I98" s="154"/>
      <c r="J98" s="154"/>
      <c r="K98" s="154"/>
      <c r="L98" s="154"/>
      <c r="M98" s="154"/>
      <c r="N98" s="154"/>
      <c r="O98" s="164"/>
      <c r="P98" s="154"/>
      <c r="Q98" s="154"/>
      <c r="R98" s="825"/>
      <c r="S98" s="825"/>
      <c r="T98" s="824"/>
      <c r="U98" s="824"/>
      <c r="V98" s="824"/>
      <c r="W98" s="824"/>
      <c r="X98" s="824"/>
      <c r="Y98" s="824"/>
      <c r="Z98" s="154"/>
    </row>
    <row r="99" spans="1:26" ht="20.399999999999999" customHeight="1" x14ac:dyDescent="0.35">
      <c r="A99" s="285"/>
      <c r="B99" s="294"/>
      <c r="C99" s="292"/>
      <c r="D99" s="154"/>
      <c r="E99" s="154"/>
      <c r="F99" s="154"/>
      <c r="G99" s="154"/>
      <c r="H99" s="154"/>
      <c r="I99" s="154"/>
      <c r="J99" s="154"/>
      <c r="K99" s="164"/>
      <c r="L99" s="154"/>
      <c r="M99" s="154"/>
      <c r="N99" s="154"/>
      <c r="O99" s="154"/>
      <c r="P99" s="154"/>
      <c r="Q99" s="154"/>
      <c r="R99" s="809">
        <v>4</v>
      </c>
      <c r="S99" s="809" t="s">
        <v>732</v>
      </c>
      <c r="T99" s="822" t="s">
        <v>1075</v>
      </c>
      <c r="U99" s="822"/>
      <c r="V99" s="822"/>
      <c r="W99" s="822"/>
      <c r="X99" s="822"/>
      <c r="Y99" s="822"/>
      <c r="Z99" s="154"/>
    </row>
    <row r="100" spans="1:26" ht="20.399999999999999" x14ac:dyDescent="0.35">
      <c r="A100" s="285"/>
      <c r="B100" s="294"/>
      <c r="C100" s="292"/>
      <c r="D100" s="154"/>
      <c r="E100" s="154"/>
      <c r="F100" s="154"/>
      <c r="G100" s="154"/>
      <c r="H100" s="154"/>
      <c r="I100" s="154"/>
      <c r="J100" s="154"/>
      <c r="K100" s="164"/>
      <c r="L100" s="154"/>
      <c r="M100" s="154"/>
      <c r="N100" s="154"/>
      <c r="O100" s="154"/>
      <c r="P100" s="154"/>
      <c r="Q100" s="154"/>
      <c r="R100" s="810"/>
      <c r="S100" s="810"/>
      <c r="T100" s="822"/>
      <c r="U100" s="822"/>
      <c r="V100" s="822"/>
      <c r="W100" s="822"/>
      <c r="X100" s="822"/>
      <c r="Y100" s="822"/>
      <c r="Z100" s="154"/>
    </row>
    <row r="101" spans="1:26" ht="21" customHeight="1" x14ac:dyDescent="0.35">
      <c r="A101" s="285"/>
      <c r="B101" s="294"/>
      <c r="C101" s="292"/>
      <c r="D101" s="154"/>
      <c r="E101" s="154"/>
      <c r="F101" s="154"/>
      <c r="G101" s="154"/>
      <c r="H101" s="154"/>
      <c r="I101" s="154"/>
      <c r="J101" s="154"/>
      <c r="K101" s="164"/>
      <c r="L101" s="154"/>
      <c r="M101" s="154"/>
      <c r="N101" s="154"/>
      <c r="O101" s="154"/>
      <c r="P101" s="154"/>
      <c r="Q101" s="154"/>
      <c r="R101" s="810"/>
      <c r="S101" s="810"/>
      <c r="T101" s="822"/>
      <c r="U101" s="822"/>
      <c r="V101" s="822"/>
      <c r="W101" s="822"/>
      <c r="X101" s="822"/>
      <c r="Y101" s="822"/>
      <c r="Z101" s="154"/>
    </row>
    <row r="102" spans="1:26" ht="20.399999999999999" x14ac:dyDescent="0.35">
      <c r="A102" s="285"/>
      <c r="B102" s="294"/>
      <c r="C102" s="292"/>
      <c r="D102" s="154"/>
      <c r="E102" s="154"/>
      <c r="F102" s="154"/>
      <c r="G102" s="154"/>
      <c r="H102" s="154"/>
      <c r="I102" s="154"/>
      <c r="J102" s="154"/>
      <c r="K102" s="164"/>
      <c r="L102" s="154"/>
      <c r="M102" s="154"/>
      <c r="N102" s="154"/>
      <c r="O102" s="154"/>
      <c r="P102" s="154"/>
      <c r="Q102" s="154"/>
      <c r="R102" s="810"/>
      <c r="S102" s="810"/>
      <c r="T102" s="822"/>
      <c r="U102" s="822"/>
      <c r="V102" s="822"/>
      <c r="W102" s="822"/>
      <c r="X102" s="822"/>
      <c r="Y102" s="822"/>
      <c r="Z102" s="154"/>
    </row>
    <row r="103" spans="1:26" ht="20.399999999999999" x14ac:dyDescent="0.35">
      <c r="A103" s="285"/>
      <c r="B103" s="294"/>
      <c r="C103" s="292"/>
      <c r="D103" s="154"/>
      <c r="E103" s="154"/>
      <c r="F103" s="154"/>
      <c r="G103" s="154"/>
      <c r="H103" s="154"/>
      <c r="I103" s="154"/>
      <c r="J103" s="154"/>
      <c r="K103" s="164"/>
      <c r="L103" s="154"/>
      <c r="M103" s="154"/>
      <c r="N103" s="154"/>
      <c r="O103" s="154"/>
      <c r="P103" s="154"/>
      <c r="Q103" s="154"/>
      <c r="R103" s="810"/>
      <c r="S103" s="810"/>
      <c r="T103" s="822"/>
      <c r="U103" s="822"/>
      <c r="V103" s="822"/>
      <c r="W103" s="822"/>
      <c r="X103" s="822"/>
      <c r="Y103" s="822"/>
      <c r="Z103" s="154"/>
    </row>
    <row r="104" spans="1:26" ht="20.399999999999999" x14ac:dyDescent="0.35">
      <c r="A104" s="285"/>
      <c r="B104" s="294"/>
      <c r="C104" s="292"/>
      <c r="D104" s="154"/>
      <c r="E104" s="154"/>
      <c r="F104" s="154"/>
      <c r="G104" s="154"/>
      <c r="H104" s="154"/>
      <c r="I104" s="154"/>
      <c r="J104" s="154"/>
      <c r="K104" s="164"/>
      <c r="L104" s="154"/>
      <c r="M104" s="154"/>
      <c r="N104" s="154"/>
      <c r="O104" s="154"/>
      <c r="P104" s="154"/>
      <c r="Q104" s="154"/>
      <c r="R104" s="810"/>
      <c r="S104" s="810"/>
      <c r="T104" s="822"/>
      <c r="U104" s="822"/>
      <c r="V104" s="822"/>
      <c r="W104" s="822"/>
      <c r="X104" s="822"/>
      <c r="Y104" s="822"/>
      <c r="Z104" s="154"/>
    </row>
    <row r="105" spans="1:26" ht="20.399999999999999" x14ac:dyDescent="0.35">
      <c r="A105" s="285"/>
      <c r="B105" s="294"/>
      <c r="C105" s="292"/>
      <c r="D105" s="154"/>
      <c r="E105" s="154"/>
      <c r="F105" s="154"/>
      <c r="G105" s="154"/>
      <c r="H105" s="154"/>
      <c r="I105" s="154"/>
      <c r="J105" s="154"/>
      <c r="K105" s="164"/>
      <c r="L105" s="154"/>
      <c r="M105" s="154"/>
      <c r="N105" s="154"/>
      <c r="O105" s="154"/>
      <c r="P105" s="154"/>
      <c r="Q105" s="154"/>
      <c r="R105" s="810"/>
      <c r="S105" s="810"/>
      <c r="T105" s="822"/>
      <c r="U105" s="822"/>
      <c r="V105" s="822"/>
      <c r="W105" s="822"/>
      <c r="X105" s="822"/>
      <c r="Y105" s="822"/>
      <c r="Z105" s="154"/>
    </row>
    <row r="106" spans="1:26" ht="20.399999999999999" x14ac:dyDescent="0.35">
      <c r="A106" s="285"/>
      <c r="B106" s="294"/>
      <c r="C106" s="292"/>
      <c r="D106" s="154"/>
      <c r="E106" s="154"/>
      <c r="F106" s="154"/>
      <c r="G106" s="154"/>
      <c r="H106" s="154"/>
      <c r="I106" s="154"/>
      <c r="J106" s="154"/>
      <c r="K106" s="164"/>
      <c r="L106" s="154"/>
      <c r="M106" s="154"/>
      <c r="N106" s="154"/>
      <c r="O106" s="154"/>
      <c r="P106" s="154"/>
      <c r="Q106" s="154"/>
      <c r="R106" s="810"/>
      <c r="S106" s="810"/>
      <c r="T106" s="822"/>
      <c r="U106" s="822"/>
      <c r="V106" s="822"/>
      <c r="W106" s="822"/>
      <c r="X106" s="822"/>
      <c r="Y106" s="822"/>
      <c r="Z106" s="154"/>
    </row>
    <row r="107" spans="1:26" ht="20.399999999999999" x14ac:dyDescent="0.35">
      <c r="A107" s="285"/>
      <c r="B107" s="294"/>
      <c r="C107" s="292"/>
      <c r="D107" s="154"/>
      <c r="E107" s="154"/>
      <c r="F107" s="154"/>
      <c r="G107" s="154"/>
      <c r="H107" s="154"/>
      <c r="I107" s="154"/>
      <c r="J107" s="154"/>
      <c r="K107" s="164"/>
      <c r="L107" s="154"/>
      <c r="M107" s="154"/>
      <c r="N107" s="154"/>
      <c r="O107" s="154"/>
      <c r="P107" s="154"/>
      <c r="Q107" s="154"/>
      <c r="R107" s="810"/>
      <c r="S107" s="810"/>
      <c r="T107" s="822"/>
      <c r="U107" s="822"/>
      <c r="V107" s="822"/>
      <c r="W107" s="822"/>
      <c r="X107" s="822"/>
      <c r="Y107" s="822"/>
      <c r="Z107" s="154"/>
    </row>
    <row r="108" spans="1:26" ht="20.399999999999999" x14ac:dyDescent="0.35">
      <c r="A108" s="285"/>
      <c r="B108" s="294"/>
      <c r="C108" s="292"/>
      <c r="D108" s="154"/>
      <c r="E108" s="154"/>
      <c r="F108" s="154"/>
      <c r="G108" s="154"/>
      <c r="H108" s="154"/>
      <c r="I108" s="154"/>
      <c r="J108" s="154"/>
      <c r="K108" s="164"/>
      <c r="L108" s="154"/>
      <c r="M108" s="154"/>
      <c r="N108" s="154"/>
      <c r="O108" s="154"/>
      <c r="P108" s="154"/>
      <c r="Q108" s="154"/>
      <c r="R108" s="810"/>
      <c r="S108" s="810"/>
      <c r="T108" s="822"/>
      <c r="U108" s="822"/>
      <c r="V108" s="822"/>
      <c r="W108" s="822"/>
      <c r="X108" s="822"/>
      <c r="Y108" s="822"/>
      <c r="Z108" s="154"/>
    </row>
    <row r="109" spans="1:26" ht="20.399999999999999" x14ac:dyDescent="0.35">
      <c r="A109" s="285"/>
      <c r="B109" s="294"/>
      <c r="C109" s="292"/>
      <c r="D109" s="154"/>
      <c r="E109" s="154"/>
      <c r="F109" s="154"/>
      <c r="G109" s="154"/>
      <c r="H109" s="154"/>
      <c r="I109" s="154"/>
      <c r="J109" s="154"/>
      <c r="K109" s="164"/>
      <c r="L109" s="154"/>
      <c r="M109" s="154"/>
      <c r="N109" s="154"/>
      <c r="O109" s="154"/>
      <c r="P109" s="154"/>
      <c r="Q109" s="154"/>
      <c r="R109" s="810"/>
      <c r="S109" s="810"/>
      <c r="T109" s="822"/>
      <c r="U109" s="822"/>
      <c r="V109" s="822"/>
      <c r="W109" s="822"/>
      <c r="X109" s="822"/>
      <c r="Y109" s="822"/>
      <c r="Z109" s="154"/>
    </row>
    <row r="110" spans="1:26" ht="20.399999999999999" x14ac:dyDescent="0.35">
      <c r="A110" s="285"/>
      <c r="B110" s="294"/>
      <c r="C110" s="292"/>
      <c r="D110" s="154"/>
      <c r="E110" s="154"/>
      <c r="F110" s="154"/>
      <c r="G110" s="154"/>
      <c r="H110" s="154"/>
      <c r="I110" s="154"/>
      <c r="J110" s="154"/>
      <c r="K110" s="164"/>
      <c r="L110" s="154"/>
      <c r="M110" s="154"/>
      <c r="N110" s="154"/>
      <c r="O110" s="154"/>
      <c r="P110" s="154"/>
      <c r="Q110" s="154"/>
      <c r="R110" s="810"/>
      <c r="S110" s="810"/>
      <c r="T110" s="822"/>
      <c r="U110" s="822"/>
      <c r="V110" s="822"/>
      <c r="W110" s="822"/>
      <c r="X110" s="822"/>
      <c r="Y110" s="822"/>
      <c r="Z110" s="154"/>
    </row>
    <row r="111" spans="1:26" ht="20.399999999999999" customHeight="1" x14ac:dyDescent="0.35">
      <c r="A111" s="285"/>
      <c r="B111" s="294"/>
      <c r="C111" s="292"/>
      <c r="D111" s="154"/>
      <c r="E111" s="154"/>
      <c r="F111" s="154"/>
      <c r="G111" s="154"/>
      <c r="H111" s="154"/>
      <c r="I111" s="154"/>
      <c r="J111" s="154"/>
      <c r="K111" s="164"/>
      <c r="L111" s="154"/>
      <c r="M111" s="154"/>
      <c r="N111" s="154"/>
      <c r="O111" s="154"/>
      <c r="P111" s="154"/>
      <c r="Q111" s="154"/>
      <c r="R111" s="810"/>
      <c r="S111" s="810"/>
      <c r="T111" s="822"/>
      <c r="U111" s="822"/>
      <c r="V111" s="822"/>
      <c r="W111" s="822"/>
      <c r="X111" s="822"/>
      <c r="Y111" s="822"/>
      <c r="Z111" s="154"/>
    </row>
    <row r="112" spans="1:26" ht="20.399999999999999" x14ac:dyDescent="0.35">
      <c r="A112" s="285"/>
      <c r="B112" s="294"/>
      <c r="C112" s="292"/>
      <c r="D112" s="154"/>
      <c r="E112" s="154"/>
      <c r="F112" s="154"/>
      <c r="G112" s="154"/>
      <c r="H112" s="154"/>
      <c r="I112" s="154"/>
      <c r="J112" s="154"/>
      <c r="K112" s="164"/>
      <c r="L112" s="154"/>
      <c r="M112" s="154"/>
      <c r="N112" s="154"/>
      <c r="O112" s="154"/>
      <c r="P112" s="154"/>
      <c r="Q112" s="154"/>
      <c r="R112" s="810"/>
      <c r="S112" s="810"/>
      <c r="T112" s="822"/>
      <c r="U112" s="822"/>
      <c r="V112" s="822"/>
      <c r="W112" s="822"/>
      <c r="X112" s="822"/>
      <c r="Y112" s="822"/>
      <c r="Z112" s="154"/>
    </row>
    <row r="113" spans="1:26" ht="21" customHeight="1" x14ac:dyDescent="0.35">
      <c r="A113" s="285"/>
      <c r="B113" s="294"/>
      <c r="C113" s="292"/>
      <c r="D113" s="154"/>
      <c r="E113" s="154"/>
      <c r="F113" s="154"/>
      <c r="G113" s="154"/>
      <c r="H113" s="154"/>
      <c r="I113" s="154"/>
      <c r="J113" s="154"/>
      <c r="K113" s="164"/>
      <c r="L113" s="154"/>
      <c r="M113" s="154"/>
      <c r="N113" s="154"/>
      <c r="O113" s="154"/>
      <c r="P113" s="154"/>
      <c r="Q113" s="154"/>
      <c r="R113" s="810"/>
      <c r="S113" s="810"/>
      <c r="T113" s="822"/>
      <c r="U113" s="822"/>
      <c r="V113" s="822"/>
      <c r="W113" s="822"/>
      <c r="X113" s="822"/>
      <c r="Y113" s="822"/>
      <c r="Z113" s="154"/>
    </row>
    <row r="114" spans="1:26" ht="20.399999999999999" x14ac:dyDescent="0.35">
      <c r="A114" s="285"/>
      <c r="B114" s="294"/>
      <c r="C114" s="292"/>
      <c r="D114" s="154"/>
      <c r="E114" s="154"/>
      <c r="F114" s="154"/>
      <c r="G114" s="154"/>
      <c r="H114" s="154"/>
      <c r="I114" s="154"/>
      <c r="J114" s="154"/>
      <c r="K114" s="164"/>
      <c r="L114" s="154"/>
      <c r="M114" s="154"/>
      <c r="N114" s="154"/>
      <c r="O114" s="154"/>
      <c r="P114" s="154"/>
      <c r="Q114" s="154"/>
      <c r="R114" s="811"/>
      <c r="S114" s="811"/>
      <c r="T114" s="822"/>
      <c r="U114" s="822"/>
      <c r="V114" s="822"/>
      <c r="W114" s="822"/>
      <c r="X114" s="822"/>
      <c r="Y114" s="822"/>
      <c r="Z114" s="154"/>
    </row>
    <row r="115" spans="1:26" ht="20.399999999999999" x14ac:dyDescent="0.35">
      <c r="A115" s="285"/>
      <c r="B115" s="294"/>
      <c r="C115" s="292"/>
      <c r="D115" s="154"/>
      <c r="E115" s="154"/>
      <c r="F115" s="154"/>
      <c r="G115" s="154"/>
      <c r="H115" s="154"/>
      <c r="I115" s="154"/>
      <c r="J115" s="154"/>
      <c r="K115" s="164"/>
      <c r="L115" s="154"/>
      <c r="M115" s="154"/>
      <c r="N115" s="154"/>
      <c r="O115" s="154"/>
      <c r="P115" s="154"/>
      <c r="Q115" s="154"/>
      <c r="R115" s="154"/>
      <c r="S115" s="154"/>
      <c r="T115" s="154"/>
      <c r="U115" s="154"/>
      <c r="V115" s="154"/>
      <c r="W115" s="154"/>
      <c r="X115" s="154"/>
      <c r="Y115" s="154"/>
      <c r="Z115" s="154"/>
    </row>
    <row r="116" spans="1:26" ht="20.399999999999999" x14ac:dyDescent="0.35">
      <c r="A116" s="285"/>
      <c r="B116" s="294"/>
      <c r="C116" s="292"/>
      <c r="D116" s="154"/>
      <c r="E116" s="154"/>
      <c r="F116" s="154"/>
      <c r="G116" s="154"/>
      <c r="H116" s="154"/>
      <c r="I116" s="154"/>
      <c r="J116" s="154"/>
      <c r="K116" s="164"/>
      <c r="L116" s="154"/>
      <c r="M116" s="154"/>
      <c r="N116" s="154"/>
      <c r="O116" s="154"/>
      <c r="P116" s="154"/>
      <c r="Q116" s="154"/>
      <c r="R116" s="154"/>
      <c r="S116" s="154"/>
      <c r="T116" s="154"/>
      <c r="U116" s="154"/>
      <c r="V116" s="154"/>
      <c r="W116" s="154"/>
      <c r="X116" s="154"/>
      <c r="Y116" s="154"/>
      <c r="Z116" s="154"/>
    </row>
    <row r="117" spans="1:26" ht="20.399999999999999" x14ac:dyDescent="0.35">
      <c r="A117" s="285"/>
      <c r="B117" s="294"/>
      <c r="C117" s="292"/>
      <c r="D117" s="154"/>
      <c r="E117" s="154"/>
      <c r="F117" s="154"/>
      <c r="G117" s="154"/>
      <c r="H117" s="154"/>
      <c r="I117" s="154"/>
      <c r="J117" s="154"/>
      <c r="K117" s="164"/>
      <c r="L117" s="154"/>
      <c r="M117" s="154"/>
      <c r="N117" s="154"/>
      <c r="O117" s="154"/>
      <c r="P117" s="154"/>
      <c r="Q117" s="154"/>
      <c r="R117" s="154"/>
      <c r="S117" s="154"/>
      <c r="T117" s="154"/>
      <c r="U117" s="154"/>
      <c r="V117" s="154"/>
      <c r="W117" s="154"/>
      <c r="X117" s="154"/>
      <c r="Y117" s="154"/>
      <c r="Z117" s="154"/>
    </row>
    <row r="118" spans="1:26" ht="20.399999999999999" x14ac:dyDescent="0.35">
      <c r="A118" s="285"/>
      <c r="B118" s="294"/>
      <c r="C118" s="292"/>
      <c r="D118" s="154"/>
      <c r="E118" s="154"/>
      <c r="F118" s="154"/>
      <c r="G118" s="154"/>
      <c r="H118" s="154"/>
      <c r="I118" s="154"/>
      <c r="J118" s="154"/>
      <c r="K118" s="164"/>
      <c r="L118" s="154"/>
      <c r="M118" s="154"/>
      <c r="N118" s="154"/>
      <c r="O118" s="154"/>
      <c r="P118" s="154"/>
      <c r="Q118" s="154"/>
      <c r="R118" s="154"/>
      <c r="S118" s="154"/>
      <c r="T118" s="154"/>
      <c r="U118" s="154"/>
      <c r="V118" s="154"/>
      <c r="W118" s="154"/>
      <c r="X118" s="154"/>
      <c r="Y118" s="154"/>
      <c r="Z118" s="154"/>
    </row>
    <row r="119" spans="1:26" ht="20.399999999999999" x14ac:dyDescent="0.35">
      <c r="A119" s="285"/>
      <c r="B119" s="294"/>
      <c r="C119" s="292"/>
      <c r="D119" s="154"/>
      <c r="E119" s="154"/>
      <c r="F119" s="154"/>
      <c r="G119" s="154"/>
      <c r="H119" s="154"/>
      <c r="I119" s="154"/>
      <c r="J119" s="154"/>
      <c r="K119" s="164"/>
      <c r="L119" s="154"/>
      <c r="M119" s="154"/>
      <c r="N119" s="154"/>
      <c r="O119" s="154"/>
      <c r="P119" s="154"/>
      <c r="Q119" s="154"/>
      <c r="R119" s="154"/>
      <c r="S119" s="154"/>
      <c r="T119" s="154"/>
      <c r="U119" s="154"/>
      <c r="V119" s="154"/>
      <c r="W119" s="154"/>
      <c r="X119" s="154"/>
      <c r="Y119" s="154"/>
      <c r="Z119" s="154"/>
    </row>
    <row r="120" spans="1:26" ht="20.399999999999999" x14ac:dyDescent="0.35">
      <c r="A120" s="285"/>
      <c r="B120" s="294"/>
      <c r="C120" s="292"/>
      <c r="D120" s="154"/>
      <c r="E120" s="154"/>
      <c r="F120" s="154"/>
      <c r="G120" s="154"/>
      <c r="H120" s="154"/>
      <c r="I120" s="154"/>
      <c r="J120" s="154"/>
      <c r="K120" s="164"/>
      <c r="L120" s="154"/>
      <c r="M120" s="154"/>
      <c r="N120" s="154"/>
      <c r="O120" s="154"/>
      <c r="P120" s="154"/>
      <c r="Q120" s="154"/>
      <c r="R120" s="154"/>
      <c r="S120" s="154"/>
      <c r="T120" s="154"/>
      <c r="U120" s="154"/>
      <c r="V120" s="154"/>
      <c r="W120" s="154"/>
      <c r="X120" s="154"/>
      <c r="Y120" s="154"/>
      <c r="Z120" s="154"/>
    </row>
    <row r="121" spans="1:26" ht="20.399999999999999" x14ac:dyDescent="0.35">
      <c r="A121" s="285"/>
      <c r="B121" s="294"/>
      <c r="C121" s="292"/>
      <c r="D121" s="154"/>
      <c r="E121" s="154"/>
      <c r="F121" s="154"/>
      <c r="G121" s="154"/>
      <c r="H121" s="154"/>
      <c r="I121" s="154"/>
      <c r="J121" s="154"/>
      <c r="K121" s="164"/>
      <c r="L121" s="154"/>
      <c r="M121" s="154"/>
      <c r="N121" s="154"/>
      <c r="O121" s="154"/>
      <c r="P121" s="154"/>
      <c r="Q121" s="154"/>
      <c r="R121" s="154"/>
      <c r="S121" s="154"/>
      <c r="T121" s="154"/>
      <c r="U121" s="154"/>
      <c r="V121" s="154"/>
      <c r="W121" s="154"/>
      <c r="X121" s="154"/>
      <c r="Y121" s="154"/>
      <c r="Z121" s="154"/>
    </row>
    <row r="122" spans="1:26" ht="20.399999999999999" x14ac:dyDescent="0.35">
      <c r="A122" s="285"/>
      <c r="B122" s="294"/>
      <c r="C122" s="292"/>
      <c r="D122" s="154"/>
      <c r="E122" s="154"/>
      <c r="F122" s="154"/>
      <c r="G122" s="154"/>
      <c r="H122" s="154"/>
      <c r="I122" s="154"/>
      <c r="J122" s="154"/>
      <c r="K122" s="164"/>
      <c r="L122" s="154"/>
      <c r="M122" s="154"/>
      <c r="N122" s="154"/>
      <c r="O122" s="154"/>
      <c r="P122" s="154"/>
      <c r="Q122" s="154"/>
      <c r="R122" s="154"/>
      <c r="S122" s="154"/>
      <c r="T122" s="154"/>
      <c r="U122" s="154"/>
      <c r="V122" s="154"/>
      <c r="W122" s="154"/>
      <c r="X122" s="154"/>
      <c r="Y122" s="154"/>
      <c r="Z122" s="154"/>
    </row>
    <row r="123" spans="1:26" ht="20.399999999999999" x14ac:dyDescent="0.35">
      <c r="A123" s="285"/>
      <c r="B123" s="294"/>
      <c r="C123" s="292"/>
      <c r="D123" s="154"/>
      <c r="E123" s="154"/>
      <c r="F123" s="154"/>
      <c r="G123" s="154"/>
      <c r="H123" s="154"/>
      <c r="I123" s="154"/>
      <c r="J123" s="154"/>
      <c r="K123" s="164"/>
      <c r="L123" s="154"/>
      <c r="M123" s="154"/>
      <c r="N123" s="154"/>
      <c r="O123" s="154"/>
      <c r="P123" s="154"/>
      <c r="Q123" s="154"/>
      <c r="R123" s="154"/>
      <c r="S123" s="154"/>
      <c r="T123" s="154"/>
      <c r="U123" s="154"/>
      <c r="V123" s="154"/>
      <c r="W123" s="154"/>
      <c r="X123" s="154"/>
      <c r="Y123" s="154"/>
      <c r="Z123" s="154"/>
    </row>
    <row r="124" spans="1:26" ht="20.399999999999999" x14ac:dyDescent="0.35">
      <c r="A124" s="285"/>
      <c r="B124" s="294"/>
      <c r="C124" s="292"/>
      <c r="D124" s="154"/>
      <c r="E124" s="154"/>
      <c r="F124" s="154"/>
      <c r="G124" s="154"/>
      <c r="H124" s="154"/>
      <c r="I124" s="154"/>
      <c r="J124" s="154"/>
      <c r="K124" s="164"/>
      <c r="L124" s="154"/>
      <c r="M124" s="154"/>
      <c r="N124" s="154"/>
      <c r="O124" s="154"/>
      <c r="P124" s="154"/>
      <c r="Q124" s="154"/>
      <c r="R124" s="154"/>
      <c r="S124" s="154"/>
      <c r="T124" s="154"/>
      <c r="U124" s="154"/>
      <c r="V124" s="154"/>
      <c r="W124" s="154"/>
      <c r="X124" s="154"/>
      <c r="Y124" s="154"/>
      <c r="Z124" s="154"/>
    </row>
    <row r="125" spans="1:26" ht="20.399999999999999" x14ac:dyDescent="0.35">
      <c r="A125" s="285"/>
      <c r="B125" s="294"/>
      <c r="C125" s="292"/>
      <c r="D125" s="154"/>
      <c r="E125" s="154"/>
      <c r="F125" s="154"/>
      <c r="G125" s="154"/>
      <c r="H125" s="154"/>
      <c r="I125" s="154"/>
      <c r="J125" s="154"/>
      <c r="K125" s="164"/>
      <c r="L125" s="154"/>
      <c r="M125" s="154"/>
      <c r="N125" s="154"/>
      <c r="O125" s="154"/>
      <c r="P125" s="154"/>
      <c r="Q125" s="154"/>
      <c r="R125" s="154"/>
      <c r="S125" s="154"/>
      <c r="T125" s="154"/>
      <c r="U125" s="154"/>
      <c r="V125" s="154"/>
      <c r="W125" s="154"/>
      <c r="X125" s="154"/>
      <c r="Y125" s="154"/>
      <c r="Z125" s="154"/>
    </row>
    <row r="126" spans="1:26" ht="20.399999999999999" x14ac:dyDescent="0.35">
      <c r="A126" s="285"/>
      <c r="B126" s="294"/>
      <c r="C126" s="292"/>
      <c r="D126" s="154"/>
      <c r="E126" s="154"/>
      <c r="F126" s="154"/>
      <c r="G126" s="154"/>
      <c r="H126" s="154"/>
      <c r="I126" s="154"/>
      <c r="J126" s="154"/>
      <c r="K126" s="164"/>
      <c r="L126" s="154"/>
      <c r="M126" s="154"/>
      <c r="N126" s="154"/>
      <c r="O126" s="154"/>
      <c r="P126" s="154"/>
      <c r="Q126" s="154"/>
      <c r="R126" s="154"/>
      <c r="S126" s="154"/>
      <c r="T126" s="154"/>
      <c r="U126" s="154"/>
      <c r="V126" s="154"/>
      <c r="W126" s="154"/>
      <c r="X126" s="154"/>
      <c r="Y126" s="154"/>
      <c r="Z126" s="154"/>
    </row>
    <row r="127" spans="1:26" ht="20.399999999999999" x14ac:dyDescent="0.35">
      <c r="A127" s="285"/>
      <c r="B127" s="294"/>
      <c r="C127" s="292"/>
      <c r="D127" s="154"/>
      <c r="E127" s="154"/>
      <c r="F127" s="154"/>
      <c r="G127" s="154"/>
      <c r="H127" s="154"/>
      <c r="I127" s="154"/>
      <c r="J127" s="154"/>
      <c r="K127" s="164"/>
      <c r="L127" s="154"/>
      <c r="M127" s="154"/>
      <c r="N127" s="154"/>
      <c r="O127" s="154"/>
      <c r="P127" s="154"/>
      <c r="Q127" s="154"/>
      <c r="R127" s="154"/>
      <c r="S127" s="154"/>
      <c r="T127" s="154"/>
      <c r="U127" s="154"/>
      <c r="V127" s="154"/>
      <c r="W127" s="154"/>
      <c r="X127" s="154"/>
      <c r="Y127" s="154"/>
      <c r="Z127" s="154"/>
    </row>
    <row r="128" spans="1:26" ht="20.399999999999999" x14ac:dyDescent="0.35">
      <c r="A128" s="285"/>
      <c r="B128" s="294"/>
      <c r="C128" s="292"/>
      <c r="D128" s="154"/>
      <c r="E128" s="154"/>
      <c r="F128" s="154"/>
      <c r="G128" s="154"/>
      <c r="H128" s="154"/>
      <c r="I128" s="154"/>
      <c r="J128" s="154"/>
      <c r="K128" s="164"/>
      <c r="L128" s="154"/>
      <c r="M128" s="154"/>
      <c r="N128" s="154"/>
      <c r="O128" s="154"/>
      <c r="P128" s="154"/>
      <c r="Q128" s="154"/>
      <c r="R128" s="154"/>
      <c r="S128" s="154"/>
      <c r="T128" s="154"/>
      <c r="U128" s="154"/>
      <c r="V128" s="154"/>
      <c r="W128" s="154"/>
      <c r="X128" s="154"/>
      <c r="Y128" s="154"/>
      <c r="Z128" s="154"/>
    </row>
    <row r="129" spans="1:26" ht="20.399999999999999" x14ac:dyDescent="0.35">
      <c r="A129" s="285"/>
      <c r="B129" s="294"/>
      <c r="C129" s="292"/>
      <c r="D129" s="154"/>
      <c r="E129" s="154"/>
      <c r="F129" s="154"/>
      <c r="G129" s="154"/>
      <c r="H129" s="154"/>
      <c r="I129" s="154"/>
      <c r="J129" s="154"/>
      <c r="K129" s="164"/>
      <c r="L129" s="154"/>
      <c r="M129" s="154"/>
      <c r="N129" s="154"/>
      <c r="O129" s="154"/>
      <c r="P129" s="154"/>
      <c r="Q129" s="154"/>
      <c r="R129" s="154"/>
      <c r="S129" s="154"/>
      <c r="T129" s="154"/>
      <c r="U129" s="154"/>
      <c r="V129" s="154"/>
      <c r="W129" s="154"/>
      <c r="X129" s="154"/>
      <c r="Y129" s="154"/>
      <c r="Z129" s="154"/>
    </row>
    <row r="130" spans="1:26" ht="20.399999999999999" x14ac:dyDescent="0.35">
      <c r="A130" s="285"/>
      <c r="B130" s="294"/>
      <c r="C130" s="292"/>
      <c r="D130" s="154"/>
      <c r="E130" s="154"/>
      <c r="F130" s="154"/>
      <c r="G130" s="154"/>
      <c r="H130" s="154"/>
      <c r="I130" s="154"/>
      <c r="J130" s="154"/>
      <c r="K130" s="164"/>
      <c r="L130" s="154"/>
      <c r="M130" s="154"/>
      <c r="N130" s="154"/>
      <c r="O130" s="154"/>
      <c r="P130" s="154"/>
      <c r="Q130" s="154"/>
      <c r="R130" s="154"/>
      <c r="S130" s="154"/>
      <c r="T130" s="154"/>
      <c r="U130" s="154"/>
      <c r="V130" s="154"/>
      <c r="W130" s="154"/>
      <c r="X130" s="154"/>
      <c r="Y130" s="154"/>
      <c r="Z130" s="154"/>
    </row>
    <row r="131" spans="1:26" ht="20.399999999999999" x14ac:dyDescent="0.35">
      <c r="A131" s="285"/>
      <c r="B131" s="294"/>
      <c r="C131" s="292"/>
      <c r="D131" s="154"/>
      <c r="E131" s="154"/>
      <c r="F131" s="154"/>
      <c r="G131" s="154"/>
      <c r="H131" s="154"/>
      <c r="I131" s="154"/>
      <c r="J131" s="154"/>
      <c r="K131" s="164"/>
      <c r="L131" s="154"/>
      <c r="M131" s="154"/>
      <c r="N131" s="154"/>
      <c r="O131" s="154"/>
      <c r="P131" s="154"/>
      <c r="Q131" s="154"/>
      <c r="R131" s="154"/>
      <c r="S131" s="154"/>
      <c r="T131" s="154"/>
      <c r="U131" s="154"/>
      <c r="V131" s="154"/>
      <c r="W131" s="154"/>
      <c r="X131" s="154"/>
      <c r="Y131" s="154"/>
      <c r="Z131" s="154"/>
    </row>
    <row r="132" spans="1:26" ht="20.399999999999999" x14ac:dyDescent="0.35">
      <c r="A132" s="182"/>
      <c r="B132" s="181"/>
      <c r="C132" s="268"/>
      <c r="D132" s="154"/>
      <c r="E132" s="154"/>
      <c r="F132" s="154"/>
      <c r="G132" s="154"/>
      <c r="H132" s="154"/>
      <c r="I132" s="154"/>
      <c r="J132" s="154"/>
      <c r="K132" s="164"/>
      <c r="L132" s="154"/>
      <c r="M132" s="154"/>
      <c r="N132" s="154"/>
      <c r="O132" s="154"/>
      <c r="P132" s="154"/>
      <c r="Q132" s="154"/>
      <c r="R132" s="821" t="s">
        <v>1077</v>
      </c>
      <c r="S132" s="821"/>
      <c r="T132" s="821"/>
      <c r="U132" s="821"/>
      <c r="V132" s="821"/>
      <c r="W132" s="821"/>
      <c r="X132" s="821"/>
      <c r="Y132" s="821"/>
      <c r="Z132" s="154"/>
    </row>
    <row r="133" spans="1:26" ht="31.5" customHeight="1" x14ac:dyDescent="0.3">
      <c r="A133" s="175"/>
      <c r="B133" s="775" t="s">
        <v>734</v>
      </c>
      <c r="C133" s="775"/>
      <c r="D133" s="775"/>
      <c r="E133" s="775"/>
      <c r="F133" s="775"/>
      <c r="G133" s="154"/>
      <c r="H133" s="154"/>
      <c r="I133" s="839" t="s">
        <v>886</v>
      </c>
      <c r="J133" s="839"/>
      <c r="K133" s="839"/>
      <c r="L133" s="839"/>
      <c r="M133" s="839"/>
      <c r="N133" s="839"/>
      <c r="O133" s="154"/>
      <c r="P133" s="154"/>
      <c r="Q133" s="154"/>
      <c r="R133" s="589" t="s">
        <v>1063</v>
      </c>
      <c r="S133" s="589" t="s">
        <v>1064</v>
      </c>
      <c r="T133" s="826" t="s">
        <v>1065</v>
      </c>
      <c r="U133" s="826"/>
      <c r="V133" s="826"/>
      <c r="W133" s="826"/>
      <c r="X133" s="826"/>
      <c r="Y133" s="826"/>
      <c r="Z133" s="154"/>
    </row>
    <row r="134" spans="1:26" ht="42.75" customHeight="1" x14ac:dyDescent="0.35">
      <c r="A134" s="175"/>
      <c r="B134" s="305" t="s">
        <v>405</v>
      </c>
      <c r="C134" s="306" t="str">
        <f>$E$8</f>
        <v>INSTITUCION EDUCATIVA EDUARDO SANTOS</v>
      </c>
      <c r="D134" s="771" t="str">
        <f>$E$9</f>
        <v>OFICIALES URBANOS DE SOACHA</v>
      </c>
      <c r="E134" s="771"/>
      <c r="F134" s="307" t="str">
        <f>$E$10</f>
        <v>COMUNA 6 OFICIAL</v>
      </c>
      <c r="G134" s="154"/>
      <c r="H134" s="154"/>
      <c r="I134" s="837" t="s">
        <v>405</v>
      </c>
      <c r="J134" s="837" t="s">
        <v>407</v>
      </c>
      <c r="K134" s="295" t="s">
        <v>735</v>
      </c>
      <c r="L134" s="296" t="s">
        <v>736</v>
      </c>
      <c r="M134" s="297" t="s">
        <v>737</v>
      </c>
      <c r="N134" s="298" t="s">
        <v>732</v>
      </c>
      <c r="O134" s="268" t="s">
        <v>738</v>
      </c>
      <c r="P134" s="268"/>
      <c r="Q134" s="154"/>
      <c r="R134" s="825">
        <v>1</v>
      </c>
      <c r="S134" s="827" t="s">
        <v>735</v>
      </c>
      <c r="T134" s="828" t="s">
        <v>1078</v>
      </c>
      <c r="U134" s="828"/>
      <c r="V134" s="828"/>
      <c r="W134" s="828"/>
      <c r="X134" s="828"/>
      <c r="Y134" s="828"/>
      <c r="Z134" s="154"/>
    </row>
    <row r="135" spans="1:26" ht="20.25" customHeight="1" x14ac:dyDescent="0.3">
      <c r="A135" s="175"/>
      <c r="B135" s="293">
        <v>2016</v>
      </c>
      <c r="C135" s="273">
        <f>VLOOKUP($E$8,SyC!$A$10:$BK$167,4,0)</f>
        <v>51</v>
      </c>
      <c r="D135" s="768">
        <f>VLOOKUP($E$9,SyC!$A$10:$BK$167,4,0)</f>
        <v>51</v>
      </c>
      <c r="E135" s="768"/>
      <c r="F135" s="273">
        <f>VLOOKUP($E$10,SyC!$A$10:$BK$167,4,0)</f>
        <v>50.666666666666664</v>
      </c>
      <c r="G135" s="154"/>
      <c r="H135" s="154"/>
      <c r="I135" s="837"/>
      <c r="J135" s="837"/>
      <c r="K135" s="299">
        <v>1</v>
      </c>
      <c r="L135" s="300">
        <v>2</v>
      </c>
      <c r="M135" s="301">
        <v>3</v>
      </c>
      <c r="N135" s="302">
        <v>4</v>
      </c>
      <c r="O135" s="179" t="s">
        <v>889</v>
      </c>
      <c r="P135" s="179"/>
      <c r="Q135" s="154"/>
      <c r="R135" s="825"/>
      <c r="S135" s="827"/>
      <c r="T135" s="828"/>
      <c r="U135" s="828"/>
      <c r="V135" s="828"/>
      <c r="W135" s="828"/>
      <c r="X135" s="828"/>
      <c r="Y135" s="828"/>
      <c r="Z135" s="154"/>
    </row>
    <row r="136" spans="1:26" ht="21" x14ac:dyDescent="0.3">
      <c r="A136" s="175"/>
      <c r="B136" s="293">
        <v>2017</v>
      </c>
      <c r="C136" s="273">
        <f>VLOOKUP($E$8,SyC!$A$10:$BK$167,16,0)</f>
        <v>50</v>
      </c>
      <c r="D136" s="768">
        <f>VLOOKUP($E$9,SyC!$A$10:$BK$167,16,0)</f>
        <v>50</v>
      </c>
      <c r="E136" s="768"/>
      <c r="F136" s="273">
        <f>VLOOKUP($E$10,SyC!$A$10:$BK$167,16,0)</f>
        <v>50</v>
      </c>
      <c r="G136" s="154"/>
      <c r="H136" s="154"/>
      <c r="I136" s="834">
        <v>2016</v>
      </c>
      <c r="J136" s="455" t="str">
        <f>$E$8</f>
        <v>INSTITUCION EDUCATIVA EDUARDO SANTOS</v>
      </c>
      <c r="K136" s="279">
        <f>VLOOKUP($E$8,SyC!$A$10:$BK$167,6,0)</f>
        <v>0.12</v>
      </c>
      <c r="L136" s="280">
        <f>VLOOKUP($E$8,SyC!$A$10:$BK$167,7,0)</f>
        <v>0.56000000000000005</v>
      </c>
      <c r="M136" s="281">
        <f>VLOOKUP($E$8,SyC!$A$10:$BK$167,8,0)</f>
        <v>0.32</v>
      </c>
      <c r="N136" s="282">
        <f>VLOOKUP($E$8,SyC!$A$10:$BK$167,9,0)</f>
        <v>0</v>
      </c>
      <c r="O136" s="164">
        <f t="shared" ref="O136:O153" si="6">K136+L136</f>
        <v>0.68</v>
      </c>
      <c r="P136" s="164"/>
      <c r="Q136" s="154"/>
      <c r="R136" s="825"/>
      <c r="S136" s="827"/>
      <c r="T136" s="828"/>
      <c r="U136" s="828"/>
      <c r="V136" s="828"/>
      <c r="W136" s="828"/>
      <c r="X136" s="828"/>
      <c r="Y136" s="828"/>
      <c r="Z136" s="154"/>
    </row>
    <row r="137" spans="1:26" ht="21" x14ac:dyDescent="0.3">
      <c r="A137" s="175"/>
      <c r="B137" s="293">
        <v>2018</v>
      </c>
      <c r="C137" s="273">
        <f>VLOOKUP($E$8,SyC!$A$10:$BK$167,28,0)</f>
        <v>47</v>
      </c>
      <c r="D137" s="768">
        <f>VLOOKUP($E$9,SyC!$A$10:$BK$167,28,0)</f>
        <v>48</v>
      </c>
      <c r="E137" s="768"/>
      <c r="F137" s="273">
        <f>VLOOKUP($E$10,SyC!$A$10:$BK$167,28,0)</f>
        <v>47.666666666666664</v>
      </c>
      <c r="G137" s="154"/>
      <c r="H137" s="154"/>
      <c r="I137" s="835"/>
      <c r="J137" s="455" t="str">
        <f>$E$9</f>
        <v>OFICIALES URBANOS DE SOACHA</v>
      </c>
      <c r="K137" s="279">
        <f>VLOOKUP($E$9,SyC!$A$10:$BK$167,6,0)</f>
        <v>0.16</v>
      </c>
      <c r="L137" s="280">
        <f>VLOOKUP($E$9,SyC!$A$10:$BK$167,7,0)</f>
        <v>0.55000000000000004</v>
      </c>
      <c r="M137" s="281">
        <f>VLOOKUP($E$9,SyC!$A$10:$BK$167,8,0)</f>
        <v>0.28000000000000003</v>
      </c>
      <c r="N137" s="282">
        <f>VLOOKUP($E$9,SyC!$A$10:$BK$167,9,0)</f>
        <v>0.01</v>
      </c>
      <c r="O137" s="164">
        <f t="shared" si="6"/>
        <v>0.71000000000000008</v>
      </c>
      <c r="P137" s="164"/>
      <c r="Q137" s="154"/>
      <c r="R137" s="809">
        <v>2</v>
      </c>
      <c r="S137" s="809" t="s">
        <v>736</v>
      </c>
      <c r="T137" s="812" t="s">
        <v>1079</v>
      </c>
      <c r="U137" s="813"/>
      <c r="V137" s="813"/>
      <c r="W137" s="813"/>
      <c r="X137" s="813"/>
      <c r="Y137" s="814"/>
      <c r="Z137" s="154"/>
    </row>
    <row r="138" spans="1:26" ht="21" x14ac:dyDescent="0.3">
      <c r="A138" s="175"/>
      <c r="B138" s="293">
        <v>2019</v>
      </c>
      <c r="C138" s="273">
        <f>VLOOKUP($E$8,SyC!$A$10:$BK$167,40,0)</f>
        <v>47</v>
      </c>
      <c r="D138" s="768">
        <f>VLOOKUP($E$9,SyC!$A$10:$BK$167,40,0)</f>
        <v>47</v>
      </c>
      <c r="E138" s="768"/>
      <c r="F138" s="273">
        <f>VLOOKUP($E$10,SyC!$A$10:$BK$167,40,0)</f>
        <v>46.666666666666664</v>
      </c>
      <c r="G138" s="154"/>
      <c r="H138" s="154"/>
      <c r="I138" s="836"/>
      <c r="J138" s="455" t="str">
        <f>$E$10</f>
        <v>COMUNA 6 OFICIAL</v>
      </c>
      <c r="K138" s="279">
        <f>VLOOKUP($E$10,SyC!$A$10:$BK$167,6,0)</f>
        <v>0.14000000000000001</v>
      </c>
      <c r="L138" s="280">
        <f>VLOOKUP($E$10,SyC!$A$10:$BK$167,7,0)</f>
        <v>0.57333333333333325</v>
      </c>
      <c r="M138" s="281">
        <f>VLOOKUP($E$10,SyC!$A$10:$BK$167,8,0)</f>
        <v>0.28333333333333338</v>
      </c>
      <c r="N138" s="282">
        <f>VLOOKUP($E$10,SyC!$A$10:$BK$167,9,0)</f>
        <v>3.3333333333333335E-3</v>
      </c>
      <c r="O138" s="164">
        <f t="shared" si="6"/>
        <v>0.71333333333333326</v>
      </c>
      <c r="P138" s="164"/>
      <c r="Q138" s="154"/>
      <c r="R138" s="810"/>
      <c r="S138" s="810"/>
      <c r="T138" s="815"/>
      <c r="U138" s="816"/>
      <c r="V138" s="816"/>
      <c r="W138" s="816"/>
      <c r="X138" s="816"/>
      <c r="Y138" s="817"/>
      <c r="Z138" s="154"/>
    </row>
    <row r="139" spans="1:26" ht="21" x14ac:dyDescent="0.3">
      <c r="A139" s="175"/>
      <c r="B139" s="293">
        <v>2020</v>
      </c>
      <c r="C139" s="273">
        <f>VLOOKUP($E$8,SyC!$A$10:$BK$167,52,0)</f>
        <v>48</v>
      </c>
      <c r="D139" s="768">
        <f>VLOOKUP($E$9,SyC!$A$10:$BK$167,52,0)</f>
        <v>49</v>
      </c>
      <c r="E139" s="768"/>
      <c r="F139" s="273">
        <f>VLOOKUP($E$10,SyC!$A$10:$BK$167,52,0)</f>
        <v>48.666666666666664</v>
      </c>
      <c r="G139" s="154"/>
      <c r="H139" s="154"/>
      <c r="I139" s="834">
        <v>2017</v>
      </c>
      <c r="J139" s="455" t="str">
        <f>$E$8</f>
        <v>INSTITUCION EDUCATIVA EDUARDO SANTOS</v>
      </c>
      <c r="K139" s="279">
        <f>VLOOKUP($E$8,SyC!$A$10:$BK$167,18,0)</f>
        <v>0.15</v>
      </c>
      <c r="L139" s="280">
        <f>VLOOKUP($E$8,SyC!$A$10:$BK$167,19,0)</f>
        <v>0.56999999999999995</v>
      </c>
      <c r="M139" s="281">
        <f>VLOOKUP($E$8,SyC!$A$10:$BK$167,20,0)</f>
        <v>0.28000000000000003</v>
      </c>
      <c r="N139" s="282">
        <f>VLOOKUP($E$8,SyC!$A$10:$BK$167,21,0)</f>
        <v>0.01</v>
      </c>
      <c r="O139" s="164">
        <f t="shared" si="6"/>
        <v>0.72</v>
      </c>
      <c r="P139" s="164"/>
      <c r="Q139" s="154"/>
      <c r="R139" s="810"/>
      <c r="S139" s="810"/>
      <c r="T139" s="815"/>
      <c r="U139" s="816"/>
      <c r="V139" s="816"/>
      <c r="W139" s="816"/>
      <c r="X139" s="816"/>
      <c r="Y139" s="817"/>
      <c r="Z139" s="154"/>
    </row>
    <row r="140" spans="1:26" ht="21" x14ac:dyDescent="0.3">
      <c r="A140" s="175"/>
      <c r="B140" s="293">
        <v>2021</v>
      </c>
      <c r="C140" s="273">
        <f>VLOOKUP($E$8,SyC!$A$10:$BY$167,64,0)</f>
        <v>48</v>
      </c>
      <c r="D140" s="768">
        <f>VLOOKUP($E$9,SyC!$A$10:$BY$167,64,0)</f>
        <v>47</v>
      </c>
      <c r="E140" s="768"/>
      <c r="F140" s="273">
        <f>VLOOKUP($E$10,SyC!$A$10:$BY$167,64,0)</f>
        <v>46.666666666666664</v>
      </c>
      <c r="G140" s="154"/>
      <c r="H140" s="154"/>
      <c r="I140" s="835"/>
      <c r="J140" s="455" t="str">
        <f>$E$9</f>
        <v>OFICIALES URBANOS DE SOACHA</v>
      </c>
      <c r="K140" s="279">
        <f>VLOOKUP($E$9,SyC!$A$10:$BK$167,18,0)</f>
        <v>0.16</v>
      </c>
      <c r="L140" s="280">
        <f>VLOOKUP($E$9,SyC!$A$10:$BK$167,19,0)</f>
        <v>0.54</v>
      </c>
      <c r="M140" s="281">
        <f>VLOOKUP($E$9,SyC!$A$10:$BK$167,20,0)</f>
        <v>0.28999999999999998</v>
      </c>
      <c r="N140" s="282">
        <f>VLOOKUP($E$9,SyC!$A$10:$BK$167,21,0)</f>
        <v>0.01</v>
      </c>
      <c r="O140" s="164">
        <f t="shared" si="6"/>
        <v>0.70000000000000007</v>
      </c>
      <c r="P140" s="164"/>
      <c r="Q140" s="154"/>
      <c r="R140" s="810"/>
      <c r="S140" s="810"/>
      <c r="T140" s="815"/>
      <c r="U140" s="816"/>
      <c r="V140" s="816"/>
      <c r="W140" s="816"/>
      <c r="X140" s="816"/>
      <c r="Y140" s="817"/>
      <c r="Z140" s="154"/>
    </row>
    <row r="141" spans="1:26" ht="21" x14ac:dyDescent="0.3">
      <c r="A141" s="175"/>
      <c r="B141" s="293">
        <v>2022</v>
      </c>
      <c r="C141" s="273">
        <f>VLOOKUP($E$8,SyC!$A$10:$CM$167,78,0)</f>
        <v>48</v>
      </c>
      <c r="D141" s="768">
        <f>VLOOKUP($E$9,SyC!$A$10:$CM$167,78,0)</f>
        <v>48</v>
      </c>
      <c r="E141" s="768"/>
      <c r="F141" s="273">
        <f>VLOOKUP($E$10,SyC!$A$10:$CM$167,78,0)</f>
        <v>47</v>
      </c>
      <c r="G141" s="154"/>
      <c r="H141" s="154"/>
      <c r="I141" s="835"/>
      <c r="J141" s="455" t="str">
        <f>$E$10</f>
        <v>COMUNA 6 OFICIAL</v>
      </c>
      <c r="K141" s="279">
        <f>VLOOKUP($E$10,SyC!$A$10:$BK$167,18,0)</f>
        <v>0.15333333333333335</v>
      </c>
      <c r="L141" s="280">
        <f>VLOOKUP($E$10,SyC!$A$10:$BK$167,19,0)</f>
        <v>0.54333333333333333</v>
      </c>
      <c r="M141" s="281">
        <f>VLOOKUP($E$10,SyC!$A$10:$BK$167,20,0)</f>
        <v>0.29333333333333333</v>
      </c>
      <c r="N141" s="282">
        <f>VLOOKUP($E$10,SyC!$A$10:$BK$167,21,0)</f>
        <v>1.3333333333333334E-2</v>
      </c>
      <c r="O141" s="164">
        <f t="shared" si="6"/>
        <v>0.69666666666666666</v>
      </c>
      <c r="P141" s="164"/>
      <c r="Q141" s="154"/>
      <c r="R141" s="810"/>
      <c r="S141" s="810"/>
      <c r="T141" s="815"/>
      <c r="U141" s="816"/>
      <c r="V141" s="816"/>
      <c r="W141" s="816"/>
      <c r="X141" s="816"/>
      <c r="Y141" s="817"/>
      <c r="Z141" s="154"/>
    </row>
    <row r="142" spans="1:26" ht="21" x14ac:dyDescent="0.3">
      <c r="A142" s="175"/>
      <c r="B142" s="293">
        <v>2023</v>
      </c>
      <c r="C142" s="646">
        <f>VLOOKUP($E$8,SyC!$A$10:DA$167,92,0)</f>
        <v>48</v>
      </c>
      <c r="D142" s="768">
        <f>VLOOKUP($E$9,SyC!$A$10:$DA$167,92,0)</f>
        <v>48</v>
      </c>
      <c r="E142" s="768"/>
      <c r="F142" s="646">
        <f>VLOOKUP($E$10,SyC!$A$10:$DA$167,92,0)</f>
        <v>47.333333333333336</v>
      </c>
      <c r="G142" s="154"/>
      <c r="H142" s="154"/>
      <c r="I142" s="834">
        <v>2018</v>
      </c>
      <c r="J142" s="455" t="str">
        <f>$E$8</f>
        <v>INSTITUCION EDUCATIVA EDUARDO SANTOS</v>
      </c>
      <c r="K142" s="279">
        <f>VLOOKUP($E$8,SyC!$A$10:$BK$167,30,0)</f>
        <v>0.31</v>
      </c>
      <c r="L142" s="280">
        <f>VLOOKUP($E$8,SyC!$A$10:$BK$167,31,0)</f>
        <v>0.45</v>
      </c>
      <c r="M142" s="281">
        <f>VLOOKUP($E$8,SyC!$A$10:$BK$167,32,0)</f>
        <v>0.23</v>
      </c>
      <c r="N142" s="282">
        <f>VLOOKUP($E$8,SyC!$A$10:$BK$167,33,0)</f>
        <v>0.01</v>
      </c>
      <c r="O142" s="164">
        <f t="shared" si="6"/>
        <v>0.76</v>
      </c>
      <c r="P142" s="164"/>
      <c r="Q142" s="154"/>
      <c r="R142" s="810"/>
      <c r="S142" s="810"/>
      <c r="T142" s="815"/>
      <c r="U142" s="816"/>
      <c r="V142" s="816"/>
      <c r="W142" s="816"/>
      <c r="X142" s="816"/>
      <c r="Y142" s="817"/>
      <c r="Z142" s="154"/>
    </row>
    <row r="143" spans="1:26" ht="21" x14ac:dyDescent="0.3">
      <c r="A143" s="175"/>
      <c r="B143" s="175"/>
      <c r="C143" s="154"/>
      <c r="D143" s="154"/>
      <c r="E143" s="154"/>
      <c r="F143" s="154"/>
      <c r="G143" s="154"/>
      <c r="H143" s="154"/>
      <c r="I143" s="835"/>
      <c r="J143" s="455" t="str">
        <f>$E$9</f>
        <v>OFICIALES URBANOS DE SOACHA</v>
      </c>
      <c r="K143" s="279">
        <f>VLOOKUP($E$9,SyC!$A$10:$BK$167,30,0)</f>
        <v>0.25</v>
      </c>
      <c r="L143" s="280">
        <f>VLOOKUP($E$9,SyC!$A$10:$BK$167,31,0)</f>
        <v>0.51</v>
      </c>
      <c r="M143" s="281">
        <f>VLOOKUP($E$9,SyC!$A$10:$BK$167,32,0)</f>
        <v>0.24</v>
      </c>
      <c r="N143" s="282">
        <f>VLOOKUP($E$9,SyC!$A$10:$BK$167,33,0)</f>
        <v>0.01</v>
      </c>
      <c r="O143" s="164">
        <f t="shared" si="6"/>
        <v>0.76</v>
      </c>
      <c r="P143" s="164"/>
      <c r="Q143" s="154"/>
      <c r="R143" s="810"/>
      <c r="S143" s="810"/>
      <c r="T143" s="815"/>
      <c r="U143" s="816"/>
      <c r="V143" s="816"/>
      <c r="W143" s="816"/>
      <c r="X143" s="816"/>
      <c r="Y143" s="817"/>
      <c r="Z143" s="154"/>
    </row>
    <row r="144" spans="1:26" ht="21" x14ac:dyDescent="0.3">
      <c r="A144" s="182"/>
      <c r="B144" s="303"/>
      <c r="C144" s="173"/>
      <c r="D144" s="173"/>
      <c r="E144" s="154"/>
      <c r="F144" s="154"/>
      <c r="G144" s="154"/>
      <c r="H144" s="154"/>
      <c r="I144" s="835"/>
      <c r="J144" s="455" t="str">
        <f>$E$10</f>
        <v>COMUNA 6 OFICIAL</v>
      </c>
      <c r="K144" s="279">
        <f>VLOOKUP($E$10,SyC!$A$10:$BK$167,30,0)</f>
        <v>0.27666666666666667</v>
      </c>
      <c r="L144" s="280">
        <f>VLOOKUP($E$10,SyC!$A$10:$BK$167,31,0)</f>
        <v>0.48333333333333334</v>
      </c>
      <c r="M144" s="281">
        <f>VLOOKUP($E$10,SyC!$A$10:$BK$167,32,0)</f>
        <v>0.22666666666666668</v>
      </c>
      <c r="N144" s="282">
        <f>VLOOKUP($E$10,SyC!$A$10:$BK$167,33,0)</f>
        <v>1.6666666666666666E-2</v>
      </c>
      <c r="O144" s="164">
        <f t="shared" si="6"/>
        <v>0.76</v>
      </c>
      <c r="P144" s="164"/>
      <c r="Q144" s="154"/>
      <c r="R144" s="810"/>
      <c r="S144" s="810"/>
      <c r="T144" s="815"/>
      <c r="U144" s="816"/>
      <c r="V144" s="816"/>
      <c r="W144" s="816"/>
      <c r="X144" s="816"/>
      <c r="Y144" s="817"/>
      <c r="Z144" s="154"/>
    </row>
    <row r="145" spans="1:26" ht="21" x14ac:dyDescent="0.3">
      <c r="A145" s="182"/>
      <c r="B145" s="304"/>
      <c r="C145" s="173"/>
      <c r="D145" s="173"/>
      <c r="E145" s="154"/>
      <c r="F145" s="154"/>
      <c r="G145" s="154"/>
      <c r="H145" s="154"/>
      <c r="I145" s="834">
        <v>2019</v>
      </c>
      <c r="J145" s="455" t="str">
        <f>$E$8</f>
        <v>INSTITUCION EDUCATIVA EDUARDO SANTOS</v>
      </c>
      <c r="K145" s="279">
        <f>VLOOKUP($E$8,SyC!$A$10:$BK$167,42,0)</f>
        <v>0.3</v>
      </c>
      <c r="L145" s="280">
        <f>VLOOKUP($E$8,SyC!$A$10:$BK$167,43,0)</f>
        <v>0.54</v>
      </c>
      <c r="M145" s="281">
        <f>VLOOKUP($E$8,SyC!$A$10:$BK$167,44,0)</f>
        <v>0.15</v>
      </c>
      <c r="N145" s="282">
        <f>VLOOKUP($E$8,SyC!$A$10:$BK$167,45,0)</f>
        <v>0.01</v>
      </c>
      <c r="O145" s="164">
        <f t="shared" si="6"/>
        <v>0.84000000000000008</v>
      </c>
      <c r="P145" s="164"/>
      <c r="Q145" s="154"/>
      <c r="R145" s="810"/>
      <c r="S145" s="810"/>
      <c r="T145" s="815"/>
      <c r="U145" s="816"/>
      <c r="V145" s="816"/>
      <c r="W145" s="816"/>
      <c r="X145" s="816"/>
      <c r="Y145" s="817"/>
      <c r="Z145" s="154"/>
    </row>
    <row r="146" spans="1:26" ht="21" x14ac:dyDescent="0.3">
      <c r="A146" s="182"/>
      <c r="B146" s="304"/>
      <c r="C146" s="173"/>
      <c r="D146" s="173"/>
      <c r="E146" s="154"/>
      <c r="F146" s="154"/>
      <c r="G146" s="154"/>
      <c r="H146" s="154"/>
      <c r="I146" s="835"/>
      <c r="J146" s="455" t="str">
        <f>$E$9</f>
        <v>OFICIALES URBANOS DE SOACHA</v>
      </c>
      <c r="K146" s="279">
        <f>VLOOKUP($E$9,SyC!$A$10:$BK$167,42,0)</f>
        <v>0.31</v>
      </c>
      <c r="L146" s="280">
        <f>VLOOKUP($E$9,SyC!$A$10:$BK$167,43,0)</f>
        <v>0.48</v>
      </c>
      <c r="M146" s="281">
        <f>VLOOKUP($E$9,SyC!$A$10:$BK$167,44,0)</f>
        <v>0.2</v>
      </c>
      <c r="N146" s="282">
        <f>VLOOKUP($E$9,SyC!$A$10:$BK$167,45,0)</f>
        <v>0.01</v>
      </c>
      <c r="O146" s="164">
        <f t="shared" si="6"/>
        <v>0.79</v>
      </c>
      <c r="P146" s="164"/>
      <c r="Q146" s="154"/>
      <c r="R146" s="810"/>
      <c r="S146" s="810"/>
      <c r="T146" s="815"/>
      <c r="U146" s="816"/>
      <c r="V146" s="816"/>
      <c r="W146" s="816"/>
      <c r="X146" s="816"/>
      <c r="Y146" s="817"/>
      <c r="Z146" s="154"/>
    </row>
    <row r="147" spans="1:26" ht="21" x14ac:dyDescent="0.3">
      <c r="A147" s="182"/>
      <c r="B147" s="304"/>
      <c r="C147" s="173"/>
      <c r="D147" s="173"/>
      <c r="E147" s="154"/>
      <c r="F147" s="154"/>
      <c r="G147" s="154"/>
      <c r="H147" s="154"/>
      <c r="I147" s="835"/>
      <c r="J147" s="455" t="str">
        <f>$E$10</f>
        <v>COMUNA 6 OFICIAL</v>
      </c>
      <c r="K147" s="279">
        <f>VLOOKUP($E$10,SyC!$A$10:$BK$167,42,0)</f>
        <v>0.31</v>
      </c>
      <c r="L147" s="280">
        <f>VLOOKUP($E$10,SyC!$A$10:$BK$167,43,0)</f>
        <v>0.5</v>
      </c>
      <c r="M147" s="281">
        <f>VLOOKUP($E$10,SyC!$A$10:$BK$167,44,0)</f>
        <v>0.17333333333333334</v>
      </c>
      <c r="N147" s="282">
        <f>VLOOKUP($E$10,SyC!$A$10:$BK$167,45,0)</f>
        <v>1.6666666666666666E-2</v>
      </c>
      <c r="O147" s="164">
        <f t="shared" si="6"/>
        <v>0.81</v>
      </c>
      <c r="P147" s="164"/>
      <c r="Q147" s="154"/>
      <c r="R147" s="811"/>
      <c r="S147" s="811"/>
      <c r="T147" s="818"/>
      <c r="U147" s="819"/>
      <c r="V147" s="819"/>
      <c r="W147" s="819"/>
      <c r="X147" s="819"/>
      <c r="Y147" s="820"/>
      <c r="Z147" s="154"/>
    </row>
    <row r="148" spans="1:26" ht="21" customHeight="1" x14ac:dyDescent="0.3">
      <c r="A148" s="182"/>
      <c r="B148" s="304"/>
      <c r="C148" s="173"/>
      <c r="D148" s="173"/>
      <c r="E148" s="154"/>
      <c r="F148" s="154"/>
      <c r="G148" s="154"/>
      <c r="H148" s="154"/>
      <c r="I148" s="834">
        <v>2020</v>
      </c>
      <c r="J148" s="455" t="str">
        <f>$E$8</f>
        <v>INSTITUCION EDUCATIVA EDUARDO SANTOS</v>
      </c>
      <c r="K148" s="279">
        <f>VLOOKUP($E$8,SyC!$A$10:$BK$167,54,0)</f>
        <v>0.26</v>
      </c>
      <c r="L148" s="280">
        <f>VLOOKUP($E$8,SyC!$A$10:$BK$167,55,0)</f>
        <v>0.5</v>
      </c>
      <c r="M148" s="281">
        <f>VLOOKUP($E$8,SyC!$A$10:$BK$167,56,0)</f>
        <v>0.22</v>
      </c>
      <c r="N148" s="282">
        <f>VLOOKUP($E$8,SyC!$A$10:$BK$167,57,0)</f>
        <v>0.02</v>
      </c>
      <c r="O148" s="164">
        <f t="shared" si="6"/>
        <v>0.76</v>
      </c>
      <c r="P148" s="164"/>
      <c r="Q148" s="154"/>
      <c r="R148" s="825">
        <v>3</v>
      </c>
      <c r="S148" s="825" t="s">
        <v>737</v>
      </c>
      <c r="T148" s="824" t="s">
        <v>1080</v>
      </c>
      <c r="U148" s="824"/>
      <c r="V148" s="824"/>
      <c r="W148" s="824"/>
      <c r="X148" s="824"/>
      <c r="Y148" s="824"/>
      <c r="Z148" s="154"/>
    </row>
    <row r="149" spans="1:26" ht="21" x14ac:dyDescent="0.3">
      <c r="A149" s="182"/>
      <c r="B149" s="304"/>
      <c r="C149" s="173"/>
      <c r="D149" s="173"/>
      <c r="E149" s="154"/>
      <c r="F149" s="154"/>
      <c r="G149" s="154"/>
      <c r="H149" s="154"/>
      <c r="I149" s="835"/>
      <c r="J149" s="455" t="str">
        <f>$E$9</f>
        <v>OFICIALES URBANOS DE SOACHA</v>
      </c>
      <c r="K149" s="279">
        <f>VLOOKUP($E$9,SyC!$A$10:$BK$167,54,0)</f>
        <v>0.22</v>
      </c>
      <c r="L149" s="280">
        <f>VLOOKUP($E$9,SyC!$A$10:$BK$167,55,0)</f>
        <v>0.5</v>
      </c>
      <c r="M149" s="281">
        <f>VLOOKUP($E$9,SyC!$A$10:$BK$167,56,0)</f>
        <v>0.26</v>
      </c>
      <c r="N149" s="282">
        <f>VLOOKUP($E$9,SyC!$A$10:$BK$167,57,0)</f>
        <v>0.01</v>
      </c>
      <c r="O149" s="164">
        <f t="shared" si="6"/>
        <v>0.72</v>
      </c>
      <c r="P149" s="164"/>
      <c r="Q149" s="154"/>
      <c r="R149" s="825"/>
      <c r="S149" s="825"/>
      <c r="T149" s="824"/>
      <c r="U149" s="824"/>
      <c r="V149" s="824"/>
      <c r="W149" s="824"/>
      <c r="X149" s="824"/>
      <c r="Y149" s="824"/>
      <c r="Z149" s="154"/>
    </row>
    <row r="150" spans="1:26" ht="21" x14ac:dyDescent="0.3">
      <c r="A150" s="182"/>
      <c r="B150" s="304"/>
      <c r="C150" s="173"/>
      <c r="D150" s="173"/>
      <c r="E150" s="154"/>
      <c r="F150" s="154"/>
      <c r="G150" s="154"/>
      <c r="H150" s="154"/>
      <c r="I150" s="835"/>
      <c r="J150" s="455" t="str">
        <f>$E$10</f>
        <v>COMUNA 6 OFICIAL</v>
      </c>
      <c r="K150" s="279">
        <f>VLOOKUP($E$10,SyC!$A$10:$BK$167,54,0)</f>
        <v>0.23333333333333331</v>
      </c>
      <c r="L150" s="280">
        <f>VLOOKUP($E$10,SyC!$A$10:$BK$167,55,0)</f>
        <v>0.49666666666666665</v>
      </c>
      <c r="M150" s="281">
        <f>VLOOKUP($E$10,SyC!$A$10:$BK$167,56,0)</f>
        <v>0.25</v>
      </c>
      <c r="N150" s="282">
        <f>VLOOKUP($E$10,SyC!$A$10:$BK$167,57,0)</f>
        <v>0.02</v>
      </c>
      <c r="O150" s="164">
        <f t="shared" si="6"/>
        <v>0.73</v>
      </c>
      <c r="P150" s="164"/>
      <c r="Q150" s="154"/>
      <c r="R150" s="825"/>
      <c r="S150" s="825"/>
      <c r="T150" s="824"/>
      <c r="U150" s="824"/>
      <c r="V150" s="824"/>
      <c r="W150" s="824"/>
      <c r="X150" s="824"/>
      <c r="Y150" s="824"/>
      <c r="Z150" s="154"/>
    </row>
    <row r="151" spans="1:26" ht="21" x14ac:dyDescent="0.3">
      <c r="A151" s="182"/>
      <c r="B151" s="304"/>
      <c r="C151" s="173"/>
      <c r="D151" s="173"/>
      <c r="E151" s="154"/>
      <c r="F151" s="154"/>
      <c r="G151" s="154"/>
      <c r="H151" s="154"/>
      <c r="I151" s="833">
        <v>2021</v>
      </c>
      <c r="J151" s="455" t="str">
        <f>$E$8</f>
        <v>INSTITUCION EDUCATIVA EDUARDO SANTOS</v>
      </c>
      <c r="K151" s="279">
        <f>VLOOKUP($E$8,SyC!$A$10:$BY$167,68,0)</f>
        <v>0.27</v>
      </c>
      <c r="L151" s="280">
        <f>VLOOKUP($E$8,SyC!$A$10:$BY$167,69,0)</f>
        <v>0.47</v>
      </c>
      <c r="M151" s="281">
        <f>VLOOKUP($E$8,SyC!$A$10:$BY$167,70,0)</f>
        <v>0.26</v>
      </c>
      <c r="N151" s="282">
        <f>VLOOKUP($E$8,SyC!$A$10:$BY$167,71,0)</f>
        <v>0.01</v>
      </c>
      <c r="O151" s="164">
        <f t="shared" si="6"/>
        <v>0.74</v>
      </c>
      <c r="P151" s="164"/>
      <c r="Q151" s="154"/>
      <c r="R151" s="825"/>
      <c r="S151" s="825"/>
      <c r="T151" s="824"/>
      <c r="U151" s="824"/>
      <c r="V151" s="824"/>
      <c r="W151" s="824"/>
      <c r="X151" s="824"/>
      <c r="Y151" s="824"/>
      <c r="Z151" s="154"/>
    </row>
    <row r="152" spans="1:26" ht="21" x14ac:dyDescent="0.3">
      <c r="A152" s="182"/>
      <c r="B152" s="304"/>
      <c r="C152" s="173"/>
      <c r="D152" s="173"/>
      <c r="E152" s="154"/>
      <c r="F152" s="154"/>
      <c r="G152" s="154"/>
      <c r="H152" s="154"/>
      <c r="I152" s="833"/>
      <c r="J152" s="455" t="str">
        <f>$E$9</f>
        <v>OFICIALES URBANOS DE SOACHA</v>
      </c>
      <c r="K152" s="279">
        <f>VLOOKUP($E$9,SyC!$A$10:$BY$167,68,0)</f>
        <v>0.28000000000000003</v>
      </c>
      <c r="L152" s="280">
        <f>VLOOKUP($E$9,SyC!$A$10:$BY$167,69,0)</f>
        <v>0.5</v>
      </c>
      <c r="M152" s="281">
        <f>VLOOKUP($E$9,SyC!$A$10:$BY$167,70,0)</f>
        <v>0.21</v>
      </c>
      <c r="N152" s="282">
        <f>VLOOKUP($E$9,SyC!$A$10:$BY$167,71,0)</f>
        <v>0.01</v>
      </c>
      <c r="O152" s="164">
        <f t="shared" si="6"/>
        <v>0.78</v>
      </c>
      <c r="P152" s="164"/>
      <c r="Q152" s="154"/>
      <c r="R152" s="825"/>
      <c r="S152" s="825"/>
      <c r="T152" s="824"/>
      <c r="U152" s="824"/>
      <c r="V152" s="824"/>
      <c r="W152" s="824"/>
      <c r="X152" s="824"/>
      <c r="Y152" s="824"/>
      <c r="Z152" s="154"/>
    </row>
    <row r="153" spans="1:26" ht="21" x14ac:dyDescent="0.3">
      <c r="A153" s="182"/>
      <c r="B153" s="304"/>
      <c r="C153" s="173"/>
      <c r="D153" s="173"/>
      <c r="E153" s="154"/>
      <c r="F153" s="154"/>
      <c r="G153" s="154"/>
      <c r="H153" s="154"/>
      <c r="I153" s="833"/>
      <c r="J153" s="455" t="str">
        <f>$E$10</f>
        <v>COMUNA 6 OFICIAL</v>
      </c>
      <c r="K153" s="279">
        <f>VLOOKUP($E$10,SyC!$A$10:$BY$167,68,0)</f>
        <v>0.29000000000000004</v>
      </c>
      <c r="L153" s="280">
        <f>VLOOKUP($E$10,SyC!$A$10:$BY$167,69,0)</f>
        <v>0.50666666666666671</v>
      </c>
      <c r="M153" s="281">
        <f>VLOOKUP($E$10,SyC!$A$10:$BY$167,70,0)</f>
        <v>0.20333333333333334</v>
      </c>
      <c r="N153" s="282">
        <f>VLOOKUP($E$10,SyC!$A$10:$BY$167,71,0)</f>
        <v>6.6666666666666671E-3</v>
      </c>
      <c r="O153" s="164">
        <f t="shared" si="6"/>
        <v>0.79666666666666675</v>
      </c>
      <c r="P153" s="164"/>
      <c r="Q153" s="154"/>
      <c r="R153" s="825"/>
      <c r="S153" s="825"/>
      <c r="T153" s="824"/>
      <c r="U153" s="824"/>
      <c r="V153" s="824"/>
      <c r="W153" s="824"/>
      <c r="X153" s="824"/>
      <c r="Y153" s="824"/>
      <c r="Z153" s="154"/>
    </row>
    <row r="154" spans="1:26" ht="21" x14ac:dyDescent="0.3">
      <c r="A154" s="182"/>
      <c r="B154" s="304"/>
      <c r="C154" s="173"/>
      <c r="D154" s="173"/>
      <c r="E154" s="154"/>
      <c r="F154" s="154"/>
      <c r="G154" s="154"/>
      <c r="H154" s="154"/>
      <c r="I154" s="833">
        <v>2022</v>
      </c>
      <c r="J154" s="455" t="str">
        <f>$E$8</f>
        <v>INSTITUCION EDUCATIVA EDUARDO SANTOS</v>
      </c>
      <c r="K154" s="279">
        <f>VLOOKUP($E$8,SyC!$A$10:$CM$167,82,0)</f>
        <v>0.28999999999999998</v>
      </c>
      <c r="L154" s="280">
        <f>VLOOKUP($E$8,SyC!$A$10:$CM$167,83,0)</f>
        <v>0.45</v>
      </c>
      <c r="M154" s="281">
        <f>VLOOKUP($E$8,SyC!$A$10:$CM$167,84,0)</f>
        <v>0.26</v>
      </c>
      <c r="N154" s="282">
        <f>VLOOKUP($E$8,SyC!$A$10:$CM$167,85,0)</f>
        <v>0</v>
      </c>
      <c r="O154" s="164">
        <f t="shared" ref="O154:O156" si="7">K154+L154</f>
        <v>0.74</v>
      </c>
      <c r="P154" s="164"/>
      <c r="Q154" s="154"/>
      <c r="R154" s="825"/>
      <c r="S154" s="825"/>
      <c r="T154" s="824"/>
      <c r="U154" s="824"/>
      <c r="V154" s="824"/>
      <c r="W154" s="824"/>
      <c r="X154" s="824"/>
      <c r="Y154" s="824"/>
      <c r="Z154" s="154"/>
    </row>
    <row r="155" spans="1:26" ht="21" x14ac:dyDescent="0.3">
      <c r="A155" s="182"/>
      <c r="B155" s="304"/>
      <c r="C155" s="173"/>
      <c r="D155" s="173"/>
      <c r="E155" s="154"/>
      <c r="F155" s="154"/>
      <c r="G155" s="154"/>
      <c r="H155" s="154"/>
      <c r="I155" s="833"/>
      <c r="J155" s="455" t="str">
        <f>$E$9</f>
        <v>OFICIALES URBANOS DE SOACHA</v>
      </c>
      <c r="K155" s="279">
        <f>VLOOKUP($E$9,SyC!$A$10:$CM$167,82,0)</f>
        <v>0.25</v>
      </c>
      <c r="L155" s="280">
        <f>VLOOKUP($E$9,SyC!$A$10:$CM$167,83,0)</f>
        <v>0.5</v>
      </c>
      <c r="M155" s="281">
        <f>VLOOKUP($E$9,SyC!$A$10:$CM$167,84,0)</f>
        <v>0.23</v>
      </c>
      <c r="N155" s="282">
        <f>VLOOKUP($E$9,SyC!$A$10:$CM$167,85,0)</f>
        <v>0.01</v>
      </c>
      <c r="O155" s="164">
        <f t="shared" si="7"/>
        <v>0.75</v>
      </c>
      <c r="P155" s="164"/>
      <c r="Q155" s="154"/>
      <c r="R155" s="825"/>
      <c r="S155" s="825"/>
      <c r="T155" s="824"/>
      <c r="U155" s="824"/>
      <c r="V155" s="824"/>
      <c r="W155" s="824"/>
      <c r="X155" s="824"/>
      <c r="Y155" s="824"/>
      <c r="Z155" s="154"/>
    </row>
    <row r="156" spans="1:26" ht="21" x14ac:dyDescent="0.3">
      <c r="A156" s="182"/>
      <c r="B156" s="304"/>
      <c r="C156" s="173"/>
      <c r="D156" s="173"/>
      <c r="E156" s="154"/>
      <c r="F156" s="154"/>
      <c r="G156" s="154"/>
      <c r="H156" s="154"/>
      <c r="I156" s="833"/>
      <c r="J156" s="455" t="str">
        <f>$E$10</f>
        <v>COMUNA 6 OFICIAL</v>
      </c>
      <c r="K156" s="279">
        <f>VLOOKUP($E$10,SyC!$A$10:$CM$167,82,0)</f>
        <v>0.29333333333333328</v>
      </c>
      <c r="L156" s="280">
        <f>VLOOKUP($E$10,SyC!$A$10:$CM$167,83,0)</f>
        <v>0.48</v>
      </c>
      <c r="M156" s="281">
        <f>VLOOKUP($E$10,SyC!$A$10:$CM$167,84,0)</f>
        <v>0.22</v>
      </c>
      <c r="N156" s="282">
        <f>VLOOKUP($E$10,SyC!$A$10:$CM$167,85,0)</f>
        <v>3.3333333333333335E-3</v>
      </c>
      <c r="O156" s="164">
        <f t="shared" si="7"/>
        <v>0.77333333333333321</v>
      </c>
      <c r="P156" s="164"/>
      <c r="Q156" s="154"/>
      <c r="R156" s="825"/>
      <c r="S156" s="825"/>
      <c r="T156" s="824"/>
      <c r="U156" s="824"/>
      <c r="V156" s="824"/>
      <c r="W156" s="824"/>
      <c r="X156" s="824"/>
      <c r="Y156" s="824"/>
      <c r="Z156" s="154"/>
    </row>
    <row r="157" spans="1:26" ht="21" x14ac:dyDescent="0.3">
      <c r="A157" s="182"/>
      <c r="B157" s="304"/>
      <c r="C157" s="173"/>
      <c r="D157" s="173"/>
      <c r="E157" s="154"/>
      <c r="F157" s="154"/>
      <c r="G157" s="154"/>
      <c r="H157" s="154"/>
      <c r="I157" s="833">
        <v>2023</v>
      </c>
      <c r="J157" s="455" t="str">
        <f>$E$8</f>
        <v>INSTITUCION EDUCATIVA EDUARDO SANTOS</v>
      </c>
      <c r="K157" s="279">
        <f>VLOOKUP($E$8,SyC!$A$10:$DA$167,96,0)</f>
        <v>0.25</v>
      </c>
      <c r="L157" s="280">
        <f>VLOOKUP($E$8,SyC!$A$10:$DA$167,97,0)</f>
        <v>0.55000000000000004</v>
      </c>
      <c r="M157" s="281">
        <f>VLOOKUP($E$8,SyC!$A$10:$DA$167,98,0)</f>
        <v>0.2</v>
      </c>
      <c r="N157" s="282">
        <f>VLOOKUP($E$8,SyC!$A$10:$DA$167,99,0)</f>
        <v>0</v>
      </c>
      <c r="O157" s="164">
        <f t="shared" ref="O157:O159" si="8">K157+L157</f>
        <v>0.8</v>
      </c>
      <c r="P157" s="164"/>
      <c r="Q157" s="154"/>
      <c r="R157" s="825"/>
      <c r="S157" s="825"/>
      <c r="T157" s="824"/>
      <c r="U157" s="824"/>
      <c r="V157" s="824"/>
      <c r="W157" s="824"/>
      <c r="X157" s="824"/>
      <c r="Y157" s="824"/>
      <c r="Z157" s="154"/>
    </row>
    <row r="158" spans="1:26" ht="21" x14ac:dyDescent="0.3">
      <c r="A158" s="182"/>
      <c r="B158" s="304"/>
      <c r="C158" s="173"/>
      <c r="D158" s="173"/>
      <c r="E158" s="154"/>
      <c r="F158" s="154"/>
      <c r="G158" s="154"/>
      <c r="H158" s="154"/>
      <c r="I158" s="833"/>
      <c r="J158" s="455" t="str">
        <f>$E$9</f>
        <v>OFICIALES URBANOS DE SOACHA</v>
      </c>
      <c r="K158" s="279">
        <f>VLOOKUP($E$9,SyC!$A$10:$DA$167,96,0)</f>
        <v>0.24</v>
      </c>
      <c r="L158" s="280">
        <f>VLOOKUP($E$9,SyC!$A$10:$DA$167,97,0)</f>
        <v>0.51</v>
      </c>
      <c r="M158" s="281">
        <f>VLOOKUP($E$9,SyC!$A$10:$DA$167,98,0)</f>
        <v>0.24</v>
      </c>
      <c r="N158" s="282">
        <f>VLOOKUP($E$9,SyC!$A$10:$DA$167,99,0)</f>
        <v>0.01</v>
      </c>
      <c r="O158" s="164">
        <f t="shared" si="8"/>
        <v>0.75</v>
      </c>
      <c r="P158" s="164"/>
      <c r="Q158" s="154"/>
      <c r="R158" s="825"/>
      <c r="S158" s="825"/>
      <c r="T158" s="824"/>
      <c r="U158" s="824"/>
      <c r="V158" s="824"/>
      <c r="W158" s="824"/>
      <c r="X158" s="824"/>
      <c r="Y158" s="824"/>
      <c r="Z158" s="154"/>
    </row>
    <row r="159" spans="1:26" ht="21" x14ac:dyDescent="0.3">
      <c r="A159" s="182"/>
      <c r="B159" s="304"/>
      <c r="C159" s="173"/>
      <c r="D159" s="173"/>
      <c r="E159" s="154"/>
      <c r="F159" s="154"/>
      <c r="G159" s="154"/>
      <c r="H159" s="154"/>
      <c r="I159" s="833"/>
      <c r="J159" s="455" t="str">
        <f>$E$10</f>
        <v>COMUNA 6 OFICIAL</v>
      </c>
      <c r="K159" s="279">
        <f>VLOOKUP($E$10,SyC!$A$10:$DA$167,96,0)</f>
        <v>0.27</v>
      </c>
      <c r="L159" s="280">
        <f>VLOOKUP($E$10,SyC!$A$10:$DA$167,97,0)</f>
        <v>0.51666666666666672</v>
      </c>
      <c r="M159" s="281">
        <f>VLOOKUP($E$10,SyC!$A$10:$DA$167,98,0)</f>
        <v>0.20666666666666667</v>
      </c>
      <c r="N159" s="282">
        <f>VLOOKUP($E$10,SyC!$A$10:$DA$167,99,0)</f>
        <v>3.3333333333333335E-3</v>
      </c>
      <c r="O159" s="164">
        <f t="shared" si="8"/>
        <v>0.78666666666666674</v>
      </c>
      <c r="P159" s="164"/>
      <c r="Q159" s="154"/>
      <c r="R159" s="825"/>
      <c r="S159" s="825"/>
      <c r="T159" s="824"/>
      <c r="U159" s="824"/>
      <c r="V159" s="824"/>
      <c r="W159" s="824"/>
      <c r="X159" s="824"/>
      <c r="Y159" s="824"/>
      <c r="Z159" s="154"/>
    </row>
    <row r="160" spans="1:26" ht="20.399999999999999" x14ac:dyDescent="0.3">
      <c r="A160" s="182"/>
      <c r="B160" s="304"/>
      <c r="C160" s="173"/>
      <c r="D160" s="173"/>
      <c r="E160" s="154"/>
      <c r="F160" s="154"/>
      <c r="G160" s="154"/>
      <c r="H160" s="154"/>
      <c r="I160" s="154"/>
      <c r="J160" s="154"/>
      <c r="K160" s="164"/>
      <c r="L160" s="154"/>
      <c r="M160" s="154"/>
      <c r="N160" s="154"/>
      <c r="O160" s="164"/>
      <c r="P160" s="164"/>
      <c r="Q160" s="154"/>
      <c r="R160" s="825"/>
      <c r="S160" s="825"/>
      <c r="T160" s="824"/>
      <c r="U160" s="824"/>
      <c r="V160" s="824"/>
      <c r="W160" s="824"/>
      <c r="X160" s="824"/>
      <c r="Y160" s="824"/>
      <c r="Z160" s="154"/>
    </row>
    <row r="161" spans="1:26" ht="20.399999999999999" x14ac:dyDescent="0.3">
      <c r="A161" s="182"/>
      <c r="B161" s="304"/>
      <c r="C161" s="173"/>
      <c r="D161" s="173"/>
      <c r="E161" s="154"/>
      <c r="F161" s="154"/>
      <c r="G161" s="154"/>
      <c r="H161" s="154"/>
      <c r="I161" s="154"/>
      <c r="J161" s="154"/>
      <c r="K161" s="164"/>
      <c r="L161" s="154"/>
      <c r="M161" s="154"/>
      <c r="N161" s="154"/>
      <c r="O161" s="164"/>
      <c r="P161" s="164"/>
      <c r="Q161" s="154"/>
      <c r="R161" s="825"/>
      <c r="S161" s="825"/>
      <c r="T161" s="824"/>
      <c r="U161" s="824"/>
      <c r="V161" s="824"/>
      <c r="W161" s="824"/>
      <c r="X161" s="824"/>
      <c r="Y161" s="824"/>
      <c r="Z161" s="154"/>
    </row>
    <row r="162" spans="1:26" ht="20.399999999999999" customHeight="1" x14ac:dyDescent="0.3">
      <c r="A162" s="182"/>
      <c r="B162" s="304"/>
      <c r="C162" s="173"/>
      <c r="D162" s="173"/>
      <c r="E162" s="154"/>
      <c r="F162" s="154"/>
      <c r="G162" s="154"/>
      <c r="H162" s="154"/>
      <c r="I162" s="154"/>
      <c r="J162" s="154"/>
      <c r="K162" s="164"/>
      <c r="L162" s="154"/>
      <c r="M162" s="154"/>
      <c r="N162" s="154"/>
      <c r="O162" s="164"/>
      <c r="P162" s="164"/>
      <c r="Q162" s="154"/>
      <c r="R162" s="823">
        <v>4</v>
      </c>
      <c r="S162" s="823" t="s">
        <v>732</v>
      </c>
      <c r="T162" s="822" t="s">
        <v>1081</v>
      </c>
      <c r="U162" s="822"/>
      <c r="V162" s="822"/>
      <c r="W162" s="822"/>
      <c r="X162" s="822"/>
      <c r="Y162" s="822"/>
      <c r="Z162" s="154"/>
    </row>
    <row r="163" spans="1:26" ht="20.399999999999999" x14ac:dyDescent="0.3">
      <c r="A163" s="182"/>
      <c r="B163" s="304"/>
      <c r="C163" s="173"/>
      <c r="D163" s="173"/>
      <c r="E163" s="154"/>
      <c r="F163" s="154"/>
      <c r="G163" s="154"/>
      <c r="H163" s="154"/>
      <c r="I163" s="154"/>
      <c r="J163" s="154"/>
      <c r="K163" s="164"/>
      <c r="L163" s="154"/>
      <c r="M163" s="154"/>
      <c r="N163" s="154"/>
      <c r="O163" s="164"/>
      <c r="P163" s="164"/>
      <c r="Q163" s="154"/>
      <c r="R163" s="823"/>
      <c r="S163" s="823"/>
      <c r="T163" s="822"/>
      <c r="U163" s="822"/>
      <c r="V163" s="822"/>
      <c r="W163" s="822"/>
      <c r="X163" s="822"/>
      <c r="Y163" s="822"/>
      <c r="Z163" s="154"/>
    </row>
    <row r="164" spans="1:26" ht="20.399999999999999" x14ac:dyDescent="0.3">
      <c r="A164" s="182"/>
      <c r="B164" s="304"/>
      <c r="C164" s="173"/>
      <c r="D164" s="173"/>
      <c r="E164" s="154"/>
      <c r="F164" s="154"/>
      <c r="G164" s="154"/>
      <c r="H164" s="154"/>
      <c r="I164" s="154"/>
      <c r="J164" s="154"/>
      <c r="K164" s="164"/>
      <c r="L164" s="154"/>
      <c r="M164" s="154"/>
      <c r="N164" s="154"/>
      <c r="O164" s="164"/>
      <c r="P164" s="164"/>
      <c r="Q164" s="154"/>
      <c r="R164" s="823"/>
      <c r="S164" s="823"/>
      <c r="T164" s="822"/>
      <c r="U164" s="822"/>
      <c r="V164" s="822"/>
      <c r="W164" s="822"/>
      <c r="X164" s="822"/>
      <c r="Y164" s="822"/>
      <c r="Z164" s="154"/>
    </row>
    <row r="165" spans="1:26" ht="20.399999999999999" x14ac:dyDescent="0.3">
      <c r="A165" s="182"/>
      <c r="B165" s="304"/>
      <c r="C165" s="173"/>
      <c r="D165" s="173"/>
      <c r="E165" s="154"/>
      <c r="F165" s="154"/>
      <c r="G165" s="154"/>
      <c r="H165" s="154"/>
      <c r="I165" s="154"/>
      <c r="J165" s="154"/>
      <c r="K165" s="164"/>
      <c r="L165" s="154"/>
      <c r="M165" s="154"/>
      <c r="N165" s="154"/>
      <c r="O165" s="164"/>
      <c r="P165" s="164"/>
      <c r="Q165" s="154"/>
      <c r="R165" s="823"/>
      <c r="S165" s="823"/>
      <c r="T165" s="822"/>
      <c r="U165" s="822"/>
      <c r="V165" s="822"/>
      <c r="W165" s="822"/>
      <c r="X165" s="822"/>
      <c r="Y165" s="822"/>
      <c r="Z165" s="154"/>
    </row>
    <row r="166" spans="1:26" ht="20.399999999999999" x14ac:dyDescent="0.3">
      <c r="A166" s="182"/>
      <c r="B166" s="304"/>
      <c r="C166" s="173"/>
      <c r="D166" s="173"/>
      <c r="E166" s="154"/>
      <c r="F166" s="154"/>
      <c r="G166" s="154"/>
      <c r="H166" s="154"/>
      <c r="I166" s="154"/>
      <c r="J166" s="154"/>
      <c r="K166" s="164"/>
      <c r="L166" s="154"/>
      <c r="M166" s="154"/>
      <c r="N166" s="154"/>
      <c r="O166" s="164"/>
      <c r="P166" s="164"/>
      <c r="Q166" s="154"/>
      <c r="R166" s="823"/>
      <c r="S166" s="823"/>
      <c r="T166" s="822"/>
      <c r="U166" s="822"/>
      <c r="V166" s="822"/>
      <c r="W166" s="822"/>
      <c r="X166" s="822"/>
      <c r="Y166" s="822"/>
      <c r="Z166" s="154"/>
    </row>
    <row r="167" spans="1:26" ht="20.399999999999999" x14ac:dyDescent="0.3">
      <c r="A167" s="182"/>
      <c r="B167" s="304"/>
      <c r="C167" s="173"/>
      <c r="D167" s="173"/>
      <c r="E167" s="154"/>
      <c r="F167" s="154"/>
      <c r="G167" s="154"/>
      <c r="H167" s="154"/>
      <c r="I167" s="154"/>
      <c r="J167" s="154"/>
      <c r="K167" s="164"/>
      <c r="L167" s="154"/>
      <c r="M167" s="154"/>
      <c r="N167" s="154"/>
      <c r="O167" s="164"/>
      <c r="P167" s="164"/>
      <c r="Q167" s="154"/>
      <c r="R167" s="823"/>
      <c r="S167" s="823"/>
      <c r="T167" s="822"/>
      <c r="U167" s="822"/>
      <c r="V167" s="822"/>
      <c r="W167" s="822"/>
      <c r="X167" s="822"/>
      <c r="Y167" s="822"/>
      <c r="Z167" s="154"/>
    </row>
    <row r="168" spans="1:26" ht="20.399999999999999" x14ac:dyDescent="0.3">
      <c r="A168" s="182"/>
      <c r="B168" s="304"/>
      <c r="C168" s="173"/>
      <c r="D168" s="173"/>
      <c r="E168" s="154"/>
      <c r="F168" s="154"/>
      <c r="G168" s="154"/>
      <c r="H168" s="154"/>
      <c r="I168" s="154"/>
      <c r="J168" s="154"/>
      <c r="K168" s="164"/>
      <c r="L168" s="154"/>
      <c r="M168" s="154"/>
      <c r="N168" s="154"/>
      <c r="O168" s="164"/>
      <c r="P168" s="164"/>
      <c r="Q168" s="154"/>
      <c r="R168" s="823"/>
      <c r="S168" s="823"/>
      <c r="T168" s="822"/>
      <c r="U168" s="822"/>
      <c r="V168" s="822"/>
      <c r="W168" s="822"/>
      <c r="X168" s="822"/>
      <c r="Y168" s="822"/>
      <c r="Z168" s="154"/>
    </row>
    <row r="169" spans="1:26" ht="20.399999999999999" x14ac:dyDescent="0.3">
      <c r="A169" s="182"/>
      <c r="B169" s="304"/>
      <c r="C169" s="173"/>
      <c r="D169" s="173"/>
      <c r="E169" s="154"/>
      <c r="F169" s="154"/>
      <c r="G169" s="154"/>
      <c r="H169" s="154"/>
      <c r="I169" s="154"/>
      <c r="J169" s="154"/>
      <c r="K169" s="164"/>
      <c r="L169" s="154"/>
      <c r="M169" s="154"/>
      <c r="N169" s="154"/>
      <c r="O169" s="164"/>
      <c r="P169" s="164"/>
      <c r="Q169" s="154"/>
      <c r="R169" s="823"/>
      <c r="S169" s="823"/>
      <c r="T169" s="822"/>
      <c r="U169" s="822"/>
      <c r="V169" s="822"/>
      <c r="W169" s="822"/>
      <c r="X169" s="822"/>
      <c r="Y169" s="822"/>
      <c r="Z169" s="154"/>
    </row>
    <row r="170" spans="1:26" ht="20.399999999999999" x14ac:dyDescent="0.3">
      <c r="A170" s="182"/>
      <c r="B170" s="304"/>
      <c r="C170" s="173"/>
      <c r="D170" s="173"/>
      <c r="E170" s="154"/>
      <c r="F170" s="154"/>
      <c r="G170" s="154"/>
      <c r="H170" s="154"/>
      <c r="I170" s="154"/>
      <c r="J170" s="154"/>
      <c r="K170" s="164"/>
      <c r="L170" s="154"/>
      <c r="M170" s="154"/>
      <c r="N170" s="154"/>
      <c r="O170" s="164"/>
      <c r="P170" s="164"/>
      <c r="Q170" s="154"/>
      <c r="R170" s="823"/>
      <c r="S170" s="823"/>
      <c r="T170" s="822"/>
      <c r="U170" s="822"/>
      <c r="V170" s="822"/>
      <c r="W170" s="822"/>
      <c r="X170" s="822"/>
      <c r="Y170" s="822"/>
      <c r="Z170" s="154"/>
    </row>
    <row r="171" spans="1:26" ht="20.399999999999999" x14ac:dyDescent="0.3">
      <c r="A171" s="182"/>
      <c r="B171" s="304"/>
      <c r="C171" s="173"/>
      <c r="D171" s="173"/>
      <c r="E171" s="154"/>
      <c r="F171" s="154"/>
      <c r="G171" s="154"/>
      <c r="H171" s="154"/>
      <c r="I171" s="154"/>
      <c r="J171" s="154"/>
      <c r="K171" s="164"/>
      <c r="L171" s="154"/>
      <c r="M171" s="154"/>
      <c r="N171" s="154"/>
      <c r="O171" s="164"/>
      <c r="P171" s="164"/>
      <c r="Q171" s="154"/>
      <c r="R171" s="823"/>
      <c r="S171" s="823"/>
      <c r="T171" s="822"/>
      <c r="U171" s="822"/>
      <c r="V171" s="822"/>
      <c r="W171" s="822"/>
      <c r="X171" s="822"/>
      <c r="Y171" s="822"/>
      <c r="Z171" s="154"/>
    </row>
    <row r="172" spans="1:26" ht="20.399999999999999" x14ac:dyDescent="0.3">
      <c r="A172" s="182"/>
      <c r="B172" s="304"/>
      <c r="C172" s="173"/>
      <c r="D172" s="173"/>
      <c r="E172" s="154"/>
      <c r="F172" s="154"/>
      <c r="G172" s="154"/>
      <c r="H172" s="154"/>
      <c r="I172" s="154"/>
      <c r="J172" s="154"/>
      <c r="K172" s="164"/>
      <c r="L172" s="154"/>
      <c r="M172" s="154"/>
      <c r="N172" s="154"/>
      <c r="O172" s="164"/>
      <c r="P172" s="164"/>
      <c r="Q172" s="154"/>
      <c r="R172" s="823"/>
      <c r="S172" s="823"/>
      <c r="T172" s="822"/>
      <c r="U172" s="822"/>
      <c r="V172" s="822"/>
      <c r="W172" s="822"/>
      <c r="X172" s="822"/>
      <c r="Y172" s="822"/>
      <c r="Z172" s="154"/>
    </row>
    <row r="173" spans="1:26" ht="20.399999999999999" x14ac:dyDescent="0.3">
      <c r="A173" s="182"/>
      <c r="B173" s="304"/>
      <c r="C173" s="173"/>
      <c r="D173" s="173"/>
      <c r="E173" s="154"/>
      <c r="F173" s="154"/>
      <c r="G173" s="154"/>
      <c r="H173" s="154"/>
      <c r="I173" s="154"/>
      <c r="J173" s="154"/>
      <c r="K173" s="164"/>
      <c r="L173" s="154"/>
      <c r="M173" s="154"/>
      <c r="N173" s="154"/>
      <c r="O173" s="164"/>
      <c r="P173" s="164"/>
      <c r="Q173" s="154"/>
      <c r="R173" s="823"/>
      <c r="S173" s="823"/>
      <c r="T173" s="822"/>
      <c r="U173" s="822"/>
      <c r="V173" s="822"/>
      <c r="W173" s="822"/>
      <c r="X173" s="822"/>
      <c r="Y173" s="822"/>
      <c r="Z173" s="154"/>
    </row>
    <row r="174" spans="1:26" ht="20.399999999999999" x14ac:dyDescent="0.3">
      <c r="A174" s="182"/>
      <c r="B174" s="304"/>
      <c r="C174" s="173"/>
      <c r="D174" s="173"/>
      <c r="E174" s="154"/>
      <c r="F174" s="154"/>
      <c r="G174" s="154"/>
      <c r="H174" s="154"/>
      <c r="I174" s="154"/>
      <c r="J174" s="154"/>
      <c r="K174" s="164"/>
      <c r="L174" s="154"/>
      <c r="M174" s="154"/>
      <c r="N174" s="154"/>
      <c r="O174" s="164"/>
      <c r="P174" s="164"/>
      <c r="Q174" s="154"/>
      <c r="R174" s="823"/>
      <c r="S174" s="823"/>
      <c r="T174" s="822"/>
      <c r="U174" s="822"/>
      <c r="V174" s="822"/>
      <c r="W174" s="822"/>
      <c r="X174" s="822"/>
      <c r="Y174" s="822"/>
      <c r="Z174" s="154"/>
    </row>
    <row r="175" spans="1:26" ht="20.399999999999999" x14ac:dyDescent="0.3">
      <c r="A175" s="182"/>
      <c r="B175" s="304"/>
      <c r="C175" s="173"/>
      <c r="D175" s="173"/>
      <c r="E175" s="154"/>
      <c r="F175" s="154"/>
      <c r="G175" s="154"/>
      <c r="H175" s="154"/>
      <c r="I175" s="154"/>
      <c r="J175" s="154"/>
      <c r="K175" s="164"/>
      <c r="L175" s="154"/>
      <c r="M175" s="154"/>
      <c r="N175" s="154"/>
      <c r="O175" s="164"/>
      <c r="P175" s="164"/>
      <c r="Q175" s="154"/>
      <c r="R175" s="823"/>
      <c r="S175" s="823"/>
      <c r="T175" s="822"/>
      <c r="U175" s="822"/>
      <c r="V175" s="822"/>
      <c r="W175" s="822"/>
      <c r="X175" s="822"/>
      <c r="Y175" s="822"/>
      <c r="Z175" s="154"/>
    </row>
    <row r="176" spans="1:26" ht="20.399999999999999" x14ac:dyDescent="0.3">
      <c r="A176" s="182"/>
      <c r="B176" s="304"/>
      <c r="C176" s="173"/>
      <c r="D176" s="173"/>
      <c r="E176" s="154"/>
      <c r="F176" s="154"/>
      <c r="G176" s="154"/>
      <c r="H176" s="154"/>
      <c r="I176" s="154"/>
      <c r="J176" s="154"/>
      <c r="K176" s="164"/>
      <c r="L176" s="154"/>
      <c r="M176" s="154"/>
      <c r="N176" s="154"/>
      <c r="O176" s="164"/>
      <c r="P176" s="164"/>
      <c r="Q176" s="154"/>
      <c r="R176" s="823"/>
      <c r="S176" s="823"/>
      <c r="T176" s="822"/>
      <c r="U176" s="822"/>
      <c r="V176" s="822"/>
      <c r="W176" s="822"/>
      <c r="X176" s="822"/>
      <c r="Y176" s="822"/>
      <c r="Z176" s="154"/>
    </row>
    <row r="177" spans="1:26" ht="20.399999999999999" x14ac:dyDescent="0.3">
      <c r="A177" s="182"/>
      <c r="B177" s="304"/>
      <c r="C177" s="173"/>
      <c r="D177" s="173"/>
      <c r="E177" s="154"/>
      <c r="F177" s="154"/>
      <c r="G177" s="154"/>
      <c r="H177" s="154"/>
      <c r="I177" s="154"/>
      <c r="J177" s="154"/>
      <c r="K177" s="164"/>
      <c r="L177" s="154"/>
      <c r="M177" s="154"/>
      <c r="N177" s="154"/>
      <c r="O177" s="164"/>
      <c r="P177" s="164"/>
      <c r="Q177" s="154"/>
      <c r="R177" s="823"/>
      <c r="S177" s="823"/>
      <c r="T177" s="822"/>
      <c r="U177" s="822"/>
      <c r="V177" s="822"/>
      <c r="W177" s="822"/>
      <c r="X177" s="822"/>
      <c r="Y177" s="822"/>
      <c r="Z177" s="154"/>
    </row>
    <row r="178" spans="1:26" ht="20.399999999999999" x14ac:dyDescent="0.3">
      <c r="A178" s="182"/>
      <c r="B178" s="304"/>
      <c r="C178" s="173"/>
      <c r="D178" s="173"/>
      <c r="E178" s="154"/>
      <c r="F178" s="154"/>
      <c r="G178" s="154"/>
      <c r="H178" s="154"/>
      <c r="I178" s="154"/>
      <c r="J178" s="154"/>
      <c r="K178" s="164"/>
      <c r="L178" s="154"/>
      <c r="M178" s="154"/>
      <c r="N178" s="154"/>
      <c r="O178" s="164"/>
      <c r="P178" s="164"/>
      <c r="Q178" s="154"/>
      <c r="R178" s="823"/>
      <c r="S178" s="823"/>
      <c r="T178" s="822"/>
      <c r="U178" s="822"/>
      <c r="V178" s="822"/>
      <c r="W178" s="822"/>
      <c r="X178" s="822"/>
      <c r="Y178" s="822"/>
      <c r="Z178" s="154"/>
    </row>
    <row r="179" spans="1:26" ht="20.399999999999999" x14ac:dyDescent="0.3">
      <c r="A179" s="182"/>
      <c r="B179" s="304"/>
      <c r="C179" s="173"/>
      <c r="D179" s="173"/>
      <c r="E179" s="154"/>
      <c r="F179" s="154"/>
      <c r="G179" s="154"/>
      <c r="H179" s="154"/>
      <c r="I179" s="154"/>
      <c r="J179" s="154"/>
      <c r="K179" s="164"/>
      <c r="L179" s="154"/>
      <c r="M179" s="154"/>
      <c r="N179" s="154"/>
      <c r="O179" s="164"/>
      <c r="P179" s="164"/>
      <c r="Q179" s="154"/>
      <c r="R179" s="823"/>
      <c r="S179" s="823"/>
      <c r="T179" s="822"/>
      <c r="U179" s="822"/>
      <c r="V179" s="822"/>
      <c r="W179" s="822"/>
      <c r="X179" s="822"/>
      <c r="Y179" s="822"/>
      <c r="Z179" s="154"/>
    </row>
    <row r="180" spans="1:26" ht="20.399999999999999" x14ac:dyDescent="0.3">
      <c r="A180" s="182"/>
      <c r="B180" s="304"/>
      <c r="C180" s="173"/>
      <c r="D180" s="173"/>
      <c r="E180" s="154"/>
      <c r="F180" s="154"/>
      <c r="G180" s="154"/>
      <c r="H180" s="154"/>
      <c r="I180" s="154"/>
      <c r="J180" s="154"/>
      <c r="K180" s="164"/>
      <c r="L180" s="154"/>
      <c r="M180" s="154"/>
      <c r="N180" s="154"/>
      <c r="O180" s="164"/>
      <c r="P180" s="164"/>
      <c r="Q180" s="154"/>
      <c r="R180" s="823"/>
      <c r="S180" s="823"/>
      <c r="T180" s="822"/>
      <c r="U180" s="822"/>
      <c r="V180" s="822"/>
      <c r="W180" s="822"/>
      <c r="X180" s="822"/>
      <c r="Y180" s="822"/>
      <c r="Z180" s="154"/>
    </row>
    <row r="181" spans="1:26" ht="20.399999999999999" x14ac:dyDescent="0.3">
      <c r="A181" s="182"/>
      <c r="B181" s="304"/>
      <c r="C181" s="173"/>
      <c r="D181" s="173"/>
      <c r="E181" s="154"/>
      <c r="F181" s="154"/>
      <c r="G181" s="154"/>
      <c r="H181" s="154"/>
      <c r="I181" s="154"/>
      <c r="J181" s="154"/>
      <c r="K181" s="164"/>
      <c r="L181" s="154"/>
      <c r="M181" s="154"/>
      <c r="N181" s="154"/>
      <c r="O181" s="164"/>
      <c r="P181" s="164"/>
      <c r="Q181" s="154"/>
      <c r="R181" s="823"/>
      <c r="S181" s="823"/>
      <c r="T181" s="822"/>
      <c r="U181" s="822"/>
      <c r="V181" s="822"/>
      <c r="W181" s="822"/>
      <c r="X181" s="822"/>
      <c r="Y181" s="822"/>
      <c r="Z181" s="154"/>
    </row>
    <row r="182" spans="1:26" ht="20.399999999999999" x14ac:dyDescent="0.3">
      <c r="A182" s="182"/>
      <c r="B182" s="304"/>
      <c r="C182" s="173"/>
      <c r="D182" s="173"/>
      <c r="E182" s="154"/>
      <c r="F182" s="154"/>
      <c r="G182" s="154"/>
      <c r="H182" s="154"/>
      <c r="I182" s="154"/>
      <c r="J182" s="154"/>
      <c r="K182" s="164"/>
      <c r="L182" s="154"/>
      <c r="M182" s="154"/>
      <c r="N182" s="154"/>
      <c r="O182" s="164"/>
      <c r="P182" s="164"/>
      <c r="Q182" s="154"/>
      <c r="R182" s="154"/>
      <c r="S182" s="154"/>
      <c r="T182" s="154"/>
      <c r="U182" s="154"/>
      <c r="V182" s="154"/>
      <c r="W182" s="154"/>
      <c r="X182" s="154"/>
      <c r="Y182" s="154"/>
      <c r="Z182" s="154"/>
    </row>
    <row r="183" spans="1:26" ht="20.399999999999999" x14ac:dyDescent="0.3">
      <c r="A183" s="182"/>
      <c r="B183" s="304"/>
      <c r="C183" s="173"/>
      <c r="D183" s="173"/>
      <c r="E183" s="154"/>
      <c r="F183" s="154"/>
      <c r="G183" s="154"/>
      <c r="H183" s="154"/>
      <c r="I183" s="154"/>
      <c r="J183" s="154"/>
      <c r="K183" s="164"/>
      <c r="L183" s="154"/>
      <c r="M183" s="154"/>
      <c r="N183" s="154"/>
      <c r="O183" s="164"/>
      <c r="P183" s="164"/>
      <c r="Q183" s="154"/>
      <c r="R183" s="154"/>
      <c r="S183" s="154"/>
      <c r="T183" s="154"/>
      <c r="U183" s="154"/>
      <c r="V183" s="154"/>
      <c r="W183" s="154"/>
      <c r="X183" s="154"/>
      <c r="Y183" s="154"/>
      <c r="Z183" s="154"/>
    </row>
    <row r="184" spans="1:26" ht="20.399999999999999" x14ac:dyDescent="0.3">
      <c r="A184" s="182"/>
      <c r="B184" s="304"/>
      <c r="C184" s="173"/>
      <c r="D184" s="173"/>
      <c r="E184" s="154"/>
      <c r="F184" s="154"/>
      <c r="G184" s="154"/>
      <c r="H184" s="154"/>
      <c r="I184" s="154"/>
      <c r="J184" s="154"/>
      <c r="K184" s="164"/>
      <c r="L184" s="154"/>
      <c r="M184" s="154"/>
      <c r="N184" s="154"/>
      <c r="O184" s="164"/>
      <c r="P184" s="164"/>
      <c r="Q184" s="154"/>
      <c r="R184" s="154"/>
      <c r="S184" s="154"/>
      <c r="T184" s="154"/>
      <c r="U184" s="154"/>
      <c r="V184" s="154"/>
      <c r="W184" s="154"/>
      <c r="X184" s="154"/>
      <c r="Y184" s="154"/>
      <c r="Z184" s="154"/>
    </row>
    <row r="185" spans="1:26" x14ac:dyDescent="0.3">
      <c r="A185" s="175"/>
      <c r="B185" s="175"/>
      <c r="C185" s="154"/>
      <c r="D185" s="154"/>
      <c r="E185" s="154"/>
      <c r="F185" s="154"/>
      <c r="G185" s="154"/>
      <c r="H185" s="154"/>
      <c r="I185" s="154"/>
      <c r="J185" s="154"/>
      <c r="K185" s="154"/>
      <c r="L185" s="154"/>
      <c r="M185" s="154"/>
      <c r="N185" s="154"/>
      <c r="O185" s="154"/>
      <c r="P185" s="154"/>
      <c r="Q185" s="154"/>
      <c r="R185" s="154"/>
      <c r="S185" s="154"/>
      <c r="T185" s="154"/>
      <c r="U185" s="154"/>
      <c r="V185" s="154"/>
      <c r="W185" s="154"/>
      <c r="X185" s="154"/>
      <c r="Y185" s="154"/>
      <c r="Z185" s="154"/>
    </row>
    <row r="186" spans="1:26" x14ac:dyDescent="0.3">
      <c r="A186" s="175"/>
      <c r="B186" s="175"/>
      <c r="C186" s="154"/>
      <c r="D186" s="154"/>
      <c r="E186" s="154"/>
      <c r="F186" s="154"/>
      <c r="G186" s="154"/>
      <c r="H186" s="154"/>
      <c r="I186" s="154"/>
      <c r="J186" s="154"/>
      <c r="K186" s="154"/>
      <c r="L186" s="154"/>
      <c r="M186" s="154"/>
      <c r="N186" s="154"/>
      <c r="O186" s="154"/>
      <c r="P186" s="154"/>
      <c r="Q186" s="154"/>
      <c r="R186" s="154"/>
      <c r="S186" s="154"/>
      <c r="T186" s="154"/>
      <c r="U186" s="154"/>
      <c r="V186" s="154"/>
      <c r="W186" s="154"/>
      <c r="X186" s="154"/>
      <c r="Y186" s="154"/>
      <c r="Z186" s="154"/>
    </row>
    <row r="187" spans="1:26" x14ac:dyDescent="0.3">
      <c r="A187" s="175"/>
      <c r="B187" s="175"/>
      <c r="C187" s="154"/>
      <c r="D187" s="154"/>
      <c r="E187" s="154"/>
      <c r="F187" s="154"/>
      <c r="G187" s="154"/>
      <c r="H187" s="154"/>
      <c r="I187" s="154"/>
      <c r="J187" s="154"/>
      <c r="K187" s="154"/>
      <c r="L187" s="154"/>
      <c r="M187" s="154"/>
      <c r="N187" s="154"/>
      <c r="O187" s="154"/>
      <c r="P187" s="154"/>
      <c r="Q187" s="154"/>
      <c r="R187" s="154"/>
      <c r="S187" s="154"/>
      <c r="T187" s="154"/>
      <c r="U187" s="154"/>
      <c r="V187" s="154"/>
      <c r="W187" s="154"/>
      <c r="X187" s="154"/>
      <c r="Y187" s="154"/>
      <c r="Z187" s="154"/>
    </row>
    <row r="188" spans="1:26" x14ac:dyDescent="0.3">
      <c r="A188" s="175"/>
      <c r="B188" s="175"/>
      <c r="C188" s="154"/>
      <c r="D188" s="154"/>
      <c r="E188" s="154"/>
      <c r="F188" s="154"/>
      <c r="G188" s="154"/>
      <c r="H188" s="154"/>
      <c r="I188" s="154"/>
      <c r="J188" s="154"/>
      <c r="K188" s="154"/>
      <c r="L188" s="154"/>
      <c r="M188" s="154"/>
      <c r="N188" s="154"/>
      <c r="O188" s="154"/>
      <c r="P188" s="154"/>
      <c r="Q188" s="154"/>
      <c r="R188" s="154"/>
      <c r="S188" s="154"/>
      <c r="T188" s="154"/>
      <c r="U188" s="154"/>
      <c r="V188" s="154"/>
      <c r="W188" s="154"/>
      <c r="X188" s="154"/>
      <c r="Y188" s="154"/>
      <c r="Z188" s="154"/>
    </row>
    <row r="189" spans="1:26" x14ac:dyDescent="0.3">
      <c r="A189" s="175"/>
      <c r="B189" s="175"/>
      <c r="C189" s="154"/>
      <c r="D189" s="154"/>
      <c r="E189" s="154"/>
      <c r="F189" s="154"/>
      <c r="G189" s="154"/>
      <c r="H189" s="154"/>
      <c r="I189" s="154"/>
      <c r="J189" s="154"/>
      <c r="K189" s="154"/>
      <c r="L189" s="154"/>
      <c r="M189" s="154"/>
      <c r="N189" s="154"/>
      <c r="O189" s="154"/>
      <c r="P189" s="154"/>
      <c r="Q189" s="154"/>
      <c r="R189" s="154"/>
      <c r="S189" s="154"/>
      <c r="T189" s="154"/>
      <c r="U189" s="154"/>
      <c r="V189" s="154"/>
      <c r="W189" s="154"/>
      <c r="X189" s="154"/>
      <c r="Y189" s="154"/>
      <c r="Z189" s="154"/>
    </row>
    <row r="190" spans="1:26" x14ac:dyDescent="0.3">
      <c r="A190" s="175"/>
      <c r="B190" s="175"/>
      <c r="C190" s="154"/>
      <c r="D190" s="154"/>
      <c r="E190" s="154"/>
      <c r="F190" s="154"/>
      <c r="G190" s="154"/>
      <c r="H190" s="154"/>
      <c r="I190" s="154"/>
      <c r="J190" s="154"/>
      <c r="K190" s="154"/>
      <c r="L190" s="154"/>
      <c r="M190" s="154"/>
      <c r="N190" s="154"/>
      <c r="O190" s="154"/>
      <c r="P190" s="154"/>
      <c r="Q190" s="154"/>
      <c r="R190" s="154"/>
      <c r="S190" s="154"/>
      <c r="T190" s="154"/>
      <c r="U190" s="154"/>
      <c r="V190" s="154"/>
      <c r="W190" s="154"/>
      <c r="X190" s="154"/>
      <c r="Y190" s="154"/>
      <c r="Z190" s="154"/>
    </row>
    <row r="191" spans="1:26" x14ac:dyDescent="0.3">
      <c r="A191" s="175"/>
      <c r="B191" s="175"/>
      <c r="C191" s="154"/>
      <c r="D191" s="154"/>
      <c r="E191" s="154"/>
      <c r="F191" s="154"/>
      <c r="G191" s="154"/>
      <c r="H191" s="154"/>
      <c r="I191" s="154"/>
      <c r="J191" s="154"/>
      <c r="K191" s="154"/>
      <c r="L191" s="154"/>
      <c r="M191" s="154"/>
      <c r="N191" s="154"/>
      <c r="O191" s="154"/>
      <c r="P191" s="154"/>
      <c r="Q191" s="154"/>
      <c r="R191" s="154"/>
      <c r="S191" s="154"/>
      <c r="T191" s="154"/>
      <c r="U191" s="154"/>
      <c r="V191" s="154"/>
      <c r="W191" s="154"/>
      <c r="X191" s="154"/>
      <c r="Y191" s="154"/>
      <c r="Z191" s="154"/>
    </row>
    <row r="192" spans="1:26" x14ac:dyDescent="0.3">
      <c r="A192" s="175"/>
      <c r="B192" s="175"/>
      <c r="C192" s="154"/>
      <c r="D192" s="154"/>
      <c r="E192" s="154"/>
      <c r="F192" s="154"/>
      <c r="G192" s="154"/>
      <c r="H192" s="154"/>
      <c r="I192" s="154"/>
      <c r="J192" s="154"/>
      <c r="K192" s="154"/>
      <c r="L192" s="154"/>
      <c r="M192" s="154"/>
      <c r="N192" s="154"/>
      <c r="O192" s="154"/>
      <c r="P192" s="154"/>
      <c r="Q192" s="154"/>
      <c r="R192" s="154"/>
      <c r="S192" s="154"/>
      <c r="T192" s="154"/>
      <c r="U192" s="154"/>
      <c r="V192" s="154"/>
      <c r="W192" s="154"/>
      <c r="X192" s="154"/>
      <c r="Y192" s="154"/>
      <c r="Z192" s="154"/>
    </row>
    <row r="193" spans="1:26" ht="37.799999999999997" customHeight="1" x14ac:dyDescent="0.3">
      <c r="A193" s="154"/>
      <c r="B193" s="308"/>
      <c r="C193" s="308"/>
      <c r="D193" s="154"/>
      <c r="E193" s="154"/>
      <c r="F193" s="154"/>
      <c r="G193" s="154"/>
      <c r="H193" s="154"/>
      <c r="I193" s="154"/>
      <c r="J193" s="154"/>
      <c r="K193" s="154"/>
      <c r="L193" s="154"/>
      <c r="M193" s="154"/>
      <c r="N193" s="154"/>
      <c r="O193" s="154"/>
      <c r="P193" s="154"/>
      <c r="Q193" s="154"/>
      <c r="R193" s="154"/>
      <c r="S193" s="154"/>
      <c r="T193" s="154"/>
      <c r="U193" s="154"/>
      <c r="V193" s="154"/>
      <c r="W193" s="154"/>
      <c r="X193" s="154"/>
      <c r="Y193" s="154"/>
      <c r="Z193" s="154"/>
    </row>
    <row r="194" spans="1:26" ht="36" customHeight="1" x14ac:dyDescent="0.35">
      <c r="A194" s="154"/>
      <c r="B194" s="775" t="s">
        <v>739</v>
      </c>
      <c r="C194" s="775"/>
      <c r="D194" s="775"/>
      <c r="E194" s="775"/>
      <c r="F194" s="775"/>
      <c r="G194" s="154"/>
      <c r="H194" s="154"/>
      <c r="I194" s="839" t="s">
        <v>887</v>
      </c>
      <c r="J194" s="839"/>
      <c r="K194" s="839"/>
      <c r="L194" s="839"/>
      <c r="M194" s="839"/>
      <c r="N194" s="839"/>
      <c r="O194" s="154"/>
      <c r="P194" s="268"/>
      <c r="Q194" s="154"/>
      <c r="R194" s="821" t="s">
        <v>1082</v>
      </c>
      <c r="S194" s="821"/>
      <c r="T194" s="821"/>
      <c r="U194" s="821"/>
      <c r="V194" s="821"/>
      <c r="W194" s="821"/>
      <c r="X194" s="821"/>
      <c r="Y194" s="821"/>
      <c r="Z194" s="154"/>
    </row>
    <row r="195" spans="1:26" ht="43.5" customHeight="1" x14ac:dyDescent="0.35">
      <c r="A195" s="154"/>
      <c r="B195" s="305" t="s">
        <v>405</v>
      </c>
      <c r="C195" s="306" t="str">
        <f>$E$8</f>
        <v>INSTITUCION EDUCATIVA EDUARDO SANTOS</v>
      </c>
      <c r="D195" s="771" t="str">
        <f>$E$9</f>
        <v>OFICIALES URBANOS DE SOACHA</v>
      </c>
      <c r="E195" s="771"/>
      <c r="F195" s="307" t="str">
        <f>$E$10</f>
        <v>COMUNA 6 OFICIAL</v>
      </c>
      <c r="G195" s="154"/>
      <c r="H195" s="154"/>
      <c r="I195" s="444" t="s">
        <v>405</v>
      </c>
      <c r="J195" s="444" t="s">
        <v>407</v>
      </c>
      <c r="K195" s="295" t="s">
        <v>735</v>
      </c>
      <c r="L195" s="296" t="s">
        <v>736</v>
      </c>
      <c r="M195" s="297" t="s">
        <v>737</v>
      </c>
      <c r="N195" s="298" t="s">
        <v>732</v>
      </c>
      <c r="O195" s="268" t="s">
        <v>738</v>
      </c>
      <c r="P195" s="179"/>
      <c r="Q195" s="154"/>
      <c r="R195" s="589" t="s">
        <v>1063</v>
      </c>
      <c r="S195" s="589" t="s">
        <v>1064</v>
      </c>
      <c r="T195" s="772" t="s">
        <v>1065</v>
      </c>
      <c r="U195" s="773"/>
      <c r="V195" s="773"/>
      <c r="W195" s="773"/>
      <c r="X195" s="773"/>
      <c r="Y195" s="774"/>
      <c r="Z195" s="154"/>
    </row>
    <row r="196" spans="1:26" ht="21" x14ac:dyDescent="0.3">
      <c r="A196" s="154"/>
      <c r="B196" s="293">
        <v>2016</v>
      </c>
      <c r="C196" s="273">
        <f>VLOOKUP($E$8,CN!$A$10:$FA$167,4,0)</f>
        <v>54</v>
      </c>
      <c r="D196" s="768">
        <f>VLOOKUP($E$9,CN!$A$10:$FA$167,4,0)</f>
        <v>53</v>
      </c>
      <c r="E196" s="768"/>
      <c r="F196" s="273">
        <f>VLOOKUP($E$10,CN!$A$10:$FA$167,4,0)</f>
        <v>53.333333333333336</v>
      </c>
      <c r="G196" s="154"/>
      <c r="H196" s="154"/>
      <c r="I196" s="454"/>
      <c r="J196" s="454"/>
      <c r="K196" s="299">
        <v>1</v>
      </c>
      <c r="L196" s="300">
        <v>2</v>
      </c>
      <c r="M196" s="301">
        <v>3</v>
      </c>
      <c r="N196" s="302">
        <v>4</v>
      </c>
      <c r="O196" s="179" t="s">
        <v>889</v>
      </c>
      <c r="P196" s="164"/>
      <c r="Q196" s="154"/>
      <c r="R196" s="788">
        <v>1</v>
      </c>
      <c r="S196" s="785" t="s">
        <v>735</v>
      </c>
      <c r="T196" s="776" t="s">
        <v>1083</v>
      </c>
      <c r="U196" s="777"/>
      <c r="V196" s="777"/>
      <c r="W196" s="777"/>
      <c r="X196" s="777"/>
      <c r="Y196" s="778"/>
      <c r="Z196" s="154"/>
    </row>
    <row r="197" spans="1:26" ht="21" customHeight="1" x14ac:dyDescent="0.3">
      <c r="A197" s="154"/>
      <c r="B197" s="293">
        <v>2017</v>
      </c>
      <c r="C197" s="273">
        <f>VLOOKUP($E$8,CN!$A$10:$FA$167,34,0)</f>
        <v>52</v>
      </c>
      <c r="D197" s="768">
        <f>VLOOKUP($E$9,CN!$A$10:$FA$167,34,0)</f>
        <v>52</v>
      </c>
      <c r="E197" s="768"/>
      <c r="F197" s="273">
        <f>VLOOKUP($E$10,CN!$A$10:$FA$167,34,0)</f>
        <v>52</v>
      </c>
      <c r="G197" s="154"/>
      <c r="H197" s="154"/>
      <c r="I197" s="834">
        <v>2016</v>
      </c>
      <c r="J197" s="455" t="str">
        <f>$E$8</f>
        <v>INSTITUCION EDUCATIVA EDUARDO SANTOS</v>
      </c>
      <c r="K197" s="279">
        <f>VLOOKUP($E$8,CN!$A$10:$FA$167,6,0)</f>
        <v>0.03</v>
      </c>
      <c r="L197" s="309">
        <f>VLOOKUP($E$8,CN!$A$10:$FA$167,7,0)</f>
        <v>0.57999999999999996</v>
      </c>
      <c r="M197" s="281">
        <f>VLOOKUP($E$8,CN!$A$10:$FA$167,8,0)</f>
        <v>0.39</v>
      </c>
      <c r="N197" s="282">
        <f>VLOOKUP($E$8,CN!$A$10:$FA$167,9,0)</f>
        <v>0</v>
      </c>
      <c r="O197" s="164">
        <f t="shared" ref="O197:O214" si="9">K197+L197</f>
        <v>0.61</v>
      </c>
      <c r="P197" s="164"/>
      <c r="Q197" s="154"/>
      <c r="R197" s="789"/>
      <c r="S197" s="786"/>
      <c r="T197" s="779"/>
      <c r="U197" s="780"/>
      <c r="V197" s="780"/>
      <c r="W197" s="780"/>
      <c r="X197" s="780"/>
      <c r="Y197" s="781"/>
      <c r="Z197" s="154"/>
    </row>
    <row r="198" spans="1:26" ht="21" x14ac:dyDescent="0.3">
      <c r="A198" s="154"/>
      <c r="B198" s="293">
        <v>2018</v>
      </c>
      <c r="C198" s="273">
        <f>VLOOKUP($E$8,CN!$A$10:$FA$167,65,0)</f>
        <v>49</v>
      </c>
      <c r="D198" s="768">
        <f>VLOOKUP($E$9,CN!$A$10:$FA$167,65,0)</f>
        <v>50</v>
      </c>
      <c r="E198" s="768"/>
      <c r="F198" s="273">
        <f>VLOOKUP($E$10,CN!$A$10:$FA$167,65,0)</f>
        <v>50.333333333333336</v>
      </c>
      <c r="G198" s="154"/>
      <c r="H198" s="154"/>
      <c r="I198" s="835"/>
      <c r="J198" s="455" t="str">
        <f>$E$9</f>
        <v>OFICIALES URBANOS DE SOACHA</v>
      </c>
      <c r="K198" s="279">
        <f>VLOOKUP($E$9,CN!$A$10:$FA$167,6,0)</f>
        <v>0.06</v>
      </c>
      <c r="L198" s="309">
        <f>VLOOKUP($E$9,CN!$A$10:$FA$167,7,0)</f>
        <v>0.59</v>
      </c>
      <c r="M198" s="281">
        <f>VLOOKUP($E$9,CN!$A$10:$FA$167,8,0)</f>
        <v>0.35</v>
      </c>
      <c r="N198" s="282">
        <f>VLOOKUP($E$9,CN!$A$10:$FA$167,9,0)</f>
        <v>0.01</v>
      </c>
      <c r="O198" s="164">
        <f t="shared" si="9"/>
        <v>0.64999999999999991</v>
      </c>
      <c r="P198" s="164"/>
      <c r="Q198" s="154"/>
      <c r="R198" s="790"/>
      <c r="S198" s="787"/>
      <c r="T198" s="782"/>
      <c r="U198" s="783"/>
      <c r="V198" s="783"/>
      <c r="W198" s="783"/>
      <c r="X198" s="783"/>
      <c r="Y198" s="784"/>
      <c r="Z198" s="154"/>
    </row>
    <row r="199" spans="1:26" ht="21" x14ac:dyDescent="0.3">
      <c r="A199" s="154"/>
      <c r="B199" s="293">
        <v>2019</v>
      </c>
      <c r="C199" s="273">
        <f>VLOOKUP($E$8,CN!$A$10:$FA$167,97,0)</f>
        <v>48</v>
      </c>
      <c r="D199" s="768">
        <f>VLOOKUP($E$9,CN!$A$10:$FA$167,97,0)</f>
        <v>49</v>
      </c>
      <c r="E199" s="768"/>
      <c r="F199" s="273">
        <f>VLOOKUP($E$10,CN!$A$10:$FA$167,97,0)</f>
        <v>48.333333333333336</v>
      </c>
      <c r="G199" s="154"/>
      <c r="H199" s="154"/>
      <c r="I199" s="836"/>
      <c r="J199" s="455" t="str">
        <f>$E$10</f>
        <v>COMUNA 6 OFICIAL</v>
      </c>
      <c r="K199" s="279">
        <f>VLOOKUP($E$10,CN!$A$10:$FA$167,6,0)</f>
        <v>3.6666666666666667E-2</v>
      </c>
      <c r="L199" s="309">
        <f>VLOOKUP($E$10,CN!$A$10:$FA$167,7,0)</f>
        <v>0.61</v>
      </c>
      <c r="M199" s="281">
        <f>VLOOKUP($E$10,CN!$A$10:$FA$167,8,0)</f>
        <v>0.35000000000000003</v>
      </c>
      <c r="N199" s="282">
        <f>VLOOKUP($E$10,CN!$A$10:$FA$167,9,0)</f>
        <v>0</v>
      </c>
      <c r="O199" s="164">
        <f t="shared" si="9"/>
        <v>0.64666666666666661</v>
      </c>
      <c r="P199" s="164"/>
      <c r="Q199" s="154"/>
      <c r="R199" s="809">
        <v>2</v>
      </c>
      <c r="S199" s="809" t="s">
        <v>736</v>
      </c>
      <c r="T199" s="812" t="s">
        <v>1084</v>
      </c>
      <c r="U199" s="813"/>
      <c r="V199" s="813"/>
      <c r="W199" s="813"/>
      <c r="X199" s="813"/>
      <c r="Y199" s="814"/>
      <c r="Z199" s="154"/>
    </row>
    <row r="200" spans="1:26" ht="21" x14ac:dyDescent="0.3">
      <c r="A200" s="154"/>
      <c r="B200" s="293">
        <v>2020</v>
      </c>
      <c r="C200" s="273">
        <f>VLOOKUP($E$8,CN!$A$10:$FA$167,128,0)</f>
        <v>48</v>
      </c>
      <c r="D200" s="768">
        <f>VLOOKUP($E$9,CN!$A$10:$FA$167,128,0)</f>
        <v>49</v>
      </c>
      <c r="E200" s="768"/>
      <c r="F200" s="273">
        <f>VLOOKUP($E$10,CN!$A$10:$FA$167,128,0)</f>
        <v>48.333333333333336</v>
      </c>
      <c r="G200" s="154"/>
      <c r="H200" s="154"/>
      <c r="I200" s="834">
        <v>2017</v>
      </c>
      <c r="J200" s="455" t="str">
        <f>$E$8</f>
        <v>INSTITUCION EDUCATIVA EDUARDO SANTOS</v>
      </c>
      <c r="K200" s="279">
        <f>VLOOKUP($E$8,CN!$A$10:$FA$167,36,0)</f>
        <v>0.09</v>
      </c>
      <c r="L200" s="280">
        <f>VLOOKUP($E$8,CN!$A$10:$FA$167,37,0)</f>
        <v>0.53</v>
      </c>
      <c r="M200" s="281">
        <f>VLOOKUP($E$8,CN!$A$10:$FA$167,38,0)</f>
        <v>0.38</v>
      </c>
      <c r="N200" s="282">
        <f>VLOOKUP($E$8,CN!$A$10:$FA$167,39,0)</f>
        <v>0</v>
      </c>
      <c r="O200" s="164">
        <f t="shared" si="9"/>
        <v>0.62</v>
      </c>
      <c r="P200" s="164"/>
      <c r="Q200" s="154"/>
      <c r="R200" s="810"/>
      <c r="S200" s="810"/>
      <c r="T200" s="815"/>
      <c r="U200" s="816"/>
      <c r="V200" s="816"/>
      <c r="W200" s="816"/>
      <c r="X200" s="816"/>
      <c r="Y200" s="817"/>
      <c r="Z200" s="154"/>
    </row>
    <row r="201" spans="1:26" ht="21" x14ac:dyDescent="0.3">
      <c r="A201" s="154"/>
      <c r="B201" s="293">
        <v>2021</v>
      </c>
      <c r="C201" s="273">
        <f>VLOOKUP($E$8,CN!$A$10:$GI$167,158,0)</f>
        <v>48</v>
      </c>
      <c r="D201" s="768">
        <f>VLOOKUP($E$9,CN!$A$10:$GI$167,158,0)</f>
        <v>48</v>
      </c>
      <c r="E201" s="768"/>
      <c r="F201" s="273">
        <f>VLOOKUP($E$10,CN!$A$10:$GI$167,158,0)</f>
        <v>47.666666666666664</v>
      </c>
      <c r="G201" s="154"/>
      <c r="H201" s="154"/>
      <c r="I201" s="835"/>
      <c r="J201" s="455" t="str">
        <f>$E$9</f>
        <v>OFICIALES URBANOS DE SOACHA</v>
      </c>
      <c r="K201" s="279">
        <f>VLOOKUP($E$9,CN!$A$10:$FA$167,36,0)</f>
        <v>0.09</v>
      </c>
      <c r="L201" s="280">
        <f>VLOOKUP($E$9,CN!$A$10:$FA$167,37,0)</f>
        <v>0.56999999999999995</v>
      </c>
      <c r="M201" s="281">
        <f>VLOOKUP($E$9,CN!$A$10:$FA$167,38,0)</f>
        <v>0.33</v>
      </c>
      <c r="N201" s="282">
        <f>VLOOKUP($E$9,CN!$A$10:$FA$167,39,0)</f>
        <v>0.01</v>
      </c>
      <c r="O201" s="164">
        <f t="shared" si="9"/>
        <v>0.65999999999999992</v>
      </c>
      <c r="P201" s="164"/>
      <c r="Q201" s="154"/>
      <c r="R201" s="810"/>
      <c r="S201" s="810"/>
      <c r="T201" s="815"/>
      <c r="U201" s="816"/>
      <c r="V201" s="816"/>
      <c r="W201" s="816"/>
      <c r="X201" s="816"/>
      <c r="Y201" s="817"/>
      <c r="Z201" s="154"/>
    </row>
    <row r="202" spans="1:26" ht="21" x14ac:dyDescent="0.3">
      <c r="A202" s="154"/>
      <c r="B202" s="293">
        <v>2022</v>
      </c>
      <c r="C202" s="273">
        <f>VLOOKUP($E$8,CN!$A$10:$HQ$167,192,0)</f>
        <v>49</v>
      </c>
      <c r="D202" s="768">
        <f>VLOOKUP($E$9,CN!$A$10:$HQ$167,192,0)</f>
        <v>49</v>
      </c>
      <c r="E202" s="768"/>
      <c r="F202" s="273">
        <f>VLOOKUP($E$10,CN!$A$10:$HQ$167,192,0)</f>
        <v>49</v>
      </c>
      <c r="G202" s="154"/>
      <c r="H202" s="154"/>
      <c r="I202" s="836"/>
      <c r="J202" s="455" t="str">
        <f>$E$10</f>
        <v>COMUNA 6 OFICIAL</v>
      </c>
      <c r="K202" s="279">
        <f>VLOOKUP($E$10,CN!$A$10:$FA$167,36,0)</f>
        <v>8.666666666666667E-2</v>
      </c>
      <c r="L202" s="280">
        <f>VLOOKUP($E$10,CN!$A$10:$FA$167,37,0)</f>
        <v>0.57333333333333336</v>
      </c>
      <c r="M202" s="281">
        <f>VLOOKUP($E$10,CN!$A$10:$FA$167,38,0)</f>
        <v>0.34333333333333332</v>
      </c>
      <c r="N202" s="282">
        <f>VLOOKUP($E$10,CN!$A$10:$FA$167,39,0)</f>
        <v>0</v>
      </c>
      <c r="O202" s="164">
        <f t="shared" si="9"/>
        <v>0.66</v>
      </c>
      <c r="P202" s="164"/>
      <c r="Q202" s="154"/>
      <c r="R202" s="810"/>
      <c r="S202" s="810"/>
      <c r="T202" s="815"/>
      <c r="U202" s="816"/>
      <c r="V202" s="816"/>
      <c r="W202" s="816"/>
      <c r="X202" s="816"/>
      <c r="Y202" s="817"/>
      <c r="Z202" s="154"/>
    </row>
    <row r="203" spans="1:26" ht="21" x14ac:dyDescent="0.3">
      <c r="A203" s="154"/>
      <c r="B203" s="293">
        <v>2023</v>
      </c>
      <c r="C203" s="651">
        <f>VLOOKUP($E$8,CN!$A$10:$IY$167,226,0)</f>
        <v>49</v>
      </c>
      <c r="D203" s="768">
        <f>VLOOKUP($E$9,CN!$A$10:$IY$167,226,0)</f>
        <v>50</v>
      </c>
      <c r="E203" s="768"/>
      <c r="F203" s="651">
        <f>VLOOKUP($E$10,CN!$A$10:$IY$167,226,0)</f>
        <v>49</v>
      </c>
      <c r="G203" s="154"/>
      <c r="H203" s="154"/>
      <c r="I203" s="834">
        <v>2018</v>
      </c>
      <c r="J203" s="455" t="str">
        <f>$E$8</f>
        <v>INSTITUCION EDUCATIVA EDUARDO SANTOS</v>
      </c>
      <c r="K203" s="279">
        <f>VLOOKUP($E$8,CN!$A$10:$FA$167,67,0)</f>
        <v>0.16</v>
      </c>
      <c r="L203" s="280">
        <f>VLOOKUP($E$8,CN!$A$10:$FA$167,68,0)</f>
        <v>0.61</v>
      </c>
      <c r="M203" s="281">
        <f>VLOOKUP($E$8,CN!$A$10:$FA$167,69,0)</f>
        <v>0.23</v>
      </c>
      <c r="N203" s="282">
        <f>VLOOKUP($E$8,CN!$A$10:$FA$167,70,0)</f>
        <v>0</v>
      </c>
      <c r="O203" s="164">
        <f t="shared" si="9"/>
        <v>0.77</v>
      </c>
      <c r="P203" s="164"/>
      <c r="Q203" s="154"/>
      <c r="R203" s="810"/>
      <c r="S203" s="810"/>
      <c r="T203" s="815"/>
      <c r="U203" s="816"/>
      <c r="V203" s="816"/>
      <c r="W203" s="816"/>
      <c r="X203" s="816"/>
      <c r="Y203" s="817"/>
      <c r="Z203" s="154"/>
    </row>
    <row r="204" spans="1:26" ht="21" x14ac:dyDescent="0.3">
      <c r="A204" s="182"/>
      <c r="B204" s="304"/>
      <c r="C204" s="154"/>
      <c r="D204" s="154"/>
      <c r="E204" s="154"/>
      <c r="F204" s="154"/>
      <c r="G204" s="154"/>
      <c r="H204" s="154"/>
      <c r="I204" s="835"/>
      <c r="J204" s="455" t="str">
        <f>$E$9</f>
        <v>OFICIALES URBANOS DE SOACHA</v>
      </c>
      <c r="K204" s="279">
        <f>VLOOKUP($E$9,CN!$A$10:$FA$167,67,0)</f>
        <v>0.14000000000000001</v>
      </c>
      <c r="L204" s="280">
        <f>VLOOKUP($E$9,CN!$A$10:$FA$167,68,0)</f>
        <v>0.6</v>
      </c>
      <c r="M204" s="281">
        <f>VLOOKUP($E$9,CN!$A$10:$FA$167,69,0)</f>
        <v>0.25</v>
      </c>
      <c r="N204" s="282">
        <f>VLOOKUP($E$9,CN!$A$10:$FA$167,70,0)</f>
        <v>0.01</v>
      </c>
      <c r="O204" s="164">
        <f t="shared" si="9"/>
        <v>0.74</v>
      </c>
      <c r="P204" s="164"/>
      <c r="Q204" s="154"/>
      <c r="R204" s="810"/>
      <c r="S204" s="810"/>
      <c r="T204" s="815"/>
      <c r="U204" s="816"/>
      <c r="V204" s="816"/>
      <c r="W204" s="816"/>
      <c r="X204" s="816"/>
      <c r="Y204" s="817"/>
      <c r="Z204" s="154"/>
    </row>
    <row r="205" spans="1:26" ht="21" x14ac:dyDescent="0.3">
      <c r="A205" s="182"/>
      <c r="B205" s="304"/>
      <c r="C205" s="154"/>
      <c r="D205" s="154"/>
      <c r="E205" s="154"/>
      <c r="F205" s="154"/>
      <c r="G205" s="154"/>
      <c r="H205" s="154"/>
      <c r="I205" s="836"/>
      <c r="J205" s="455" t="str">
        <f>$E$10</f>
        <v>COMUNA 6 OFICIAL</v>
      </c>
      <c r="K205" s="279">
        <f>VLOOKUP($E$10,CN!$A$10:$FA$167,67,0)</f>
        <v>0.12666666666666668</v>
      </c>
      <c r="L205" s="280">
        <f>VLOOKUP($E$10,CN!$A$10:$FA$167,68,0)</f>
        <v>0.60333333333333328</v>
      </c>
      <c r="M205" s="281">
        <f>VLOOKUP($E$10,CN!$A$10:$FA$167,69,0)</f>
        <v>0.26666666666666666</v>
      </c>
      <c r="N205" s="282">
        <f>VLOOKUP($E$10,CN!$A$10:$FA$167,70,0)</f>
        <v>3.3333333333333335E-3</v>
      </c>
      <c r="O205" s="164">
        <f t="shared" si="9"/>
        <v>0.73</v>
      </c>
      <c r="P205" s="164"/>
      <c r="Q205" s="154"/>
      <c r="R205" s="810"/>
      <c r="S205" s="810"/>
      <c r="T205" s="815"/>
      <c r="U205" s="816"/>
      <c r="V205" s="816"/>
      <c r="W205" s="816"/>
      <c r="X205" s="816"/>
      <c r="Y205" s="817"/>
      <c r="Z205" s="154"/>
    </row>
    <row r="206" spans="1:26" ht="21" customHeight="1" x14ac:dyDescent="0.3">
      <c r="A206" s="182"/>
      <c r="B206" s="304"/>
      <c r="C206" s="154"/>
      <c r="D206" s="154"/>
      <c r="E206" s="154"/>
      <c r="F206" s="154"/>
      <c r="G206" s="154"/>
      <c r="H206" s="154"/>
      <c r="I206" s="834">
        <v>2019</v>
      </c>
      <c r="J206" s="455" t="str">
        <f>$E$8</f>
        <v>INSTITUCION EDUCATIVA EDUARDO SANTOS</v>
      </c>
      <c r="K206" s="279">
        <f>VLOOKUP($E$8,CN!$A$10:$FA$167,99,0)</f>
        <v>0.14000000000000001</v>
      </c>
      <c r="L206" s="280">
        <f>VLOOKUP($E$8,CN!$A$10:$FA$167,100,0)</f>
        <v>0.7</v>
      </c>
      <c r="M206" s="281">
        <f>VLOOKUP($E$8,CN!$A$10:$FA$167,101,0)</f>
        <v>0.17</v>
      </c>
      <c r="N206" s="282">
        <f>VLOOKUP($E$8,CN!$A$10:$FA$167,102,0)</f>
        <v>0</v>
      </c>
      <c r="O206" s="164">
        <f t="shared" si="9"/>
        <v>0.84</v>
      </c>
      <c r="P206" s="164"/>
      <c r="Q206" s="154"/>
      <c r="R206" s="810"/>
      <c r="S206" s="810"/>
      <c r="T206" s="815"/>
      <c r="U206" s="816"/>
      <c r="V206" s="816"/>
      <c r="W206" s="816"/>
      <c r="X206" s="816"/>
      <c r="Y206" s="817"/>
      <c r="Z206" s="154"/>
    </row>
    <row r="207" spans="1:26" ht="21" customHeight="1" x14ac:dyDescent="0.3">
      <c r="A207" s="182"/>
      <c r="B207" s="304"/>
      <c r="C207" s="154"/>
      <c r="D207" s="154"/>
      <c r="E207" s="154"/>
      <c r="F207" s="154"/>
      <c r="G207" s="154"/>
      <c r="H207" s="154"/>
      <c r="I207" s="835"/>
      <c r="J207" s="455" t="str">
        <f>$E$9</f>
        <v>OFICIALES URBANOS DE SOACHA</v>
      </c>
      <c r="K207" s="279">
        <f>VLOOKUP($E$9,CN!$A$10:$FA$167,99,0)</f>
        <v>0.18</v>
      </c>
      <c r="L207" s="280">
        <f>VLOOKUP($E$9,CN!$A$10:$FA$167,100,0)</f>
        <v>0.61</v>
      </c>
      <c r="M207" s="281">
        <f>VLOOKUP($E$9,CN!$A$10:$FA$167,101,0)</f>
        <v>0.2</v>
      </c>
      <c r="N207" s="282">
        <f>VLOOKUP($E$9,CN!$A$10:$FA$167,102,0)</f>
        <v>0.01</v>
      </c>
      <c r="O207" s="164">
        <f t="shared" si="9"/>
        <v>0.79</v>
      </c>
      <c r="P207" s="164"/>
      <c r="Q207" s="154"/>
      <c r="R207" s="811"/>
      <c r="S207" s="811"/>
      <c r="T207" s="818"/>
      <c r="U207" s="819"/>
      <c r="V207" s="819"/>
      <c r="W207" s="819"/>
      <c r="X207" s="819"/>
      <c r="Y207" s="820"/>
      <c r="Z207" s="154"/>
    </row>
    <row r="208" spans="1:26" ht="21" x14ac:dyDescent="0.3">
      <c r="A208" s="182"/>
      <c r="B208" s="304"/>
      <c r="C208" s="154"/>
      <c r="D208" s="154"/>
      <c r="E208" s="154"/>
      <c r="F208" s="154"/>
      <c r="G208" s="154"/>
      <c r="H208" s="154"/>
      <c r="I208" s="836"/>
      <c r="J208" s="455" t="str">
        <f>$E$10</f>
        <v>COMUNA 6 OFICIAL</v>
      </c>
      <c r="K208" s="279">
        <f>VLOOKUP($E$10,CN!$A$10:$FA$167,99,0)</f>
        <v>0.15000000000000002</v>
      </c>
      <c r="L208" s="280">
        <f>VLOOKUP($E$10,CN!$A$10:$FA$167,100,0)</f>
        <v>0.65333333333333332</v>
      </c>
      <c r="M208" s="281">
        <f>VLOOKUP($E$10,CN!$A$10:$FA$167,101,0)</f>
        <v>0.19666666666666666</v>
      </c>
      <c r="N208" s="282">
        <f>VLOOKUP($E$10,CN!$A$10:$FA$167,102,0)</f>
        <v>3.3333333333333335E-3</v>
      </c>
      <c r="O208" s="164">
        <f t="shared" si="9"/>
        <v>0.80333333333333334</v>
      </c>
      <c r="P208" s="164"/>
      <c r="Q208" s="154"/>
      <c r="R208" s="788">
        <v>3</v>
      </c>
      <c r="S208" s="788" t="s">
        <v>737</v>
      </c>
      <c r="T208" s="791" t="s">
        <v>1085</v>
      </c>
      <c r="U208" s="792"/>
      <c r="V208" s="792"/>
      <c r="W208" s="792"/>
      <c r="X208" s="792"/>
      <c r="Y208" s="793"/>
      <c r="Z208" s="154"/>
    </row>
    <row r="209" spans="1:26" ht="21" x14ac:dyDescent="0.3">
      <c r="A209" s="182"/>
      <c r="B209" s="304"/>
      <c r="C209" s="154"/>
      <c r="D209" s="154"/>
      <c r="E209" s="154"/>
      <c r="F209" s="154"/>
      <c r="G209" s="154"/>
      <c r="H209" s="154"/>
      <c r="I209" s="834">
        <v>2020</v>
      </c>
      <c r="J209" s="455" t="str">
        <f>$E$8</f>
        <v>INSTITUCION EDUCATIVA EDUARDO SANTOS</v>
      </c>
      <c r="K209" s="279">
        <f>VLOOKUP($E$8,CN!$A$10:$FA$167,130,0)</f>
        <v>0.21</v>
      </c>
      <c r="L209" s="280">
        <f>VLOOKUP($E$8,CN!$A$10:$FA$167,131,0)</f>
        <v>0.65</v>
      </c>
      <c r="M209" s="281">
        <f>VLOOKUP($E$8,CN!$A$10:$FA$167,132,0)</f>
        <v>0.13</v>
      </c>
      <c r="N209" s="282">
        <f>VLOOKUP($E$8,CN!$A$10:$FA$167,133,0)</f>
        <v>0.01</v>
      </c>
      <c r="O209" s="164">
        <f t="shared" si="9"/>
        <v>0.86</v>
      </c>
      <c r="P209" s="164"/>
      <c r="Q209" s="154"/>
      <c r="R209" s="789"/>
      <c r="S209" s="789"/>
      <c r="T209" s="794"/>
      <c r="U209" s="795"/>
      <c r="V209" s="795"/>
      <c r="W209" s="795"/>
      <c r="X209" s="795"/>
      <c r="Y209" s="796"/>
      <c r="Z209" s="154"/>
    </row>
    <row r="210" spans="1:26" ht="21" x14ac:dyDescent="0.3">
      <c r="A210" s="182"/>
      <c r="B210" s="304"/>
      <c r="C210" s="154"/>
      <c r="D210" s="154"/>
      <c r="E210" s="154"/>
      <c r="F210" s="154"/>
      <c r="G210" s="154"/>
      <c r="H210" s="154"/>
      <c r="I210" s="835"/>
      <c r="J210" s="455" t="str">
        <f>$E$9</f>
        <v>OFICIALES URBANOS DE SOACHA</v>
      </c>
      <c r="K210" s="279">
        <f>VLOOKUP($E$9,CN!$A$10:$FA$167,130,0)</f>
        <v>0.19</v>
      </c>
      <c r="L210" s="280">
        <f>VLOOKUP($E$9,CN!$A$10:$FA$167,131,0)</f>
        <v>0.59</v>
      </c>
      <c r="M210" s="281">
        <f>VLOOKUP($E$9,CN!$A$10:$FA$167,132,0)</f>
        <v>0.22</v>
      </c>
      <c r="N210" s="282">
        <f>VLOOKUP($E$9,CN!$A$10:$FA$167,133,0)</f>
        <v>0.01</v>
      </c>
      <c r="O210" s="164">
        <f t="shared" si="9"/>
        <v>0.78</v>
      </c>
      <c r="P210" s="164"/>
      <c r="Q210" s="154"/>
      <c r="R210" s="789"/>
      <c r="S210" s="789"/>
      <c r="T210" s="794"/>
      <c r="U210" s="795"/>
      <c r="V210" s="795"/>
      <c r="W210" s="795"/>
      <c r="X210" s="795"/>
      <c r="Y210" s="796"/>
      <c r="Z210" s="154"/>
    </row>
    <row r="211" spans="1:26" ht="21" x14ac:dyDescent="0.3">
      <c r="A211" s="182"/>
      <c r="B211" s="304"/>
      <c r="C211" s="154"/>
      <c r="D211" s="154"/>
      <c r="E211" s="154"/>
      <c r="F211" s="154"/>
      <c r="G211" s="154"/>
      <c r="H211" s="154"/>
      <c r="I211" s="836"/>
      <c r="J211" s="455" t="str">
        <f>$E$10</f>
        <v>COMUNA 6 OFICIAL</v>
      </c>
      <c r="K211" s="279">
        <f>VLOOKUP($E$10,CN!$A$10:$FA$167,130,0)</f>
        <v>0.19999999999999998</v>
      </c>
      <c r="L211" s="280">
        <f>VLOOKUP($E$10,CN!$A$10:$FA$167,131,0)</f>
        <v>0.62</v>
      </c>
      <c r="M211" s="281">
        <f>VLOOKUP($E$10,CN!$A$10:$FA$167,132,0)</f>
        <v>0.17333333333333334</v>
      </c>
      <c r="N211" s="282">
        <f>VLOOKUP($E$10,CN!$A$10:$FA$167,133,0)</f>
        <v>6.6666666666666671E-3</v>
      </c>
      <c r="O211" s="164">
        <f t="shared" si="9"/>
        <v>0.82</v>
      </c>
      <c r="P211" s="164"/>
      <c r="Q211" s="154"/>
      <c r="R211" s="789"/>
      <c r="S211" s="789"/>
      <c r="T211" s="794"/>
      <c r="U211" s="795"/>
      <c r="V211" s="795"/>
      <c r="W211" s="795"/>
      <c r="X211" s="795"/>
      <c r="Y211" s="796"/>
      <c r="Z211" s="154"/>
    </row>
    <row r="212" spans="1:26" ht="21" x14ac:dyDescent="0.3">
      <c r="A212" s="182"/>
      <c r="B212" s="304"/>
      <c r="C212" s="154"/>
      <c r="D212" s="154"/>
      <c r="E212" s="154"/>
      <c r="F212" s="154"/>
      <c r="G212" s="154"/>
      <c r="H212" s="154"/>
      <c r="I212" s="834">
        <v>2021</v>
      </c>
      <c r="J212" s="455" t="str">
        <f>$E$8</f>
        <v>INSTITUCION EDUCATIVA EDUARDO SANTOS</v>
      </c>
      <c r="K212" s="279">
        <f>VLOOKUP($E$8,CN!$A$10:$GI$167,162,0)</f>
        <v>0.17</v>
      </c>
      <c r="L212" s="280">
        <f>VLOOKUP($E$8,CN!$A$10:$GI$167,163,0)</f>
        <v>0.69</v>
      </c>
      <c r="M212" s="281">
        <f>VLOOKUP($E$8,CN!$A$10:$GI$167,164,0)</f>
        <v>0.14000000000000001</v>
      </c>
      <c r="N212" s="282">
        <f>VLOOKUP($E$8,CN!$A$10:$GI$167,165,0)</f>
        <v>0</v>
      </c>
      <c r="O212" s="164">
        <f t="shared" si="9"/>
        <v>0.86</v>
      </c>
      <c r="P212" s="164"/>
      <c r="Q212" s="154"/>
      <c r="R212" s="789"/>
      <c r="S212" s="789"/>
      <c r="T212" s="794"/>
      <c r="U212" s="795"/>
      <c r="V212" s="795"/>
      <c r="W212" s="795"/>
      <c r="X212" s="795"/>
      <c r="Y212" s="796"/>
      <c r="Z212" s="154"/>
    </row>
    <row r="213" spans="1:26" ht="21" x14ac:dyDescent="0.3">
      <c r="A213" s="182"/>
      <c r="B213" s="304"/>
      <c r="C213" s="154"/>
      <c r="D213" s="154"/>
      <c r="E213" s="154"/>
      <c r="F213" s="154"/>
      <c r="G213" s="154"/>
      <c r="H213" s="154"/>
      <c r="I213" s="835"/>
      <c r="J213" s="455" t="str">
        <f>$E$9</f>
        <v>OFICIALES URBANOS DE SOACHA</v>
      </c>
      <c r="K213" s="279">
        <f>VLOOKUP($E$9,CN!$A$10:$GI$167,162,0)</f>
        <v>0.17</v>
      </c>
      <c r="L213" s="280">
        <f>VLOOKUP($E$9,CN!$A$10:$GI$167,163,0)</f>
        <v>0.64</v>
      </c>
      <c r="M213" s="281">
        <f>VLOOKUP($E$9,CN!$A$10:$GI$167,164,0)</f>
        <v>0.18</v>
      </c>
      <c r="N213" s="282">
        <f>VLOOKUP($E$9,CN!$A$10:$GI$167,165,0)</f>
        <v>0</v>
      </c>
      <c r="O213" s="164">
        <f t="shared" si="9"/>
        <v>0.81</v>
      </c>
      <c r="P213" s="164"/>
      <c r="Q213" s="154"/>
      <c r="R213" s="789"/>
      <c r="S213" s="789"/>
      <c r="T213" s="794"/>
      <c r="U213" s="795"/>
      <c r="V213" s="795"/>
      <c r="W213" s="795"/>
      <c r="X213" s="795"/>
      <c r="Y213" s="796"/>
      <c r="Z213" s="154"/>
    </row>
    <row r="214" spans="1:26" ht="21" x14ac:dyDescent="0.3">
      <c r="A214" s="182"/>
      <c r="B214" s="304"/>
      <c r="C214" s="154"/>
      <c r="D214" s="154"/>
      <c r="E214" s="154"/>
      <c r="F214" s="154"/>
      <c r="G214" s="154"/>
      <c r="H214" s="154"/>
      <c r="I214" s="836"/>
      <c r="J214" s="455" t="str">
        <f>$E$10</f>
        <v>COMUNA 6 OFICIAL</v>
      </c>
      <c r="K214" s="279">
        <f>VLOOKUP($E$10,CN!$A$10:$GI$167,162,0)</f>
        <v>0.17333333333333334</v>
      </c>
      <c r="L214" s="280">
        <f>VLOOKUP($E$10,CN!$A$10:$GI$167,163,0)</f>
        <v>0.67666666666666664</v>
      </c>
      <c r="M214" s="281">
        <f>VLOOKUP($E$10,CN!$A$10:$GI$167,164,0)</f>
        <v>0.15000000000000002</v>
      </c>
      <c r="N214" s="282">
        <f>VLOOKUP($E$10,CN!$A$10:$GI$167,165,0)</f>
        <v>3.3333333333333335E-3</v>
      </c>
      <c r="O214" s="164">
        <f t="shared" si="9"/>
        <v>0.85</v>
      </c>
      <c r="P214" s="164"/>
      <c r="Q214" s="154"/>
      <c r="R214" s="789"/>
      <c r="S214" s="789"/>
      <c r="T214" s="794"/>
      <c r="U214" s="795"/>
      <c r="V214" s="795"/>
      <c r="W214" s="795"/>
      <c r="X214" s="795"/>
      <c r="Y214" s="796"/>
      <c r="Z214" s="154"/>
    </row>
    <row r="215" spans="1:26" ht="21" customHeight="1" x14ac:dyDescent="0.3">
      <c r="A215" s="182"/>
      <c r="B215" s="304"/>
      <c r="C215" s="154"/>
      <c r="D215" s="154"/>
      <c r="E215" s="154"/>
      <c r="F215" s="154"/>
      <c r="G215" s="154"/>
      <c r="H215" s="154"/>
      <c r="I215" s="834">
        <v>2022</v>
      </c>
      <c r="J215" s="455" t="str">
        <f>$E$8</f>
        <v>INSTITUCION EDUCATIVA EDUARDO SANTOS</v>
      </c>
      <c r="K215" s="279">
        <f>VLOOKUP($E$8,CN!$A$10:$HQ$167,196,0)</f>
        <v>0.14000000000000001</v>
      </c>
      <c r="L215" s="280">
        <f>VLOOKUP($E$8,CN!$A$10:$HQ$167,197,0)</f>
        <v>0.63</v>
      </c>
      <c r="M215" s="281">
        <f>VLOOKUP($E$8,CN!$A$10:$HQ$167,198,0)</f>
        <v>0.23</v>
      </c>
      <c r="N215" s="282">
        <f>VLOOKUP($E$8,CN!$A$10:$HQ$167,199,0)</f>
        <v>0.01</v>
      </c>
      <c r="O215" s="164">
        <f t="shared" ref="O215:O217" si="10">K215+L215</f>
        <v>0.77</v>
      </c>
      <c r="P215" s="164"/>
      <c r="Q215" s="154"/>
      <c r="R215" s="789"/>
      <c r="S215" s="789"/>
      <c r="T215" s="794"/>
      <c r="U215" s="795"/>
      <c r="V215" s="795"/>
      <c r="W215" s="795"/>
      <c r="X215" s="795"/>
      <c r="Y215" s="796"/>
      <c r="Z215" s="154"/>
    </row>
    <row r="216" spans="1:26" ht="21" customHeight="1" x14ac:dyDescent="0.3">
      <c r="A216" s="182"/>
      <c r="B216" s="304"/>
      <c r="C216" s="154"/>
      <c r="D216" s="154"/>
      <c r="E216" s="154"/>
      <c r="F216" s="154"/>
      <c r="G216" s="154"/>
      <c r="H216" s="154"/>
      <c r="I216" s="835"/>
      <c r="J216" s="455" t="str">
        <f>$E$9</f>
        <v>OFICIALES URBANOS DE SOACHA</v>
      </c>
      <c r="K216" s="279">
        <f>VLOOKUP($E$9,CN!$A$10:$HQ$167,196,0)</f>
        <v>0.17</v>
      </c>
      <c r="L216" s="280">
        <f>VLOOKUP($E$9,CN!$A$10:$HQ$167,197,0)</f>
        <v>0.59</v>
      </c>
      <c r="M216" s="281">
        <f>VLOOKUP($E$9,CN!$A$10:$HQ$167,198,0)</f>
        <v>0.23</v>
      </c>
      <c r="N216" s="282">
        <f>VLOOKUP($E$9,CN!$A$10:$HQ$167,199,0)</f>
        <v>0.01</v>
      </c>
      <c r="O216" s="164">
        <f t="shared" si="10"/>
        <v>0.76</v>
      </c>
      <c r="P216" s="164"/>
      <c r="Q216" s="154"/>
      <c r="R216" s="790"/>
      <c r="S216" s="790"/>
      <c r="T216" s="797"/>
      <c r="U216" s="798"/>
      <c r="V216" s="798"/>
      <c r="W216" s="798"/>
      <c r="X216" s="798"/>
      <c r="Y216" s="799"/>
      <c r="Z216" s="154"/>
    </row>
    <row r="217" spans="1:26" ht="21" x14ac:dyDescent="0.3">
      <c r="A217" s="182"/>
      <c r="B217" s="304"/>
      <c r="C217" s="154"/>
      <c r="D217" s="154"/>
      <c r="E217" s="154"/>
      <c r="F217" s="154"/>
      <c r="G217" s="154"/>
      <c r="H217" s="154"/>
      <c r="I217" s="836"/>
      <c r="J217" s="455" t="str">
        <f>$E$10</f>
        <v>COMUNA 6 OFICIAL</v>
      </c>
      <c r="K217" s="279">
        <f>VLOOKUP($E$10,CN!$A$10:$HQ$167,196,0)</f>
        <v>0.16666666666666666</v>
      </c>
      <c r="L217" s="280">
        <f>VLOOKUP($E$10,CN!$A$10:$HQ$167,197,0)</f>
        <v>0.59666666666666668</v>
      </c>
      <c r="M217" s="281">
        <f>VLOOKUP($E$10,CN!$A$10:$HQ$167,198,0)</f>
        <v>0.23333333333333331</v>
      </c>
      <c r="N217" s="282">
        <f>VLOOKUP($E$10,CN!$A$10:$HQ$167,199,0)</f>
        <v>3.3333333333333335E-3</v>
      </c>
      <c r="O217" s="164">
        <f t="shared" si="10"/>
        <v>0.76333333333333331</v>
      </c>
      <c r="P217" s="164"/>
      <c r="Q217" s="154"/>
      <c r="R217" s="809">
        <v>4</v>
      </c>
      <c r="S217" s="809" t="s">
        <v>732</v>
      </c>
      <c r="T217" s="800" t="s">
        <v>1086</v>
      </c>
      <c r="U217" s="801"/>
      <c r="V217" s="801"/>
      <c r="W217" s="801"/>
      <c r="X217" s="801"/>
      <c r="Y217" s="802"/>
      <c r="Z217" s="154"/>
    </row>
    <row r="218" spans="1:26" ht="21" customHeight="1" x14ac:dyDescent="0.3">
      <c r="A218" s="182"/>
      <c r="B218" s="304"/>
      <c r="C218" s="154"/>
      <c r="D218" s="154"/>
      <c r="E218" s="154"/>
      <c r="F218" s="154"/>
      <c r="G218" s="154"/>
      <c r="H218" s="154"/>
      <c r="I218" s="834">
        <v>2023</v>
      </c>
      <c r="J218" s="455" t="str">
        <f>$E$8</f>
        <v>INSTITUCION EDUCATIVA EDUARDO SANTOS</v>
      </c>
      <c r="K218" s="279">
        <f>VLOOKUP($E$8,CN!$A$10:$IY$167,230,0)</f>
        <v>0.17</v>
      </c>
      <c r="L218" s="280">
        <f>VLOOKUP($E$8,CN!$A$10:$IY$167,231,0)</f>
        <v>0.61</v>
      </c>
      <c r="M218" s="281">
        <f>VLOOKUP($E$8,CN!$A$10:$IY$167,232,0)</f>
        <v>0.21</v>
      </c>
      <c r="N218" s="282">
        <f>VLOOKUP($E$8,CN!$A$10:$IY$167,233,0)</f>
        <v>0.01</v>
      </c>
      <c r="O218" s="164">
        <f t="shared" ref="O218:O220" si="11">K218+L218</f>
        <v>0.78</v>
      </c>
      <c r="P218" s="164"/>
      <c r="Q218" s="154"/>
      <c r="R218" s="810"/>
      <c r="S218" s="810"/>
      <c r="T218" s="803"/>
      <c r="U218" s="804"/>
      <c r="V218" s="804"/>
      <c r="W218" s="804"/>
      <c r="X218" s="804"/>
      <c r="Y218" s="805"/>
      <c r="Z218" s="154"/>
    </row>
    <row r="219" spans="1:26" ht="21" x14ac:dyDescent="0.3">
      <c r="A219" s="182"/>
      <c r="B219" s="304"/>
      <c r="C219" s="154"/>
      <c r="D219" s="154"/>
      <c r="E219" s="154"/>
      <c r="F219" s="154"/>
      <c r="G219" s="154"/>
      <c r="H219" s="154"/>
      <c r="I219" s="835"/>
      <c r="J219" s="455" t="str">
        <f>$E$9</f>
        <v>OFICIALES URBANOS DE SOACHA</v>
      </c>
      <c r="K219" s="279">
        <f>VLOOKUP($E$9,CN!$A$10:$IY$167,230,0)</f>
        <v>0.16</v>
      </c>
      <c r="L219" s="280">
        <f>VLOOKUP($E$9,CN!$A$10:$IY$167,231,0)</f>
        <v>0.57999999999999996</v>
      </c>
      <c r="M219" s="281">
        <f>VLOOKUP($E$9,CN!$A$10:$IY$167,232,0)</f>
        <v>0.25</v>
      </c>
      <c r="N219" s="282">
        <f>VLOOKUP($E$9,CN!$A$10:$IY$167,233,0)</f>
        <v>0.01</v>
      </c>
      <c r="O219" s="164">
        <f t="shared" si="11"/>
        <v>0.74</v>
      </c>
      <c r="P219" s="164"/>
      <c r="Q219" s="154"/>
      <c r="R219" s="810"/>
      <c r="S219" s="810"/>
      <c r="T219" s="803"/>
      <c r="U219" s="804"/>
      <c r="V219" s="804"/>
      <c r="W219" s="804"/>
      <c r="X219" s="804"/>
      <c r="Y219" s="805"/>
      <c r="Z219" s="154"/>
    </row>
    <row r="220" spans="1:26" ht="21" x14ac:dyDescent="0.3">
      <c r="A220" s="182"/>
      <c r="B220" s="304"/>
      <c r="C220" s="154"/>
      <c r="D220" s="154"/>
      <c r="E220" s="154"/>
      <c r="F220" s="154"/>
      <c r="G220" s="154"/>
      <c r="H220" s="154"/>
      <c r="I220" s="836"/>
      <c r="J220" s="455" t="str">
        <f>$E$10</f>
        <v>COMUNA 6 OFICIAL</v>
      </c>
      <c r="K220" s="279">
        <f>VLOOKUP($E$10,CN!$A$10:$IY$167,230,0)</f>
        <v>0.17666666666666667</v>
      </c>
      <c r="L220" s="280">
        <f>VLOOKUP($E$10,CN!$A$10:$IY$167,231,0)</f>
        <v>0.59333333333333338</v>
      </c>
      <c r="M220" s="281">
        <f>VLOOKUP($E$10,CN!$A$10:$IY$167,232,0)</f>
        <v>0.22</v>
      </c>
      <c r="N220" s="282">
        <f>VLOOKUP($E$10,CN!$A$10:$IY$167,233,0)</f>
        <v>6.6666666666666671E-3</v>
      </c>
      <c r="O220" s="164">
        <f t="shared" si="11"/>
        <v>0.77</v>
      </c>
      <c r="P220" s="164"/>
      <c r="Q220" s="154"/>
      <c r="R220" s="810"/>
      <c r="S220" s="810"/>
      <c r="T220" s="803"/>
      <c r="U220" s="804"/>
      <c r="V220" s="804"/>
      <c r="W220" s="804"/>
      <c r="X220" s="804"/>
      <c r="Y220" s="805"/>
      <c r="Z220" s="154"/>
    </row>
    <row r="221" spans="1:26" ht="20.399999999999999" x14ac:dyDescent="0.3">
      <c r="A221" s="182"/>
      <c r="B221" s="304"/>
      <c r="C221" s="154"/>
      <c r="D221" s="154"/>
      <c r="E221" s="154"/>
      <c r="F221" s="154"/>
      <c r="G221" s="154"/>
      <c r="H221" s="154"/>
      <c r="I221" s="164"/>
      <c r="J221" s="164"/>
      <c r="K221" s="164"/>
      <c r="L221" s="164"/>
      <c r="M221" s="164"/>
      <c r="N221" s="164"/>
      <c r="O221" s="164"/>
      <c r="P221" s="164"/>
      <c r="Q221" s="154"/>
      <c r="R221" s="810"/>
      <c r="S221" s="810"/>
      <c r="T221" s="803"/>
      <c r="U221" s="804"/>
      <c r="V221" s="804"/>
      <c r="W221" s="804"/>
      <c r="X221" s="804"/>
      <c r="Y221" s="805"/>
      <c r="Z221" s="154"/>
    </row>
    <row r="222" spans="1:26" ht="21" x14ac:dyDescent="0.3">
      <c r="A222" s="182"/>
      <c r="B222" s="304"/>
      <c r="C222" s="154"/>
      <c r="D222" s="154"/>
      <c r="E222" s="154"/>
      <c r="F222" s="154"/>
      <c r="G222" s="154"/>
      <c r="H222" s="154"/>
      <c r="I222" s="445"/>
      <c r="J222" s="445"/>
      <c r="K222" s="274"/>
      <c r="L222" s="275"/>
      <c r="M222" s="275"/>
      <c r="N222" s="275"/>
      <c r="O222" s="164"/>
      <c r="P222" s="164"/>
      <c r="Q222" s="154"/>
      <c r="R222" s="810"/>
      <c r="S222" s="810"/>
      <c r="T222" s="803"/>
      <c r="U222" s="804"/>
      <c r="V222" s="804"/>
      <c r="W222" s="804"/>
      <c r="X222" s="804"/>
      <c r="Y222" s="805"/>
      <c r="Z222" s="154"/>
    </row>
    <row r="223" spans="1:26" ht="21" x14ac:dyDescent="0.3">
      <c r="A223" s="182"/>
      <c r="B223" s="304"/>
      <c r="C223" s="154"/>
      <c r="D223" s="154"/>
      <c r="E223" s="154"/>
      <c r="F223" s="154"/>
      <c r="G223" s="154"/>
      <c r="H223" s="154"/>
      <c r="I223" s="445"/>
      <c r="J223" s="445"/>
      <c r="K223" s="274"/>
      <c r="L223" s="275"/>
      <c r="M223" s="275"/>
      <c r="N223" s="275"/>
      <c r="O223" s="164"/>
      <c r="P223" s="164"/>
      <c r="Q223" s="154"/>
      <c r="R223" s="810"/>
      <c r="S223" s="810"/>
      <c r="T223" s="803"/>
      <c r="U223" s="804"/>
      <c r="V223" s="804"/>
      <c r="W223" s="804"/>
      <c r="X223" s="804"/>
      <c r="Y223" s="805"/>
      <c r="Z223" s="154"/>
    </row>
    <row r="224" spans="1:26" ht="21" x14ac:dyDescent="0.3">
      <c r="A224" s="182"/>
      <c r="B224" s="304"/>
      <c r="C224" s="154"/>
      <c r="D224" s="154"/>
      <c r="E224" s="154"/>
      <c r="F224" s="154"/>
      <c r="G224" s="154"/>
      <c r="H224" s="154"/>
      <c r="I224" s="445"/>
      <c r="J224" s="445"/>
      <c r="K224" s="274"/>
      <c r="L224" s="275"/>
      <c r="M224" s="275"/>
      <c r="N224" s="275"/>
      <c r="O224" s="164"/>
      <c r="P224" s="164"/>
      <c r="Q224" s="154"/>
      <c r="R224" s="810"/>
      <c r="S224" s="810"/>
      <c r="T224" s="803"/>
      <c r="U224" s="804"/>
      <c r="V224" s="804"/>
      <c r="W224" s="804"/>
      <c r="X224" s="804"/>
      <c r="Y224" s="805"/>
      <c r="Z224" s="154"/>
    </row>
    <row r="225" spans="1:26" ht="21.75" customHeight="1" x14ac:dyDescent="0.35">
      <c r="A225" s="182"/>
      <c r="B225" s="304"/>
      <c r="C225" s="154"/>
      <c r="D225" s="154"/>
      <c r="E225" s="154"/>
      <c r="F225" s="154"/>
      <c r="G225" s="154"/>
      <c r="H225" s="154"/>
      <c r="I225" s="268"/>
      <c r="J225" s="268"/>
      <c r="K225" s="268"/>
      <c r="L225" s="268"/>
      <c r="M225" s="268"/>
      <c r="N225" s="268"/>
      <c r="O225" s="164"/>
      <c r="P225" s="164"/>
      <c r="Q225" s="154"/>
      <c r="R225" s="811"/>
      <c r="S225" s="811"/>
      <c r="T225" s="806"/>
      <c r="U225" s="807"/>
      <c r="V225" s="807"/>
      <c r="W225" s="807"/>
      <c r="X225" s="807"/>
      <c r="Y225" s="808"/>
      <c r="Z225" s="154"/>
    </row>
    <row r="226" spans="1:26" ht="21.75" customHeight="1" x14ac:dyDescent="0.35">
      <c r="A226" s="182"/>
      <c r="B226" s="304"/>
      <c r="C226" s="154"/>
      <c r="D226" s="154"/>
      <c r="E226" s="154"/>
      <c r="F226" s="154"/>
      <c r="G226" s="154"/>
      <c r="H226" s="154"/>
      <c r="I226" s="268"/>
      <c r="J226" s="268"/>
      <c r="K226" s="268"/>
      <c r="L226" s="268"/>
      <c r="M226" s="268"/>
      <c r="N226" s="268"/>
      <c r="O226" s="164"/>
      <c r="P226" s="164"/>
      <c r="Q226" s="154"/>
      <c r="R226" s="164"/>
      <c r="S226" s="164"/>
      <c r="T226" s="164"/>
      <c r="U226" s="164"/>
      <c r="V226" s="164"/>
      <c r="W226" s="164"/>
      <c r="X226" s="164"/>
      <c r="Y226" s="164"/>
      <c r="Z226" s="164"/>
    </row>
    <row r="227" spans="1:26" ht="21.75" customHeight="1" x14ac:dyDescent="0.35">
      <c r="A227" s="182"/>
      <c r="B227" s="304"/>
      <c r="C227" s="154"/>
      <c r="D227" s="154"/>
      <c r="E227" s="154"/>
      <c r="F227" s="154"/>
      <c r="G227" s="154"/>
      <c r="H227" s="154"/>
      <c r="I227" s="268"/>
      <c r="J227" s="268"/>
      <c r="K227" s="268"/>
      <c r="L227" s="268"/>
      <c r="M227" s="268"/>
      <c r="N227" s="268"/>
      <c r="O227" s="164"/>
      <c r="P227" s="164"/>
      <c r="Q227" s="154"/>
      <c r="R227" s="164"/>
      <c r="S227" s="164"/>
      <c r="T227" s="164"/>
      <c r="U227" s="164"/>
      <c r="V227" s="164"/>
      <c r="W227" s="164"/>
      <c r="X227" s="164"/>
      <c r="Y227" s="164"/>
      <c r="Z227" s="164"/>
    </row>
    <row r="228" spans="1:26" ht="21.75" customHeight="1" x14ac:dyDescent="0.35">
      <c r="A228" s="182"/>
      <c r="B228" s="304"/>
      <c r="C228" s="154"/>
      <c r="D228" s="154"/>
      <c r="E228" s="154"/>
      <c r="F228" s="154"/>
      <c r="G228" s="154"/>
      <c r="H228" s="154"/>
      <c r="I228" s="268"/>
      <c r="J228" s="268"/>
      <c r="K228" s="268"/>
      <c r="L228" s="268"/>
      <c r="M228" s="268"/>
      <c r="N228" s="268"/>
      <c r="O228" s="164"/>
      <c r="P228" s="164"/>
      <c r="Q228" s="154"/>
      <c r="R228" s="164"/>
      <c r="S228" s="164"/>
      <c r="T228" s="164"/>
      <c r="U228" s="164"/>
      <c r="V228" s="164"/>
      <c r="W228" s="164"/>
      <c r="X228" s="164"/>
      <c r="Y228" s="164"/>
      <c r="Z228" s="164"/>
    </row>
    <row r="229" spans="1:26" ht="21.75" customHeight="1" x14ac:dyDescent="0.35">
      <c r="A229" s="182"/>
      <c r="B229" s="304"/>
      <c r="C229" s="154"/>
      <c r="D229" s="154"/>
      <c r="E229" s="154"/>
      <c r="F229" s="154"/>
      <c r="G229" s="154"/>
      <c r="H229" s="154"/>
      <c r="I229" s="268"/>
      <c r="J229" s="268"/>
      <c r="K229" s="268"/>
      <c r="L229" s="268"/>
      <c r="M229" s="268"/>
      <c r="N229" s="268"/>
      <c r="O229" s="164"/>
      <c r="P229" s="164"/>
      <c r="Q229" s="154"/>
      <c r="R229" s="164"/>
      <c r="S229" s="164"/>
      <c r="T229" s="164"/>
      <c r="U229" s="164"/>
      <c r="V229" s="164"/>
      <c r="W229" s="164"/>
      <c r="X229" s="164"/>
      <c r="Y229" s="164"/>
      <c r="Z229" s="164"/>
    </row>
    <row r="230" spans="1:26" ht="21.75" customHeight="1" x14ac:dyDescent="0.35">
      <c r="A230" s="182"/>
      <c r="B230" s="304"/>
      <c r="C230" s="154"/>
      <c r="D230" s="154"/>
      <c r="E230" s="154"/>
      <c r="F230" s="154"/>
      <c r="G230" s="154"/>
      <c r="H230" s="154"/>
      <c r="I230" s="268"/>
      <c r="J230" s="268"/>
      <c r="K230" s="268"/>
      <c r="L230" s="268"/>
      <c r="M230" s="268"/>
      <c r="N230" s="268"/>
      <c r="O230" s="164"/>
      <c r="P230" s="164"/>
      <c r="Q230" s="154"/>
      <c r="R230" s="164"/>
      <c r="S230" s="164"/>
      <c r="T230" s="164"/>
      <c r="U230" s="164"/>
      <c r="V230" s="164"/>
      <c r="W230" s="164"/>
      <c r="X230" s="164"/>
      <c r="Y230" s="164"/>
      <c r="Z230" s="164"/>
    </row>
    <row r="231" spans="1:26" ht="21.75" customHeight="1" x14ac:dyDescent="0.35">
      <c r="A231" s="182"/>
      <c r="B231" s="304"/>
      <c r="C231" s="154"/>
      <c r="D231" s="154"/>
      <c r="E231" s="154"/>
      <c r="F231" s="154"/>
      <c r="G231" s="154"/>
      <c r="H231" s="154"/>
      <c r="I231" s="268"/>
      <c r="J231" s="268"/>
      <c r="K231" s="268"/>
      <c r="L231" s="268"/>
      <c r="M231" s="268"/>
      <c r="N231" s="268"/>
      <c r="O231" s="164"/>
      <c r="P231" s="164"/>
      <c r="Q231" s="154"/>
      <c r="R231" s="164"/>
      <c r="S231" s="164"/>
      <c r="T231" s="164"/>
      <c r="U231" s="164"/>
      <c r="V231" s="164"/>
      <c r="W231" s="164"/>
      <c r="X231" s="164"/>
      <c r="Y231" s="164"/>
      <c r="Z231" s="164"/>
    </row>
    <row r="232" spans="1:26" ht="21.75" customHeight="1" x14ac:dyDescent="0.35">
      <c r="A232" s="182"/>
      <c r="B232" s="304"/>
      <c r="C232" s="154"/>
      <c r="D232" s="154"/>
      <c r="E232" s="154"/>
      <c r="F232" s="154"/>
      <c r="G232" s="154"/>
      <c r="H232" s="154"/>
      <c r="I232" s="268"/>
      <c r="J232" s="268"/>
      <c r="K232" s="268"/>
      <c r="L232" s="268"/>
      <c r="M232" s="268"/>
      <c r="N232" s="268"/>
      <c r="O232" s="164"/>
      <c r="P232" s="164"/>
      <c r="Q232" s="154"/>
      <c r="R232" s="164"/>
      <c r="S232" s="164"/>
      <c r="T232" s="164"/>
      <c r="U232" s="164"/>
      <c r="V232" s="164"/>
      <c r="W232" s="164"/>
      <c r="X232" s="164"/>
      <c r="Y232" s="164"/>
      <c r="Z232" s="164"/>
    </row>
    <row r="233" spans="1:26" ht="21.75" customHeight="1" x14ac:dyDescent="0.35">
      <c r="A233" s="182"/>
      <c r="B233" s="304"/>
      <c r="C233" s="154"/>
      <c r="D233" s="154"/>
      <c r="E233" s="154"/>
      <c r="F233" s="154"/>
      <c r="G233" s="154"/>
      <c r="H233" s="154"/>
      <c r="I233" s="268"/>
      <c r="J233" s="268"/>
      <c r="K233" s="268"/>
      <c r="L233" s="268"/>
      <c r="M233" s="268"/>
      <c r="N233" s="268"/>
      <c r="O233" s="164"/>
      <c r="P233" s="164"/>
      <c r="Q233" s="154"/>
      <c r="R233" s="164"/>
      <c r="S233" s="164"/>
      <c r="T233" s="164"/>
      <c r="U233" s="164"/>
      <c r="V233" s="164"/>
      <c r="W233" s="164"/>
      <c r="X233" s="164"/>
      <c r="Y233" s="164"/>
      <c r="Z233" s="164"/>
    </row>
    <row r="234" spans="1:26" ht="21.75" customHeight="1" x14ac:dyDescent="0.35">
      <c r="A234" s="182"/>
      <c r="B234" s="304"/>
      <c r="C234" s="154"/>
      <c r="D234" s="154"/>
      <c r="E234" s="154"/>
      <c r="F234" s="154"/>
      <c r="G234" s="154"/>
      <c r="H234" s="154"/>
      <c r="I234" s="268"/>
      <c r="J234" s="268"/>
      <c r="K234" s="268"/>
      <c r="L234" s="268"/>
      <c r="M234" s="268"/>
      <c r="N234" s="268"/>
      <c r="O234" s="164"/>
      <c r="P234" s="164"/>
      <c r="Q234" s="154"/>
      <c r="R234" s="164"/>
      <c r="S234" s="164"/>
      <c r="T234" s="164"/>
      <c r="U234" s="164"/>
      <c r="V234" s="164"/>
      <c r="W234" s="164"/>
      <c r="X234" s="164"/>
      <c r="Y234" s="164"/>
      <c r="Z234" s="164"/>
    </row>
    <row r="235" spans="1:26" ht="21.75" customHeight="1" x14ac:dyDescent="0.35">
      <c r="A235" s="182"/>
      <c r="B235" s="304"/>
      <c r="C235" s="154"/>
      <c r="D235" s="154"/>
      <c r="E235" s="154"/>
      <c r="F235" s="154"/>
      <c r="G235" s="154"/>
      <c r="H235" s="154"/>
      <c r="I235" s="268"/>
      <c r="J235" s="268"/>
      <c r="K235" s="268"/>
      <c r="L235" s="268"/>
      <c r="M235" s="268"/>
      <c r="N235" s="268"/>
      <c r="O235" s="164"/>
      <c r="P235" s="164"/>
      <c r="Q235" s="154"/>
      <c r="R235" s="164"/>
      <c r="S235" s="164"/>
      <c r="T235" s="164"/>
      <c r="U235" s="164"/>
      <c r="V235" s="164"/>
      <c r="W235" s="164"/>
      <c r="X235" s="164"/>
      <c r="Y235" s="164"/>
      <c r="Z235" s="164"/>
    </row>
    <row r="236" spans="1:26" ht="21.75" customHeight="1" x14ac:dyDescent="0.35">
      <c r="A236" s="182"/>
      <c r="B236" s="304"/>
      <c r="C236" s="154"/>
      <c r="D236" s="154"/>
      <c r="E236" s="154"/>
      <c r="F236" s="154"/>
      <c r="G236" s="154"/>
      <c r="H236" s="154"/>
      <c r="I236" s="268"/>
      <c r="J236" s="268"/>
      <c r="K236" s="268"/>
      <c r="L236" s="268"/>
      <c r="M236" s="268"/>
      <c r="N236" s="268"/>
      <c r="O236" s="164"/>
      <c r="P236" s="164"/>
      <c r="Q236" s="154"/>
      <c r="R236" s="164"/>
      <c r="S236" s="164"/>
      <c r="T236" s="164"/>
      <c r="U236" s="164"/>
      <c r="V236" s="164"/>
      <c r="W236" s="164"/>
      <c r="X236" s="164"/>
      <c r="Y236" s="164"/>
      <c r="Z236" s="164"/>
    </row>
    <row r="237" spans="1:26" ht="21.75" customHeight="1" x14ac:dyDescent="0.35">
      <c r="A237" s="182"/>
      <c r="B237" s="304"/>
      <c r="C237" s="154"/>
      <c r="D237" s="154"/>
      <c r="E237" s="154"/>
      <c r="F237" s="154"/>
      <c r="G237" s="154"/>
      <c r="H237" s="154"/>
      <c r="I237" s="268"/>
      <c r="J237" s="268"/>
      <c r="K237" s="268"/>
      <c r="L237" s="268"/>
      <c r="M237" s="268"/>
      <c r="N237" s="268"/>
      <c r="O237" s="164"/>
      <c r="P237" s="164"/>
      <c r="Q237" s="154"/>
      <c r="R237" s="164"/>
      <c r="S237" s="164"/>
      <c r="T237" s="164"/>
      <c r="U237" s="164"/>
      <c r="V237" s="164"/>
      <c r="W237" s="164"/>
      <c r="X237" s="164"/>
      <c r="Y237" s="164"/>
      <c r="Z237" s="164"/>
    </row>
    <row r="238" spans="1:26" ht="21.75" customHeight="1" x14ac:dyDescent="0.35">
      <c r="A238" s="182"/>
      <c r="B238" s="304"/>
      <c r="C238" s="154"/>
      <c r="D238" s="154"/>
      <c r="E238" s="154"/>
      <c r="F238" s="154"/>
      <c r="G238" s="154"/>
      <c r="H238" s="154"/>
      <c r="I238" s="268"/>
      <c r="J238" s="268"/>
      <c r="K238" s="268"/>
      <c r="L238" s="268"/>
      <c r="M238" s="268"/>
      <c r="N238" s="268"/>
      <c r="O238" s="164"/>
      <c r="P238" s="164"/>
      <c r="Q238" s="154"/>
      <c r="R238" s="164"/>
      <c r="S238" s="164"/>
      <c r="T238" s="164"/>
      <c r="U238" s="164"/>
      <c r="V238" s="164"/>
      <c r="W238" s="164"/>
      <c r="X238" s="164"/>
      <c r="Y238" s="164"/>
      <c r="Z238" s="164"/>
    </row>
    <row r="239" spans="1:26" ht="21.75" customHeight="1" x14ac:dyDescent="0.35">
      <c r="A239" s="182"/>
      <c r="B239" s="304"/>
      <c r="C239" s="154"/>
      <c r="D239" s="154"/>
      <c r="E239" s="154"/>
      <c r="F239" s="154"/>
      <c r="G239" s="154"/>
      <c r="H239" s="154"/>
      <c r="I239" s="268"/>
      <c r="J239" s="268"/>
      <c r="K239" s="268"/>
      <c r="L239" s="268"/>
      <c r="M239" s="268"/>
      <c r="N239" s="268"/>
      <c r="O239" s="164"/>
      <c r="P239" s="164"/>
      <c r="Q239" s="154"/>
      <c r="R239" s="164"/>
      <c r="S239" s="164"/>
      <c r="T239" s="164"/>
      <c r="U239" s="164"/>
      <c r="V239" s="164"/>
      <c r="W239" s="164"/>
      <c r="X239" s="164"/>
      <c r="Y239" s="164"/>
      <c r="Z239" s="164"/>
    </row>
    <row r="240" spans="1:26" ht="21.75" customHeight="1" x14ac:dyDescent="0.35">
      <c r="A240" s="182"/>
      <c r="B240" s="304"/>
      <c r="C240" s="154"/>
      <c r="D240" s="154"/>
      <c r="E240" s="154"/>
      <c r="F240" s="154"/>
      <c r="G240" s="154"/>
      <c r="H240" s="154"/>
      <c r="I240" s="268"/>
      <c r="J240" s="268"/>
      <c r="K240" s="268"/>
      <c r="L240" s="268"/>
      <c r="M240" s="268"/>
      <c r="N240" s="268"/>
      <c r="O240" s="164"/>
      <c r="P240" s="164"/>
      <c r="Q240" s="154"/>
      <c r="R240" s="164"/>
      <c r="S240" s="164"/>
      <c r="T240" s="164"/>
      <c r="U240" s="164"/>
      <c r="V240" s="164"/>
      <c r="W240" s="164"/>
      <c r="X240" s="164"/>
      <c r="Y240" s="164"/>
      <c r="Z240" s="164"/>
    </row>
    <row r="241" spans="1:26" ht="21.75" customHeight="1" x14ac:dyDescent="0.35">
      <c r="A241" s="182"/>
      <c r="B241" s="304"/>
      <c r="C241" s="154"/>
      <c r="D241" s="154"/>
      <c r="E241" s="154"/>
      <c r="F241" s="154"/>
      <c r="G241" s="154"/>
      <c r="H241" s="154"/>
      <c r="I241" s="268"/>
      <c r="J241" s="268"/>
      <c r="K241" s="268"/>
      <c r="L241" s="268"/>
      <c r="M241" s="268"/>
      <c r="N241" s="268"/>
      <c r="O241" s="164"/>
      <c r="P241" s="164"/>
      <c r="Q241" s="154"/>
      <c r="R241" s="164"/>
      <c r="S241" s="164"/>
      <c r="T241" s="164"/>
      <c r="U241" s="164"/>
      <c r="V241" s="164"/>
      <c r="W241" s="164"/>
      <c r="X241" s="164"/>
      <c r="Y241" s="164"/>
      <c r="Z241" s="164"/>
    </row>
    <row r="242" spans="1:26" ht="21.75" customHeight="1" x14ac:dyDescent="0.35">
      <c r="A242" s="182"/>
      <c r="B242" s="304"/>
      <c r="C242" s="154"/>
      <c r="D242" s="154"/>
      <c r="E242" s="154"/>
      <c r="F242" s="154"/>
      <c r="G242" s="154"/>
      <c r="H242" s="154"/>
      <c r="I242" s="268"/>
      <c r="J242" s="268"/>
      <c r="K242" s="268"/>
      <c r="L242" s="268"/>
      <c r="M242" s="268"/>
      <c r="N242" s="268"/>
      <c r="O242" s="164"/>
      <c r="P242" s="164"/>
      <c r="Q242" s="154"/>
      <c r="R242" s="164"/>
      <c r="S242" s="164"/>
      <c r="T242" s="164"/>
      <c r="U242" s="164"/>
      <c r="V242" s="164"/>
      <c r="W242" s="164"/>
      <c r="X242" s="164"/>
      <c r="Y242" s="164"/>
      <c r="Z242" s="164"/>
    </row>
    <row r="243" spans="1:26" ht="21.75" customHeight="1" x14ac:dyDescent="0.35">
      <c r="A243" s="182"/>
      <c r="B243" s="304"/>
      <c r="C243" s="154"/>
      <c r="D243" s="154"/>
      <c r="E243" s="154"/>
      <c r="F243" s="154"/>
      <c r="G243" s="154"/>
      <c r="H243" s="154"/>
      <c r="I243" s="268"/>
      <c r="J243" s="268"/>
      <c r="K243" s="268"/>
      <c r="L243" s="268"/>
      <c r="M243" s="268"/>
      <c r="N243" s="268"/>
      <c r="O243" s="164"/>
      <c r="P243" s="164"/>
      <c r="Q243" s="154"/>
      <c r="R243" s="164"/>
      <c r="S243" s="164"/>
      <c r="T243" s="164"/>
      <c r="U243" s="164"/>
      <c r="V243" s="164"/>
      <c r="W243" s="164"/>
      <c r="X243" s="164"/>
      <c r="Y243" s="164"/>
      <c r="Z243" s="164"/>
    </row>
    <row r="244" spans="1:26" ht="21.75" customHeight="1" x14ac:dyDescent="0.35">
      <c r="A244" s="182"/>
      <c r="B244" s="304"/>
      <c r="C244" s="154"/>
      <c r="D244" s="154"/>
      <c r="E244" s="154"/>
      <c r="F244" s="154"/>
      <c r="G244" s="154"/>
      <c r="H244" s="154"/>
      <c r="I244" s="268"/>
      <c r="J244" s="268"/>
      <c r="K244" s="268"/>
      <c r="L244" s="268"/>
      <c r="M244" s="268"/>
      <c r="N244" s="268"/>
      <c r="O244" s="164"/>
      <c r="P244" s="164"/>
      <c r="Q244" s="154"/>
      <c r="R244" s="154"/>
      <c r="S244" s="154"/>
      <c r="T244" s="154"/>
      <c r="U244" s="154"/>
      <c r="V244" s="154"/>
      <c r="W244" s="154"/>
      <c r="X244" s="154"/>
      <c r="Y244" s="154"/>
      <c r="Z244" s="154"/>
    </row>
    <row r="245" spans="1:26" ht="21.75" customHeight="1" x14ac:dyDescent="0.35">
      <c r="A245" s="182"/>
      <c r="B245" s="304"/>
      <c r="C245" s="154"/>
      <c r="D245" s="154"/>
      <c r="E245" s="154"/>
      <c r="F245" s="154"/>
      <c r="G245" s="154"/>
      <c r="H245" s="154"/>
      <c r="I245" s="268"/>
      <c r="J245" s="268"/>
      <c r="K245" s="268"/>
      <c r="L245" s="268"/>
      <c r="M245" s="268"/>
      <c r="N245" s="268"/>
      <c r="O245" s="164"/>
      <c r="P245" s="164"/>
      <c r="Q245" s="154"/>
      <c r="R245" s="154"/>
      <c r="S245" s="154"/>
      <c r="T245" s="154"/>
      <c r="U245" s="154"/>
      <c r="V245" s="154"/>
      <c r="W245" s="154"/>
      <c r="X245" s="154"/>
      <c r="Y245" s="154"/>
      <c r="Z245" s="154"/>
    </row>
    <row r="246" spans="1:26" ht="21.75" customHeight="1" x14ac:dyDescent="0.35">
      <c r="A246" s="182"/>
      <c r="B246" s="304"/>
      <c r="C246" s="154"/>
      <c r="D246" s="154"/>
      <c r="E246" s="154"/>
      <c r="F246" s="154"/>
      <c r="G246" s="154"/>
      <c r="H246" s="154"/>
      <c r="I246" s="268"/>
      <c r="J246" s="268"/>
      <c r="K246" s="268"/>
      <c r="L246" s="268"/>
      <c r="M246" s="268"/>
      <c r="N246" s="268"/>
      <c r="O246" s="164"/>
      <c r="P246" s="164"/>
      <c r="Q246" s="154"/>
      <c r="R246" s="154"/>
      <c r="S246" s="154"/>
      <c r="T246" s="154"/>
      <c r="U246" s="154"/>
      <c r="V246" s="154"/>
      <c r="W246" s="154"/>
      <c r="X246" s="154"/>
      <c r="Y246" s="154"/>
      <c r="Z246" s="154"/>
    </row>
    <row r="247" spans="1:26" ht="21.75" customHeight="1" x14ac:dyDescent="0.35">
      <c r="A247" s="182"/>
      <c r="B247" s="304"/>
      <c r="C247" s="154"/>
      <c r="D247" s="154"/>
      <c r="E247" s="154"/>
      <c r="F247" s="154"/>
      <c r="G247" s="154"/>
      <c r="H247" s="154"/>
      <c r="I247" s="268"/>
      <c r="J247" s="268"/>
      <c r="K247" s="268"/>
      <c r="L247" s="268"/>
      <c r="M247" s="268"/>
      <c r="N247" s="268"/>
      <c r="O247" s="164"/>
      <c r="P247" s="164"/>
      <c r="Q247" s="154"/>
      <c r="R247" s="154"/>
      <c r="S247" s="154"/>
      <c r="T247" s="154"/>
      <c r="U247" s="154"/>
      <c r="V247" s="154"/>
      <c r="W247" s="154"/>
      <c r="X247" s="154"/>
      <c r="Y247" s="154"/>
      <c r="Z247" s="154"/>
    </row>
    <row r="248" spans="1:26" ht="21.75" customHeight="1" x14ac:dyDescent="0.35">
      <c r="A248" s="182"/>
      <c r="B248" s="304"/>
      <c r="C248" s="154"/>
      <c r="D248" s="154"/>
      <c r="E248" s="154"/>
      <c r="F248" s="154"/>
      <c r="G248" s="154"/>
      <c r="H248" s="154"/>
      <c r="I248" s="268"/>
      <c r="J248" s="268"/>
      <c r="K248" s="268"/>
      <c r="L248" s="268"/>
      <c r="M248" s="268"/>
      <c r="N248" s="268"/>
      <c r="O248" s="164"/>
      <c r="P248" s="164"/>
      <c r="Q248" s="154"/>
      <c r="R248" s="154"/>
      <c r="S248" s="154"/>
      <c r="T248" s="154"/>
      <c r="U248" s="154"/>
      <c r="V248" s="154"/>
      <c r="W248" s="154"/>
      <c r="X248" s="154"/>
      <c r="Y248" s="154"/>
      <c r="Z248" s="154"/>
    </row>
    <row r="249" spans="1:26" ht="21.75" customHeight="1" x14ac:dyDescent="0.35">
      <c r="A249" s="182"/>
      <c r="B249" s="304"/>
      <c r="C249" s="154"/>
      <c r="D249" s="154"/>
      <c r="E249" s="154"/>
      <c r="F249" s="154"/>
      <c r="G249" s="154"/>
      <c r="H249" s="154"/>
      <c r="I249" s="268"/>
      <c r="J249" s="268"/>
      <c r="K249" s="268"/>
      <c r="L249" s="268"/>
      <c r="M249" s="268"/>
      <c r="N249" s="268"/>
      <c r="O249" s="164"/>
      <c r="P249" s="164"/>
      <c r="Q249" s="154"/>
      <c r="R249" s="154"/>
      <c r="S249" s="154"/>
      <c r="T249" s="154"/>
      <c r="U249" s="154"/>
      <c r="V249" s="154"/>
      <c r="W249" s="154"/>
      <c r="X249" s="154"/>
      <c r="Y249" s="154"/>
      <c r="Z249" s="154"/>
    </row>
    <row r="250" spans="1:26" x14ac:dyDescent="0.3">
      <c r="A250" s="175"/>
      <c r="B250" s="175"/>
      <c r="C250" s="154"/>
      <c r="D250" s="154"/>
      <c r="E250" s="154"/>
      <c r="F250" s="154"/>
      <c r="G250" s="154"/>
      <c r="H250" s="154"/>
      <c r="I250" s="154"/>
      <c r="J250" s="154"/>
      <c r="K250" s="164"/>
      <c r="L250" s="154"/>
      <c r="M250" s="154"/>
      <c r="N250" s="154"/>
      <c r="O250" s="154"/>
      <c r="P250" s="154"/>
      <c r="Q250" s="154"/>
      <c r="R250" s="154"/>
      <c r="S250" s="154"/>
      <c r="T250" s="154"/>
      <c r="U250" s="154"/>
      <c r="V250" s="154"/>
      <c r="W250" s="154"/>
      <c r="X250" s="154"/>
      <c r="Y250" s="154"/>
      <c r="Z250" s="154"/>
    </row>
    <row r="251" spans="1:26" x14ac:dyDescent="0.3">
      <c r="A251" s="175"/>
      <c r="B251" s="175"/>
      <c r="C251" s="154"/>
      <c r="D251" s="154"/>
      <c r="E251" s="154"/>
      <c r="F251" s="154"/>
      <c r="G251" s="154"/>
      <c r="H251" s="154"/>
      <c r="I251" s="154"/>
      <c r="J251" s="154"/>
      <c r="K251" s="154"/>
      <c r="L251" s="154"/>
      <c r="M251" s="154"/>
      <c r="N251" s="154"/>
      <c r="O251" s="154"/>
      <c r="P251" s="154"/>
      <c r="Q251" s="154"/>
      <c r="R251" s="154"/>
      <c r="S251" s="154"/>
      <c r="T251" s="154"/>
      <c r="U251" s="154"/>
      <c r="V251" s="154"/>
      <c r="W251" s="154"/>
      <c r="X251" s="154"/>
      <c r="Y251" s="154"/>
      <c r="Z251" s="154"/>
    </row>
    <row r="252" spans="1:26" ht="33" customHeight="1" x14ac:dyDescent="0.3">
      <c r="A252" s="175"/>
      <c r="B252" s="769" t="s">
        <v>740</v>
      </c>
      <c r="C252" s="770"/>
      <c r="D252" s="770"/>
      <c r="E252" s="770"/>
      <c r="F252" s="770"/>
      <c r="G252" s="154"/>
      <c r="H252" s="173"/>
      <c r="I252" s="840" t="s">
        <v>888</v>
      </c>
      <c r="J252" s="841"/>
      <c r="K252" s="841"/>
      <c r="L252" s="841"/>
      <c r="M252" s="841"/>
      <c r="N252" s="841"/>
      <c r="O252" s="842"/>
      <c r="P252" s="154"/>
      <c r="Q252" s="154"/>
      <c r="R252" s="154"/>
      <c r="S252" s="154"/>
      <c r="T252" s="154"/>
      <c r="U252" s="154"/>
      <c r="V252" s="154"/>
      <c r="W252" s="154"/>
      <c r="X252" s="154"/>
      <c r="Y252" s="154"/>
      <c r="Z252" s="154"/>
    </row>
    <row r="253" spans="1:26" ht="45" customHeight="1" x14ac:dyDescent="0.35">
      <c r="A253" s="175"/>
      <c r="B253" s="305" t="s">
        <v>405</v>
      </c>
      <c r="C253" s="306" t="str">
        <f>$E$8</f>
        <v>INSTITUCION EDUCATIVA EDUARDO SANTOS</v>
      </c>
      <c r="D253" s="771" t="str">
        <f>$E$9</f>
        <v>OFICIALES URBANOS DE SOACHA</v>
      </c>
      <c r="E253" s="771"/>
      <c r="F253" s="307" t="str">
        <f>$E$10</f>
        <v>COMUNA 6 OFICIAL</v>
      </c>
      <c r="G253" s="154"/>
      <c r="H253" s="845"/>
      <c r="I253" s="837" t="s">
        <v>405</v>
      </c>
      <c r="J253" s="843" t="s">
        <v>407</v>
      </c>
      <c r="K253" s="311" t="s">
        <v>741</v>
      </c>
      <c r="L253" s="312" t="s">
        <v>742</v>
      </c>
      <c r="M253" s="296" t="s">
        <v>743</v>
      </c>
      <c r="N253" s="297" t="s">
        <v>744</v>
      </c>
      <c r="O253" s="298" t="s">
        <v>745</v>
      </c>
      <c r="P253" s="268" t="s">
        <v>746</v>
      </c>
      <c r="Q253" s="154"/>
      <c r="R253" s="154"/>
      <c r="S253" s="154"/>
      <c r="T253" s="154"/>
      <c r="U253" s="154"/>
      <c r="V253" s="154"/>
      <c r="W253" s="154"/>
      <c r="X253" s="154"/>
      <c r="Y253" s="154"/>
      <c r="Z253" s="154"/>
    </row>
    <row r="254" spans="1:26" ht="26.25" customHeight="1" x14ac:dyDescent="0.3">
      <c r="A254" s="175"/>
      <c r="B254" s="293">
        <v>2016</v>
      </c>
      <c r="C254" s="273">
        <f>VLOOKUP($E$8,INGLES!$A$10:$AL$167,4,0)</f>
        <v>53</v>
      </c>
      <c r="D254" s="768">
        <f>VLOOKUP($E$9,INGLES!$A$10:$AL$167,4,0)</f>
        <v>52</v>
      </c>
      <c r="E254" s="768"/>
      <c r="F254" s="273">
        <f>VLOOKUP($E$10,INGLES!$A$10:$AL$167,4,0)</f>
        <v>52.333333333333336</v>
      </c>
      <c r="G254" s="154"/>
      <c r="H254" s="845"/>
      <c r="I254" s="837"/>
      <c r="J254" s="844"/>
      <c r="K254" s="313" t="s">
        <v>315</v>
      </c>
      <c r="L254" s="299" t="s">
        <v>316</v>
      </c>
      <c r="M254" s="300" t="s">
        <v>317</v>
      </c>
      <c r="N254" s="301" t="s">
        <v>318</v>
      </c>
      <c r="O254" s="302" t="s">
        <v>319</v>
      </c>
      <c r="P254" s="179" t="s">
        <v>747</v>
      </c>
      <c r="Q254" s="154"/>
      <c r="R254" s="154"/>
      <c r="S254" s="154"/>
      <c r="T254" s="154"/>
      <c r="U254" s="154"/>
      <c r="V254" s="154"/>
      <c r="W254" s="154"/>
      <c r="X254" s="154"/>
      <c r="Y254" s="154"/>
      <c r="Z254" s="154"/>
    </row>
    <row r="255" spans="1:26" ht="21" x14ac:dyDescent="0.3">
      <c r="A255" s="175"/>
      <c r="B255" s="293">
        <v>2017</v>
      </c>
      <c r="C255" s="273">
        <f>VLOOKUP($E$8,INGLES!$A$10:$AL$167,11,0)</f>
        <v>49</v>
      </c>
      <c r="D255" s="768">
        <f>VLOOKUP($E$9,INGLES!$A$10:$AL$167,11,0)</f>
        <v>49</v>
      </c>
      <c r="E255" s="768"/>
      <c r="F255" s="273">
        <f>VLOOKUP($E$10,INGLES!$A$10:$AL$167,11,0)</f>
        <v>49.333333333333336</v>
      </c>
      <c r="G255" s="154"/>
      <c r="H255" s="838"/>
      <c r="I255" s="833">
        <v>2016</v>
      </c>
      <c r="J255" s="455" t="str">
        <f>$E$8</f>
        <v>INSTITUCION EDUCATIVA EDUARDO SANTOS</v>
      </c>
      <c r="K255" s="314">
        <f>VLOOKUP($E$8,INGLES!$A$10:$AL$167,6,0)</f>
        <v>0.22</v>
      </c>
      <c r="L255" s="315">
        <f>VLOOKUP($E$8,INGLES!$A$10:$AL$167,7,0)</f>
        <v>0.52</v>
      </c>
      <c r="M255" s="280">
        <f>VLOOKUP($E$8,INGLES!$A$10:$AL$167,8,0)</f>
        <v>0.22</v>
      </c>
      <c r="N255" s="281">
        <f>VLOOKUP($E$8,INGLES!$A$10:$AL$167,9,0)</f>
        <v>0.05</v>
      </c>
      <c r="O255" s="282">
        <f>VLOOKUP($E$8,INGLES!$A$10:$AL$167,10,0)</f>
        <v>0</v>
      </c>
      <c r="P255" s="164">
        <f t="shared" ref="P255:P272" si="12">K255+L255</f>
        <v>0.74</v>
      </c>
      <c r="Q255" s="154"/>
      <c r="R255" s="154"/>
      <c r="S255" s="154"/>
      <c r="T255" s="154"/>
      <c r="U255" s="154"/>
      <c r="V255" s="154"/>
      <c r="W255" s="154"/>
      <c r="X255" s="154"/>
      <c r="Y255" s="154"/>
      <c r="Z255" s="154"/>
    </row>
    <row r="256" spans="1:26" ht="21" x14ac:dyDescent="0.3">
      <c r="A256" s="175"/>
      <c r="B256" s="293">
        <v>2018</v>
      </c>
      <c r="C256" s="273">
        <f>VLOOKUP($E$8,INGLES!$A$10:$AL$167,18,0)</f>
        <v>49</v>
      </c>
      <c r="D256" s="768">
        <f>VLOOKUP($E$9,INGLES!$A$10:$AL$167,18,0)</f>
        <v>50</v>
      </c>
      <c r="E256" s="768"/>
      <c r="F256" s="273">
        <f>VLOOKUP($E$10,INGLES!$A$10:$AL$167,18,0)</f>
        <v>50.666666666666664</v>
      </c>
      <c r="G256" s="154"/>
      <c r="H256" s="838"/>
      <c r="I256" s="833"/>
      <c r="J256" s="455" t="str">
        <f>$E$9</f>
        <v>OFICIALES URBANOS DE SOACHA</v>
      </c>
      <c r="K256" s="314">
        <f>VLOOKUP($E$9,INGLES!$A$10:$AL$167,6,0)</f>
        <v>0.35</v>
      </c>
      <c r="L256" s="315">
        <f>VLOOKUP($E$9,INGLES!$A$10:$AL$167,7,0)</f>
        <v>0.41</v>
      </c>
      <c r="M256" s="280">
        <f>VLOOKUP($E$9,INGLES!$A$10:$AL$167,8,0)</f>
        <v>0.2</v>
      </c>
      <c r="N256" s="281">
        <f>VLOOKUP($E$9,INGLES!$A$10:$AL$167,9,0)</f>
        <v>0.04</v>
      </c>
      <c r="O256" s="282">
        <f>VLOOKUP($E$9,INGLES!$A$10:$AL$167,10,0)</f>
        <v>0</v>
      </c>
      <c r="P256" s="164">
        <f t="shared" si="12"/>
        <v>0.76</v>
      </c>
      <c r="Q256" s="154"/>
      <c r="R256" s="154"/>
      <c r="S256" s="154"/>
      <c r="T256" s="154"/>
      <c r="U256" s="154"/>
      <c r="V256" s="154"/>
      <c r="W256" s="154"/>
      <c r="X256" s="154"/>
      <c r="Y256" s="154"/>
      <c r="Z256" s="154"/>
    </row>
    <row r="257" spans="1:26" ht="21" x14ac:dyDescent="0.3">
      <c r="A257" s="175"/>
      <c r="B257" s="293">
        <v>2019</v>
      </c>
      <c r="C257" s="273">
        <f>VLOOKUP($E$8,INGLES!$A$10:$AL$167,25,0)</f>
        <v>49</v>
      </c>
      <c r="D257" s="768">
        <f>VLOOKUP($E$9,INGLES!$A$10:$AL$167,25,0)</f>
        <v>49</v>
      </c>
      <c r="E257" s="768"/>
      <c r="F257" s="273">
        <f>VLOOKUP($E$10,INGLES!$A$10:$AL$167,25,0)</f>
        <v>50</v>
      </c>
      <c r="G257" s="154"/>
      <c r="H257" s="838"/>
      <c r="I257" s="833"/>
      <c r="J257" s="455" t="str">
        <f>$E$10</f>
        <v>COMUNA 6 OFICIAL</v>
      </c>
      <c r="K257" s="314">
        <f>VLOOKUP($E$10,INGLES!$A$10:$AL$167,6,0)</f>
        <v>0.33</v>
      </c>
      <c r="L257" s="315">
        <f>VLOOKUP($E$10,INGLES!$A$10:$AL$167,7,0)</f>
        <v>0.40333333333333332</v>
      </c>
      <c r="M257" s="280">
        <f>VLOOKUP($E$10,INGLES!$A$10:$AL$167,8,0)</f>
        <v>0.21666666666666667</v>
      </c>
      <c r="N257" s="281">
        <f>VLOOKUP($E$10,INGLES!$A$10:$AL$167,9,0)</f>
        <v>5.3333333333333337E-2</v>
      </c>
      <c r="O257" s="282">
        <f>VLOOKUP($E$10,INGLES!$A$10:$AL$167,10,0)</f>
        <v>0</v>
      </c>
      <c r="P257" s="164">
        <f t="shared" si="12"/>
        <v>0.73333333333333339</v>
      </c>
      <c r="Q257" s="154"/>
      <c r="R257" s="154"/>
      <c r="S257" s="154"/>
      <c r="T257" s="154"/>
      <c r="U257" s="154"/>
      <c r="V257" s="154"/>
      <c r="W257" s="154"/>
      <c r="X257" s="154"/>
      <c r="Y257" s="154"/>
      <c r="Z257" s="154"/>
    </row>
    <row r="258" spans="1:26" ht="21" x14ac:dyDescent="0.3">
      <c r="A258" s="175"/>
      <c r="B258" s="293">
        <v>2020</v>
      </c>
      <c r="C258" s="273">
        <f>VLOOKUP($E$8,INGLES!$A$10:$AL$167,32,0)</f>
        <v>47</v>
      </c>
      <c r="D258" s="768">
        <f>VLOOKUP($E$9,INGLES!$A$10:$AL$167,32,0)</f>
        <v>46</v>
      </c>
      <c r="E258" s="768"/>
      <c r="F258" s="273">
        <f>VLOOKUP($E$10,INGLES!$A$10:$AL$167,32,0)</f>
        <v>47</v>
      </c>
      <c r="G258" s="154"/>
      <c r="H258" s="838"/>
      <c r="I258" s="834">
        <v>2017</v>
      </c>
      <c r="J258" s="455" t="str">
        <f>$E$8</f>
        <v>INSTITUCION EDUCATIVA EDUARDO SANTOS</v>
      </c>
      <c r="K258" s="314">
        <f>VLOOKUP($E$8,INGLES!$A$10:$AL$167,13,0)</f>
        <v>0.43</v>
      </c>
      <c r="L258" s="279">
        <f>VLOOKUP($E$8,INGLES!$A$10:$AL$167,14,0)</f>
        <v>0.39</v>
      </c>
      <c r="M258" s="280">
        <f>VLOOKUP($E$8,INGLES!$A$10:$AL$167,15,0)</f>
        <v>0.16</v>
      </c>
      <c r="N258" s="281">
        <f>VLOOKUP($E$8,INGLES!$A$10:$AL$167,16,0)</f>
        <v>0.01</v>
      </c>
      <c r="O258" s="282">
        <f>VLOOKUP($E$8,INGLES!$A$10:$AL$167,17,0)</f>
        <v>0.01</v>
      </c>
      <c r="P258" s="164">
        <f t="shared" si="12"/>
        <v>0.82000000000000006</v>
      </c>
      <c r="Q258" s="154"/>
      <c r="R258" s="154"/>
      <c r="S258" s="154"/>
      <c r="T258" s="154"/>
      <c r="U258" s="154"/>
      <c r="V258" s="154"/>
      <c r="W258" s="154"/>
      <c r="X258" s="154"/>
      <c r="Y258" s="154"/>
      <c r="Z258" s="154"/>
    </row>
    <row r="259" spans="1:26" ht="21" x14ac:dyDescent="0.3">
      <c r="A259" s="175"/>
      <c r="B259" s="293">
        <v>2021</v>
      </c>
      <c r="C259" s="273">
        <f>VLOOKUP($E$8,INGLES!$A$10:$AU$167,39,0)</f>
        <v>50</v>
      </c>
      <c r="D259" s="768">
        <f>VLOOKUP($E$9,INGLES!$A$10:$AU$167,39,0)</f>
        <v>49</v>
      </c>
      <c r="E259" s="768"/>
      <c r="F259" s="273">
        <f>VLOOKUP($E$10,INGLES!$A$10:$AU$167,39,0)</f>
        <v>50.333333333333336</v>
      </c>
      <c r="G259" s="154"/>
      <c r="H259" s="838"/>
      <c r="I259" s="835"/>
      <c r="J259" s="455" t="str">
        <f>$E$9</f>
        <v>OFICIALES URBANOS DE SOACHA</v>
      </c>
      <c r="K259" s="314">
        <f>VLOOKUP($E$9,INGLES!$A$10:$AL$167,13,0)</f>
        <v>0.45</v>
      </c>
      <c r="L259" s="279">
        <f>VLOOKUP($E$9,INGLES!$A$10:$AL$167,14,0)</f>
        <v>0.36</v>
      </c>
      <c r="M259" s="280">
        <f>VLOOKUP($E$9,INGLES!$A$10:$AL$167,15,0)</f>
        <v>0.16</v>
      </c>
      <c r="N259" s="281">
        <f>VLOOKUP($E$9,INGLES!$A$10:$AL$167,16,0)</f>
        <v>0.03</v>
      </c>
      <c r="O259" s="282">
        <f>VLOOKUP($E$9,INGLES!$A$10:$AL$167,17,0)</f>
        <v>0</v>
      </c>
      <c r="P259" s="164">
        <f t="shared" si="12"/>
        <v>0.81</v>
      </c>
      <c r="Q259" s="154"/>
      <c r="R259" s="154"/>
      <c r="S259" s="154"/>
      <c r="T259" s="154"/>
      <c r="U259" s="154"/>
      <c r="V259" s="154"/>
      <c r="W259" s="154"/>
      <c r="X259" s="154"/>
      <c r="Y259" s="154"/>
      <c r="Z259" s="154"/>
    </row>
    <row r="260" spans="1:26" ht="21" x14ac:dyDescent="0.3">
      <c r="A260" s="175"/>
      <c r="B260" s="293">
        <v>2022</v>
      </c>
      <c r="C260" s="273">
        <f>VLOOKUP($E$8,INGLES!$A$10:$BD$167,48,0)</f>
        <v>52</v>
      </c>
      <c r="D260" s="768">
        <f>VLOOKUP($E$9,INGLES!$A$10:$BD$167,48,0)</f>
        <v>51</v>
      </c>
      <c r="E260" s="768"/>
      <c r="F260" s="273">
        <f>VLOOKUP($E$10,INGLES!$A$10:$BD$167,48,0)</f>
        <v>52</v>
      </c>
      <c r="G260" s="154"/>
      <c r="H260" s="838"/>
      <c r="I260" s="836"/>
      <c r="J260" s="455" t="str">
        <f>$E$10</f>
        <v>COMUNA 6 OFICIAL</v>
      </c>
      <c r="K260" s="314">
        <f>VLOOKUP($E$10,INGLES!$A$10:$AL$167,13,0)</f>
        <v>0.47666666666666663</v>
      </c>
      <c r="L260" s="279">
        <f>VLOOKUP($E$10,INGLES!$A$10:$AL$167,14,0)</f>
        <v>0.3133333333333333</v>
      </c>
      <c r="M260" s="280">
        <f>VLOOKUP($E$10,INGLES!$A$10:$AL$167,15,0)</f>
        <v>0.15</v>
      </c>
      <c r="N260" s="281">
        <f>VLOOKUP($E$10,INGLES!$A$10:$AL$167,16,0)</f>
        <v>5.3333333333333323E-2</v>
      </c>
      <c r="O260" s="282">
        <f>VLOOKUP($E$10,INGLES!$A$10:$AL$167,17,0)</f>
        <v>6.6666666666666671E-3</v>
      </c>
      <c r="P260" s="164">
        <f t="shared" si="12"/>
        <v>0.78999999999999992</v>
      </c>
      <c r="Q260" s="154"/>
      <c r="R260" s="154"/>
      <c r="S260" s="154"/>
      <c r="T260" s="154"/>
      <c r="U260" s="154"/>
      <c r="V260" s="154"/>
      <c r="W260" s="154"/>
      <c r="X260" s="154"/>
      <c r="Y260" s="154"/>
      <c r="Z260" s="154"/>
    </row>
    <row r="261" spans="1:26" ht="21" x14ac:dyDescent="0.3">
      <c r="A261" s="175"/>
      <c r="B261" s="293">
        <v>2023</v>
      </c>
      <c r="C261" s="651">
        <f>VLOOKUP($E$8,INGLES!$A$10:$BM$167,57,0)</f>
        <v>50</v>
      </c>
      <c r="D261" s="768">
        <f>VLOOKUP($E$9,INGLES!$A$10:$BM$167,57,0)</f>
        <v>51</v>
      </c>
      <c r="E261" s="768"/>
      <c r="F261" s="651">
        <f>VLOOKUP($E$10,INGLES!$A$10:$BM$167,57,0)</f>
        <v>50.666666666666664</v>
      </c>
      <c r="G261" s="154"/>
      <c r="H261" s="838"/>
      <c r="I261" s="834">
        <v>2018</v>
      </c>
      <c r="J261" s="455" t="str">
        <f>$E$8</f>
        <v>INSTITUCION EDUCATIVA EDUARDO SANTOS</v>
      </c>
      <c r="K261" s="314">
        <f>VLOOKUP($E$8,INGLES!$A$10:$AL$167,20,0)</f>
        <v>0.41</v>
      </c>
      <c r="L261" s="279">
        <f>VLOOKUP($E$8,INGLES!$A$10:$AL$167,21,0)</f>
        <v>0.47</v>
      </c>
      <c r="M261" s="280">
        <f>VLOOKUP($E$8,INGLES!$A$10:$AL$167,22,0)</f>
        <v>0.11</v>
      </c>
      <c r="N261" s="281">
        <f>VLOOKUP($E$8,INGLES!$A$10:$AL$167,23,0)</f>
        <v>0.01</v>
      </c>
      <c r="O261" s="282">
        <f>VLOOKUP($E$8,INGLES!$A$10:$AL$167,24,0)</f>
        <v>0</v>
      </c>
      <c r="P261" s="164">
        <f t="shared" si="12"/>
        <v>0.87999999999999989</v>
      </c>
      <c r="Q261" s="154"/>
      <c r="R261" s="154"/>
      <c r="S261" s="154"/>
      <c r="T261" s="154"/>
      <c r="U261" s="154"/>
      <c r="V261" s="154"/>
      <c r="W261" s="154"/>
      <c r="X261" s="154"/>
      <c r="Y261" s="154"/>
      <c r="Z261" s="154"/>
    </row>
    <row r="262" spans="1:26" ht="21" x14ac:dyDescent="0.3">
      <c r="A262" s="175"/>
      <c r="B262" s="285"/>
      <c r="C262" s="294"/>
      <c r="D262" s="310"/>
      <c r="E262" s="310"/>
      <c r="F262" s="154"/>
      <c r="G262" s="154"/>
      <c r="H262" s="838"/>
      <c r="I262" s="835"/>
      <c r="J262" s="455" t="str">
        <f>$E$9</f>
        <v>OFICIALES URBANOS DE SOACHA</v>
      </c>
      <c r="K262" s="314">
        <f>VLOOKUP($E$9,INGLES!$A$10:$AL$167,20,0)</f>
        <v>0.37</v>
      </c>
      <c r="L262" s="279">
        <f>VLOOKUP($E$9,INGLES!$A$10:$AL$167,21,0)</f>
        <v>0.43</v>
      </c>
      <c r="M262" s="280">
        <f>VLOOKUP($E$9,INGLES!$A$10:$AL$167,22,0)</f>
        <v>0.16</v>
      </c>
      <c r="N262" s="281">
        <f>VLOOKUP($E$9,INGLES!$A$10:$AL$167,23,0)</f>
        <v>0.03</v>
      </c>
      <c r="O262" s="282">
        <f>VLOOKUP($E$9,INGLES!$A$10:$AL$167,24,0)</f>
        <v>0</v>
      </c>
      <c r="P262" s="164">
        <f t="shared" si="12"/>
        <v>0.8</v>
      </c>
      <c r="Q262" s="154"/>
      <c r="R262" s="154"/>
      <c r="S262" s="154"/>
      <c r="T262" s="154"/>
      <c r="U262" s="154"/>
      <c r="V262" s="154"/>
      <c r="W262" s="154"/>
      <c r="X262" s="154"/>
      <c r="Y262" s="154"/>
      <c r="Z262" s="154"/>
    </row>
    <row r="263" spans="1:26" ht="21" x14ac:dyDescent="0.3">
      <c r="A263" s="175"/>
      <c r="B263" s="285"/>
      <c r="C263" s="294"/>
      <c r="D263" s="310"/>
      <c r="E263" s="310"/>
      <c r="F263" s="154"/>
      <c r="G263" s="154"/>
      <c r="H263" s="838"/>
      <c r="I263" s="836"/>
      <c r="J263" s="455" t="str">
        <f>$E$10</f>
        <v>COMUNA 6 OFICIAL</v>
      </c>
      <c r="K263" s="314">
        <f>VLOOKUP($E$10,INGLES!$A$10:$AL$167,20,0)</f>
        <v>0.35000000000000003</v>
      </c>
      <c r="L263" s="279">
        <f>VLOOKUP($E$10,INGLES!$A$10:$AL$167,21,0)</f>
        <v>0.4466666666666666</v>
      </c>
      <c r="M263" s="280">
        <f>VLOOKUP($E$10,INGLES!$A$10:$AL$167,22,0)</f>
        <v>0.16</v>
      </c>
      <c r="N263" s="281">
        <f>VLOOKUP($E$10,INGLES!$A$10:$AL$167,23,0)</f>
        <v>4.3333333333333335E-2</v>
      </c>
      <c r="O263" s="282">
        <f>VLOOKUP($E$10,INGLES!$A$10:$AL$167,24,0)</f>
        <v>0</v>
      </c>
      <c r="P263" s="164">
        <f t="shared" si="12"/>
        <v>0.79666666666666663</v>
      </c>
      <c r="Q263" s="154"/>
      <c r="R263" s="154"/>
      <c r="S263" s="154"/>
      <c r="T263" s="154"/>
      <c r="U263" s="154"/>
      <c r="V263" s="154"/>
      <c r="W263" s="154"/>
      <c r="X263" s="154"/>
      <c r="Y263" s="154"/>
      <c r="Z263" s="154"/>
    </row>
    <row r="264" spans="1:26" ht="21" x14ac:dyDescent="0.3">
      <c r="A264" s="175"/>
      <c r="B264" s="310"/>
      <c r="C264" s="310"/>
      <c r="D264" s="310"/>
      <c r="E264" s="310"/>
      <c r="F264" s="154"/>
      <c r="G264" s="154"/>
      <c r="H264" s="838"/>
      <c r="I264" s="834">
        <v>2019</v>
      </c>
      <c r="J264" s="455" t="str">
        <f>$E$8</f>
        <v>INSTITUCION EDUCATIVA EDUARDO SANTOS</v>
      </c>
      <c r="K264" s="314">
        <f>VLOOKUP($E$8,INGLES!$A$10:$AL$167,27,0)</f>
        <v>0.46</v>
      </c>
      <c r="L264" s="279">
        <f>VLOOKUP($E$8,INGLES!$A$10:$AL$167,28,0)</f>
        <v>0.34</v>
      </c>
      <c r="M264" s="280">
        <f>VLOOKUP($E$8,INGLES!$A$10:$AL$167,29,0)</f>
        <v>0.18</v>
      </c>
      <c r="N264" s="281">
        <f>VLOOKUP($E$8,INGLES!$A$10:$AL$167,30,0)</f>
        <v>0.02</v>
      </c>
      <c r="O264" s="282">
        <f>VLOOKUP($E$8,INGLES!$A$10:$AL$167,31,0)</f>
        <v>0</v>
      </c>
      <c r="P264" s="164">
        <f t="shared" si="12"/>
        <v>0.8</v>
      </c>
      <c r="Q264" s="154"/>
      <c r="R264" s="154"/>
      <c r="S264" s="154"/>
      <c r="T264" s="154"/>
      <c r="U264" s="154"/>
      <c r="V264" s="154"/>
      <c r="W264" s="154"/>
      <c r="X264" s="154"/>
      <c r="Y264" s="154"/>
      <c r="Z264" s="154"/>
    </row>
    <row r="265" spans="1:26" ht="21" x14ac:dyDescent="0.3">
      <c r="A265" s="175"/>
      <c r="B265" s="310"/>
      <c r="C265" s="310"/>
      <c r="D265" s="310"/>
      <c r="E265" s="310"/>
      <c r="F265" s="154"/>
      <c r="G265" s="154"/>
      <c r="H265" s="838"/>
      <c r="I265" s="835"/>
      <c r="J265" s="455" t="str">
        <f>$E$9</f>
        <v>OFICIALES URBANOS DE SOACHA</v>
      </c>
      <c r="K265" s="314">
        <f>VLOOKUP($E$9,INGLES!$A$10:$AL$167,27,0)</f>
        <v>0.43</v>
      </c>
      <c r="L265" s="279">
        <f>VLOOKUP($E$9,INGLES!$A$10:$AL$167,28,0)</f>
        <v>0.38</v>
      </c>
      <c r="M265" s="280">
        <f>VLOOKUP($E$9,INGLES!$A$10:$AL$167,29,0)</f>
        <v>0.15</v>
      </c>
      <c r="N265" s="281">
        <f>VLOOKUP($E$9,INGLES!$A$10:$AL$167,30,0)</f>
        <v>0.03</v>
      </c>
      <c r="O265" s="282">
        <f>VLOOKUP($E$9,INGLES!$A$10:$AL$167,31,0)</f>
        <v>0</v>
      </c>
      <c r="P265" s="164">
        <f t="shared" si="12"/>
        <v>0.81</v>
      </c>
      <c r="Q265" s="154"/>
      <c r="R265" s="154"/>
      <c r="S265" s="154"/>
      <c r="T265" s="154"/>
      <c r="U265" s="154"/>
      <c r="V265" s="154"/>
      <c r="W265" s="154"/>
      <c r="X265" s="154"/>
      <c r="Y265" s="154"/>
      <c r="Z265" s="154"/>
    </row>
    <row r="266" spans="1:26" ht="21" x14ac:dyDescent="0.3">
      <c r="A266" s="175"/>
      <c r="B266" s="310"/>
      <c r="C266" s="310"/>
      <c r="D266" s="310"/>
      <c r="E266" s="310"/>
      <c r="F266" s="154"/>
      <c r="G266" s="154"/>
      <c r="H266" s="838"/>
      <c r="I266" s="836"/>
      <c r="J266" s="455" t="str">
        <f>$E$10</f>
        <v>COMUNA 6 OFICIAL</v>
      </c>
      <c r="K266" s="314">
        <f>VLOOKUP($E$10,INGLES!$A$10:$AL$167,27,0)</f>
        <v>0.39666666666666667</v>
      </c>
      <c r="L266" s="279">
        <f>VLOOKUP($E$10,INGLES!$A$10:$AL$167,28,0)</f>
        <v>0.37666666666666665</v>
      </c>
      <c r="M266" s="280">
        <f>VLOOKUP($E$10,INGLES!$A$10:$AL$167,29,0)</f>
        <v>0.19000000000000003</v>
      </c>
      <c r="N266" s="281">
        <f>VLOOKUP($E$10,INGLES!$A$10:$AL$167,30,0)</f>
        <v>4.3333333333333335E-2</v>
      </c>
      <c r="O266" s="282">
        <f>VLOOKUP($E$10,INGLES!$A$10:$AL$167,31,0)</f>
        <v>0</v>
      </c>
      <c r="P266" s="164">
        <f t="shared" si="12"/>
        <v>0.77333333333333332</v>
      </c>
      <c r="Q266" s="154"/>
      <c r="R266" s="154"/>
      <c r="S266" s="154"/>
      <c r="T266" s="154"/>
      <c r="U266" s="154"/>
      <c r="V266" s="154"/>
      <c r="W266" s="154"/>
      <c r="X266" s="154"/>
      <c r="Y266" s="154"/>
      <c r="Z266" s="154"/>
    </row>
    <row r="267" spans="1:26" ht="21" x14ac:dyDescent="0.3">
      <c r="A267" s="175"/>
      <c r="B267" s="310"/>
      <c r="C267" s="310"/>
      <c r="D267" s="310"/>
      <c r="E267" s="310"/>
      <c r="F267" s="154"/>
      <c r="G267" s="154"/>
      <c r="H267" s="838"/>
      <c r="I267" s="834">
        <v>2020</v>
      </c>
      <c r="J267" s="455" t="str">
        <f>$E$8</f>
        <v>INSTITUCION EDUCATIVA EDUARDO SANTOS</v>
      </c>
      <c r="K267" s="314">
        <f>VLOOKUP($E$8,INGLES!$A$10:$AL$167,34,0)</f>
        <v>0.57999999999999996</v>
      </c>
      <c r="L267" s="279">
        <f>VLOOKUP($E$8,INGLES!$A$10:$AL$167,35,0)</f>
        <v>0.36</v>
      </c>
      <c r="M267" s="280">
        <f>VLOOKUP($E$8,INGLES!$A$10:$AL$167,36,0)</f>
        <v>0.05</v>
      </c>
      <c r="N267" s="281">
        <f>VLOOKUP($E$8,INGLES!$A$10:$AL$167,37,0)</f>
        <v>0.01</v>
      </c>
      <c r="O267" s="282">
        <f>VLOOKUP($E$8,INGLES!$A$10:$AL$167,38,0)</f>
        <v>0</v>
      </c>
      <c r="P267" s="164">
        <f t="shared" si="12"/>
        <v>0.94</v>
      </c>
      <c r="Q267" s="154"/>
      <c r="R267" s="154"/>
      <c r="S267" s="154"/>
      <c r="T267" s="154"/>
      <c r="U267" s="154"/>
      <c r="V267" s="154"/>
      <c r="W267" s="154"/>
      <c r="X267" s="154"/>
      <c r="Y267" s="154"/>
      <c r="Z267" s="154"/>
    </row>
    <row r="268" spans="1:26" ht="21" x14ac:dyDescent="0.3">
      <c r="A268" s="175"/>
      <c r="B268" s="310"/>
      <c r="C268" s="310"/>
      <c r="D268" s="310"/>
      <c r="E268" s="310"/>
      <c r="F268" s="154"/>
      <c r="G268" s="154"/>
      <c r="H268" s="838"/>
      <c r="I268" s="835"/>
      <c r="J268" s="455" t="str">
        <f>$E$9</f>
        <v>OFICIALES URBANOS DE SOACHA</v>
      </c>
      <c r="K268" s="314">
        <f>VLOOKUP($E$9,INGLES!$A$10:$AL$167,34,0)</f>
        <v>0.59</v>
      </c>
      <c r="L268" s="279">
        <f>VLOOKUP($E$9,INGLES!$A$10:$AL$167,35,0)</f>
        <v>0.32</v>
      </c>
      <c r="M268" s="280">
        <f>VLOOKUP($E$9,INGLES!$A$10:$AL$167,36,0)</f>
        <v>7.0000000000000007E-2</v>
      </c>
      <c r="N268" s="281">
        <f>VLOOKUP($E$9,INGLES!$A$10:$AL$167,37,0)</f>
        <v>0.02</v>
      </c>
      <c r="O268" s="282">
        <f>VLOOKUP($E$9,INGLES!$A$10:$AL$167,38,0)</f>
        <v>0</v>
      </c>
      <c r="P268" s="164">
        <f t="shared" si="12"/>
        <v>0.90999999999999992</v>
      </c>
      <c r="Q268" s="154"/>
      <c r="R268" s="154"/>
      <c r="S268" s="154"/>
      <c r="T268" s="154"/>
      <c r="U268" s="154"/>
      <c r="V268" s="154"/>
      <c r="W268" s="154"/>
      <c r="X268" s="154"/>
      <c r="Y268" s="154"/>
      <c r="Z268" s="154"/>
    </row>
    <row r="269" spans="1:26" ht="21" x14ac:dyDescent="0.3">
      <c r="A269" s="175"/>
      <c r="B269" s="310"/>
      <c r="C269" s="310"/>
      <c r="D269" s="310"/>
      <c r="E269" s="310"/>
      <c r="F269" s="154"/>
      <c r="G269" s="154"/>
      <c r="H269" s="838"/>
      <c r="I269" s="836"/>
      <c r="J269" s="455" t="str">
        <f>$E$10</f>
        <v>COMUNA 6 OFICIAL</v>
      </c>
      <c r="K269" s="314">
        <f>VLOOKUP($E$10,INGLES!$A$10:$AL$167,34,0)</f>
        <v>0.56000000000000005</v>
      </c>
      <c r="L269" s="279">
        <f>VLOOKUP($E$10,INGLES!$A$10:$AL$167,35,0)</f>
        <v>0.33666666666666667</v>
      </c>
      <c r="M269" s="280">
        <f>VLOOKUP($E$10,INGLES!$A$10:$AL$167,36,0)</f>
        <v>9.0000000000000011E-2</v>
      </c>
      <c r="N269" s="281">
        <f>VLOOKUP($E$10,INGLES!$A$10:$AL$167,37,0)</f>
        <v>1.3333333333333334E-2</v>
      </c>
      <c r="O269" s="282">
        <f>VLOOKUP($E$10,INGLES!$A$10:$AL$167,38,0)</f>
        <v>0</v>
      </c>
      <c r="P269" s="164">
        <f t="shared" si="12"/>
        <v>0.89666666666666672</v>
      </c>
      <c r="Q269" s="154"/>
      <c r="R269" s="154"/>
      <c r="S269" s="154"/>
      <c r="T269" s="154"/>
      <c r="U269" s="154"/>
      <c r="V269" s="154"/>
      <c r="W269" s="154"/>
      <c r="X269" s="154"/>
      <c r="Y269" s="154"/>
      <c r="Z269" s="154"/>
    </row>
    <row r="270" spans="1:26" ht="21" x14ac:dyDescent="0.3">
      <c r="A270" s="175"/>
      <c r="B270" s="310"/>
      <c r="C270" s="310"/>
      <c r="D270" s="310"/>
      <c r="E270" s="310"/>
      <c r="F270" s="154"/>
      <c r="G270" s="154"/>
      <c r="H270" s="838"/>
      <c r="I270" s="834">
        <v>2021</v>
      </c>
      <c r="J270" s="455" t="str">
        <f>$E$8</f>
        <v>INSTITUCION EDUCATIVA EDUARDO SANTOS</v>
      </c>
      <c r="K270" s="314">
        <f>VLOOKUP($E$8,INGLES!$A$10:$AU$167,43,0)</f>
        <v>0.38</v>
      </c>
      <c r="L270" s="279">
        <f>VLOOKUP($E$8,INGLES!$A$10:$AU$167,44,0)</f>
        <v>0.44</v>
      </c>
      <c r="M270" s="280">
        <f>VLOOKUP($E$8,INGLES!$A$10:$AUL$167,45,0)</f>
        <v>0.11</v>
      </c>
      <c r="N270" s="281">
        <f>VLOOKUP($E$8,INGLES!$A$10:$AU$167,46,0)</f>
        <v>7.0000000000000007E-2</v>
      </c>
      <c r="O270" s="282">
        <f>VLOOKUP($E$8,INGLES!$A$10:$AU$167,47,0)</f>
        <v>0</v>
      </c>
      <c r="P270" s="164">
        <f t="shared" si="12"/>
        <v>0.82000000000000006</v>
      </c>
      <c r="Q270" s="154"/>
      <c r="R270" s="154"/>
      <c r="S270" s="154"/>
      <c r="T270" s="154"/>
      <c r="U270" s="154"/>
      <c r="V270" s="154"/>
      <c r="W270" s="154"/>
      <c r="X270" s="154"/>
      <c r="Y270" s="154"/>
      <c r="Z270" s="154"/>
    </row>
    <row r="271" spans="1:26" ht="21" x14ac:dyDescent="0.3">
      <c r="A271" s="175"/>
      <c r="B271" s="310"/>
      <c r="C271" s="310"/>
      <c r="D271" s="310"/>
      <c r="E271" s="310"/>
      <c r="F271" s="154"/>
      <c r="G271" s="154"/>
      <c r="H271" s="838"/>
      <c r="I271" s="835"/>
      <c r="J271" s="455" t="str">
        <f>$E$9</f>
        <v>OFICIALES URBANOS DE SOACHA</v>
      </c>
      <c r="K271" s="314">
        <f>VLOOKUP($E$9,INGLES!$A$10:$AU$167,43,0)</f>
        <v>0.44</v>
      </c>
      <c r="L271" s="279">
        <f>VLOOKUP($E$9,INGLES!$A$10:$AU$167,44,0)</f>
        <v>0.37</v>
      </c>
      <c r="M271" s="280">
        <f>VLOOKUP($E$9,INGLES!$A$10:$AUL$167,45,0)</f>
        <v>0.15</v>
      </c>
      <c r="N271" s="281">
        <f>VLOOKUP($E$9,INGLES!$A$10:$AU$167,46,0)</f>
        <v>0.04</v>
      </c>
      <c r="O271" s="282">
        <f>VLOOKUP($E$9,INGLES!$A$10:$AU$167,47,0)</f>
        <v>0</v>
      </c>
      <c r="P271" s="164">
        <f t="shared" si="12"/>
        <v>0.81</v>
      </c>
      <c r="Q271" s="154"/>
      <c r="R271" s="154"/>
      <c r="S271" s="154"/>
      <c r="T271" s="154"/>
      <c r="U271" s="154"/>
      <c r="V271" s="154"/>
      <c r="W271" s="154"/>
      <c r="X271" s="154"/>
      <c r="Y271" s="154"/>
      <c r="Z271" s="154"/>
    </row>
    <row r="272" spans="1:26" ht="21" x14ac:dyDescent="0.3">
      <c r="A272" s="175"/>
      <c r="B272" s="310"/>
      <c r="C272" s="310"/>
      <c r="D272" s="310"/>
      <c r="E272" s="310"/>
      <c r="F272" s="154"/>
      <c r="G272" s="154"/>
      <c r="H272" s="838"/>
      <c r="I272" s="836"/>
      <c r="J272" s="455" t="str">
        <f>$E$10</f>
        <v>COMUNA 6 OFICIAL</v>
      </c>
      <c r="K272" s="314">
        <f>VLOOKUP($E$10,INGLES!$A$10:$AU$167,43,0)</f>
        <v>0.41333333333333333</v>
      </c>
      <c r="L272" s="279">
        <f>VLOOKUP($E$10,INGLES!$A$10:$AU$167,44,0)</f>
        <v>0.37333333333333335</v>
      </c>
      <c r="M272" s="280">
        <f>VLOOKUP($E$10,INGLES!$A$10:$AUL$167,45,0)</f>
        <v>0.13666666666666669</v>
      </c>
      <c r="N272" s="281">
        <f>VLOOKUP($E$10,INGLES!$A$10:$AU$167,46,0)</f>
        <v>7.3333333333333348E-2</v>
      </c>
      <c r="O272" s="282">
        <f>VLOOKUP($E$10,INGLES!$A$10:$AU$167,47,0)</f>
        <v>3.3333333333333335E-3</v>
      </c>
      <c r="P272" s="164">
        <f t="shared" si="12"/>
        <v>0.78666666666666663</v>
      </c>
      <c r="Q272" s="154"/>
      <c r="R272" s="154"/>
      <c r="S272" s="154"/>
      <c r="T272" s="154"/>
      <c r="U272" s="154"/>
      <c r="V272" s="154"/>
      <c r="W272" s="154"/>
      <c r="X272" s="154"/>
      <c r="Y272" s="154"/>
      <c r="Z272" s="154"/>
    </row>
    <row r="273" spans="1:26" ht="21" x14ac:dyDescent="0.3">
      <c r="A273" s="175"/>
      <c r="B273" s="310"/>
      <c r="C273" s="310"/>
      <c r="D273" s="310"/>
      <c r="E273" s="310"/>
      <c r="F273" s="154"/>
      <c r="G273" s="154"/>
      <c r="H273" s="445"/>
      <c r="I273" s="834">
        <v>2022</v>
      </c>
      <c r="J273" s="455" t="str">
        <f>$E$8</f>
        <v>INSTITUCION EDUCATIVA EDUARDO SANTOS</v>
      </c>
      <c r="K273" s="314">
        <f>VLOOKUP($E$8,INGLES!$A$10:$BD$167,52,0)</f>
        <v>0.32</v>
      </c>
      <c r="L273" s="279">
        <f>VLOOKUP($E$8,INGLES!$A$10:$BD$167,53,0)</f>
        <v>0.38</v>
      </c>
      <c r="M273" s="280">
        <f>VLOOKUP($E$8,INGLES!$A$10:$BD$167,54,0)</f>
        <v>0.23</v>
      </c>
      <c r="N273" s="281">
        <f>VLOOKUP($E$8,INGLES!$A$10:$BD$167,55,0)</f>
        <v>7.0000000000000007E-2</v>
      </c>
      <c r="O273" s="282">
        <f>VLOOKUP($E$8,INGLES!$A$10:$BD$167,56,0)</f>
        <v>0</v>
      </c>
      <c r="P273" s="164">
        <f t="shared" ref="P273:P275" si="13">K273+L273</f>
        <v>0.7</v>
      </c>
      <c r="Q273" s="154"/>
      <c r="R273" s="154"/>
      <c r="S273" s="154"/>
      <c r="T273" s="154"/>
      <c r="U273" s="154"/>
      <c r="V273" s="154"/>
      <c r="W273" s="154"/>
      <c r="X273" s="154"/>
      <c r="Y273" s="154"/>
      <c r="Z273" s="154"/>
    </row>
    <row r="274" spans="1:26" ht="21" x14ac:dyDescent="0.3">
      <c r="A274" s="175"/>
      <c r="B274" s="182"/>
      <c r="C274" s="304"/>
      <c r="D274" s="154"/>
      <c r="E274" s="154"/>
      <c r="F274" s="154"/>
      <c r="G274" s="154"/>
      <c r="H274" s="154"/>
      <c r="I274" s="835"/>
      <c r="J274" s="455" t="str">
        <f>$E$9</f>
        <v>OFICIALES URBANOS DE SOACHA</v>
      </c>
      <c r="K274" s="314">
        <f>VLOOKUP($E$9,INGLES!$A$10:$BD$167,52,0)</f>
        <v>0.39</v>
      </c>
      <c r="L274" s="279">
        <f>VLOOKUP($E$9,INGLES!$A$10:$BD$167,53,0)</f>
        <v>0.36</v>
      </c>
      <c r="M274" s="280">
        <f>VLOOKUP($E$9,INGLES!$A$10:$BD$167,54,0)</f>
        <v>0.19</v>
      </c>
      <c r="N274" s="281">
        <f>VLOOKUP($E$9,INGLES!$A$10:$BD$167,55,0)</f>
        <v>0.05</v>
      </c>
      <c r="O274" s="282">
        <f>VLOOKUP($E$9,INGLES!$A$10:$BD$167,56,0)</f>
        <v>0</v>
      </c>
      <c r="P274" s="164">
        <f t="shared" si="13"/>
        <v>0.75</v>
      </c>
      <c r="Q274" s="154"/>
      <c r="R274" s="154"/>
      <c r="S274" s="154"/>
      <c r="T274" s="154"/>
      <c r="U274" s="154"/>
      <c r="V274" s="154"/>
      <c r="W274" s="154"/>
      <c r="X274" s="154"/>
      <c r="Y274" s="154"/>
      <c r="Z274" s="154"/>
    </row>
    <row r="275" spans="1:26" ht="21" x14ac:dyDescent="0.3">
      <c r="A275" s="175"/>
      <c r="B275" s="182"/>
      <c r="C275" s="304"/>
      <c r="D275" s="154"/>
      <c r="E275" s="154"/>
      <c r="F275" s="154"/>
      <c r="G275" s="154"/>
      <c r="H275" s="154"/>
      <c r="I275" s="836"/>
      <c r="J275" s="455" t="str">
        <f>$E$10</f>
        <v>COMUNA 6 OFICIAL</v>
      </c>
      <c r="K275" s="314">
        <f>VLOOKUP($E$10,INGLES!$A$10:$BD$167,52,0)</f>
        <v>0.3133333333333333</v>
      </c>
      <c r="L275" s="279">
        <f>VLOOKUP($E$10,INGLES!$A$10:$BD$167,53,0)</f>
        <v>0.40333333333333332</v>
      </c>
      <c r="M275" s="280">
        <f>VLOOKUP($E$10,INGLES!$A$10:$BD$167,54,0)</f>
        <v>0.21333333333333335</v>
      </c>
      <c r="N275" s="281">
        <f>VLOOKUP($E$10,INGLES!$A$10:$BD$167,55,0)</f>
        <v>6.6666666666666666E-2</v>
      </c>
      <c r="O275" s="282">
        <f>VLOOKUP($E$10,INGLES!$A$10:$BD$167,56,0)</f>
        <v>3.3333333333333335E-3</v>
      </c>
      <c r="P275" s="164">
        <f t="shared" si="13"/>
        <v>0.71666666666666656</v>
      </c>
      <c r="Q275" s="154"/>
      <c r="R275" s="154"/>
      <c r="S275" s="154"/>
      <c r="T275" s="154"/>
      <c r="U275" s="154"/>
      <c r="V275" s="154"/>
      <c r="W275" s="154"/>
      <c r="X275" s="154"/>
      <c r="Y275" s="154"/>
      <c r="Z275" s="154"/>
    </row>
    <row r="276" spans="1:26" ht="21" x14ac:dyDescent="0.3">
      <c r="A276" s="175"/>
      <c r="B276" s="182"/>
      <c r="C276" s="304"/>
      <c r="D276" s="154"/>
      <c r="E276" s="154"/>
      <c r="F276" s="154"/>
      <c r="G276" s="154"/>
      <c r="H276" s="154"/>
      <c r="I276" s="834">
        <v>2023</v>
      </c>
      <c r="J276" s="455" t="str">
        <f>$E$8</f>
        <v>INSTITUCION EDUCATIVA EDUARDO SANTOS</v>
      </c>
      <c r="K276" s="314">
        <f>VLOOKUP($E$8,INGLES!$A$10:$BM$167,61,0)</f>
        <v>0.36</v>
      </c>
      <c r="L276" s="279">
        <f>VLOOKUP($E$8,INGLES!$A$10:$BM$167,62,0)</f>
        <v>0.5</v>
      </c>
      <c r="M276" s="280">
        <f>VLOOKUP($E$8,INGLES!$A$10:$BM$167,63,0)</f>
        <v>0.1</v>
      </c>
      <c r="N276" s="281">
        <f>VLOOKUP($E$8,INGLES!$A$10:$BM$167,64,0)</f>
        <v>0.03</v>
      </c>
      <c r="O276" s="282">
        <f>VLOOKUP($E$8,INGLES!$A$10:$BM$167,65,0)</f>
        <v>0</v>
      </c>
      <c r="P276" s="164">
        <f t="shared" ref="P276:P278" si="14">K276+L276</f>
        <v>0.86</v>
      </c>
      <c r="Q276" s="154"/>
      <c r="R276" s="154"/>
      <c r="S276" s="154"/>
      <c r="T276" s="154"/>
      <c r="U276" s="154"/>
      <c r="V276" s="154"/>
      <c r="W276" s="154"/>
      <c r="X276" s="154"/>
      <c r="Y276" s="154"/>
      <c r="Z276" s="154"/>
    </row>
    <row r="277" spans="1:26" ht="21" x14ac:dyDescent="0.3">
      <c r="A277" s="175"/>
      <c r="B277" s="182"/>
      <c r="C277" s="304"/>
      <c r="D277" s="154"/>
      <c r="E277" s="154"/>
      <c r="F277" s="154"/>
      <c r="G277" s="154"/>
      <c r="H277" s="154"/>
      <c r="I277" s="835"/>
      <c r="J277" s="455" t="str">
        <f>$E$9</f>
        <v>OFICIALES URBANOS DE SOACHA</v>
      </c>
      <c r="K277" s="314">
        <f>VLOOKUP($E$9,INGLES!$A$10:$BM$167,61,0)</f>
        <v>0.39</v>
      </c>
      <c r="L277" s="279">
        <f>VLOOKUP($E$9,INGLES!$A$10:$BM$167,62,0)</f>
        <v>0.39</v>
      </c>
      <c r="M277" s="280">
        <f>VLOOKUP($E$9,INGLES!$A$10:$BM$167,63,0)</f>
        <v>0.17</v>
      </c>
      <c r="N277" s="281">
        <f>VLOOKUP($E$9,INGLES!$A$10:$BM$167,64,0)</f>
        <v>0.05</v>
      </c>
      <c r="O277" s="282">
        <f>VLOOKUP($E$9,INGLES!$A$10:$BM$167,65,0)</f>
        <v>0</v>
      </c>
      <c r="P277" s="164">
        <f t="shared" si="14"/>
        <v>0.78</v>
      </c>
      <c r="Q277" s="154"/>
      <c r="R277" s="154"/>
      <c r="S277" s="154"/>
      <c r="T277" s="154"/>
      <c r="U277" s="154"/>
      <c r="V277" s="154"/>
      <c r="W277" s="154"/>
      <c r="X277" s="154"/>
      <c r="Y277" s="154"/>
      <c r="Z277" s="154"/>
    </row>
    <row r="278" spans="1:26" ht="21" x14ac:dyDescent="0.3">
      <c r="A278" s="175"/>
      <c r="B278" s="182"/>
      <c r="C278" s="304"/>
      <c r="D278" s="154"/>
      <c r="E278" s="154"/>
      <c r="F278" s="154"/>
      <c r="G278" s="154"/>
      <c r="H278" s="154"/>
      <c r="I278" s="836"/>
      <c r="J278" s="455" t="str">
        <f>$E$10</f>
        <v>COMUNA 6 OFICIAL</v>
      </c>
      <c r="K278" s="314">
        <f>VLOOKUP($E$10,INGLES!$A$10:$BM$167,61,0)</f>
        <v>0.39666666666666667</v>
      </c>
      <c r="L278" s="279">
        <f>VLOOKUP($E$10,INGLES!$A$10:$BM$167,62,0)</f>
        <v>0.39333333333333337</v>
      </c>
      <c r="M278" s="280">
        <f>VLOOKUP($E$10,INGLES!$A$10:$BM$167,63,0)</f>
        <v>0.16</v>
      </c>
      <c r="N278" s="281">
        <f>VLOOKUP($E$10,INGLES!$A$10:$BM$167,64,0)</f>
        <v>4.6666666666666669E-2</v>
      </c>
      <c r="O278" s="282">
        <f>VLOOKUP($E$10,INGLES!$A$10:$BM$167,65,0)</f>
        <v>3.3333333333333335E-3</v>
      </c>
      <c r="P278" s="164">
        <f t="shared" si="14"/>
        <v>0.79</v>
      </c>
      <c r="Q278" s="154"/>
      <c r="R278" s="154"/>
      <c r="S278" s="154"/>
      <c r="T278" s="154"/>
      <c r="U278" s="154"/>
      <c r="V278" s="154"/>
      <c r="W278" s="154"/>
      <c r="X278" s="154"/>
      <c r="Y278" s="154"/>
      <c r="Z278" s="154"/>
    </row>
    <row r="279" spans="1:26" ht="20.399999999999999" x14ac:dyDescent="0.3">
      <c r="A279" s="175"/>
      <c r="B279" s="182"/>
      <c r="C279" s="304"/>
      <c r="D279" s="154"/>
      <c r="E279" s="154"/>
      <c r="F279" s="154"/>
      <c r="G279" s="154"/>
      <c r="H279" s="154"/>
      <c r="I279" s="154"/>
      <c r="J279" s="154"/>
      <c r="K279" s="154"/>
      <c r="L279" s="154"/>
      <c r="M279" s="154"/>
      <c r="N279" s="154"/>
      <c r="O279" s="154"/>
      <c r="P279" s="164"/>
      <c r="Q279" s="154"/>
      <c r="R279" s="154"/>
      <c r="S279" s="154"/>
      <c r="T279" s="154"/>
      <c r="U279" s="154"/>
      <c r="V279" s="154"/>
      <c r="W279" s="154"/>
      <c r="X279" s="154"/>
      <c r="Y279" s="154"/>
      <c r="Z279" s="154"/>
    </row>
    <row r="280" spans="1:26" x14ac:dyDescent="0.3">
      <c r="A280" s="183"/>
      <c r="B280" s="175"/>
      <c r="C280" s="173"/>
      <c r="D280" s="154"/>
      <c r="E280" s="154"/>
      <c r="F280" s="154"/>
      <c r="G280" s="154"/>
      <c r="H280" s="154"/>
      <c r="I280" s="154"/>
      <c r="J280" s="154"/>
      <c r="K280" s="154"/>
      <c r="L280" s="154"/>
      <c r="M280" s="154"/>
      <c r="N280" s="154"/>
      <c r="O280" s="154"/>
      <c r="P280" s="154"/>
      <c r="Q280" s="154"/>
      <c r="R280" s="154"/>
      <c r="S280" s="154"/>
      <c r="T280" s="154"/>
      <c r="U280" s="154"/>
      <c r="V280" s="154"/>
      <c r="W280" s="154"/>
      <c r="X280" s="154"/>
      <c r="Y280" s="154"/>
      <c r="Z280" s="154"/>
    </row>
    <row r="281" spans="1:26" x14ac:dyDescent="0.3">
      <c r="A281" s="183"/>
      <c r="B281" s="175"/>
      <c r="C281" s="173"/>
      <c r="D281" s="154"/>
      <c r="E281" s="154"/>
      <c r="F281" s="154"/>
      <c r="G281" s="154"/>
      <c r="H281" s="154"/>
      <c r="I281" s="154"/>
      <c r="J281" s="154"/>
      <c r="K281" s="154"/>
      <c r="L281" s="154"/>
      <c r="M281" s="154"/>
      <c r="N281" s="154"/>
      <c r="O281" s="154"/>
      <c r="P281" s="154"/>
      <c r="Q281" s="154"/>
      <c r="R281" s="154"/>
      <c r="S281" s="154"/>
      <c r="T281" s="154"/>
      <c r="U281" s="154"/>
      <c r="V281" s="154"/>
      <c r="W281" s="154"/>
      <c r="X281" s="154"/>
      <c r="Y281" s="154"/>
      <c r="Z281" s="154"/>
    </row>
    <row r="282" spans="1:26" x14ac:dyDescent="0.3">
      <c r="A282" s="183"/>
      <c r="B282" s="175"/>
      <c r="C282" s="173"/>
      <c r="D282" s="154"/>
      <c r="E282" s="154"/>
      <c r="F282" s="154"/>
      <c r="G282" s="154"/>
      <c r="H282" s="154"/>
      <c r="I282" s="154"/>
      <c r="J282" s="154"/>
      <c r="K282" s="154"/>
      <c r="L282" s="154"/>
      <c r="M282" s="154"/>
      <c r="N282" s="154"/>
      <c r="O282" s="154"/>
      <c r="P282" s="154"/>
      <c r="Q282" s="154"/>
      <c r="R282" s="154"/>
      <c r="S282" s="154"/>
      <c r="T282" s="154"/>
      <c r="U282" s="154"/>
      <c r="V282" s="154"/>
      <c r="W282" s="154"/>
      <c r="X282" s="154"/>
      <c r="Y282" s="154"/>
      <c r="Z282" s="154"/>
    </row>
    <row r="283" spans="1:26" x14ac:dyDescent="0.3">
      <c r="A283" s="183"/>
      <c r="B283" s="175"/>
      <c r="C283" s="173"/>
      <c r="D283" s="154"/>
      <c r="E283" s="154"/>
      <c r="F283" s="154"/>
      <c r="G283" s="154"/>
      <c r="H283" s="154"/>
      <c r="I283" s="154"/>
      <c r="J283" s="154"/>
      <c r="K283" s="154"/>
      <c r="L283" s="154"/>
      <c r="M283" s="154"/>
      <c r="N283" s="154"/>
      <c r="O283" s="154"/>
      <c r="P283" s="154"/>
      <c r="Q283" s="154"/>
      <c r="R283" s="154"/>
      <c r="S283" s="154"/>
      <c r="T283" s="154"/>
      <c r="U283" s="154"/>
      <c r="V283" s="154"/>
      <c r="W283" s="154"/>
      <c r="X283" s="154"/>
      <c r="Y283" s="154"/>
      <c r="Z283" s="154"/>
    </row>
    <row r="284" spans="1:26" x14ac:dyDescent="0.3">
      <c r="A284" s="183"/>
      <c r="B284" s="175"/>
      <c r="C284" s="173"/>
      <c r="D284" s="154"/>
      <c r="E284" s="154"/>
      <c r="F284" s="154"/>
      <c r="G284" s="154"/>
      <c r="H284" s="154"/>
      <c r="I284" s="154"/>
      <c r="J284" s="154"/>
      <c r="K284" s="154"/>
      <c r="L284" s="154"/>
      <c r="M284" s="154"/>
      <c r="N284" s="154"/>
      <c r="O284" s="154"/>
      <c r="P284" s="154"/>
      <c r="Q284" s="154"/>
      <c r="R284" s="154"/>
      <c r="S284" s="154"/>
      <c r="T284" s="154"/>
      <c r="U284" s="154"/>
      <c r="V284" s="154"/>
      <c r="W284" s="154"/>
      <c r="X284" s="154"/>
      <c r="Y284" s="154"/>
      <c r="Z284" s="154"/>
    </row>
    <row r="285" spans="1:26" x14ac:dyDescent="0.3">
      <c r="A285" s="183"/>
      <c r="B285" s="175"/>
      <c r="C285" s="173"/>
      <c r="D285" s="154"/>
      <c r="E285" s="154"/>
      <c r="F285" s="154"/>
      <c r="G285" s="154"/>
      <c r="H285" s="154"/>
      <c r="I285" s="154"/>
      <c r="J285" s="154"/>
      <c r="K285" s="154"/>
      <c r="L285" s="154"/>
      <c r="M285" s="154"/>
      <c r="N285" s="154"/>
      <c r="O285" s="154"/>
      <c r="P285" s="154"/>
      <c r="Q285" s="154"/>
      <c r="R285" s="154"/>
      <c r="S285" s="154"/>
      <c r="T285" s="154"/>
      <c r="U285" s="154"/>
      <c r="V285" s="154"/>
      <c r="W285" s="154"/>
      <c r="X285" s="154"/>
      <c r="Y285" s="154"/>
      <c r="Z285" s="154"/>
    </row>
    <row r="286" spans="1:26" x14ac:dyDescent="0.3">
      <c r="A286" s="183"/>
      <c r="B286" s="175"/>
      <c r="C286" s="173"/>
      <c r="D286" s="154"/>
      <c r="E286" s="154"/>
      <c r="F286" s="154"/>
      <c r="G286" s="154"/>
      <c r="H286" s="154"/>
      <c r="I286" s="154"/>
      <c r="J286" s="154"/>
      <c r="K286" s="154"/>
      <c r="L286" s="154"/>
      <c r="M286" s="154"/>
      <c r="N286" s="154"/>
      <c r="O286" s="154"/>
      <c r="P286" s="154"/>
      <c r="Q286" s="154"/>
      <c r="R286" s="154"/>
      <c r="S286" s="154"/>
      <c r="T286" s="154"/>
      <c r="U286" s="154"/>
      <c r="V286" s="154"/>
      <c r="W286" s="154"/>
      <c r="X286" s="154"/>
      <c r="Y286" s="154"/>
      <c r="Z286" s="154"/>
    </row>
    <row r="287" spans="1:26" x14ac:dyDescent="0.3">
      <c r="A287" s="183"/>
      <c r="B287" s="175"/>
      <c r="C287" s="173"/>
      <c r="D287" s="154"/>
      <c r="E287" s="154"/>
      <c r="F287" s="154"/>
      <c r="G287" s="154"/>
      <c r="H287" s="154"/>
      <c r="I287" s="154"/>
      <c r="J287" s="154"/>
      <c r="K287" s="154"/>
      <c r="L287" s="154"/>
      <c r="M287" s="154"/>
      <c r="N287" s="154"/>
      <c r="O287" s="154"/>
      <c r="P287" s="154"/>
      <c r="Q287" s="154"/>
      <c r="R287" s="154"/>
      <c r="S287" s="154"/>
      <c r="T287" s="154"/>
      <c r="U287" s="154"/>
      <c r="V287" s="154"/>
      <c r="W287" s="154"/>
      <c r="X287" s="154"/>
      <c r="Y287" s="154"/>
      <c r="Z287" s="154"/>
    </row>
    <row r="288" spans="1:26" x14ac:dyDescent="0.3">
      <c r="A288" s="183"/>
      <c r="B288" s="175"/>
      <c r="C288" s="173"/>
      <c r="D288" s="154"/>
      <c r="E288" s="154"/>
      <c r="F288" s="154"/>
      <c r="G288" s="154"/>
      <c r="H288" s="154"/>
      <c r="I288" s="154"/>
      <c r="J288" s="154"/>
      <c r="K288" s="154"/>
      <c r="L288" s="154"/>
      <c r="M288" s="154"/>
      <c r="N288" s="154"/>
      <c r="O288" s="154"/>
      <c r="P288" s="154"/>
      <c r="Q288" s="154"/>
      <c r="R288" s="154"/>
      <c r="S288" s="154"/>
      <c r="T288" s="154"/>
      <c r="U288" s="154"/>
      <c r="V288" s="154"/>
      <c r="W288" s="154"/>
      <c r="X288" s="154"/>
      <c r="Y288" s="154"/>
      <c r="Z288" s="154"/>
    </row>
    <row r="289" spans="1:26" x14ac:dyDescent="0.3">
      <c r="A289" s="183"/>
      <c r="B289" s="175"/>
      <c r="C289" s="173"/>
      <c r="D289" s="154"/>
      <c r="E289" s="154"/>
      <c r="F289" s="154"/>
      <c r="G289" s="154"/>
      <c r="H289" s="154"/>
      <c r="I289" s="154"/>
      <c r="J289" s="154"/>
      <c r="K289" s="154"/>
      <c r="L289" s="154"/>
      <c r="M289" s="154"/>
      <c r="N289" s="154"/>
      <c r="O289" s="154"/>
      <c r="P289" s="154"/>
      <c r="Q289" s="154"/>
      <c r="R289" s="154"/>
      <c r="S289" s="154"/>
      <c r="T289" s="154"/>
      <c r="U289" s="154"/>
      <c r="V289" s="154"/>
      <c r="W289" s="154"/>
      <c r="X289" s="154"/>
      <c r="Y289" s="154"/>
      <c r="Z289" s="154"/>
    </row>
    <row r="290" spans="1:26" x14ac:dyDescent="0.3">
      <c r="A290" s="183"/>
      <c r="B290" s="175"/>
      <c r="C290" s="173"/>
      <c r="D290" s="154"/>
      <c r="E290" s="154"/>
      <c r="F290" s="154"/>
      <c r="G290" s="154"/>
      <c r="H290" s="154"/>
      <c r="I290" s="154"/>
      <c r="J290" s="154"/>
      <c r="K290" s="154"/>
      <c r="L290" s="154"/>
      <c r="M290" s="154"/>
      <c r="N290" s="154"/>
      <c r="O290" s="154"/>
      <c r="P290" s="154"/>
      <c r="Q290" s="154"/>
      <c r="R290" s="154"/>
      <c r="S290" s="154"/>
      <c r="T290" s="154"/>
      <c r="U290" s="154"/>
      <c r="V290" s="154"/>
      <c r="W290" s="154"/>
      <c r="X290" s="154"/>
      <c r="Y290" s="154"/>
      <c r="Z290" s="154"/>
    </row>
    <row r="291" spans="1:26" x14ac:dyDescent="0.3">
      <c r="A291" s="183"/>
      <c r="B291" s="175"/>
      <c r="C291" s="173"/>
      <c r="D291" s="154"/>
      <c r="E291" s="154"/>
      <c r="F291" s="154"/>
      <c r="G291" s="154"/>
      <c r="H291" s="154"/>
      <c r="I291" s="154"/>
      <c r="J291" s="154"/>
      <c r="K291" s="154"/>
      <c r="L291" s="154"/>
      <c r="M291" s="154"/>
      <c r="N291" s="154"/>
      <c r="O291" s="154"/>
      <c r="P291" s="154"/>
      <c r="Q291" s="154"/>
      <c r="R291" s="154"/>
      <c r="S291" s="154"/>
      <c r="T291" s="154"/>
      <c r="U291" s="154"/>
      <c r="V291" s="154"/>
      <c r="W291" s="154"/>
      <c r="X291" s="154"/>
      <c r="Y291" s="154"/>
      <c r="Z291" s="154"/>
    </row>
    <row r="292" spans="1:26" x14ac:dyDescent="0.3">
      <c r="A292" s="183"/>
      <c r="B292" s="175"/>
      <c r="C292" s="173"/>
      <c r="D292" s="154"/>
      <c r="E292" s="154"/>
      <c r="F292" s="154"/>
      <c r="G292" s="154"/>
      <c r="H292" s="154"/>
      <c r="I292" s="154"/>
      <c r="J292" s="154"/>
      <c r="K292" s="154"/>
      <c r="L292" s="154"/>
      <c r="M292" s="154"/>
      <c r="N292" s="154"/>
      <c r="O292" s="154"/>
      <c r="P292" s="154"/>
      <c r="Q292" s="154"/>
      <c r="R292" s="154"/>
      <c r="S292" s="154"/>
      <c r="T292" s="154"/>
      <c r="U292" s="154"/>
      <c r="V292" s="154"/>
      <c r="W292" s="154"/>
      <c r="X292" s="154"/>
      <c r="Y292" s="154"/>
      <c r="Z292" s="154"/>
    </row>
    <row r="293" spans="1:26" x14ac:dyDescent="0.3">
      <c r="A293" s="183"/>
      <c r="B293" s="175"/>
      <c r="C293" s="173"/>
      <c r="D293" s="154"/>
      <c r="E293" s="154"/>
      <c r="F293" s="154"/>
      <c r="G293" s="154"/>
      <c r="H293" s="154"/>
      <c r="I293" s="154"/>
      <c r="J293" s="154"/>
      <c r="K293" s="154"/>
      <c r="L293" s="154"/>
      <c r="M293" s="154"/>
      <c r="N293" s="154"/>
      <c r="O293" s="154"/>
      <c r="P293" s="154"/>
      <c r="Q293" s="154"/>
      <c r="R293" s="154"/>
      <c r="S293" s="154"/>
      <c r="T293" s="154"/>
      <c r="U293" s="154"/>
      <c r="V293" s="154"/>
      <c r="W293" s="154"/>
      <c r="X293" s="154"/>
      <c r="Y293" s="154"/>
      <c r="Z293" s="154"/>
    </row>
    <row r="294" spans="1:26" x14ac:dyDescent="0.3">
      <c r="A294" s="183"/>
      <c r="B294" s="175"/>
      <c r="C294" s="173"/>
      <c r="D294" s="154"/>
      <c r="E294" s="154"/>
      <c r="F294" s="154"/>
      <c r="G294" s="154"/>
      <c r="H294" s="154"/>
      <c r="I294" s="154"/>
      <c r="J294" s="154"/>
      <c r="K294" s="154"/>
      <c r="L294" s="154"/>
      <c r="M294" s="154"/>
      <c r="N294" s="154"/>
      <c r="O294" s="154"/>
      <c r="P294" s="154"/>
      <c r="Q294" s="154"/>
      <c r="R294" s="154"/>
      <c r="S294" s="154"/>
      <c r="T294" s="154"/>
      <c r="U294" s="154"/>
      <c r="V294" s="154"/>
      <c r="W294" s="154"/>
      <c r="X294" s="154"/>
      <c r="Y294" s="154"/>
      <c r="Z294" s="154"/>
    </row>
    <row r="295" spans="1:26" x14ac:dyDescent="0.3">
      <c r="A295" s="183"/>
      <c r="B295" s="175"/>
      <c r="C295" s="173"/>
      <c r="D295" s="154"/>
      <c r="E295" s="154"/>
      <c r="F295" s="154"/>
      <c r="G295" s="154"/>
      <c r="H295" s="154"/>
      <c r="I295" s="154"/>
      <c r="J295" s="154"/>
      <c r="K295" s="154"/>
      <c r="L295" s="154"/>
      <c r="M295" s="154"/>
      <c r="N295" s="154"/>
      <c r="O295" s="154"/>
      <c r="P295" s="154"/>
      <c r="Q295" s="154"/>
      <c r="R295" s="154"/>
      <c r="S295" s="154"/>
      <c r="T295" s="154"/>
      <c r="U295" s="154"/>
      <c r="V295" s="154"/>
      <c r="W295" s="154"/>
      <c r="X295" s="154"/>
      <c r="Y295" s="154"/>
      <c r="Z295" s="154"/>
    </row>
    <row r="296" spans="1:26" x14ac:dyDescent="0.3">
      <c r="A296" s="183"/>
      <c r="B296" s="175"/>
      <c r="C296" s="173"/>
      <c r="D296" s="154"/>
      <c r="E296" s="154"/>
      <c r="F296" s="154"/>
      <c r="G296" s="154"/>
      <c r="H296" s="154"/>
      <c r="I296" s="154"/>
      <c r="J296" s="154"/>
      <c r="K296" s="154"/>
      <c r="L296" s="154"/>
      <c r="M296" s="154"/>
      <c r="N296" s="154"/>
      <c r="O296" s="154"/>
      <c r="P296" s="154"/>
      <c r="Q296" s="154"/>
      <c r="R296" s="154"/>
      <c r="S296" s="154"/>
      <c r="T296" s="154"/>
      <c r="U296" s="154"/>
      <c r="V296" s="154"/>
      <c r="W296" s="154"/>
      <c r="X296" s="154"/>
      <c r="Y296" s="154"/>
      <c r="Z296" s="154"/>
    </row>
    <row r="297" spans="1:26" x14ac:dyDescent="0.3">
      <c r="A297" s="183"/>
      <c r="B297" s="175"/>
      <c r="C297" s="173"/>
      <c r="D297" s="154"/>
      <c r="E297" s="154"/>
      <c r="F297" s="154"/>
      <c r="G297" s="154"/>
      <c r="H297" s="154"/>
      <c r="I297" s="154"/>
      <c r="J297" s="154"/>
      <c r="K297" s="154"/>
      <c r="L297" s="154"/>
      <c r="M297" s="154"/>
      <c r="N297" s="154"/>
      <c r="O297" s="154"/>
      <c r="P297" s="154"/>
      <c r="Q297" s="154"/>
      <c r="R297" s="154"/>
      <c r="S297" s="154"/>
      <c r="T297" s="154"/>
      <c r="U297" s="154"/>
      <c r="V297" s="154"/>
      <c r="W297" s="154"/>
      <c r="X297" s="154"/>
      <c r="Y297" s="154"/>
      <c r="Z297" s="154"/>
    </row>
    <row r="298" spans="1:26" x14ac:dyDescent="0.3">
      <c r="A298" s="183"/>
      <c r="B298" s="175"/>
      <c r="C298" s="173"/>
      <c r="D298" s="154"/>
      <c r="E298" s="154"/>
      <c r="F298" s="154"/>
      <c r="G298" s="154"/>
      <c r="H298" s="154"/>
      <c r="I298" s="154"/>
      <c r="J298" s="154"/>
      <c r="K298" s="154"/>
      <c r="L298" s="154"/>
      <c r="M298" s="154"/>
      <c r="N298" s="154"/>
      <c r="O298" s="154"/>
      <c r="P298" s="154"/>
      <c r="Q298" s="154"/>
      <c r="R298" s="154"/>
      <c r="S298" s="154"/>
      <c r="T298" s="154"/>
      <c r="U298" s="154"/>
      <c r="V298" s="154"/>
      <c r="W298" s="154"/>
      <c r="X298" s="154"/>
      <c r="Y298" s="154"/>
      <c r="Z298" s="154"/>
    </row>
    <row r="299" spans="1:26" x14ac:dyDescent="0.3">
      <c r="A299" s="183"/>
      <c r="B299" s="175"/>
      <c r="C299" s="173"/>
      <c r="D299" s="154"/>
      <c r="E299" s="154"/>
      <c r="F299" s="154"/>
      <c r="G299" s="154"/>
      <c r="H299" s="154"/>
      <c r="I299" s="154"/>
      <c r="J299" s="154"/>
      <c r="K299" s="154"/>
      <c r="L299" s="154"/>
      <c r="M299" s="154"/>
      <c r="N299" s="154"/>
      <c r="O299" s="154"/>
      <c r="P299" s="154"/>
      <c r="Q299" s="154"/>
      <c r="R299" s="154"/>
      <c r="S299" s="154"/>
      <c r="T299" s="154"/>
      <c r="U299" s="154"/>
      <c r="V299" s="154"/>
      <c r="W299" s="154"/>
      <c r="X299" s="154"/>
      <c r="Y299" s="154"/>
      <c r="Z299" s="154"/>
    </row>
    <row r="300" spans="1:26" x14ac:dyDescent="0.3">
      <c r="A300" s="183"/>
      <c r="B300" s="175"/>
      <c r="C300" s="173"/>
      <c r="D300" s="154"/>
      <c r="E300" s="154"/>
      <c r="F300" s="154"/>
      <c r="G300" s="154"/>
      <c r="H300" s="154"/>
      <c r="I300" s="154"/>
      <c r="J300" s="154"/>
      <c r="K300" s="154"/>
      <c r="L300" s="154"/>
      <c r="M300" s="154"/>
      <c r="N300" s="154"/>
      <c r="O300" s="154"/>
      <c r="P300" s="154"/>
      <c r="Q300" s="154"/>
      <c r="R300" s="154"/>
      <c r="S300" s="154"/>
      <c r="T300" s="154"/>
      <c r="U300" s="154"/>
      <c r="V300" s="154"/>
      <c r="W300" s="154"/>
      <c r="X300" s="154"/>
      <c r="Y300" s="154"/>
      <c r="Z300" s="154"/>
    </row>
    <row r="301" spans="1:26" x14ac:dyDescent="0.3">
      <c r="A301" s="183"/>
      <c r="B301" s="175"/>
      <c r="C301" s="173"/>
      <c r="D301" s="154"/>
      <c r="E301" s="154"/>
      <c r="F301" s="154"/>
      <c r="G301" s="154"/>
      <c r="H301" s="154"/>
      <c r="I301" s="154"/>
      <c r="J301" s="154"/>
      <c r="K301" s="154"/>
      <c r="L301" s="154"/>
      <c r="M301" s="154"/>
      <c r="N301" s="154"/>
      <c r="O301" s="154"/>
      <c r="P301" s="154"/>
      <c r="Q301" s="154"/>
      <c r="R301" s="154"/>
      <c r="S301" s="154"/>
      <c r="T301" s="154"/>
      <c r="U301" s="154"/>
      <c r="V301" s="154"/>
      <c r="W301" s="154"/>
      <c r="X301" s="154"/>
      <c r="Y301" s="154"/>
      <c r="Z301" s="154"/>
    </row>
    <row r="302" spans="1:26" x14ac:dyDescent="0.3">
      <c r="A302" s="183"/>
      <c r="B302" s="175"/>
      <c r="C302" s="173"/>
      <c r="D302" s="154"/>
      <c r="E302" s="154"/>
      <c r="F302" s="154"/>
      <c r="G302" s="154"/>
      <c r="H302" s="154"/>
      <c r="I302" s="154"/>
      <c r="J302" s="154"/>
      <c r="K302" s="154"/>
      <c r="L302" s="154"/>
      <c r="M302" s="154"/>
      <c r="N302" s="154"/>
      <c r="O302" s="154"/>
      <c r="P302" s="154"/>
      <c r="Q302" s="154"/>
      <c r="R302" s="154"/>
      <c r="S302" s="154"/>
      <c r="T302" s="154"/>
      <c r="U302" s="154"/>
      <c r="V302" s="154"/>
      <c r="W302" s="154"/>
      <c r="X302" s="154"/>
      <c r="Y302" s="154"/>
      <c r="Z302" s="154"/>
    </row>
    <row r="303" spans="1:26" x14ac:dyDescent="0.3">
      <c r="A303" s="183"/>
      <c r="B303" s="175"/>
      <c r="C303" s="173"/>
      <c r="D303" s="154"/>
      <c r="E303" s="154"/>
      <c r="F303" s="154"/>
      <c r="G303" s="154"/>
      <c r="H303" s="154"/>
      <c r="I303" s="154"/>
      <c r="J303" s="154"/>
      <c r="K303" s="154"/>
      <c r="L303" s="154"/>
      <c r="M303" s="154"/>
      <c r="N303" s="154"/>
      <c r="O303" s="154"/>
      <c r="P303" s="154"/>
      <c r="Q303" s="154"/>
      <c r="R303" s="154"/>
      <c r="S303" s="154"/>
      <c r="T303" s="154"/>
      <c r="U303" s="154"/>
      <c r="V303" s="154"/>
      <c r="W303" s="154"/>
      <c r="X303" s="154"/>
      <c r="Y303" s="154"/>
      <c r="Z303" s="154"/>
    </row>
    <row r="304" spans="1:26" x14ac:dyDescent="0.3">
      <c r="A304" s="183"/>
      <c r="B304" s="175"/>
      <c r="C304" s="173"/>
      <c r="D304" s="154"/>
      <c r="E304" s="154"/>
      <c r="F304" s="154"/>
      <c r="G304" s="154"/>
      <c r="H304" s="154"/>
      <c r="I304" s="154"/>
      <c r="J304" s="154"/>
      <c r="K304" s="154"/>
      <c r="L304" s="154"/>
      <c r="M304" s="154"/>
      <c r="N304" s="154"/>
      <c r="O304" s="154"/>
      <c r="P304" s="154"/>
      <c r="Q304" s="154"/>
      <c r="R304" s="154"/>
      <c r="S304" s="154"/>
      <c r="T304" s="154"/>
      <c r="U304" s="154"/>
      <c r="V304" s="154"/>
      <c r="W304" s="154"/>
      <c r="X304" s="154"/>
      <c r="Y304" s="154"/>
      <c r="Z304" s="154"/>
    </row>
    <row r="305" spans="1:26" x14ac:dyDescent="0.3">
      <c r="A305" s="183"/>
      <c r="B305" s="175"/>
      <c r="C305" s="173"/>
      <c r="D305" s="154"/>
      <c r="E305" s="154"/>
      <c r="F305" s="154"/>
      <c r="G305" s="154"/>
      <c r="H305" s="154"/>
      <c r="I305" s="154"/>
      <c r="J305" s="154"/>
      <c r="K305" s="154"/>
      <c r="L305" s="154"/>
      <c r="M305" s="154"/>
      <c r="N305" s="154"/>
      <c r="O305" s="154"/>
      <c r="P305" s="154"/>
      <c r="Q305" s="154"/>
      <c r="R305" s="154"/>
      <c r="S305" s="154"/>
      <c r="T305" s="154"/>
      <c r="U305" s="154"/>
      <c r="V305" s="154"/>
      <c r="W305" s="154"/>
      <c r="X305" s="154"/>
      <c r="Y305" s="154"/>
      <c r="Z305" s="154"/>
    </row>
    <row r="306" spans="1:26" x14ac:dyDescent="0.3">
      <c r="A306" s="183"/>
      <c r="B306" s="175"/>
      <c r="C306" s="173"/>
      <c r="D306" s="154"/>
      <c r="E306" s="154"/>
      <c r="F306" s="154"/>
      <c r="G306" s="154"/>
      <c r="H306" s="154"/>
      <c r="I306" s="154"/>
      <c r="J306" s="154"/>
      <c r="K306" s="154"/>
      <c r="L306" s="154"/>
      <c r="M306" s="154"/>
      <c r="N306" s="154"/>
      <c r="O306" s="154"/>
      <c r="P306" s="154"/>
      <c r="Q306" s="154"/>
      <c r="R306" s="154"/>
      <c r="S306" s="154"/>
      <c r="T306" s="154"/>
      <c r="U306" s="154"/>
      <c r="V306" s="154"/>
      <c r="W306" s="154"/>
      <c r="X306" s="154"/>
      <c r="Y306" s="154"/>
      <c r="Z306" s="154"/>
    </row>
    <row r="307" spans="1:26" x14ac:dyDescent="0.3">
      <c r="A307" s="183"/>
      <c r="B307" s="175"/>
      <c r="C307" s="173"/>
      <c r="D307" s="154"/>
      <c r="E307" s="154"/>
      <c r="F307" s="154"/>
      <c r="G307" s="154"/>
      <c r="H307" s="154"/>
      <c r="I307" s="154"/>
      <c r="J307" s="154"/>
      <c r="K307" s="154"/>
      <c r="L307" s="154"/>
      <c r="M307" s="154"/>
      <c r="N307" s="154"/>
      <c r="O307" s="154"/>
      <c r="P307" s="154"/>
      <c r="Q307" s="154"/>
      <c r="R307" s="154"/>
      <c r="S307" s="154"/>
      <c r="T307" s="154"/>
      <c r="U307" s="154"/>
      <c r="V307" s="154"/>
      <c r="W307" s="154"/>
      <c r="X307" s="154"/>
      <c r="Y307" s="154"/>
      <c r="Z307" s="154"/>
    </row>
    <row r="308" spans="1:26" x14ac:dyDescent="0.3">
      <c r="A308" s="183"/>
      <c r="B308" s="175"/>
      <c r="C308" s="173"/>
      <c r="D308" s="154"/>
      <c r="E308" s="154"/>
      <c r="F308" s="154"/>
      <c r="G308" s="154"/>
      <c r="H308" s="154"/>
      <c r="I308" s="154"/>
      <c r="J308" s="154"/>
      <c r="K308" s="154"/>
      <c r="L308" s="154"/>
      <c r="M308" s="154"/>
      <c r="N308" s="154"/>
      <c r="O308" s="154"/>
      <c r="P308" s="154"/>
      <c r="Q308" s="154"/>
      <c r="R308" s="154"/>
      <c r="S308" s="154"/>
      <c r="T308" s="154"/>
      <c r="U308" s="154"/>
      <c r="V308" s="154"/>
      <c r="W308" s="154"/>
      <c r="X308" s="154"/>
      <c r="Y308" s="154"/>
      <c r="Z308" s="154"/>
    </row>
    <row r="309" spans="1:26" x14ac:dyDescent="0.3">
      <c r="A309" s="183"/>
      <c r="B309" s="175"/>
      <c r="C309" s="173"/>
      <c r="D309" s="154"/>
      <c r="E309" s="154"/>
      <c r="F309" s="154"/>
      <c r="G309" s="154"/>
      <c r="H309" s="154"/>
      <c r="I309" s="154"/>
      <c r="J309" s="154"/>
      <c r="K309" s="154"/>
      <c r="L309" s="154"/>
      <c r="M309" s="154"/>
      <c r="N309" s="154"/>
      <c r="O309" s="154"/>
      <c r="P309" s="154"/>
      <c r="Q309" s="154"/>
      <c r="R309" s="154"/>
      <c r="S309" s="154"/>
      <c r="T309" s="154"/>
      <c r="U309" s="154"/>
      <c r="V309" s="154"/>
      <c r="W309" s="154"/>
      <c r="X309" s="154"/>
      <c r="Y309" s="154"/>
      <c r="Z309" s="154"/>
    </row>
    <row r="310" spans="1:26" x14ac:dyDescent="0.3">
      <c r="A310" s="183"/>
      <c r="B310" s="175"/>
      <c r="C310" s="173"/>
      <c r="D310" s="154"/>
      <c r="E310" s="154"/>
      <c r="F310" s="154"/>
      <c r="G310" s="154"/>
      <c r="H310" s="154"/>
      <c r="I310" s="154"/>
      <c r="J310" s="154"/>
      <c r="K310" s="154"/>
      <c r="L310" s="154"/>
      <c r="M310" s="154"/>
      <c r="N310" s="154"/>
      <c r="O310" s="154"/>
      <c r="P310" s="154"/>
      <c r="Q310" s="154"/>
      <c r="R310" s="154"/>
      <c r="S310" s="154"/>
      <c r="T310" s="154"/>
      <c r="U310" s="154"/>
      <c r="V310" s="154"/>
      <c r="W310" s="154"/>
      <c r="X310" s="154"/>
      <c r="Y310" s="154"/>
      <c r="Z310" s="154"/>
    </row>
    <row r="311" spans="1:26" x14ac:dyDescent="0.3">
      <c r="A311" s="183"/>
      <c r="B311" s="175"/>
      <c r="C311" s="173"/>
      <c r="D311" s="154"/>
      <c r="E311" s="154"/>
      <c r="F311" s="154"/>
      <c r="G311" s="154"/>
      <c r="H311" s="154"/>
      <c r="I311" s="154"/>
      <c r="J311" s="154"/>
      <c r="K311" s="154"/>
      <c r="L311" s="154"/>
      <c r="M311" s="154"/>
      <c r="N311" s="154"/>
      <c r="O311" s="154"/>
      <c r="P311" s="154"/>
      <c r="Q311" s="154"/>
      <c r="R311" s="154"/>
      <c r="S311" s="154"/>
      <c r="T311" s="154"/>
      <c r="U311" s="154"/>
      <c r="V311" s="154"/>
      <c r="W311" s="154"/>
      <c r="X311" s="154"/>
      <c r="Y311" s="154"/>
      <c r="Z311" s="154"/>
    </row>
    <row r="312" spans="1:26" x14ac:dyDescent="0.3">
      <c r="A312" s="183"/>
      <c r="B312" s="175"/>
      <c r="C312" s="173"/>
      <c r="D312" s="154"/>
      <c r="E312" s="154"/>
      <c r="F312" s="154"/>
      <c r="G312" s="154"/>
      <c r="H312" s="154"/>
      <c r="I312" s="154"/>
      <c r="J312" s="154"/>
      <c r="K312" s="154"/>
      <c r="L312" s="154"/>
      <c r="M312" s="154"/>
      <c r="N312" s="154"/>
      <c r="O312" s="154"/>
      <c r="P312" s="154"/>
      <c r="Q312" s="154"/>
      <c r="R312" s="154"/>
      <c r="S312" s="154"/>
      <c r="T312" s="154"/>
      <c r="U312" s="154"/>
      <c r="V312" s="154"/>
      <c r="W312" s="154"/>
      <c r="X312" s="154"/>
      <c r="Y312" s="154"/>
      <c r="Z312" s="154"/>
    </row>
    <row r="313" spans="1:26" x14ac:dyDescent="0.3">
      <c r="A313" s="183"/>
      <c r="B313" s="175"/>
      <c r="C313" s="154"/>
      <c r="D313" s="154"/>
      <c r="E313" s="154"/>
      <c r="F313" s="154"/>
      <c r="G313" s="154"/>
      <c r="H313" s="154"/>
      <c r="I313" s="154"/>
      <c r="J313" s="154"/>
      <c r="K313" s="154"/>
      <c r="L313" s="154"/>
      <c r="M313" s="154"/>
      <c r="N313" s="154"/>
      <c r="O313" s="154"/>
      <c r="P313" s="154"/>
      <c r="Q313" s="154"/>
      <c r="R313" s="154"/>
      <c r="S313" s="154"/>
      <c r="T313" s="154"/>
      <c r="U313" s="154"/>
      <c r="V313" s="154"/>
      <c r="W313" s="154"/>
      <c r="X313" s="154"/>
      <c r="Y313" s="154"/>
      <c r="Z313" s="154"/>
    </row>
    <row r="314" spans="1:26" x14ac:dyDescent="0.3">
      <c r="A314" s="183"/>
      <c r="B314" s="175"/>
      <c r="C314" s="154"/>
      <c r="D314" s="154"/>
      <c r="E314" s="154"/>
      <c r="F314" s="154"/>
      <c r="G314" s="154"/>
      <c r="H314" s="154"/>
      <c r="I314" s="154"/>
      <c r="J314" s="154"/>
      <c r="K314" s="154"/>
      <c r="L314" s="154"/>
      <c r="M314" s="154"/>
      <c r="N314" s="154"/>
      <c r="O314" s="154"/>
      <c r="P314" s="154"/>
      <c r="Q314" s="154"/>
      <c r="R314" s="154"/>
      <c r="S314" s="154"/>
      <c r="T314" s="154"/>
      <c r="U314" s="154"/>
      <c r="V314" s="154"/>
      <c r="W314" s="154"/>
      <c r="X314" s="154"/>
      <c r="Y314" s="154"/>
      <c r="Z314" s="154"/>
    </row>
    <row r="315" spans="1:26" x14ac:dyDescent="0.3">
      <c r="A315" s="175"/>
      <c r="B315" s="175"/>
      <c r="C315" s="154"/>
      <c r="D315" s="154"/>
      <c r="E315" s="154"/>
      <c r="F315" s="154"/>
      <c r="G315" s="154"/>
      <c r="H315" s="154"/>
      <c r="I315" s="154"/>
      <c r="J315" s="154"/>
      <c r="K315" s="154"/>
      <c r="L315" s="154"/>
      <c r="M315" s="154"/>
      <c r="N315" s="154"/>
      <c r="O315" s="154"/>
      <c r="P315" s="154"/>
      <c r="Q315" s="154"/>
      <c r="R315" s="154"/>
      <c r="S315" s="154"/>
      <c r="T315" s="154"/>
      <c r="U315" s="154"/>
      <c r="V315" s="154"/>
      <c r="W315" s="154"/>
      <c r="X315" s="154"/>
      <c r="Y315" s="154"/>
      <c r="Z315" s="154"/>
    </row>
    <row r="316" spans="1:26" x14ac:dyDescent="0.3">
      <c r="A316" s="175"/>
      <c r="B316" s="175"/>
      <c r="C316" s="154"/>
      <c r="D316" s="154"/>
      <c r="E316" s="154"/>
      <c r="F316" s="154"/>
      <c r="G316" s="154"/>
      <c r="H316" s="154"/>
      <c r="I316" s="154"/>
      <c r="J316" s="154"/>
      <c r="K316" s="154"/>
      <c r="L316" s="154"/>
      <c r="M316" s="154"/>
      <c r="N316" s="154"/>
      <c r="O316" s="154"/>
      <c r="P316" s="154"/>
      <c r="Q316" s="154"/>
      <c r="R316" s="154"/>
      <c r="S316" s="154"/>
      <c r="T316" s="154"/>
      <c r="U316" s="154"/>
      <c r="V316" s="154"/>
      <c r="W316" s="154"/>
      <c r="X316" s="154"/>
      <c r="Y316" s="154"/>
      <c r="Z316" s="154"/>
    </row>
    <row r="317" spans="1:26" x14ac:dyDescent="0.3">
      <c r="A317" s="175"/>
      <c r="B317" s="175"/>
      <c r="C317" s="154"/>
      <c r="D317" s="154"/>
      <c r="E317" s="154"/>
      <c r="F317" s="154"/>
      <c r="G317" s="154"/>
      <c r="H317" s="154"/>
      <c r="I317" s="154"/>
      <c r="J317" s="154"/>
      <c r="K317" s="154"/>
      <c r="L317" s="154"/>
      <c r="M317" s="154"/>
      <c r="N317" s="154"/>
      <c r="O317" s="154"/>
      <c r="P317" s="154"/>
      <c r="Q317" s="154"/>
      <c r="R317" s="154"/>
      <c r="S317" s="154"/>
      <c r="T317" s="154"/>
      <c r="U317" s="154"/>
      <c r="V317" s="154"/>
      <c r="W317" s="154"/>
      <c r="X317" s="154"/>
      <c r="Y317" s="154"/>
      <c r="Z317" s="154"/>
    </row>
    <row r="318" spans="1:26" x14ac:dyDescent="0.3">
      <c r="A318" s="175"/>
      <c r="B318" s="175"/>
      <c r="C318" s="154"/>
      <c r="D318" s="154"/>
      <c r="E318" s="154"/>
      <c r="F318" s="154"/>
      <c r="G318" s="154"/>
      <c r="H318" s="154"/>
      <c r="I318" s="154"/>
      <c r="J318" s="154"/>
      <c r="K318" s="154"/>
      <c r="L318" s="154"/>
      <c r="M318" s="154"/>
      <c r="N318" s="154"/>
      <c r="O318" s="154"/>
      <c r="P318" s="154"/>
      <c r="Q318" s="154"/>
      <c r="R318" s="154"/>
      <c r="S318" s="154"/>
      <c r="T318" s="154"/>
      <c r="U318" s="154"/>
      <c r="V318" s="154"/>
      <c r="W318" s="154"/>
      <c r="X318" s="154"/>
      <c r="Y318" s="154"/>
      <c r="Z318" s="154"/>
    </row>
    <row r="319" spans="1:26" x14ac:dyDescent="0.3">
      <c r="A319" s="175"/>
      <c r="B319" s="175"/>
      <c r="C319" s="154"/>
      <c r="D319" s="154"/>
      <c r="E319" s="154"/>
      <c r="F319" s="154"/>
      <c r="G319" s="154"/>
      <c r="H319" s="154"/>
      <c r="I319" s="154"/>
      <c r="J319" s="154"/>
      <c r="K319" s="154"/>
      <c r="L319" s="154"/>
      <c r="M319" s="154"/>
      <c r="N319" s="154"/>
      <c r="O319" s="154"/>
      <c r="P319" s="154"/>
      <c r="Q319" s="154"/>
      <c r="R319" s="154"/>
      <c r="S319" s="154"/>
      <c r="T319" s="154"/>
      <c r="U319" s="154"/>
      <c r="V319" s="154"/>
      <c r="W319" s="154"/>
      <c r="X319" s="154"/>
      <c r="Y319" s="154"/>
      <c r="Z319" s="154"/>
    </row>
    <row r="320" spans="1:26" x14ac:dyDescent="0.3">
      <c r="A320" s="175"/>
      <c r="B320" s="175"/>
      <c r="C320" s="154"/>
      <c r="D320" s="154"/>
      <c r="E320" s="154"/>
      <c r="F320" s="154"/>
      <c r="G320" s="154"/>
      <c r="H320" s="154"/>
      <c r="I320" s="154"/>
      <c r="J320" s="154"/>
      <c r="K320" s="154"/>
      <c r="L320" s="154"/>
      <c r="M320" s="154"/>
      <c r="N320" s="154"/>
      <c r="O320" s="154"/>
      <c r="P320" s="154"/>
      <c r="Q320" s="154"/>
      <c r="R320" s="154"/>
      <c r="S320" s="154"/>
      <c r="T320" s="154"/>
      <c r="U320" s="154"/>
      <c r="V320" s="154"/>
      <c r="W320" s="154"/>
      <c r="X320" s="154"/>
      <c r="Y320" s="154"/>
      <c r="Z320" s="154"/>
    </row>
    <row r="321" spans="1:26" x14ac:dyDescent="0.3">
      <c r="A321" s="175"/>
      <c r="B321" s="175"/>
      <c r="C321" s="154"/>
      <c r="D321" s="154"/>
      <c r="E321" s="154"/>
      <c r="F321" s="154"/>
      <c r="G321" s="154"/>
      <c r="H321" s="154"/>
      <c r="I321" s="154"/>
      <c r="J321" s="154"/>
      <c r="K321" s="154"/>
      <c r="L321" s="154"/>
      <c r="M321" s="154"/>
      <c r="N321" s="154"/>
      <c r="O321" s="154"/>
      <c r="P321" s="154"/>
      <c r="Q321" s="154"/>
      <c r="R321" s="154"/>
      <c r="S321" s="154"/>
      <c r="T321" s="154"/>
      <c r="U321" s="154"/>
      <c r="V321" s="154"/>
      <c r="W321" s="154"/>
      <c r="X321" s="154"/>
      <c r="Y321" s="154"/>
      <c r="Z321" s="154"/>
    </row>
    <row r="322" spans="1:26" x14ac:dyDescent="0.3">
      <c r="A322" s="175"/>
      <c r="B322" s="175"/>
      <c r="C322" s="154"/>
      <c r="D322" s="154"/>
      <c r="E322" s="154"/>
      <c r="F322" s="154"/>
      <c r="G322" s="154"/>
      <c r="H322" s="154"/>
      <c r="I322" s="154"/>
      <c r="J322" s="154"/>
      <c r="K322" s="154"/>
      <c r="L322" s="154"/>
      <c r="M322" s="154"/>
      <c r="N322" s="154"/>
      <c r="O322" s="154"/>
      <c r="P322" s="154"/>
      <c r="Q322" s="154"/>
      <c r="R322" s="154"/>
      <c r="S322" s="154"/>
      <c r="T322" s="154"/>
      <c r="U322" s="154"/>
      <c r="V322" s="154"/>
      <c r="W322" s="154"/>
      <c r="X322" s="154"/>
      <c r="Y322" s="154"/>
      <c r="Z322" s="154"/>
    </row>
    <row r="323" spans="1:26" ht="15.75" customHeight="1" x14ac:dyDescent="0.3">
      <c r="A323" s="175"/>
      <c r="B323" s="729" t="s">
        <v>975</v>
      </c>
      <c r="C323" s="729"/>
      <c r="D323" s="729"/>
      <c r="E323" s="729"/>
      <c r="F323" s="729"/>
      <c r="G323" s="729"/>
      <c r="H323" s="729"/>
      <c r="I323" s="729"/>
      <c r="J323" s="729"/>
      <c r="K323" s="729"/>
      <c r="L323" s="729"/>
      <c r="M323" s="729"/>
      <c r="N323" s="729"/>
      <c r="O323" s="729"/>
      <c r="P323" s="729"/>
      <c r="Q323" s="729"/>
      <c r="R323" s="154"/>
      <c r="S323" s="154"/>
      <c r="T323" s="154"/>
      <c r="U323" s="154"/>
      <c r="V323" s="154"/>
      <c r="W323" s="154"/>
      <c r="X323" s="154"/>
      <c r="Y323" s="154"/>
      <c r="Z323" s="154"/>
    </row>
  </sheetData>
  <sheetProtection algorithmName="SHA-512" hashValue="D7FUxLFrnwMNO7Ae2EFN2JHMiQ9yi39YRoMMGufyyVhYLT3LHtjL1/obX8DpTCJwmRK0sUFGc9+fERXWERUn/g==" saltValue="FrFfenuBGhFNCQIt36HuzA==" spinCount="100000" sheet="1" objects="1" scenarios="1"/>
  <mergeCells count="167">
    <mergeCell ref="B8:D8"/>
    <mergeCell ref="E8:J8"/>
    <mergeCell ref="E9:J9"/>
    <mergeCell ref="E10:J10"/>
    <mergeCell ref="B6:V6"/>
    <mergeCell ref="R11:Y11"/>
    <mergeCell ref="I15:I17"/>
    <mergeCell ref="I18:I20"/>
    <mergeCell ref="I21:I23"/>
    <mergeCell ref="T23:Y34"/>
    <mergeCell ref="S23:S34"/>
    <mergeCell ref="T12:Y12"/>
    <mergeCell ref="T13:Y13"/>
    <mergeCell ref="T14:Y22"/>
    <mergeCell ref="R14:R22"/>
    <mergeCell ref="S14:S22"/>
    <mergeCell ref="R23:R34"/>
    <mergeCell ref="I30:I32"/>
    <mergeCell ref="I33:I35"/>
    <mergeCell ref="J134:J135"/>
    <mergeCell ref="I136:I138"/>
    <mergeCell ref="I139:I141"/>
    <mergeCell ref="I142:I144"/>
    <mergeCell ref="I133:N133"/>
    <mergeCell ref="B133:F133"/>
    <mergeCell ref="I69:N69"/>
    <mergeCell ref="I70:I71"/>
    <mergeCell ref="J70:J71"/>
    <mergeCell ref="I72:I74"/>
    <mergeCell ref="D70:E70"/>
    <mergeCell ref="D71:E71"/>
    <mergeCell ref="D72:E72"/>
    <mergeCell ref="D73:E73"/>
    <mergeCell ref="D74:E74"/>
    <mergeCell ref="I78:I80"/>
    <mergeCell ref="I81:I83"/>
    <mergeCell ref="I84:I86"/>
    <mergeCell ref="I87:I89"/>
    <mergeCell ref="I75:I77"/>
    <mergeCell ref="I90:I92"/>
    <mergeCell ref="J253:J254"/>
    <mergeCell ref="H253:H254"/>
    <mergeCell ref="I253:I254"/>
    <mergeCell ref="I218:I220"/>
    <mergeCell ref="D196:E196"/>
    <mergeCell ref="D197:E197"/>
    <mergeCell ref="D198:E198"/>
    <mergeCell ref="D199:E199"/>
    <mergeCell ref="D200:E200"/>
    <mergeCell ref="D201:E201"/>
    <mergeCell ref="D202:E202"/>
    <mergeCell ref="D203:E203"/>
    <mergeCell ref="I148:I150"/>
    <mergeCell ref="I145:I147"/>
    <mergeCell ref="I151:I153"/>
    <mergeCell ref="I134:I135"/>
    <mergeCell ref="I93:I95"/>
    <mergeCell ref="I157:I159"/>
    <mergeCell ref="H255:H257"/>
    <mergeCell ref="I255:I257"/>
    <mergeCell ref="B323:Q323"/>
    <mergeCell ref="H264:H266"/>
    <mergeCell ref="I264:I266"/>
    <mergeCell ref="H267:H269"/>
    <mergeCell ref="I267:I269"/>
    <mergeCell ref="H270:H272"/>
    <mergeCell ref="I270:I272"/>
    <mergeCell ref="H258:H263"/>
    <mergeCell ref="I258:I260"/>
    <mergeCell ref="I261:I263"/>
    <mergeCell ref="I276:I278"/>
    <mergeCell ref="D258:E258"/>
    <mergeCell ref="D259:E259"/>
    <mergeCell ref="D260:E260"/>
    <mergeCell ref="I194:N194"/>
    <mergeCell ref="I252:O252"/>
    <mergeCell ref="I154:I156"/>
    <mergeCell ref="I273:I275"/>
    <mergeCell ref="I197:I199"/>
    <mergeCell ref="I200:I202"/>
    <mergeCell ref="I203:I205"/>
    <mergeCell ref="I206:I208"/>
    <mergeCell ref="I209:I211"/>
    <mergeCell ref="I212:I214"/>
    <mergeCell ref="I215:I217"/>
    <mergeCell ref="I36:I38"/>
    <mergeCell ref="I12:N12"/>
    <mergeCell ref="I24:I26"/>
    <mergeCell ref="I27:I29"/>
    <mergeCell ref="D18:E18"/>
    <mergeCell ref="D19:E19"/>
    <mergeCell ref="D20:E20"/>
    <mergeCell ref="D21:E21"/>
    <mergeCell ref="B12:F12"/>
    <mergeCell ref="D13:E13"/>
    <mergeCell ref="D14:E14"/>
    <mergeCell ref="D15:E15"/>
    <mergeCell ref="D16:E16"/>
    <mergeCell ref="D17:E17"/>
    <mergeCell ref="S69:S71"/>
    <mergeCell ref="R69:R71"/>
    <mergeCell ref="R67:Y67"/>
    <mergeCell ref="T68:Y68"/>
    <mergeCell ref="D75:E75"/>
    <mergeCell ref="D76:E76"/>
    <mergeCell ref="D77:E77"/>
    <mergeCell ref="D78:E78"/>
    <mergeCell ref="B69:F69"/>
    <mergeCell ref="T137:Y147"/>
    <mergeCell ref="T148:Y161"/>
    <mergeCell ref="S148:S161"/>
    <mergeCell ref="R148:R161"/>
    <mergeCell ref="T99:Y114"/>
    <mergeCell ref="S99:S114"/>
    <mergeCell ref="T35:Y44"/>
    <mergeCell ref="S35:S44"/>
    <mergeCell ref="R35:R44"/>
    <mergeCell ref="T72:Y82"/>
    <mergeCell ref="S72:S82"/>
    <mergeCell ref="R72:R82"/>
    <mergeCell ref="T83:Y98"/>
    <mergeCell ref="R83:R98"/>
    <mergeCell ref="S83:S98"/>
    <mergeCell ref="R99:R114"/>
    <mergeCell ref="R132:Y132"/>
    <mergeCell ref="T133:Y133"/>
    <mergeCell ref="R134:R136"/>
    <mergeCell ref="S134:S136"/>
    <mergeCell ref="T134:Y136"/>
    <mergeCell ref="R137:R147"/>
    <mergeCell ref="S137:S147"/>
    <mergeCell ref="T69:Y71"/>
    <mergeCell ref="T208:Y216"/>
    <mergeCell ref="T217:Y225"/>
    <mergeCell ref="S217:S225"/>
    <mergeCell ref="R217:R225"/>
    <mergeCell ref="R199:R207"/>
    <mergeCell ref="S199:S207"/>
    <mergeCell ref="T199:Y207"/>
    <mergeCell ref="R194:Y194"/>
    <mergeCell ref="T162:Y181"/>
    <mergeCell ref="S162:S181"/>
    <mergeCell ref="R162:R181"/>
    <mergeCell ref="D261:E261"/>
    <mergeCell ref="B252:F252"/>
    <mergeCell ref="D253:E253"/>
    <mergeCell ref="D254:E254"/>
    <mergeCell ref="D255:E255"/>
    <mergeCell ref="D256:E256"/>
    <mergeCell ref="D257:E257"/>
    <mergeCell ref="T195:Y195"/>
    <mergeCell ref="D134:E134"/>
    <mergeCell ref="D135:E135"/>
    <mergeCell ref="D136:E136"/>
    <mergeCell ref="D137:E137"/>
    <mergeCell ref="D138:E138"/>
    <mergeCell ref="D139:E139"/>
    <mergeCell ref="D140:E140"/>
    <mergeCell ref="D141:E141"/>
    <mergeCell ref="D142:E142"/>
    <mergeCell ref="D195:E195"/>
    <mergeCell ref="B194:F194"/>
    <mergeCell ref="T196:Y198"/>
    <mergeCell ref="S196:S198"/>
    <mergeCell ref="R196:R198"/>
    <mergeCell ref="R208:R216"/>
    <mergeCell ref="S208:S216"/>
  </mergeCells>
  <conditionalFormatting sqref="P70:P91 O72:O89">
    <cfRule type="dataBar" priority="18">
      <dataBar>
        <cfvo type="min"/>
        <cfvo type="max"/>
        <color rgb="FFFF555A"/>
      </dataBar>
      <extLst>
        <ext xmlns:x14="http://schemas.microsoft.com/office/spreadsheetml/2009/9/main" uri="{B025F937-C7B1-47D3-B67F-A62EFF666E3E}">
          <x14:id>{C0BF279A-7CFA-49D9-874C-F748911A8D1C}</x14:id>
        </ext>
      </extLst>
    </cfRule>
  </conditionalFormatting>
  <conditionalFormatting sqref="B33:B65">
    <cfRule type="dataBar" priority="16">
      <dataBar>
        <cfvo type="min"/>
        <cfvo type="max"/>
        <color rgb="FF63C384"/>
      </dataBar>
      <extLst>
        <ext xmlns:x14="http://schemas.microsoft.com/office/spreadsheetml/2009/9/main" uri="{B025F937-C7B1-47D3-B67F-A62EFF666E3E}">
          <x14:id>{4710D71D-D70D-41D4-B4AF-76750AE3D7B8}</x14:id>
        </ext>
      </extLst>
    </cfRule>
    <cfRule type="colorScale" priority="17">
      <colorScale>
        <cfvo type="min"/>
        <cfvo type="max"/>
        <color rgb="FFFCFCFF"/>
        <color rgb="FFF8696B"/>
      </colorScale>
    </cfRule>
  </conditionalFormatting>
  <conditionalFormatting sqref="B132">
    <cfRule type="dataBar" priority="14">
      <dataBar>
        <cfvo type="min"/>
        <cfvo type="max"/>
        <color rgb="FF63C384"/>
      </dataBar>
      <extLst>
        <ext xmlns:x14="http://schemas.microsoft.com/office/spreadsheetml/2009/9/main" uri="{B025F937-C7B1-47D3-B67F-A62EFF666E3E}">
          <x14:id>{79391A3D-3193-4087-92BC-CDAC9B577A24}</x14:id>
        </ext>
      </extLst>
    </cfRule>
    <cfRule type="colorScale" priority="15">
      <colorScale>
        <cfvo type="min"/>
        <cfvo type="max"/>
        <color rgb="FFFCFCFF"/>
        <color rgb="FFF8696B"/>
      </colorScale>
    </cfRule>
  </conditionalFormatting>
  <conditionalFormatting sqref="O222:P249 O197:O214 P196:P221">
    <cfRule type="dataBar" priority="19">
      <dataBar>
        <cfvo type="min"/>
        <cfvo type="max"/>
        <color rgb="FFFF555A"/>
      </dataBar>
      <extLst>
        <ext xmlns:x14="http://schemas.microsoft.com/office/spreadsheetml/2009/9/main" uri="{B025F937-C7B1-47D3-B67F-A62EFF666E3E}">
          <x14:id>{61824C9F-FAA4-445D-A1BC-3A810CF0E8C1}</x14:id>
        </ext>
      </extLst>
    </cfRule>
  </conditionalFormatting>
  <conditionalFormatting sqref="P14:P32 O15:O32">
    <cfRule type="dataBar" priority="20">
      <dataBar>
        <cfvo type="min"/>
        <cfvo type="max"/>
        <color rgb="FFFF555A"/>
      </dataBar>
      <extLst>
        <ext xmlns:x14="http://schemas.microsoft.com/office/spreadsheetml/2009/9/main" uri="{B025F937-C7B1-47D3-B67F-A62EFF666E3E}">
          <x14:id>{F243A6CC-7E45-4426-859A-F14B1CA7BD9D}</x14:id>
        </ext>
      </extLst>
    </cfRule>
  </conditionalFormatting>
  <conditionalFormatting sqref="P255:P272">
    <cfRule type="dataBar" priority="13">
      <dataBar>
        <cfvo type="min"/>
        <cfvo type="max"/>
        <color rgb="FFFF555A"/>
      </dataBar>
      <extLst>
        <ext xmlns:x14="http://schemas.microsoft.com/office/spreadsheetml/2009/9/main" uri="{B025F937-C7B1-47D3-B67F-A62EFF666E3E}">
          <x14:id>{360EA38B-BE35-41D8-9C28-57384539D4AF}</x14:id>
        </ext>
      </extLst>
    </cfRule>
  </conditionalFormatting>
  <conditionalFormatting sqref="O136:P153 O160:P184 P154:P159">
    <cfRule type="dataBar" priority="22">
      <dataBar>
        <cfvo type="min"/>
        <cfvo type="max"/>
        <color rgb="FFFF555A"/>
      </dataBar>
      <extLst>
        <ext xmlns:x14="http://schemas.microsoft.com/office/spreadsheetml/2009/9/main" uri="{B025F937-C7B1-47D3-B67F-A62EFF666E3E}">
          <x14:id>{313A9737-11AB-461C-8002-AE0EC70DCDD2}</x14:id>
        </ext>
      </extLst>
    </cfRule>
  </conditionalFormatting>
  <conditionalFormatting sqref="O33:O35">
    <cfRule type="dataBar" priority="12">
      <dataBar>
        <cfvo type="min"/>
        <cfvo type="max"/>
        <color rgb="FFFF555A"/>
      </dataBar>
      <extLst>
        <ext xmlns:x14="http://schemas.microsoft.com/office/spreadsheetml/2009/9/main" uri="{B025F937-C7B1-47D3-B67F-A62EFF666E3E}">
          <x14:id>{020B2140-739E-4784-9EAC-318086C6DFB8}</x14:id>
        </ext>
      </extLst>
    </cfRule>
  </conditionalFormatting>
  <conditionalFormatting sqref="O90:O92">
    <cfRule type="dataBar" priority="11">
      <dataBar>
        <cfvo type="min"/>
        <cfvo type="max"/>
        <color rgb="FFFF555A"/>
      </dataBar>
      <extLst>
        <ext xmlns:x14="http://schemas.microsoft.com/office/spreadsheetml/2009/9/main" uri="{B025F937-C7B1-47D3-B67F-A62EFF666E3E}">
          <x14:id>{92CACA9D-C524-4BA5-A654-C315E54A4D41}</x14:id>
        </ext>
      </extLst>
    </cfRule>
  </conditionalFormatting>
  <conditionalFormatting sqref="O154:O156">
    <cfRule type="dataBar" priority="10">
      <dataBar>
        <cfvo type="min"/>
        <cfvo type="max"/>
        <color rgb="FFFF555A"/>
      </dataBar>
      <extLst>
        <ext xmlns:x14="http://schemas.microsoft.com/office/spreadsheetml/2009/9/main" uri="{B025F937-C7B1-47D3-B67F-A62EFF666E3E}">
          <x14:id>{C1D06F01-22FB-4C7A-B66C-FF56166C5574}</x14:id>
        </ext>
      </extLst>
    </cfRule>
  </conditionalFormatting>
  <conditionalFormatting sqref="P273:P275 P279">
    <cfRule type="dataBar" priority="9">
      <dataBar>
        <cfvo type="min"/>
        <cfvo type="max"/>
        <color rgb="FFFF555A"/>
      </dataBar>
      <extLst>
        <ext xmlns:x14="http://schemas.microsoft.com/office/spreadsheetml/2009/9/main" uri="{B025F937-C7B1-47D3-B67F-A62EFF666E3E}">
          <x14:id>{D6724C28-3CAD-40FE-B2D2-1353C8BD9D8B}</x14:id>
        </ext>
      </extLst>
    </cfRule>
  </conditionalFormatting>
  <conditionalFormatting sqref="O215:O217 O221">
    <cfRule type="dataBar" priority="8">
      <dataBar>
        <cfvo type="min"/>
        <cfvo type="max"/>
        <color rgb="FFFF555A"/>
      </dataBar>
      <extLst>
        <ext xmlns:x14="http://schemas.microsoft.com/office/spreadsheetml/2009/9/main" uri="{B025F937-C7B1-47D3-B67F-A62EFF666E3E}">
          <x14:id>{4A8A15BD-FED7-4074-BE2A-4B392CB82947}</x14:id>
        </ext>
      </extLst>
    </cfRule>
  </conditionalFormatting>
  <conditionalFormatting sqref="O36:O38">
    <cfRule type="dataBar" priority="7">
      <dataBar>
        <cfvo type="min"/>
        <cfvo type="max"/>
        <color rgb="FFFF555A"/>
      </dataBar>
      <extLst>
        <ext xmlns:x14="http://schemas.microsoft.com/office/spreadsheetml/2009/9/main" uri="{B025F937-C7B1-47D3-B67F-A62EFF666E3E}">
          <x14:id>{25EEA246-FFDC-4698-904B-9E6713D0BE97}</x14:id>
        </ext>
      </extLst>
    </cfRule>
  </conditionalFormatting>
  <conditionalFormatting sqref="O93:O98">
    <cfRule type="dataBar" priority="6">
      <dataBar>
        <cfvo type="min"/>
        <cfvo type="max"/>
        <color rgb="FFFF555A"/>
      </dataBar>
      <extLst>
        <ext xmlns:x14="http://schemas.microsoft.com/office/spreadsheetml/2009/9/main" uri="{B025F937-C7B1-47D3-B67F-A62EFF666E3E}">
          <x14:id>{7FD7CDB6-0184-4579-972F-507733F94304}</x14:id>
        </ext>
      </extLst>
    </cfRule>
  </conditionalFormatting>
  <conditionalFormatting sqref="O157:O159">
    <cfRule type="dataBar" priority="5">
      <dataBar>
        <cfvo type="min"/>
        <cfvo type="max"/>
        <color rgb="FFFF555A"/>
      </dataBar>
      <extLst>
        <ext xmlns:x14="http://schemas.microsoft.com/office/spreadsheetml/2009/9/main" uri="{B025F937-C7B1-47D3-B67F-A62EFF666E3E}">
          <x14:id>{26D0303E-5915-4C1D-B5FC-6650DA96CA07}</x14:id>
        </ext>
      </extLst>
    </cfRule>
  </conditionalFormatting>
  <conditionalFormatting sqref="O218:O220">
    <cfRule type="dataBar" priority="4">
      <dataBar>
        <cfvo type="min"/>
        <cfvo type="max"/>
        <color rgb="FFFF555A"/>
      </dataBar>
      <extLst>
        <ext xmlns:x14="http://schemas.microsoft.com/office/spreadsheetml/2009/9/main" uri="{B025F937-C7B1-47D3-B67F-A62EFF666E3E}">
          <x14:id>{AF5E2763-0136-41B8-B567-1DF81AFDC0EA}</x14:id>
        </ext>
      </extLst>
    </cfRule>
  </conditionalFormatting>
  <conditionalFormatting sqref="I221:N221">
    <cfRule type="dataBar" priority="3">
      <dataBar>
        <cfvo type="min"/>
        <cfvo type="max"/>
        <color rgb="FFFF555A"/>
      </dataBar>
      <extLst>
        <ext xmlns:x14="http://schemas.microsoft.com/office/spreadsheetml/2009/9/main" uri="{B025F937-C7B1-47D3-B67F-A62EFF666E3E}">
          <x14:id>{CB89996C-935A-4FBE-952B-70068DBE2208}</x14:id>
        </ext>
      </extLst>
    </cfRule>
  </conditionalFormatting>
  <conditionalFormatting sqref="P276:P278">
    <cfRule type="dataBar" priority="2">
      <dataBar>
        <cfvo type="min"/>
        <cfvo type="max"/>
        <color rgb="FFFF555A"/>
      </dataBar>
      <extLst>
        <ext xmlns:x14="http://schemas.microsoft.com/office/spreadsheetml/2009/9/main" uri="{B025F937-C7B1-47D3-B67F-A62EFF666E3E}">
          <x14:id>{646B6FA7-363F-4810-BF0A-9B24E961D38C}</x14:id>
        </ext>
      </extLst>
    </cfRule>
  </conditionalFormatting>
  <conditionalFormatting sqref="R226:Z243">
    <cfRule type="dataBar" priority="1">
      <dataBar>
        <cfvo type="min"/>
        <cfvo type="max"/>
        <color rgb="FFFF555A"/>
      </dataBar>
      <extLst>
        <ext xmlns:x14="http://schemas.microsoft.com/office/spreadsheetml/2009/9/main" uri="{B025F937-C7B1-47D3-B67F-A62EFF666E3E}">
          <x14:id>{F324D215-C8F5-4583-B9C6-4946F6C12B48}</x14:id>
        </ext>
      </extLst>
    </cfRule>
  </conditionalFormatting>
  <pageMargins left="0.39370078740157483" right="0.39370078740157483" top="0.39370078740157483" bottom="0.39370078740157483" header="0.31496062992125984" footer="0.31496062992125984"/>
  <pageSetup scale="60" orientation="portrait" r:id="rId1"/>
  <drawing r:id="rId2"/>
  <extLst>
    <ext xmlns:x14="http://schemas.microsoft.com/office/spreadsheetml/2009/9/main" uri="{78C0D931-6437-407d-A8EE-F0AAD7539E65}">
      <x14:conditionalFormattings>
        <x14:conditionalFormatting xmlns:xm="http://schemas.microsoft.com/office/excel/2006/main">
          <x14:cfRule type="dataBar" id="{C0BF279A-7CFA-49D9-874C-F748911A8D1C}">
            <x14:dataBar minLength="0" maxLength="100" border="1" negativeBarBorderColorSameAsPositive="0">
              <x14:cfvo type="autoMin"/>
              <x14:cfvo type="autoMax"/>
              <x14:borderColor rgb="FFFF555A"/>
              <x14:negativeFillColor rgb="FFFF0000"/>
              <x14:negativeBorderColor rgb="FFFF0000"/>
              <x14:axisColor rgb="FF000000"/>
            </x14:dataBar>
          </x14:cfRule>
          <xm:sqref>P70:P91 O72:O89</xm:sqref>
        </x14:conditionalFormatting>
        <x14:conditionalFormatting xmlns:xm="http://schemas.microsoft.com/office/excel/2006/main">
          <x14:cfRule type="dataBar" id="{4710D71D-D70D-41D4-B4AF-76750AE3D7B8}">
            <x14:dataBar minLength="0" maxLength="100" border="1" negativeBarBorderColorSameAsPositive="0">
              <x14:cfvo type="autoMin"/>
              <x14:cfvo type="autoMax"/>
              <x14:borderColor rgb="FF63C384"/>
              <x14:negativeFillColor rgb="FFFF0000"/>
              <x14:negativeBorderColor rgb="FFFF0000"/>
              <x14:axisColor rgb="FF000000"/>
            </x14:dataBar>
          </x14:cfRule>
          <xm:sqref>B33:B65</xm:sqref>
        </x14:conditionalFormatting>
        <x14:conditionalFormatting xmlns:xm="http://schemas.microsoft.com/office/excel/2006/main">
          <x14:cfRule type="dataBar" id="{79391A3D-3193-4087-92BC-CDAC9B577A24}">
            <x14:dataBar minLength="0" maxLength="100" border="1" negativeBarBorderColorSameAsPositive="0">
              <x14:cfvo type="autoMin"/>
              <x14:cfvo type="autoMax"/>
              <x14:borderColor rgb="FF63C384"/>
              <x14:negativeFillColor rgb="FFFF0000"/>
              <x14:negativeBorderColor rgb="FFFF0000"/>
              <x14:axisColor rgb="FF000000"/>
            </x14:dataBar>
          </x14:cfRule>
          <xm:sqref>B132</xm:sqref>
        </x14:conditionalFormatting>
        <x14:conditionalFormatting xmlns:xm="http://schemas.microsoft.com/office/excel/2006/main">
          <x14:cfRule type="dataBar" id="{61824C9F-FAA4-445D-A1BC-3A810CF0E8C1}">
            <x14:dataBar minLength="0" maxLength="100" border="1" negativeBarBorderColorSameAsPositive="0">
              <x14:cfvo type="autoMin"/>
              <x14:cfvo type="autoMax"/>
              <x14:borderColor rgb="FFFF555A"/>
              <x14:negativeFillColor rgb="FFFF0000"/>
              <x14:negativeBorderColor rgb="FFFF0000"/>
              <x14:axisColor rgb="FF000000"/>
            </x14:dataBar>
          </x14:cfRule>
          <xm:sqref>O222:P249 O197:O214 P196:P221</xm:sqref>
        </x14:conditionalFormatting>
        <x14:conditionalFormatting xmlns:xm="http://schemas.microsoft.com/office/excel/2006/main">
          <x14:cfRule type="dataBar" id="{F243A6CC-7E45-4426-859A-F14B1CA7BD9D}">
            <x14:dataBar minLength="0" maxLength="100" border="1" negativeBarBorderColorSameAsPositive="0">
              <x14:cfvo type="autoMin"/>
              <x14:cfvo type="autoMax"/>
              <x14:borderColor rgb="FFFF555A"/>
              <x14:negativeFillColor rgb="FFFF0000"/>
              <x14:negativeBorderColor rgb="FFFF0000"/>
              <x14:axisColor rgb="FF000000"/>
            </x14:dataBar>
          </x14:cfRule>
          <xm:sqref>P14:P32 O15:O32</xm:sqref>
        </x14:conditionalFormatting>
        <x14:conditionalFormatting xmlns:xm="http://schemas.microsoft.com/office/excel/2006/main">
          <x14:cfRule type="dataBar" id="{360EA38B-BE35-41D8-9C28-57384539D4AF}">
            <x14:dataBar minLength="0" maxLength="100" border="1" negativeBarBorderColorSameAsPositive="0">
              <x14:cfvo type="autoMin"/>
              <x14:cfvo type="autoMax"/>
              <x14:borderColor rgb="FFFF555A"/>
              <x14:negativeFillColor rgb="FFFF0000"/>
              <x14:negativeBorderColor rgb="FFFF0000"/>
              <x14:axisColor rgb="FF000000"/>
            </x14:dataBar>
          </x14:cfRule>
          <xm:sqref>P255:P272</xm:sqref>
        </x14:conditionalFormatting>
        <x14:conditionalFormatting xmlns:xm="http://schemas.microsoft.com/office/excel/2006/main">
          <x14:cfRule type="dataBar" id="{313A9737-11AB-461C-8002-AE0EC70DCDD2}">
            <x14:dataBar minLength="0" maxLength="100" border="1" negativeBarBorderColorSameAsPositive="0">
              <x14:cfvo type="autoMin"/>
              <x14:cfvo type="autoMax"/>
              <x14:borderColor rgb="FFFF555A"/>
              <x14:negativeFillColor rgb="FFFF0000"/>
              <x14:negativeBorderColor rgb="FFFF0000"/>
              <x14:axisColor rgb="FF000000"/>
            </x14:dataBar>
          </x14:cfRule>
          <xm:sqref>O136:P153 O160:P184 P154:P159</xm:sqref>
        </x14:conditionalFormatting>
        <x14:conditionalFormatting xmlns:xm="http://schemas.microsoft.com/office/excel/2006/main">
          <x14:cfRule type="dataBar" id="{020B2140-739E-4784-9EAC-318086C6DFB8}">
            <x14:dataBar minLength="0" maxLength="100" border="1" negativeBarBorderColorSameAsPositive="0">
              <x14:cfvo type="autoMin"/>
              <x14:cfvo type="autoMax"/>
              <x14:borderColor rgb="FFFF555A"/>
              <x14:negativeFillColor rgb="FFFF0000"/>
              <x14:negativeBorderColor rgb="FFFF0000"/>
              <x14:axisColor rgb="FF000000"/>
            </x14:dataBar>
          </x14:cfRule>
          <xm:sqref>O33:O35</xm:sqref>
        </x14:conditionalFormatting>
        <x14:conditionalFormatting xmlns:xm="http://schemas.microsoft.com/office/excel/2006/main">
          <x14:cfRule type="dataBar" id="{92CACA9D-C524-4BA5-A654-C315E54A4D41}">
            <x14:dataBar minLength="0" maxLength="100" border="1" negativeBarBorderColorSameAsPositive="0">
              <x14:cfvo type="autoMin"/>
              <x14:cfvo type="autoMax"/>
              <x14:borderColor rgb="FFFF555A"/>
              <x14:negativeFillColor rgb="FFFF0000"/>
              <x14:negativeBorderColor rgb="FFFF0000"/>
              <x14:axisColor rgb="FF000000"/>
            </x14:dataBar>
          </x14:cfRule>
          <xm:sqref>O90:O92</xm:sqref>
        </x14:conditionalFormatting>
        <x14:conditionalFormatting xmlns:xm="http://schemas.microsoft.com/office/excel/2006/main">
          <x14:cfRule type="dataBar" id="{C1D06F01-22FB-4C7A-B66C-FF56166C5574}">
            <x14:dataBar minLength="0" maxLength="100" border="1" negativeBarBorderColorSameAsPositive="0">
              <x14:cfvo type="autoMin"/>
              <x14:cfvo type="autoMax"/>
              <x14:borderColor rgb="FFFF555A"/>
              <x14:negativeFillColor rgb="FFFF0000"/>
              <x14:negativeBorderColor rgb="FFFF0000"/>
              <x14:axisColor rgb="FF000000"/>
            </x14:dataBar>
          </x14:cfRule>
          <xm:sqref>O154:O156</xm:sqref>
        </x14:conditionalFormatting>
        <x14:conditionalFormatting xmlns:xm="http://schemas.microsoft.com/office/excel/2006/main">
          <x14:cfRule type="dataBar" id="{D6724C28-3CAD-40FE-B2D2-1353C8BD9D8B}">
            <x14:dataBar minLength="0" maxLength="100" border="1" negativeBarBorderColorSameAsPositive="0">
              <x14:cfvo type="autoMin"/>
              <x14:cfvo type="autoMax"/>
              <x14:borderColor rgb="FFFF555A"/>
              <x14:negativeFillColor rgb="FFFF0000"/>
              <x14:negativeBorderColor rgb="FFFF0000"/>
              <x14:axisColor rgb="FF000000"/>
            </x14:dataBar>
          </x14:cfRule>
          <xm:sqref>P273:P275 P279</xm:sqref>
        </x14:conditionalFormatting>
        <x14:conditionalFormatting xmlns:xm="http://schemas.microsoft.com/office/excel/2006/main">
          <x14:cfRule type="dataBar" id="{4A8A15BD-FED7-4074-BE2A-4B392CB82947}">
            <x14:dataBar minLength="0" maxLength="100" border="1" negativeBarBorderColorSameAsPositive="0">
              <x14:cfvo type="autoMin"/>
              <x14:cfvo type="autoMax"/>
              <x14:borderColor rgb="FFFF555A"/>
              <x14:negativeFillColor rgb="FFFF0000"/>
              <x14:negativeBorderColor rgb="FFFF0000"/>
              <x14:axisColor rgb="FF000000"/>
            </x14:dataBar>
          </x14:cfRule>
          <xm:sqref>O215:O217 O221</xm:sqref>
        </x14:conditionalFormatting>
        <x14:conditionalFormatting xmlns:xm="http://schemas.microsoft.com/office/excel/2006/main">
          <x14:cfRule type="dataBar" id="{25EEA246-FFDC-4698-904B-9E6713D0BE97}">
            <x14:dataBar minLength="0" maxLength="100" border="1" negativeBarBorderColorSameAsPositive="0">
              <x14:cfvo type="autoMin"/>
              <x14:cfvo type="autoMax"/>
              <x14:borderColor rgb="FFFF555A"/>
              <x14:negativeFillColor rgb="FFFF0000"/>
              <x14:negativeBorderColor rgb="FFFF0000"/>
              <x14:axisColor rgb="FF000000"/>
            </x14:dataBar>
          </x14:cfRule>
          <xm:sqref>O36:O38</xm:sqref>
        </x14:conditionalFormatting>
        <x14:conditionalFormatting xmlns:xm="http://schemas.microsoft.com/office/excel/2006/main">
          <x14:cfRule type="dataBar" id="{7FD7CDB6-0184-4579-972F-507733F94304}">
            <x14:dataBar minLength="0" maxLength="100" border="1" negativeBarBorderColorSameAsPositive="0">
              <x14:cfvo type="autoMin"/>
              <x14:cfvo type="autoMax"/>
              <x14:borderColor rgb="FFFF555A"/>
              <x14:negativeFillColor rgb="FFFF0000"/>
              <x14:negativeBorderColor rgb="FFFF0000"/>
              <x14:axisColor rgb="FF000000"/>
            </x14:dataBar>
          </x14:cfRule>
          <xm:sqref>O93:O98</xm:sqref>
        </x14:conditionalFormatting>
        <x14:conditionalFormatting xmlns:xm="http://schemas.microsoft.com/office/excel/2006/main">
          <x14:cfRule type="dataBar" id="{26D0303E-5915-4C1D-B5FC-6650DA96CA07}">
            <x14:dataBar minLength="0" maxLength="100" border="1" negativeBarBorderColorSameAsPositive="0">
              <x14:cfvo type="autoMin"/>
              <x14:cfvo type="autoMax"/>
              <x14:borderColor rgb="FFFF555A"/>
              <x14:negativeFillColor rgb="FFFF0000"/>
              <x14:negativeBorderColor rgb="FFFF0000"/>
              <x14:axisColor rgb="FF000000"/>
            </x14:dataBar>
          </x14:cfRule>
          <xm:sqref>O157:O159</xm:sqref>
        </x14:conditionalFormatting>
        <x14:conditionalFormatting xmlns:xm="http://schemas.microsoft.com/office/excel/2006/main">
          <x14:cfRule type="dataBar" id="{AF5E2763-0136-41B8-B567-1DF81AFDC0EA}">
            <x14:dataBar minLength="0" maxLength="100" border="1" negativeBarBorderColorSameAsPositive="0">
              <x14:cfvo type="autoMin"/>
              <x14:cfvo type="autoMax"/>
              <x14:borderColor rgb="FFFF555A"/>
              <x14:negativeFillColor rgb="FFFF0000"/>
              <x14:negativeBorderColor rgb="FFFF0000"/>
              <x14:axisColor rgb="FF000000"/>
            </x14:dataBar>
          </x14:cfRule>
          <xm:sqref>O218:O220</xm:sqref>
        </x14:conditionalFormatting>
        <x14:conditionalFormatting xmlns:xm="http://schemas.microsoft.com/office/excel/2006/main">
          <x14:cfRule type="dataBar" id="{CB89996C-935A-4FBE-952B-70068DBE2208}">
            <x14:dataBar minLength="0" maxLength="100" border="1" negativeBarBorderColorSameAsPositive="0">
              <x14:cfvo type="autoMin"/>
              <x14:cfvo type="autoMax"/>
              <x14:borderColor rgb="FFFF555A"/>
              <x14:negativeFillColor rgb="FFFF0000"/>
              <x14:negativeBorderColor rgb="FFFF0000"/>
              <x14:axisColor rgb="FF000000"/>
            </x14:dataBar>
          </x14:cfRule>
          <xm:sqref>I221:N221</xm:sqref>
        </x14:conditionalFormatting>
        <x14:conditionalFormatting xmlns:xm="http://schemas.microsoft.com/office/excel/2006/main">
          <x14:cfRule type="dataBar" id="{646B6FA7-363F-4810-BF0A-9B24E961D38C}">
            <x14:dataBar minLength="0" maxLength="100" border="1" negativeBarBorderColorSameAsPositive="0">
              <x14:cfvo type="autoMin"/>
              <x14:cfvo type="autoMax"/>
              <x14:borderColor rgb="FFFF555A"/>
              <x14:negativeFillColor rgb="FFFF0000"/>
              <x14:negativeBorderColor rgb="FFFF0000"/>
              <x14:axisColor rgb="FF000000"/>
            </x14:dataBar>
          </x14:cfRule>
          <xm:sqref>P276:P278</xm:sqref>
        </x14:conditionalFormatting>
        <x14:conditionalFormatting xmlns:xm="http://schemas.microsoft.com/office/excel/2006/main">
          <x14:cfRule type="dataBar" id="{F324D215-C8F5-4583-B9C6-4946F6C12B48}">
            <x14:dataBar minLength="0" maxLength="100" border="1" negativeBarBorderColorSameAsPositive="0">
              <x14:cfvo type="autoMin"/>
              <x14:cfvo type="autoMax"/>
              <x14:borderColor rgb="FFFF555A"/>
              <x14:negativeFillColor rgb="FFFF0000"/>
              <x14:negativeBorderColor rgb="FFFF0000"/>
              <x14:axisColor rgb="FF000000"/>
            </x14:dataBar>
          </x14:cfRule>
          <xm:sqref>R226:Z243</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7ABAD74F-559A-41E5-86A8-2570191765E3}">
          <x14:formula1>
            <xm:f>PGLOBAL!#REF!</xm:f>
          </x14:formula1>
          <xm:sqref>E8:E10</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6"/>
  <dimension ref="A1:CE366"/>
  <sheetViews>
    <sheetView zoomScale="60" zoomScaleNormal="60" workbookViewId="0">
      <pane xSplit="1" ySplit="9" topLeftCell="B334" activePane="bottomRight" state="frozen"/>
      <selection activeCell="AW12" sqref="AW12"/>
      <selection pane="topRight" activeCell="AW12" sqref="AW12"/>
      <selection pane="bottomLeft" activeCell="AW12" sqref="AW12"/>
      <selection pane="bottomRight" activeCell="G244" sqref="G244"/>
    </sheetView>
  </sheetViews>
  <sheetFormatPr baseColWidth="10" defaultColWidth="9.109375" defaultRowHeight="13.2" x14ac:dyDescent="0.25"/>
  <cols>
    <col min="1" max="1" width="52.6640625" customWidth="1"/>
    <col min="2" max="2" width="16.6640625" customWidth="1"/>
    <col min="3" max="3" width="11" customWidth="1"/>
    <col min="4" max="4" width="9.5546875" customWidth="1"/>
    <col min="5" max="5" width="9" customWidth="1"/>
    <col min="6" max="6" width="10.5546875" style="53" customWidth="1"/>
    <col min="7" max="7" width="10.44140625" style="53" customWidth="1"/>
    <col min="8" max="8" width="12.33203125" style="53" customWidth="1"/>
    <col min="9" max="9" width="11.109375" style="53" customWidth="1"/>
    <col min="10" max="10" width="13.5546875" style="53" customWidth="1"/>
    <col min="11" max="11" width="14.6640625" style="53" customWidth="1"/>
    <col min="12" max="12" width="12.88671875" style="53" customWidth="1"/>
    <col min="13" max="13" width="10" customWidth="1"/>
    <col min="14" max="14" width="10.88671875" customWidth="1"/>
    <col min="15" max="15" width="11.33203125" style="53" customWidth="1"/>
    <col min="16" max="16" width="10.88671875" style="53" customWidth="1"/>
    <col min="17" max="17" width="10" style="53" customWidth="1"/>
    <col min="18" max="18" width="11.88671875" style="53" customWidth="1"/>
    <col min="19" max="19" width="12.33203125" style="53" customWidth="1"/>
    <col min="20" max="20" width="15.88671875" style="53" customWidth="1"/>
    <col min="21" max="21" width="14.44140625" style="53" customWidth="1"/>
    <col min="22" max="22" width="11.109375" customWidth="1"/>
    <col min="23" max="23" width="9.6640625" customWidth="1"/>
    <col min="24" max="25" width="7.33203125" style="100" customWidth="1"/>
    <col min="26" max="26" width="10.44140625" style="100" customWidth="1"/>
    <col min="27" max="27" width="7.33203125" style="100" customWidth="1"/>
    <col min="28" max="28" width="16.5546875" style="100" customWidth="1"/>
    <col min="29" max="29" width="14.44140625" style="100" customWidth="1"/>
    <col min="30" max="30" width="13" style="100" customWidth="1"/>
    <col min="31" max="31" width="5.44140625" customWidth="1"/>
    <col min="32" max="32" width="8" customWidth="1"/>
    <col min="33" max="36" width="8" style="53" customWidth="1"/>
    <col min="37" max="37" width="14.6640625" style="53" customWidth="1"/>
    <col min="38" max="38" width="13.33203125" style="53" customWidth="1"/>
    <col min="39" max="39" width="13.44140625" style="53" customWidth="1"/>
    <col min="40" max="40" width="11.44140625" customWidth="1"/>
    <col min="41" max="41" width="11" customWidth="1"/>
    <col min="42" max="42" width="11.44140625" customWidth="1"/>
    <col min="43" max="43" width="10.44140625" customWidth="1"/>
    <col min="44" max="44" width="11.5546875" customWidth="1"/>
    <col min="45" max="45" width="11.33203125" customWidth="1"/>
    <col min="46" max="46" width="16.5546875" customWidth="1"/>
    <col min="47" max="47" width="14.6640625" customWidth="1"/>
    <col min="48" max="48" width="15" customWidth="1"/>
    <col min="49" max="49" width="9.5546875" bestFit="1" customWidth="1"/>
    <col min="50" max="50" width="9.109375" style="336"/>
    <col min="51" max="51" width="9.21875" bestFit="1" customWidth="1"/>
    <col min="52" max="52" width="9.109375" style="336"/>
    <col min="57" max="57" width="17.88671875" customWidth="1"/>
    <col min="58" max="58" width="16.6640625" customWidth="1"/>
    <col min="59" max="59" width="17.6640625" customWidth="1"/>
  </cols>
  <sheetData>
    <row r="1" spans="1:83" x14ac:dyDescent="0.25">
      <c r="A1" s="739"/>
      <c r="B1" s="739"/>
      <c r="C1" s="739"/>
      <c r="D1" s="739"/>
      <c r="E1" s="739"/>
      <c r="F1" s="739"/>
      <c r="G1" s="739"/>
      <c r="H1" s="739"/>
      <c r="I1" s="739"/>
      <c r="J1" s="739"/>
      <c r="K1" s="739"/>
      <c r="L1" s="739"/>
      <c r="M1" s="739"/>
      <c r="N1" s="739"/>
    </row>
    <row r="3" spans="1:83" x14ac:dyDescent="0.25">
      <c r="A3" s="739"/>
      <c r="B3" s="739"/>
      <c r="C3" s="739"/>
      <c r="D3" s="739"/>
      <c r="E3" s="739"/>
      <c r="F3" s="739"/>
      <c r="G3" s="739"/>
      <c r="H3" s="739"/>
      <c r="I3" s="739"/>
      <c r="J3" s="739"/>
      <c r="K3" s="739"/>
      <c r="L3" s="739"/>
      <c r="M3" s="739"/>
      <c r="N3" s="739"/>
    </row>
    <row r="4" spans="1:83" x14ac:dyDescent="0.25">
      <c r="A4" s="739"/>
      <c r="B4" s="739"/>
      <c r="C4" s="739"/>
      <c r="D4" s="739"/>
      <c r="E4" s="739"/>
      <c r="F4" s="739"/>
      <c r="G4" s="739"/>
      <c r="H4" s="739"/>
      <c r="I4" s="739"/>
      <c r="J4" s="739"/>
      <c r="K4" s="739"/>
      <c r="L4" s="739"/>
      <c r="M4" s="739"/>
      <c r="N4" s="739"/>
    </row>
    <row r="5" spans="1:83" x14ac:dyDescent="0.25">
      <c r="A5">
        <v>1</v>
      </c>
      <c r="B5" s="129">
        <v>2</v>
      </c>
      <c r="C5" s="129">
        <v>3</v>
      </c>
      <c r="D5" s="219">
        <v>4</v>
      </c>
      <c r="E5" s="219">
        <v>5</v>
      </c>
      <c r="F5" s="219">
        <v>6</v>
      </c>
      <c r="G5" s="219">
        <v>7</v>
      </c>
      <c r="H5" s="219">
        <v>8</v>
      </c>
      <c r="I5" s="219">
        <v>9</v>
      </c>
      <c r="J5" s="219">
        <v>10</v>
      </c>
      <c r="K5" s="219">
        <v>11</v>
      </c>
      <c r="L5" s="219">
        <v>12</v>
      </c>
      <c r="M5" s="219">
        <v>13</v>
      </c>
      <c r="N5" s="219">
        <v>14</v>
      </c>
      <c r="O5" s="219">
        <v>15</v>
      </c>
      <c r="P5" s="219">
        <v>16</v>
      </c>
      <c r="Q5" s="219">
        <v>17</v>
      </c>
      <c r="R5" s="219">
        <v>18</v>
      </c>
      <c r="S5" s="219">
        <v>19</v>
      </c>
      <c r="T5" s="219">
        <v>20</v>
      </c>
      <c r="U5" s="219">
        <v>21</v>
      </c>
      <c r="V5" s="219">
        <v>22</v>
      </c>
      <c r="W5" s="219">
        <v>23</v>
      </c>
      <c r="X5" s="219">
        <v>24</v>
      </c>
      <c r="Y5" s="219">
        <v>25</v>
      </c>
      <c r="Z5" s="219">
        <v>26</v>
      </c>
      <c r="AA5" s="219">
        <v>27</v>
      </c>
      <c r="AB5" s="219">
        <v>28</v>
      </c>
      <c r="AC5" s="219">
        <v>29</v>
      </c>
      <c r="AD5" s="219">
        <v>30</v>
      </c>
      <c r="AE5" s="219">
        <v>31</v>
      </c>
      <c r="AF5" s="219">
        <v>32</v>
      </c>
      <c r="AG5" s="219">
        <v>33</v>
      </c>
      <c r="AH5" s="219">
        <v>34</v>
      </c>
      <c r="AI5" s="219">
        <v>35</v>
      </c>
      <c r="AJ5" s="219">
        <v>36</v>
      </c>
      <c r="AK5" s="219">
        <v>37</v>
      </c>
      <c r="AL5" s="219">
        <v>38</v>
      </c>
      <c r="AM5" s="219">
        <v>39</v>
      </c>
      <c r="AN5" s="219">
        <v>40</v>
      </c>
      <c r="AO5" s="219">
        <v>41</v>
      </c>
      <c r="AP5" s="219">
        <v>42</v>
      </c>
      <c r="AQ5" s="219">
        <v>43</v>
      </c>
      <c r="AR5" s="219">
        <v>44</v>
      </c>
      <c r="AS5" s="219">
        <v>45</v>
      </c>
      <c r="AT5" s="219">
        <v>46</v>
      </c>
      <c r="AU5" s="219">
        <v>47</v>
      </c>
      <c r="AV5" s="219">
        <v>48</v>
      </c>
      <c r="AW5" s="219">
        <v>49</v>
      </c>
      <c r="AX5" s="336">
        <v>50</v>
      </c>
      <c r="AY5" s="219">
        <v>51</v>
      </c>
      <c r="AZ5" s="336">
        <v>52</v>
      </c>
      <c r="BA5">
        <v>53</v>
      </c>
      <c r="BB5">
        <v>54</v>
      </c>
      <c r="BC5">
        <v>55</v>
      </c>
      <c r="BD5">
        <v>56</v>
      </c>
      <c r="BE5">
        <v>57</v>
      </c>
      <c r="BF5">
        <v>58</v>
      </c>
      <c r="BG5">
        <v>59</v>
      </c>
      <c r="BH5">
        <v>60</v>
      </c>
      <c r="BI5">
        <v>61</v>
      </c>
      <c r="BJ5">
        <v>62</v>
      </c>
      <c r="BK5">
        <v>63</v>
      </c>
      <c r="BL5">
        <v>64</v>
      </c>
      <c r="BM5">
        <v>65</v>
      </c>
      <c r="BN5">
        <v>66</v>
      </c>
      <c r="BO5">
        <v>67</v>
      </c>
      <c r="BP5">
        <v>68</v>
      </c>
      <c r="BQ5">
        <v>69</v>
      </c>
      <c r="BR5">
        <v>70</v>
      </c>
      <c r="BS5" s="624">
        <v>71</v>
      </c>
      <c r="BT5" s="624">
        <v>72</v>
      </c>
      <c r="BU5" s="624">
        <v>73</v>
      </c>
      <c r="BV5" s="624">
        <v>74</v>
      </c>
      <c r="BW5" s="624">
        <v>75</v>
      </c>
      <c r="BX5" s="624">
        <v>76</v>
      </c>
      <c r="BY5" s="624">
        <v>77</v>
      </c>
      <c r="BZ5" s="624">
        <v>78</v>
      </c>
      <c r="CA5" s="624">
        <v>79</v>
      </c>
      <c r="CB5" s="624">
        <v>80</v>
      </c>
      <c r="CC5" s="624">
        <v>81</v>
      </c>
    </row>
    <row r="7" spans="1:83" x14ac:dyDescent="0.25">
      <c r="A7" s="737" t="s">
        <v>5</v>
      </c>
      <c r="B7" s="737" t="s">
        <v>244</v>
      </c>
      <c r="C7" s="737" t="s">
        <v>245</v>
      </c>
      <c r="D7" s="733">
        <v>2016</v>
      </c>
      <c r="E7" s="735"/>
      <c r="F7" s="735"/>
      <c r="G7" s="735"/>
      <c r="H7" s="735"/>
      <c r="I7" s="735"/>
      <c r="J7" s="735"/>
      <c r="K7" s="735"/>
      <c r="L7" s="734"/>
      <c r="M7" s="733">
        <v>2017</v>
      </c>
      <c r="N7" s="735"/>
      <c r="O7" s="735"/>
      <c r="P7" s="735"/>
      <c r="Q7" s="735"/>
      <c r="R7" s="735"/>
      <c r="S7" s="735"/>
      <c r="T7" s="735"/>
      <c r="U7" s="734"/>
      <c r="V7" s="736">
        <v>2018</v>
      </c>
      <c r="W7" s="737"/>
      <c r="X7" s="737"/>
      <c r="Y7" s="737"/>
      <c r="Z7" s="737"/>
      <c r="AA7" s="737"/>
      <c r="AB7" s="737"/>
      <c r="AC7" s="737"/>
      <c r="AD7" s="737"/>
      <c r="AE7" s="736">
        <v>2019</v>
      </c>
      <c r="AF7" s="737"/>
      <c r="AG7" s="737"/>
      <c r="AH7" s="737"/>
      <c r="AI7" s="737"/>
      <c r="AJ7" s="737"/>
      <c r="AK7" s="737"/>
      <c r="AL7" s="737"/>
      <c r="AM7" s="737"/>
      <c r="AN7" s="736">
        <v>2020</v>
      </c>
      <c r="AO7" s="737"/>
      <c r="AP7" s="737"/>
      <c r="AQ7" s="737"/>
      <c r="AR7" s="737"/>
      <c r="AS7" s="737"/>
      <c r="AT7" s="737"/>
      <c r="AU7" s="737"/>
      <c r="AV7" s="737"/>
      <c r="AW7" s="736">
        <v>2021</v>
      </c>
      <c r="AX7" s="737"/>
      <c r="AY7" s="737"/>
      <c r="AZ7" s="737"/>
      <c r="BA7" s="737"/>
      <c r="BB7" s="737"/>
      <c r="BC7" s="737"/>
      <c r="BD7" s="737"/>
      <c r="BE7" s="737"/>
      <c r="BF7" s="737"/>
      <c r="BG7" s="737"/>
      <c r="BH7" s="736">
        <v>2022</v>
      </c>
      <c r="BI7" s="737"/>
      <c r="BJ7" s="737"/>
      <c r="BK7" s="737"/>
      <c r="BL7" s="737"/>
      <c r="BM7" s="737"/>
      <c r="BN7" s="737"/>
      <c r="BO7" s="737"/>
      <c r="BP7" s="737"/>
      <c r="BQ7" s="737"/>
      <c r="BR7" s="737"/>
      <c r="BS7" s="736">
        <v>2023</v>
      </c>
      <c r="BT7" s="737"/>
      <c r="BU7" s="737"/>
      <c r="BV7" s="737"/>
      <c r="BW7" s="737"/>
      <c r="BX7" s="737"/>
      <c r="BY7" s="737"/>
      <c r="BZ7" s="737"/>
      <c r="CA7" s="737"/>
      <c r="CB7" s="737"/>
      <c r="CC7" s="737"/>
    </row>
    <row r="8" spans="1:83" ht="38.25" customHeight="1" x14ac:dyDescent="0.25">
      <c r="A8" s="737"/>
      <c r="B8" s="737"/>
      <c r="C8" s="737"/>
      <c r="D8" s="864" t="s">
        <v>219</v>
      </c>
      <c r="E8" s="862" t="s">
        <v>218</v>
      </c>
      <c r="F8" s="860" t="s">
        <v>282</v>
      </c>
      <c r="G8" s="739"/>
      <c r="H8" s="739"/>
      <c r="I8" s="739"/>
      <c r="J8" s="860" t="s">
        <v>283</v>
      </c>
      <c r="K8" s="739"/>
      <c r="L8" s="739"/>
      <c r="M8" s="864" t="s">
        <v>219</v>
      </c>
      <c r="N8" s="862" t="s">
        <v>218</v>
      </c>
      <c r="O8" s="866" t="s">
        <v>282</v>
      </c>
      <c r="P8" s="867"/>
      <c r="Q8" s="867"/>
      <c r="R8" s="867"/>
      <c r="S8" s="866" t="s">
        <v>283</v>
      </c>
      <c r="T8" s="867"/>
      <c r="U8" s="867"/>
      <c r="V8" s="868" t="s">
        <v>219</v>
      </c>
      <c r="W8" s="854" t="s">
        <v>218</v>
      </c>
      <c r="X8" s="860" t="s">
        <v>282</v>
      </c>
      <c r="Y8" s="739"/>
      <c r="Z8" s="739"/>
      <c r="AA8" s="739"/>
      <c r="AB8" s="860" t="s">
        <v>283</v>
      </c>
      <c r="AC8" s="739"/>
      <c r="AD8" s="739"/>
      <c r="AE8" s="869" t="s">
        <v>219</v>
      </c>
      <c r="AF8" s="871" t="s">
        <v>218</v>
      </c>
      <c r="AG8" s="860" t="s">
        <v>282</v>
      </c>
      <c r="AH8" s="739"/>
      <c r="AI8" s="739"/>
      <c r="AJ8" s="739"/>
      <c r="AK8" s="860" t="s">
        <v>283</v>
      </c>
      <c r="AL8" s="739"/>
      <c r="AM8" s="739"/>
      <c r="AN8" s="868" t="s">
        <v>219</v>
      </c>
      <c r="AO8" s="854" t="s">
        <v>218</v>
      </c>
      <c r="AP8" s="860" t="s">
        <v>282</v>
      </c>
      <c r="AQ8" s="739"/>
      <c r="AR8" s="739"/>
      <c r="AS8" s="739"/>
      <c r="AT8" s="860" t="s">
        <v>283</v>
      </c>
      <c r="AU8" s="739"/>
      <c r="AV8" s="739"/>
      <c r="AW8" s="868" t="s">
        <v>219</v>
      </c>
      <c r="AX8" s="854" t="s">
        <v>916</v>
      </c>
      <c r="AY8" s="854" t="s">
        <v>218</v>
      </c>
      <c r="AZ8" s="854" t="s">
        <v>917</v>
      </c>
      <c r="BA8" s="860" t="s">
        <v>282</v>
      </c>
      <c r="BB8" s="739"/>
      <c r="BC8" s="739"/>
      <c r="BD8" s="739"/>
      <c r="BE8" s="860" t="s">
        <v>283</v>
      </c>
      <c r="BF8" s="739"/>
      <c r="BG8" s="739"/>
      <c r="BH8" s="868" t="s">
        <v>219</v>
      </c>
      <c r="BI8" s="854" t="s">
        <v>916</v>
      </c>
      <c r="BJ8" s="854" t="s">
        <v>218</v>
      </c>
      <c r="BK8" s="854" t="s">
        <v>917</v>
      </c>
      <c r="BL8" s="860" t="s">
        <v>282</v>
      </c>
      <c r="BM8" s="739"/>
      <c r="BN8" s="739"/>
      <c r="BO8" s="739"/>
      <c r="BP8" s="860" t="s">
        <v>283</v>
      </c>
      <c r="BQ8" s="739"/>
      <c r="BR8" s="739"/>
      <c r="BS8" s="868" t="s">
        <v>219</v>
      </c>
      <c r="BT8" s="854" t="s">
        <v>916</v>
      </c>
      <c r="BU8" s="854" t="s">
        <v>218</v>
      </c>
      <c r="BV8" s="854" t="s">
        <v>917</v>
      </c>
      <c r="BW8" s="860" t="s">
        <v>282</v>
      </c>
      <c r="BX8" s="739"/>
      <c r="BY8" s="739"/>
      <c r="BZ8" s="739"/>
      <c r="CA8" s="860" t="s">
        <v>283</v>
      </c>
      <c r="CB8" s="739"/>
      <c r="CC8" s="739"/>
    </row>
    <row r="9" spans="1:83" ht="51.75" customHeight="1" x14ac:dyDescent="0.25">
      <c r="A9" s="745"/>
      <c r="B9" s="745"/>
      <c r="C9" s="745"/>
      <c r="D9" s="865"/>
      <c r="E9" s="863"/>
      <c r="F9" s="52" t="s">
        <v>191</v>
      </c>
      <c r="G9" s="52" t="s">
        <v>79</v>
      </c>
      <c r="H9" s="52" t="s">
        <v>156</v>
      </c>
      <c r="I9" s="52" t="s">
        <v>95</v>
      </c>
      <c r="J9" s="52" t="s">
        <v>332</v>
      </c>
      <c r="K9" s="52" t="s">
        <v>333</v>
      </c>
      <c r="L9" s="52" t="s">
        <v>335</v>
      </c>
      <c r="M9" s="865"/>
      <c r="N9" s="863"/>
      <c r="O9" s="22" t="s">
        <v>191</v>
      </c>
      <c r="P9" s="22" t="s">
        <v>79</v>
      </c>
      <c r="Q9" s="22" t="s">
        <v>156</v>
      </c>
      <c r="R9" s="22" t="s">
        <v>95</v>
      </c>
      <c r="S9" s="22" t="s">
        <v>332</v>
      </c>
      <c r="T9" s="22" t="s">
        <v>333</v>
      </c>
      <c r="U9" s="22" t="s">
        <v>335</v>
      </c>
      <c r="V9" s="865"/>
      <c r="W9" s="863"/>
      <c r="X9" s="52" t="s">
        <v>191</v>
      </c>
      <c r="Y9" s="52" t="s">
        <v>79</v>
      </c>
      <c r="Z9" s="52" t="s">
        <v>156</v>
      </c>
      <c r="AA9" s="52" t="s">
        <v>95</v>
      </c>
      <c r="AB9" s="52" t="s">
        <v>334</v>
      </c>
      <c r="AC9" s="52" t="s">
        <v>328</v>
      </c>
      <c r="AD9" s="52" t="s">
        <v>330</v>
      </c>
      <c r="AE9" s="870"/>
      <c r="AF9" s="872"/>
      <c r="AG9" s="52" t="s">
        <v>191</v>
      </c>
      <c r="AH9" s="52" t="s">
        <v>79</v>
      </c>
      <c r="AI9" s="52" t="s">
        <v>156</v>
      </c>
      <c r="AJ9" s="52" t="s">
        <v>95</v>
      </c>
      <c r="AK9" s="52" t="s">
        <v>326</v>
      </c>
      <c r="AL9" s="52" t="s">
        <v>331</v>
      </c>
      <c r="AM9" s="52" t="s">
        <v>330</v>
      </c>
      <c r="AN9" s="865"/>
      <c r="AO9" s="863"/>
      <c r="AP9" s="52" t="s">
        <v>191</v>
      </c>
      <c r="AQ9" s="52" t="s">
        <v>79</v>
      </c>
      <c r="AR9" s="52" t="s">
        <v>156</v>
      </c>
      <c r="AS9" s="52" t="s">
        <v>95</v>
      </c>
      <c r="AT9" s="52" t="s">
        <v>326</v>
      </c>
      <c r="AU9" s="52" t="s">
        <v>329</v>
      </c>
      <c r="AV9" s="52" t="s">
        <v>327</v>
      </c>
      <c r="AW9" s="865"/>
      <c r="AX9" s="863"/>
      <c r="AY9" s="863"/>
      <c r="AZ9" s="863"/>
      <c r="BA9" s="337" t="s">
        <v>191</v>
      </c>
      <c r="BB9" s="337" t="s">
        <v>79</v>
      </c>
      <c r="BC9" s="337" t="s">
        <v>156</v>
      </c>
      <c r="BD9" s="337" t="s">
        <v>95</v>
      </c>
      <c r="BE9" s="337" t="s">
        <v>326</v>
      </c>
      <c r="BF9" s="337" t="s">
        <v>915</v>
      </c>
      <c r="BG9" s="337" t="s">
        <v>330</v>
      </c>
      <c r="BH9" s="865"/>
      <c r="BI9" s="863"/>
      <c r="BJ9" s="863"/>
      <c r="BK9" s="863"/>
      <c r="BL9" s="462" t="s">
        <v>191</v>
      </c>
      <c r="BM9" s="462" t="s">
        <v>79</v>
      </c>
      <c r="BN9" s="462" t="s">
        <v>156</v>
      </c>
      <c r="BO9" s="462" t="s">
        <v>95</v>
      </c>
      <c r="BP9" s="462" t="s">
        <v>326</v>
      </c>
      <c r="BQ9" s="462" t="s">
        <v>915</v>
      </c>
      <c r="BR9" s="462" t="s">
        <v>330</v>
      </c>
      <c r="BS9" s="865"/>
      <c r="BT9" s="863"/>
      <c r="BU9" s="863"/>
      <c r="BV9" s="863"/>
      <c r="BW9" s="625" t="s">
        <v>191</v>
      </c>
      <c r="BX9" s="625" t="s">
        <v>79</v>
      </c>
      <c r="BY9" s="625" t="s">
        <v>156</v>
      </c>
      <c r="BZ9" s="625" t="s">
        <v>95</v>
      </c>
      <c r="CA9" s="625" t="s">
        <v>915</v>
      </c>
      <c r="CB9" s="625" t="s">
        <v>326</v>
      </c>
      <c r="CC9" s="625" t="s">
        <v>330</v>
      </c>
    </row>
    <row r="10" spans="1:83" ht="24.9" customHeight="1" x14ac:dyDescent="0.25">
      <c r="A10" s="185" t="s">
        <v>10</v>
      </c>
      <c r="B10" s="3"/>
      <c r="C10" s="3"/>
      <c r="D10" s="25">
        <v>54</v>
      </c>
      <c r="E10" s="25">
        <v>9</v>
      </c>
      <c r="F10" s="63">
        <v>0.02</v>
      </c>
      <c r="G10" s="63">
        <v>0.37</v>
      </c>
      <c r="H10" s="63">
        <v>0.5</v>
      </c>
      <c r="I10" s="63">
        <v>0.1</v>
      </c>
      <c r="J10" s="63">
        <v>0.45</v>
      </c>
      <c r="K10" s="63">
        <v>0.5</v>
      </c>
      <c r="L10" s="8" t="s">
        <v>288</v>
      </c>
      <c r="M10" s="27">
        <v>54</v>
      </c>
      <c r="N10" s="27">
        <v>10</v>
      </c>
      <c r="O10" s="87">
        <v>0.02</v>
      </c>
      <c r="P10" s="87">
        <v>0.33</v>
      </c>
      <c r="Q10" s="87">
        <v>0.52</v>
      </c>
      <c r="R10" s="87">
        <v>0.13</v>
      </c>
      <c r="S10" s="87">
        <v>0.43</v>
      </c>
      <c r="T10" s="87">
        <v>0.47</v>
      </c>
      <c r="U10" s="87">
        <v>0.46</v>
      </c>
      <c r="V10" s="27">
        <v>54</v>
      </c>
      <c r="W10" s="27">
        <v>10</v>
      </c>
      <c r="X10" s="97">
        <v>0.03</v>
      </c>
      <c r="Y10" s="97">
        <v>0.35</v>
      </c>
      <c r="Z10" s="97">
        <v>0.49</v>
      </c>
      <c r="AA10" s="97">
        <v>0.13</v>
      </c>
      <c r="AB10" s="97">
        <v>0.44</v>
      </c>
      <c r="AC10" s="97">
        <v>0.47</v>
      </c>
      <c r="AD10" s="97">
        <v>0.51</v>
      </c>
      <c r="AE10" s="27">
        <v>53</v>
      </c>
      <c r="AF10" s="27">
        <v>10</v>
      </c>
      <c r="AG10" s="63">
        <v>0.04</v>
      </c>
      <c r="AH10" s="63">
        <v>0.34</v>
      </c>
      <c r="AI10" s="63">
        <v>0.49</v>
      </c>
      <c r="AJ10" s="63">
        <v>0.12</v>
      </c>
      <c r="AK10" s="63">
        <v>0.43</v>
      </c>
      <c r="AL10" s="63">
        <v>0.37</v>
      </c>
      <c r="AM10" s="63">
        <v>0.43</v>
      </c>
      <c r="AN10" s="20">
        <v>53</v>
      </c>
      <c r="AO10" s="20">
        <v>10</v>
      </c>
      <c r="AP10" s="63">
        <v>0.04</v>
      </c>
      <c r="AQ10" s="63">
        <v>0.36</v>
      </c>
      <c r="AR10" s="63">
        <v>0.49</v>
      </c>
      <c r="AS10" s="63">
        <v>0.1</v>
      </c>
      <c r="AT10" s="63">
        <v>0.48</v>
      </c>
      <c r="AU10" s="63">
        <v>0.39</v>
      </c>
      <c r="AV10" s="63">
        <v>0.43</v>
      </c>
      <c r="AW10" s="345">
        <v>53</v>
      </c>
      <c r="AX10" s="344" t="s">
        <v>910</v>
      </c>
      <c r="AY10" s="345">
        <v>11</v>
      </c>
      <c r="AZ10" s="344" t="s">
        <v>911</v>
      </c>
      <c r="BA10" s="368">
        <v>0.04</v>
      </c>
      <c r="BB10" s="368">
        <v>0.37</v>
      </c>
      <c r="BC10" s="368">
        <v>0.45</v>
      </c>
      <c r="BD10" s="368">
        <v>0.13</v>
      </c>
      <c r="BE10" s="368">
        <v>0.45</v>
      </c>
      <c r="BF10" s="368">
        <v>0.36</v>
      </c>
      <c r="BG10" s="368">
        <v>0.55000000000000004</v>
      </c>
      <c r="BH10" s="478">
        <v>54</v>
      </c>
      <c r="BI10" s="481" t="s">
        <v>910</v>
      </c>
      <c r="BJ10" s="478">
        <v>11</v>
      </c>
      <c r="BK10" s="481" t="s">
        <v>911</v>
      </c>
      <c r="BL10" s="422">
        <v>0.05</v>
      </c>
      <c r="BM10" s="422">
        <v>0.34</v>
      </c>
      <c r="BN10" s="422">
        <v>0.47</v>
      </c>
      <c r="BO10" s="422">
        <v>0.14000000000000001</v>
      </c>
      <c r="BP10" s="422">
        <v>0.47</v>
      </c>
      <c r="BQ10" s="422">
        <v>0.36</v>
      </c>
      <c r="BR10" s="422">
        <v>0.47</v>
      </c>
      <c r="BS10" s="626">
        <v>54</v>
      </c>
      <c r="BT10" s="637" t="s">
        <v>910</v>
      </c>
      <c r="BU10" s="626">
        <v>10</v>
      </c>
      <c r="BV10" s="637" t="s">
        <v>910</v>
      </c>
      <c r="BW10" s="641">
        <v>0.04</v>
      </c>
      <c r="BX10" s="641">
        <v>0.35</v>
      </c>
      <c r="BY10" s="641">
        <v>0.48</v>
      </c>
      <c r="BZ10" s="641">
        <v>0.13</v>
      </c>
      <c r="CA10" s="641">
        <v>0.37</v>
      </c>
      <c r="CB10" s="641">
        <v>0.48</v>
      </c>
      <c r="CC10" s="641">
        <v>0.5</v>
      </c>
    </row>
    <row r="11" spans="1:83" ht="24.9" customHeight="1" x14ac:dyDescent="0.25">
      <c r="A11" s="186" t="s">
        <v>0</v>
      </c>
      <c r="B11" s="4"/>
      <c r="C11" s="4"/>
      <c r="D11" s="28">
        <v>54</v>
      </c>
      <c r="E11" s="28">
        <v>8</v>
      </c>
      <c r="F11" s="64">
        <v>0.01</v>
      </c>
      <c r="G11" s="64">
        <v>0.34</v>
      </c>
      <c r="H11" s="64">
        <v>0.57999999999999996</v>
      </c>
      <c r="I11" s="64">
        <v>7.0000000000000007E-2</v>
      </c>
      <c r="J11" s="64">
        <v>0.43</v>
      </c>
      <c r="K11" s="64">
        <v>0.47</v>
      </c>
      <c r="L11" s="64">
        <v>0.54</v>
      </c>
      <c r="M11" s="29">
        <v>55</v>
      </c>
      <c r="N11" s="29">
        <v>8</v>
      </c>
      <c r="O11" s="88">
        <v>0.01</v>
      </c>
      <c r="P11" s="88">
        <v>0.28999999999999998</v>
      </c>
      <c r="Q11" s="88">
        <v>0.6</v>
      </c>
      <c r="R11" s="88">
        <v>0.09</v>
      </c>
      <c r="S11" s="88">
        <v>0.42</v>
      </c>
      <c r="T11" s="88">
        <v>0.46</v>
      </c>
      <c r="U11" s="88">
        <v>0.46</v>
      </c>
      <c r="V11" s="29">
        <v>54</v>
      </c>
      <c r="W11" s="29">
        <v>9</v>
      </c>
      <c r="X11" s="93">
        <v>0.01</v>
      </c>
      <c r="Y11" s="93">
        <v>0.32</v>
      </c>
      <c r="Z11" s="93">
        <v>0.56000000000000005</v>
      </c>
      <c r="AA11" s="93">
        <v>0.11</v>
      </c>
      <c r="AB11" s="93">
        <v>0.42</v>
      </c>
      <c r="AC11" s="93">
        <v>0.47</v>
      </c>
      <c r="AD11" s="93">
        <v>0.49</v>
      </c>
      <c r="AE11" s="29">
        <v>54</v>
      </c>
      <c r="AF11" s="29">
        <v>9</v>
      </c>
      <c r="AG11" s="64">
        <v>0.02</v>
      </c>
      <c r="AH11" s="64">
        <v>0.3</v>
      </c>
      <c r="AI11" s="64">
        <v>0.56999999999999995</v>
      </c>
      <c r="AJ11" s="64">
        <v>0.11</v>
      </c>
      <c r="AK11" s="64">
        <v>0.41</v>
      </c>
      <c r="AL11" s="64">
        <v>0.36</v>
      </c>
      <c r="AM11" s="64">
        <v>0.41</v>
      </c>
      <c r="AN11" s="17">
        <v>54</v>
      </c>
      <c r="AO11" s="17">
        <v>9</v>
      </c>
      <c r="AP11" s="64">
        <v>0.02</v>
      </c>
      <c r="AQ11" s="64">
        <v>0.31</v>
      </c>
      <c r="AR11" s="64">
        <v>0.59</v>
      </c>
      <c r="AS11" s="64">
        <v>0.09</v>
      </c>
      <c r="AT11" s="64">
        <v>0.46</v>
      </c>
      <c r="AU11" s="64">
        <v>0.36</v>
      </c>
      <c r="AV11" s="64">
        <v>0.42</v>
      </c>
      <c r="AW11" s="346">
        <v>55</v>
      </c>
      <c r="AX11" s="342" t="s">
        <v>11</v>
      </c>
      <c r="AY11" s="346">
        <v>9</v>
      </c>
      <c r="AZ11" s="342" t="s">
        <v>11</v>
      </c>
      <c r="BA11" s="369">
        <v>0.02</v>
      </c>
      <c r="BB11" s="369">
        <v>0.32</v>
      </c>
      <c r="BC11" s="369">
        <v>0.54</v>
      </c>
      <c r="BD11" s="369">
        <v>0.12</v>
      </c>
      <c r="BE11" s="369">
        <v>0.43</v>
      </c>
      <c r="BF11" s="369">
        <v>0.33</v>
      </c>
      <c r="BG11" s="369">
        <v>0.53</v>
      </c>
      <c r="BH11" s="479">
        <v>55</v>
      </c>
      <c r="BI11" s="482" t="s">
        <v>11</v>
      </c>
      <c r="BJ11" s="479">
        <v>9</v>
      </c>
      <c r="BK11" s="482" t="s">
        <v>11</v>
      </c>
      <c r="BL11" s="423">
        <v>0.02</v>
      </c>
      <c r="BM11" s="423">
        <v>0.27</v>
      </c>
      <c r="BN11" s="423">
        <v>0.57999999999999996</v>
      </c>
      <c r="BO11" s="423">
        <v>0.13</v>
      </c>
      <c r="BP11" s="423">
        <v>0.45</v>
      </c>
      <c r="BQ11" s="423">
        <v>0.33</v>
      </c>
      <c r="BR11" s="423">
        <v>0.43</v>
      </c>
      <c r="BS11" s="627">
        <v>55</v>
      </c>
      <c r="BT11" s="638" t="s">
        <v>11</v>
      </c>
      <c r="BU11" s="627">
        <v>9</v>
      </c>
      <c r="BV11" s="638" t="s">
        <v>11</v>
      </c>
      <c r="BW11" s="642">
        <v>0.02</v>
      </c>
      <c r="BX11" s="642">
        <v>0.28999999999999998</v>
      </c>
      <c r="BY11" s="642">
        <v>0.56999999999999995</v>
      </c>
      <c r="BZ11" s="642">
        <v>0.12</v>
      </c>
      <c r="CA11" s="642">
        <v>0.35</v>
      </c>
      <c r="CB11" s="642">
        <v>0.46</v>
      </c>
      <c r="CC11" s="642">
        <v>0.48</v>
      </c>
    </row>
    <row r="12" spans="1:83" ht="24.9" customHeight="1" x14ac:dyDescent="0.25">
      <c r="A12" s="187" t="s">
        <v>12</v>
      </c>
      <c r="B12" s="6"/>
      <c r="C12" s="6"/>
      <c r="D12" s="30">
        <v>53</v>
      </c>
      <c r="E12" s="30">
        <v>8</v>
      </c>
      <c r="F12" s="65">
        <v>0.01</v>
      </c>
      <c r="G12" s="65">
        <v>0.39</v>
      </c>
      <c r="H12" s="65">
        <v>0.54</v>
      </c>
      <c r="I12" s="65">
        <v>0.05</v>
      </c>
      <c r="J12" s="65">
        <f>AVERAGEIFS(J$36:J$167,$B$36:$B$167,"=oficial")</f>
        <v>0.46217391304347827</v>
      </c>
      <c r="K12" s="65">
        <f>AVERAGEIFS(K$36:K$167,$B$36:$B$167,"=oficial")</f>
        <v>0.49913043478260855</v>
      </c>
      <c r="L12" s="65">
        <f>AVERAGEIFS(L$36:L$167,$B$36:$B$167,"=oficial")</f>
        <v>0.56391304347826077</v>
      </c>
      <c r="M12" s="31">
        <v>54</v>
      </c>
      <c r="N12" s="31">
        <v>8</v>
      </c>
      <c r="O12" s="89">
        <v>0.01</v>
      </c>
      <c r="P12" s="89">
        <v>0.34</v>
      </c>
      <c r="Q12" s="89">
        <v>0.56999999999999995</v>
      </c>
      <c r="R12" s="89">
        <v>7.0000000000000007E-2</v>
      </c>
      <c r="S12" s="89">
        <f>AVERAGEIFS(S$36:S$167,$B$36:$B$167,"=oficial")</f>
        <v>0.44434782608695661</v>
      </c>
      <c r="T12" s="89">
        <f>AVERAGEIFS(T$36:T$167,$B$36:$B$167,"=oficial")</f>
        <v>0.48782608695652174</v>
      </c>
      <c r="U12" s="89">
        <f>AVERAGEIFS(U$36:U$167,$B$36:$B$167,"=oficial")</f>
        <v>0.4891304347826087</v>
      </c>
      <c r="V12" s="31">
        <v>53</v>
      </c>
      <c r="W12" s="31">
        <v>9</v>
      </c>
      <c r="X12" s="98">
        <v>0.02</v>
      </c>
      <c r="Y12" s="98">
        <v>0.37</v>
      </c>
      <c r="Z12" s="98">
        <v>0.53</v>
      </c>
      <c r="AA12" s="98">
        <v>0.08</v>
      </c>
      <c r="AB12" s="98">
        <f>AVERAGEIFS(AB$36:AB$167,$B$36:$B$167,"=oficial")</f>
        <v>0.45826086956521744</v>
      </c>
      <c r="AC12" s="98">
        <f>AVERAGEIFS(AC$36:AC$167,$B$36:$B$167,"=oficial")</f>
        <v>0.50043478260869567</v>
      </c>
      <c r="AD12" s="98">
        <f>AVERAGEIFS(AD$36:AD$167,$B$36:$B$167,"=oficial")</f>
        <v>0.52173913043478271</v>
      </c>
      <c r="AE12" s="31">
        <v>53</v>
      </c>
      <c r="AF12" s="31">
        <v>9</v>
      </c>
      <c r="AG12" s="65">
        <v>0.02</v>
      </c>
      <c r="AH12" s="65">
        <v>0.35</v>
      </c>
      <c r="AI12" s="65">
        <v>0.55000000000000004</v>
      </c>
      <c r="AJ12" s="65">
        <v>0.08</v>
      </c>
      <c r="AK12" s="65">
        <f>AVERAGEIFS(AK$36:AK$167,$B$36:$B$167,"=oficial")</f>
        <v>0.44347826086956527</v>
      </c>
      <c r="AL12" s="65">
        <f>AVERAGEIFS(AL$36:AL$167,$B$36:$B$167,"=oficial")</f>
        <v>0.3895652173913044</v>
      </c>
      <c r="AM12" s="65">
        <f>AVERAGEIFS(AM$36:AM$167,$B$36:$B$167,"=oficial")</f>
        <v>0.43826086956521748</v>
      </c>
      <c r="AN12" s="18">
        <v>53</v>
      </c>
      <c r="AO12" s="18">
        <v>9</v>
      </c>
      <c r="AP12" s="65">
        <v>0.02</v>
      </c>
      <c r="AQ12" s="65">
        <v>0.35</v>
      </c>
      <c r="AR12" s="65">
        <v>0.56000000000000005</v>
      </c>
      <c r="AS12" s="65">
        <v>7.0000000000000007E-2</v>
      </c>
      <c r="AT12" s="65">
        <f>AVERAGEIFS(AT$36:AT$167,$B$36:$B$167,"=oficial")</f>
        <v>0.48652173913043478</v>
      </c>
      <c r="AU12" s="65">
        <f>AVERAGEIFS(AU$36:AU$167,$B$36:$B$167,"=oficial")</f>
        <v>0.38565217391304357</v>
      </c>
      <c r="AV12" s="65">
        <f>AVERAGEIFS(AV$36:AV$167,$B$36:$B$167,"=oficial")</f>
        <v>0.44956521739130428</v>
      </c>
      <c r="AW12" s="347">
        <v>53</v>
      </c>
      <c r="AX12" s="343" t="s">
        <v>910</v>
      </c>
      <c r="AY12" s="347">
        <v>9</v>
      </c>
      <c r="AZ12" s="343" t="s">
        <v>910</v>
      </c>
      <c r="BA12" s="370">
        <v>0.02</v>
      </c>
      <c r="BB12" s="370">
        <v>0.37</v>
      </c>
      <c r="BC12" s="370">
        <v>0.52</v>
      </c>
      <c r="BD12" s="370">
        <v>0.09</v>
      </c>
      <c r="BE12" s="65">
        <f>AVERAGEIFS(BE$36:BE$167,$B$36:$B$167,"=oficial")</f>
        <v>0.46434782608695657</v>
      </c>
      <c r="BF12" s="65">
        <f>AVERAGEIFS(BF$36:BF$167,$B$36:$B$167,"=oficial")</f>
        <v>0.37000000000000005</v>
      </c>
      <c r="BG12" s="65">
        <f>AVERAGEIFS(BG$36:BG$167,$B$36:$B$167,"=oficial")</f>
        <v>0.56347826086956521</v>
      </c>
      <c r="BH12" s="480">
        <v>53</v>
      </c>
      <c r="BI12" s="483" t="s">
        <v>910</v>
      </c>
      <c r="BJ12" s="480">
        <v>9</v>
      </c>
      <c r="BK12" s="483" t="s">
        <v>910</v>
      </c>
      <c r="BL12" s="426">
        <v>0.02</v>
      </c>
      <c r="BM12" s="426">
        <v>0.34</v>
      </c>
      <c r="BN12" s="426">
        <v>0.56000000000000005</v>
      </c>
      <c r="BO12" s="426">
        <v>0.09</v>
      </c>
      <c r="BP12" s="65">
        <f>AVERAGEIFS(BP$36:BP$167,$B$36:$B$167,"=oficial")</f>
        <v>0.48555555555555557</v>
      </c>
      <c r="BQ12" s="65">
        <f>AVERAGEIFS(BQ$36:BQ$167,$B$36:$B$167,"=oficial")</f>
        <v>0.36518518518518517</v>
      </c>
      <c r="BR12" s="65">
        <f>AVERAGEIFS(BR$36:BR$167,$B$36:$B$167,"=oficial")</f>
        <v>0.46888888888888902</v>
      </c>
      <c r="BS12" s="628">
        <v>53</v>
      </c>
      <c r="BT12" s="639" t="s">
        <v>910</v>
      </c>
      <c r="BU12" s="628">
        <v>9</v>
      </c>
      <c r="BV12" s="639" t="s">
        <v>910</v>
      </c>
      <c r="BW12" s="643">
        <v>0.02</v>
      </c>
      <c r="BX12" s="643">
        <v>0.35</v>
      </c>
      <c r="BY12" s="643">
        <v>0.55000000000000004</v>
      </c>
      <c r="BZ12" s="643">
        <v>0.08</v>
      </c>
      <c r="CA12" s="639" t="s">
        <v>287</v>
      </c>
      <c r="CB12" s="639" t="s">
        <v>287</v>
      </c>
      <c r="CC12" s="639" t="s">
        <v>287</v>
      </c>
    </row>
    <row r="13" spans="1:83" ht="24.9" customHeight="1" x14ac:dyDescent="0.25">
      <c r="A13" s="187" t="s">
        <v>13</v>
      </c>
      <c r="B13" s="6"/>
      <c r="C13" s="6"/>
      <c r="D13" s="30">
        <v>53</v>
      </c>
      <c r="E13" s="30">
        <v>8</v>
      </c>
      <c r="F13" s="65">
        <v>0.02</v>
      </c>
      <c r="G13" s="65">
        <v>0.32</v>
      </c>
      <c r="H13" s="65">
        <v>0.66</v>
      </c>
      <c r="I13" s="65">
        <v>0</v>
      </c>
      <c r="J13" s="65">
        <f>J95</f>
        <v>0.47</v>
      </c>
      <c r="K13" s="65">
        <f t="shared" ref="K13:L13" si="0">K95</f>
        <v>0.53</v>
      </c>
      <c r="L13" s="65">
        <f t="shared" si="0"/>
        <v>0.56999999999999995</v>
      </c>
      <c r="M13" s="31">
        <v>51</v>
      </c>
      <c r="N13" s="31">
        <v>8</v>
      </c>
      <c r="O13" s="89">
        <v>0.02</v>
      </c>
      <c r="P13" s="89">
        <v>0.43</v>
      </c>
      <c r="Q13" s="89">
        <v>0.5</v>
      </c>
      <c r="R13" s="89">
        <v>0.05</v>
      </c>
      <c r="S13" s="89">
        <f>S95</f>
        <v>0.47</v>
      </c>
      <c r="T13" s="89">
        <f t="shared" ref="T13:U13" si="1">T95</f>
        <v>0.53</v>
      </c>
      <c r="U13" s="89">
        <f t="shared" si="1"/>
        <v>0.56999999999999995</v>
      </c>
      <c r="V13" s="31">
        <v>51</v>
      </c>
      <c r="W13" s="31">
        <v>9</v>
      </c>
      <c r="X13" s="98">
        <v>0.09</v>
      </c>
      <c r="Y13" s="98">
        <v>0.41</v>
      </c>
      <c r="Z13" s="98">
        <v>0.44</v>
      </c>
      <c r="AA13" s="98">
        <v>0.06</v>
      </c>
      <c r="AB13" s="98">
        <f>AB95</f>
        <v>0.52</v>
      </c>
      <c r="AC13" s="98">
        <f t="shared" ref="AC13:AD13" si="2">AC95</f>
        <v>0.49</v>
      </c>
      <c r="AD13" s="98">
        <f t="shared" si="2"/>
        <v>0.54</v>
      </c>
      <c r="AE13" s="31">
        <v>52</v>
      </c>
      <c r="AF13" s="31">
        <v>10</v>
      </c>
      <c r="AG13" s="65">
        <v>0.02</v>
      </c>
      <c r="AH13" s="65">
        <v>0.47</v>
      </c>
      <c r="AI13" s="65">
        <v>0.45</v>
      </c>
      <c r="AJ13" s="65">
        <v>0.06</v>
      </c>
      <c r="AK13" s="65">
        <f>AK95</f>
        <v>0.49</v>
      </c>
      <c r="AL13" s="65">
        <f t="shared" ref="AL13:AM13" si="3">AL95</f>
        <v>0.37</v>
      </c>
      <c r="AM13" s="65">
        <f t="shared" si="3"/>
        <v>0.45</v>
      </c>
      <c r="AN13" s="18">
        <v>52</v>
      </c>
      <c r="AO13" s="18">
        <v>9</v>
      </c>
      <c r="AP13" s="65">
        <v>0</v>
      </c>
      <c r="AQ13" s="65">
        <v>0.39</v>
      </c>
      <c r="AR13" s="65">
        <v>0.55000000000000004</v>
      </c>
      <c r="AS13" s="65">
        <v>0.05</v>
      </c>
      <c r="AT13" s="65">
        <f>AT95</f>
        <v>0.5</v>
      </c>
      <c r="AU13" s="65">
        <f t="shared" ref="AU13:AV13" si="4">AU95</f>
        <v>0.38</v>
      </c>
      <c r="AV13" s="65">
        <f t="shared" si="4"/>
        <v>0.47</v>
      </c>
      <c r="AW13" s="347">
        <v>52</v>
      </c>
      <c r="AX13" s="343" t="s">
        <v>910</v>
      </c>
      <c r="AY13" s="347">
        <v>8</v>
      </c>
      <c r="AZ13" s="343" t="s">
        <v>910</v>
      </c>
      <c r="BA13" s="370">
        <v>0.02</v>
      </c>
      <c r="BB13" s="370">
        <v>0.43</v>
      </c>
      <c r="BC13" s="370">
        <v>0.5</v>
      </c>
      <c r="BD13" s="370">
        <v>0.05</v>
      </c>
      <c r="BE13" s="65">
        <f>BE95</f>
        <v>0.48</v>
      </c>
      <c r="BF13" s="65">
        <f t="shared" ref="BF13:BG13" si="5">BF95</f>
        <v>0.38</v>
      </c>
      <c r="BG13" s="65">
        <f t="shared" si="5"/>
        <v>0.57999999999999996</v>
      </c>
      <c r="BH13" s="480">
        <v>52</v>
      </c>
      <c r="BI13" s="483" t="s">
        <v>910</v>
      </c>
      <c r="BJ13" s="480">
        <v>10</v>
      </c>
      <c r="BK13" s="483" t="s">
        <v>910</v>
      </c>
      <c r="BL13" s="426">
        <v>0.03</v>
      </c>
      <c r="BM13" s="426">
        <v>0.4</v>
      </c>
      <c r="BN13" s="426">
        <v>0.45</v>
      </c>
      <c r="BO13" s="426">
        <v>0.13</v>
      </c>
      <c r="BP13" s="65">
        <f>BP95</f>
        <v>0.49</v>
      </c>
      <c r="BQ13" s="65">
        <f>BQ95</f>
        <v>0.37</v>
      </c>
      <c r="BR13" s="65">
        <f>BR95</f>
        <v>0.52</v>
      </c>
      <c r="BS13" s="628">
        <v>51</v>
      </c>
      <c r="BT13" s="639" t="s">
        <v>912</v>
      </c>
      <c r="BU13" s="628">
        <v>9</v>
      </c>
      <c r="BV13" s="639" t="s">
        <v>910</v>
      </c>
      <c r="BW13" s="643">
        <v>0</v>
      </c>
      <c r="BX13" s="643">
        <v>0.44</v>
      </c>
      <c r="BY13" s="643">
        <v>0.54</v>
      </c>
      <c r="BZ13" s="643">
        <v>0.02</v>
      </c>
      <c r="CA13" s="639" t="s">
        <v>287</v>
      </c>
      <c r="CB13" s="639" t="s">
        <v>287</v>
      </c>
      <c r="CC13" s="639" t="s">
        <v>287</v>
      </c>
    </row>
    <row r="14" spans="1:83" ht="24.6" customHeight="1" x14ac:dyDescent="0.25">
      <c r="A14" s="187" t="s">
        <v>14</v>
      </c>
      <c r="B14" s="6"/>
      <c r="C14" s="6"/>
      <c r="D14" s="30">
        <v>55</v>
      </c>
      <c r="E14" s="30">
        <v>8</v>
      </c>
      <c r="F14" s="65">
        <v>0.01</v>
      </c>
      <c r="G14" s="65">
        <v>0.28999999999999998</v>
      </c>
      <c r="H14" s="65">
        <v>0.62</v>
      </c>
      <c r="I14" s="65">
        <v>0.08</v>
      </c>
      <c r="J14" s="65">
        <f>AVERAGEIFS(J$36:J$167,$B$36:$B$167,"=no oficial")</f>
        <v>0.41556962025316474</v>
      </c>
      <c r="K14" s="65">
        <f>AVERAGEIFS(K$36:K$167,$B$36:$B$167,"=no oficial")</f>
        <v>0.46493670886075944</v>
      </c>
      <c r="L14" s="65">
        <f>AVERAGEIFS(L$36:L$167,$B$36:$B$167,"=no oficial")</f>
        <v>0.5325316455696204</v>
      </c>
      <c r="M14" s="31">
        <v>56</v>
      </c>
      <c r="N14" s="31">
        <v>8</v>
      </c>
      <c r="O14" s="89">
        <v>0.01</v>
      </c>
      <c r="P14" s="89">
        <v>0.23</v>
      </c>
      <c r="Q14" s="89">
        <v>0.64</v>
      </c>
      <c r="R14" s="89">
        <v>0.12</v>
      </c>
      <c r="S14" s="65">
        <f>AVERAGEIFS(S$36:S$167,$B$36:$B$167,"=no oficial")</f>
        <v>0.4125316455696203</v>
      </c>
      <c r="T14" s="65">
        <f>AVERAGEIFS(T$36:T$167,$B$36:$B$167,"=no oficial")</f>
        <v>0.45291139240506323</v>
      </c>
      <c r="U14" s="65">
        <f>AVERAGEIFS(U$36:U$167,$B$36:$B$167,"=no oficial")</f>
        <v>0.44949367088607595</v>
      </c>
      <c r="V14" s="31">
        <v>56</v>
      </c>
      <c r="W14" s="31">
        <v>9</v>
      </c>
      <c r="X14" s="98">
        <v>0.01</v>
      </c>
      <c r="Y14" s="98">
        <v>0.26</v>
      </c>
      <c r="Z14" s="98">
        <v>0.59</v>
      </c>
      <c r="AA14" s="98">
        <v>0.14000000000000001</v>
      </c>
      <c r="AB14" s="98">
        <f>AVERAGEIFS(AB$36:AB$167,$B$36:$B$167,"=no oficial")</f>
        <v>0.40975000000000011</v>
      </c>
      <c r="AC14" s="98">
        <f>AVERAGEIFS(AC$36:AC$167,$B$36:$B$167,"=no oficial")</f>
        <v>0.45887500000000003</v>
      </c>
      <c r="AD14" s="98">
        <f>AVERAGEIFS(AD$36:AD$167,$B$36:$B$167,"=no oficial")</f>
        <v>0.48024999999999984</v>
      </c>
      <c r="AE14" s="31">
        <v>56</v>
      </c>
      <c r="AF14" s="31">
        <v>9</v>
      </c>
      <c r="AG14" s="65">
        <v>0.01</v>
      </c>
      <c r="AH14" s="65">
        <v>0.25</v>
      </c>
      <c r="AI14" s="65">
        <v>0.6</v>
      </c>
      <c r="AJ14" s="65">
        <v>0.14000000000000001</v>
      </c>
      <c r="AK14" s="65">
        <f>AVERAGEIFS(AK$36:AK$167,$B$36:$B$167,"=no oficial")</f>
        <v>0.39414634146341482</v>
      </c>
      <c r="AL14" s="65">
        <f>AVERAGEIFS(AL$36:AL$167,$B$36:$B$167,"=no oficial")</f>
        <v>0.34475609756097558</v>
      </c>
      <c r="AM14" s="65">
        <f>AVERAGEIFS(AM$36:AM$167,$B$36:$B$167,"=no oficial")</f>
        <v>0.39219512195121947</v>
      </c>
      <c r="AN14" s="18">
        <v>55</v>
      </c>
      <c r="AO14" s="18">
        <v>9</v>
      </c>
      <c r="AP14" s="65">
        <v>0.01</v>
      </c>
      <c r="AQ14" s="65">
        <v>0.26</v>
      </c>
      <c r="AR14" s="65">
        <v>0.61</v>
      </c>
      <c r="AS14" s="65">
        <v>0.11</v>
      </c>
      <c r="AT14" s="65">
        <f>AVERAGEIFS(AT$36:AT$167,$B$36:$B$167,"=no oficial")</f>
        <v>0.44977011494252878</v>
      </c>
      <c r="AU14" s="65">
        <f>AVERAGEIFS(AU$36:AU$167,$B$36:$B$167,"=no oficial")</f>
        <v>0.35172413793103452</v>
      </c>
      <c r="AV14" s="65">
        <f>AVERAGEIFS(AV$36:AV$167,$B$36:$B$167,"=no oficial")</f>
        <v>0.41839080459770106</v>
      </c>
      <c r="AW14" s="347">
        <v>56</v>
      </c>
      <c r="AX14" s="343" t="s">
        <v>910</v>
      </c>
      <c r="AY14" s="347">
        <v>9</v>
      </c>
      <c r="AZ14" s="343" t="s">
        <v>910</v>
      </c>
      <c r="BA14" s="370">
        <v>0.01</v>
      </c>
      <c r="BB14" s="370">
        <v>0.26</v>
      </c>
      <c r="BC14" s="370">
        <v>0.56999999999999995</v>
      </c>
      <c r="BD14" s="370">
        <v>0.16</v>
      </c>
      <c r="BE14" s="65">
        <f>AVERAGEIFS(BE$36:BE$167,$B$36:$B$167,"=no oficial")</f>
        <v>0.41999999999999987</v>
      </c>
      <c r="BF14" s="65">
        <f>AVERAGEIFS(BF$36:BF$167,$B$36:$B$167,"=no oficial")</f>
        <v>0.32116279069767439</v>
      </c>
      <c r="BG14" s="65">
        <f>AVERAGEIFS(BG$36:BG$167,$B$36:$B$167,"=no oficial")</f>
        <v>0.51476744186046486</v>
      </c>
      <c r="BH14" s="480">
        <v>57</v>
      </c>
      <c r="BI14" s="483" t="s">
        <v>910</v>
      </c>
      <c r="BJ14" s="480">
        <v>9</v>
      </c>
      <c r="BK14" s="483" t="s">
        <v>910</v>
      </c>
      <c r="BL14" s="426">
        <v>0.01</v>
      </c>
      <c r="BM14" s="426">
        <v>0.21</v>
      </c>
      <c r="BN14" s="426">
        <v>0.61</v>
      </c>
      <c r="BO14" s="426">
        <v>0.16</v>
      </c>
      <c r="BP14" s="65">
        <f>AVERAGEIFS(BP$36:BP$167,$B$36:$B$167,"=no oficial")</f>
        <v>0.4348314606741574</v>
      </c>
      <c r="BQ14" s="65">
        <f>AVERAGEIFS(BQ$36:BQ$167,$B$36:$B$167,"=no oficial")</f>
        <v>0.31101123595505614</v>
      </c>
      <c r="BR14" s="65">
        <f>AVERAGEIFS(BR$36:BR$167,$B$36:$B$167,"=no oficial")</f>
        <v>0.40561797752808981</v>
      </c>
      <c r="BS14" s="628">
        <v>57</v>
      </c>
      <c r="BT14" s="639" t="s">
        <v>910</v>
      </c>
      <c r="BU14" s="628">
        <v>9</v>
      </c>
      <c r="BV14" s="639" t="s">
        <v>910</v>
      </c>
      <c r="BW14" s="643">
        <v>0.01</v>
      </c>
      <c r="BX14" s="643">
        <v>0.22</v>
      </c>
      <c r="BY14" s="643">
        <v>0.6</v>
      </c>
      <c r="BZ14" s="643">
        <v>0.17</v>
      </c>
      <c r="CA14" s="639" t="s">
        <v>287</v>
      </c>
      <c r="CB14" s="639" t="s">
        <v>287</v>
      </c>
      <c r="CC14" s="639" t="s">
        <v>287</v>
      </c>
    </row>
    <row r="15" spans="1:83" ht="24.9" customHeight="1" x14ac:dyDescent="0.25">
      <c r="A15" s="187" t="s">
        <v>15</v>
      </c>
      <c r="B15" s="6"/>
      <c r="C15" s="6"/>
      <c r="D15" s="30">
        <v>52</v>
      </c>
      <c r="E15" s="30">
        <v>8</v>
      </c>
      <c r="F15" s="65">
        <v>0.02</v>
      </c>
      <c r="G15" s="65">
        <v>0.42</v>
      </c>
      <c r="H15" s="65">
        <v>0.52</v>
      </c>
      <c r="I15" s="65">
        <v>0.04</v>
      </c>
      <c r="J15" s="11" t="s">
        <v>287</v>
      </c>
      <c r="K15" s="11" t="s">
        <v>287</v>
      </c>
      <c r="L15" s="11" t="s">
        <v>287</v>
      </c>
      <c r="M15" s="31">
        <v>53</v>
      </c>
      <c r="N15" s="31">
        <v>8</v>
      </c>
      <c r="O15" s="89">
        <v>0.01</v>
      </c>
      <c r="P15" s="89">
        <v>0.36</v>
      </c>
      <c r="Q15" s="89">
        <v>0.56000000000000005</v>
      </c>
      <c r="R15" s="89">
        <v>7.0000000000000007E-2</v>
      </c>
      <c r="S15" s="90" t="s">
        <v>287</v>
      </c>
      <c r="T15" s="90" t="s">
        <v>287</v>
      </c>
      <c r="U15" s="90" t="s">
        <v>287</v>
      </c>
      <c r="V15" s="31">
        <v>53</v>
      </c>
      <c r="W15" s="31">
        <v>9</v>
      </c>
      <c r="X15" s="98">
        <v>0.02</v>
      </c>
      <c r="Y15" s="98">
        <v>0.38</v>
      </c>
      <c r="Z15" s="98">
        <v>0.52</v>
      </c>
      <c r="AA15" s="98">
        <v>0.08</v>
      </c>
      <c r="AB15" s="94" t="s">
        <v>287</v>
      </c>
      <c r="AC15" s="94" t="s">
        <v>287</v>
      </c>
      <c r="AD15" s="94" t="s">
        <v>287</v>
      </c>
      <c r="AE15" s="31">
        <v>53</v>
      </c>
      <c r="AF15" s="31">
        <v>9</v>
      </c>
      <c r="AG15" s="65">
        <v>0.03</v>
      </c>
      <c r="AH15" s="65">
        <v>0.35</v>
      </c>
      <c r="AI15" s="65">
        <v>0.54</v>
      </c>
      <c r="AJ15" s="65">
        <v>0.08</v>
      </c>
      <c r="AK15" s="11" t="s">
        <v>287</v>
      </c>
      <c r="AL15" s="11" t="s">
        <v>287</v>
      </c>
      <c r="AM15" s="11" t="s">
        <v>287</v>
      </c>
      <c r="AN15" s="18">
        <v>52</v>
      </c>
      <c r="AO15" s="18">
        <v>8</v>
      </c>
      <c r="AP15" s="65">
        <v>0.02</v>
      </c>
      <c r="AQ15" s="65">
        <v>0.38</v>
      </c>
      <c r="AR15" s="65">
        <v>0.54</v>
      </c>
      <c r="AS15" s="65">
        <v>0.06</v>
      </c>
      <c r="AT15" s="11" t="s">
        <v>287</v>
      </c>
      <c r="AU15" s="11" t="s">
        <v>287</v>
      </c>
      <c r="AV15" s="11" t="s">
        <v>287</v>
      </c>
      <c r="AW15" s="347">
        <v>52</v>
      </c>
      <c r="AX15" s="343" t="s">
        <v>910</v>
      </c>
      <c r="AY15" s="347">
        <v>9</v>
      </c>
      <c r="AZ15" s="343" t="s">
        <v>910</v>
      </c>
      <c r="BA15" s="370">
        <v>0.03</v>
      </c>
      <c r="BB15" s="370">
        <v>0.4</v>
      </c>
      <c r="BC15" s="370">
        <v>0.5</v>
      </c>
      <c r="BD15" s="370">
        <v>7.0000000000000007E-2</v>
      </c>
      <c r="BE15" s="11" t="s">
        <v>287</v>
      </c>
      <c r="BF15" s="11" t="s">
        <v>287</v>
      </c>
      <c r="BG15" s="11" t="s">
        <v>287</v>
      </c>
      <c r="BH15" s="480">
        <v>53</v>
      </c>
      <c r="BI15" s="483" t="s">
        <v>910</v>
      </c>
      <c r="BJ15" s="480">
        <v>9</v>
      </c>
      <c r="BK15" s="483" t="s">
        <v>910</v>
      </c>
      <c r="BL15" s="426">
        <v>0.02</v>
      </c>
      <c r="BM15" s="426">
        <v>0.36</v>
      </c>
      <c r="BN15" s="426">
        <v>0.53</v>
      </c>
      <c r="BO15" s="426">
        <v>0.08</v>
      </c>
      <c r="BP15" s="483" t="s">
        <v>287</v>
      </c>
      <c r="BQ15" s="483" t="s">
        <v>287</v>
      </c>
      <c r="BR15" s="483" t="s">
        <v>287</v>
      </c>
      <c r="BS15" s="628">
        <v>52</v>
      </c>
      <c r="BT15" s="639" t="s">
        <v>910</v>
      </c>
      <c r="BU15" s="628">
        <v>9</v>
      </c>
      <c r="BV15" s="639" t="s">
        <v>910</v>
      </c>
      <c r="BW15" s="643">
        <v>0.02</v>
      </c>
      <c r="BX15" s="643">
        <v>0.38</v>
      </c>
      <c r="BY15" s="643">
        <v>0.54</v>
      </c>
      <c r="BZ15" s="643">
        <v>0.06</v>
      </c>
      <c r="CA15" s="639" t="s">
        <v>287</v>
      </c>
      <c r="CB15" s="639" t="s">
        <v>287</v>
      </c>
      <c r="CC15" s="639" t="s">
        <v>287</v>
      </c>
    </row>
    <row r="16" spans="1:83" ht="24.9" customHeight="1" x14ac:dyDescent="0.25">
      <c r="A16" s="187" t="s">
        <v>16</v>
      </c>
      <c r="B16" s="6"/>
      <c r="C16" s="6"/>
      <c r="D16" s="30">
        <v>55</v>
      </c>
      <c r="E16" s="30">
        <v>8</v>
      </c>
      <c r="F16" s="65">
        <v>0.01</v>
      </c>
      <c r="G16" s="65">
        <v>0.31</v>
      </c>
      <c r="H16" s="65">
        <v>0.6</v>
      </c>
      <c r="I16" s="65">
        <v>0.08</v>
      </c>
      <c r="J16" s="11" t="s">
        <v>287</v>
      </c>
      <c r="K16" s="11" t="s">
        <v>287</v>
      </c>
      <c r="L16" s="11" t="s">
        <v>287</v>
      </c>
      <c r="M16" s="31">
        <v>56</v>
      </c>
      <c r="N16" s="31">
        <v>8</v>
      </c>
      <c r="O16" s="89">
        <v>0.01</v>
      </c>
      <c r="P16" s="89">
        <v>0.24</v>
      </c>
      <c r="Q16" s="89">
        <v>0.64</v>
      </c>
      <c r="R16" s="89">
        <v>0.11</v>
      </c>
      <c r="S16" s="90" t="s">
        <v>287</v>
      </c>
      <c r="T16" s="90" t="s">
        <v>287</v>
      </c>
      <c r="U16" s="90" t="s">
        <v>287</v>
      </c>
      <c r="V16" s="31">
        <v>55</v>
      </c>
      <c r="W16" s="31">
        <v>9</v>
      </c>
      <c r="X16" s="98">
        <v>0.01</v>
      </c>
      <c r="Y16" s="98">
        <v>0.28000000000000003</v>
      </c>
      <c r="Z16" s="98">
        <v>0.57999999999999996</v>
      </c>
      <c r="AA16" s="98">
        <v>0.13</v>
      </c>
      <c r="AB16" s="94" t="s">
        <v>287</v>
      </c>
      <c r="AC16" s="94" t="s">
        <v>287</v>
      </c>
      <c r="AD16" s="94" t="s">
        <v>287</v>
      </c>
      <c r="AE16" s="31">
        <v>55</v>
      </c>
      <c r="AF16" s="31">
        <v>9</v>
      </c>
      <c r="AG16" s="65">
        <v>0.01</v>
      </c>
      <c r="AH16" s="65">
        <v>0.27</v>
      </c>
      <c r="AI16" s="65">
        <v>0.59</v>
      </c>
      <c r="AJ16" s="65">
        <v>0.13</v>
      </c>
      <c r="AK16" s="11" t="s">
        <v>287</v>
      </c>
      <c r="AL16" s="11" t="s">
        <v>287</v>
      </c>
      <c r="AM16" s="11" t="s">
        <v>287</v>
      </c>
      <c r="AN16" s="18">
        <v>55</v>
      </c>
      <c r="AO16" s="18">
        <v>9</v>
      </c>
      <c r="AP16" s="65">
        <v>0.01</v>
      </c>
      <c r="AQ16" s="65">
        <v>0.28000000000000003</v>
      </c>
      <c r="AR16" s="65">
        <v>0.6</v>
      </c>
      <c r="AS16" s="65">
        <v>0.11</v>
      </c>
      <c r="AT16" s="11" t="s">
        <v>287</v>
      </c>
      <c r="AU16" s="11" t="s">
        <v>287</v>
      </c>
      <c r="AV16" s="11" t="s">
        <v>287</v>
      </c>
      <c r="AW16" s="347">
        <v>56</v>
      </c>
      <c r="AX16" s="343" t="s">
        <v>910</v>
      </c>
      <c r="AY16" s="347">
        <v>9</v>
      </c>
      <c r="AZ16" s="343" t="s">
        <v>910</v>
      </c>
      <c r="BA16" s="370">
        <v>0.01</v>
      </c>
      <c r="BB16" s="370">
        <v>0.28999999999999998</v>
      </c>
      <c r="BC16" s="370">
        <v>0.56000000000000005</v>
      </c>
      <c r="BD16" s="370">
        <v>0.14000000000000001</v>
      </c>
      <c r="BE16" s="11" t="s">
        <v>287</v>
      </c>
      <c r="BF16" s="11" t="s">
        <v>287</v>
      </c>
      <c r="BG16" s="11" t="s">
        <v>287</v>
      </c>
      <c r="BH16" s="480">
        <v>56</v>
      </c>
      <c r="BI16" s="483" t="s">
        <v>910</v>
      </c>
      <c r="BJ16" s="480">
        <v>9</v>
      </c>
      <c r="BK16" s="483" t="s">
        <v>910</v>
      </c>
      <c r="BL16" s="426">
        <v>0.01</v>
      </c>
      <c r="BM16" s="426">
        <v>0.24</v>
      </c>
      <c r="BN16" s="426">
        <v>0.61</v>
      </c>
      <c r="BO16" s="426">
        <v>0.14000000000000001</v>
      </c>
      <c r="BP16" s="483" t="s">
        <v>287</v>
      </c>
      <c r="BQ16" s="483" t="s">
        <v>287</v>
      </c>
      <c r="BR16" s="483" t="s">
        <v>287</v>
      </c>
      <c r="BS16" s="628">
        <v>56</v>
      </c>
      <c r="BT16" s="639" t="s">
        <v>910</v>
      </c>
      <c r="BU16" s="628">
        <v>9</v>
      </c>
      <c r="BV16" s="639" t="s">
        <v>910</v>
      </c>
      <c r="BW16" s="643">
        <v>0.02</v>
      </c>
      <c r="BX16" s="643">
        <v>0.24</v>
      </c>
      <c r="BY16" s="643">
        <v>0.59</v>
      </c>
      <c r="BZ16" s="643">
        <v>0.15</v>
      </c>
      <c r="CA16" s="639" t="s">
        <v>287</v>
      </c>
      <c r="CB16" s="639" t="s">
        <v>287</v>
      </c>
      <c r="CC16" s="639" t="s">
        <v>287</v>
      </c>
      <c r="CD16" s="624"/>
      <c r="CE16" s="624"/>
    </row>
    <row r="17" spans="1:83" s="461" customFormat="1" ht="24.9" customHeight="1" x14ac:dyDescent="0.25">
      <c r="A17" s="485"/>
      <c r="B17" s="427"/>
      <c r="C17" s="427"/>
      <c r="D17" s="495"/>
      <c r="E17" s="495"/>
      <c r="F17" s="426"/>
      <c r="G17" s="426"/>
      <c r="H17" s="426"/>
      <c r="I17" s="426"/>
      <c r="J17" s="483"/>
      <c r="K17" s="483"/>
      <c r="L17" s="483"/>
      <c r="M17" s="496"/>
      <c r="N17" s="496"/>
      <c r="O17" s="497"/>
      <c r="P17" s="497"/>
      <c r="Q17" s="497"/>
      <c r="R17" s="497"/>
      <c r="S17" s="498"/>
      <c r="T17" s="498"/>
      <c r="U17" s="498"/>
      <c r="V17" s="496"/>
      <c r="W17" s="496"/>
      <c r="X17" s="499"/>
      <c r="Y17" s="499"/>
      <c r="Z17" s="499"/>
      <c r="AA17" s="499"/>
      <c r="AB17" s="486"/>
      <c r="AC17" s="486"/>
      <c r="AD17" s="486"/>
      <c r="AE17" s="496"/>
      <c r="AF17" s="496"/>
      <c r="AG17" s="426"/>
      <c r="AH17" s="426"/>
      <c r="AI17" s="426"/>
      <c r="AJ17" s="426"/>
      <c r="AK17" s="483"/>
      <c r="AL17" s="483"/>
      <c r="AM17" s="483"/>
      <c r="AN17" s="480"/>
      <c r="AO17" s="480"/>
      <c r="AP17" s="426"/>
      <c r="AQ17" s="426"/>
      <c r="AR17" s="426"/>
      <c r="AS17" s="426"/>
      <c r="AT17" s="483"/>
      <c r="AU17" s="483"/>
      <c r="AV17" s="483"/>
      <c r="AW17" s="488"/>
      <c r="AX17" s="489"/>
      <c r="AY17" s="488"/>
      <c r="AZ17" s="489"/>
      <c r="BA17" s="500"/>
      <c r="BB17" s="500"/>
      <c r="BC17" s="500"/>
      <c r="BD17" s="500"/>
      <c r="BE17" s="483"/>
      <c r="BF17" s="483"/>
      <c r="BG17" s="483"/>
      <c r="BH17" s="480">
        <v>67</v>
      </c>
      <c r="BI17" s="483" t="s">
        <v>911</v>
      </c>
      <c r="BJ17" s="480">
        <v>3</v>
      </c>
      <c r="BK17" s="483" t="s">
        <v>912</v>
      </c>
      <c r="BL17" s="426">
        <v>0</v>
      </c>
      <c r="BM17" s="426">
        <v>0</v>
      </c>
      <c r="BN17" s="426">
        <v>0.33</v>
      </c>
      <c r="BO17" s="426">
        <v>0.67</v>
      </c>
      <c r="BP17" s="483" t="s">
        <v>287</v>
      </c>
      <c r="BQ17" s="483" t="s">
        <v>287</v>
      </c>
      <c r="BR17" s="483" t="s">
        <v>287</v>
      </c>
      <c r="BU17" s="624"/>
      <c r="BV17" s="624"/>
      <c r="BW17" s="624"/>
      <c r="BX17" s="624"/>
      <c r="BY17" s="624"/>
      <c r="BZ17" s="624"/>
      <c r="CA17" s="624"/>
      <c r="CB17" s="624"/>
      <c r="CC17" s="624"/>
      <c r="CD17" s="624"/>
      <c r="CE17" s="624"/>
    </row>
    <row r="18" spans="1:83" s="267" customFormat="1" ht="24.9" customHeight="1" x14ac:dyDescent="0.25">
      <c r="A18" s="283" t="s">
        <v>246</v>
      </c>
      <c r="B18" s="6"/>
      <c r="C18" s="6"/>
      <c r="D18" s="284">
        <v>53.117647058823529</v>
      </c>
      <c r="E18" s="284">
        <v>7.4117647058823533</v>
      </c>
      <c r="F18" s="65">
        <v>9.4117647058823539E-3</v>
      </c>
      <c r="G18" s="65">
        <v>0.39588235294117652</v>
      </c>
      <c r="H18" s="65">
        <v>0.56000000000000005</v>
      </c>
      <c r="I18" s="65">
        <v>3.7647058823529415E-2</v>
      </c>
      <c r="J18" s="334">
        <f>AVERAGEIFS(J$36:J$167,$C$36:$C$167,"=1")</f>
        <v>0.43470588235294116</v>
      </c>
      <c r="K18" s="334">
        <f>AVERAGEIFS(K$36:K$167,$C$36:$C$167,"=1")</f>
        <v>0.48176470588235293</v>
      </c>
      <c r="L18" s="334">
        <f>AVERAGEIFS(L$36:L$167,$C$36:$C$167,"=1")</f>
        <v>0.55941176470588239</v>
      </c>
      <c r="M18" s="284">
        <v>53.75</v>
      </c>
      <c r="N18" s="284">
        <v>7.6875</v>
      </c>
      <c r="O18" s="89">
        <v>1.2500000000000001E-2</v>
      </c>
      <c r="P18" s="89">
        <v>0.32562500000000005</v>
      </c>
      <c r="Q18" s="89">
        <v>0.59625000000000006</v>
      </c>
      <c r="R18" s="89">
        <v>6.6250000000000003E-2</v>
      </c>
      <c r="S18" s="334">
        <f>AVERAGEIFS(S$36:S$167,$C$36:$C$167,"=1")</f>
        <v>0.44624999999999992</v>
      </c>
      <c r="T18" s="334">
        <f>AVERAGEIFS(T$36:T$167,$C$36:$C$167,"=1")</f>
        <v>0.48000000000000004</v>
      </c>
      <c r="U18" s="334">
        <f>AVERAGEIFS(U$36:U$167,$C$36:$C$167,"=1")</f>
        <v>0.46562499999999996</v>
      </c>
      <c r="V18" s="284">
        <v>53.823529411764703</v>
      </c>
      <c r="W18" s="284">
        <v>8.2941176470588243</v>
      </c>
      <c r="X18" s="98">
        <v>1.8823529411764711E-2</v>
      </c>
      <c r="Y18" s="98">
        <v>0.33176470588235302</v>
      </c>
      <c r="Z18" s="98">
        <v>0.54705882352941182</v>
      </c>
      <c r="AA18" s="98">
        <v>0.10588235294117644</v>
      </c>
      <c r="AB18" s="334">
        <f>AVERAGEIFS(AB$36:AB$167,$C$36:$C$167,"=1")</f>
        <v>0.44058823529411767</v>
      </c>
      <c r="AC18" s="334">
        <f>AVERAGEIFS(AC$36:AC$167,$C$36:$C$167,"=1")</f>
        <v>0.47352941176470592</v>
      </c>
      <c r="AD18" s="334">
        <f>AVERAGEIFS(AD$36:AD$167,$C$36:$C$167,"=1")</f>
        <v>0.49941176470588228</v>
      </c>
      <c r="AE18" s="441">
        <v>53.705882352941174</v>
      </c>
      <c r="AF18" s="441">
        <v>8.4117647058823533</v>
      </c>
      <c r="AG18" s="65">
        <v>1.6470588235294119E-2</v>
      </c>
      <c r="AH18" s="65">
        <v>0.35176470588235298</v>
      </c>
      <c r="AI18" s="65">
        <v>0.54176470588235304</v>
      </c>
      <c r="AJ18" s="65">
        <v>0.09</v>
      </c>
      <c r="AK18" s="334">
        <f>AVERAGEIFS(AK$36:AK$167,$C$36:$C$167,"=1")</f>
        <v>0.4205882352941176</v>
      </c>
      <c r="AL18" s="334">
        <f>AVERAGEIFS(AL$36:AL$167,$C$36:$C$167,"=1")</f>
        <v>0.36588235294117644</v>
      </c>
      <c r="AM18" s="334">
        <f>AVERAGEIFS(AM$36:AM$167,$C$36:$C$167,"=1")</f>
        <v>0.42529411764705882</v>
      </c>
      <c r="AN18" s="284">
        <v>53.823529411764703</v>
      </c>
      <c r="AO18" s="284">
        <v>8.0588235294117645</v>
      </c>
      <c r="AP18" s="65">
        <v>2.5882352941176474E-2</v>
      </c>
      <c r="AQ18" s="65">
        <v>0.29352941176470587</v>
      </c>
      <c r="AR18" s="65">
        <v>0.6029411764705882</v>
      </c>
      <c r="AS18" s="65">
        <v>7.7647058823529416E-2</v>
      </c>
      <c r="AT18" s="334">
        <f>AVERAGEIFS(AT$36:AT$167,$C$36:$C$167,"=1")</f>
        <v>0.46411764705882358</v>
      </c>
      <c r="AU18" s="334">
        <f>AVERAGEIFS(AU$36:AU$167,$C$36:$C$167,"=1")</f>
        <v>0.3605882352941176</v>
      </c>
      <c r="AV18" s="334">
        <f>AVERAGEIFS(AV$36:AV$167,$C$36:$C$167,"=1")</f>
        <v>0.43588235294117661</v>
      </c>
      <c r="AW18" s="440">
        <v>54.588235294117645</v>
      </c>
      <c r="AX18" s="440"/>
      <c r="AY18" s="440"/>
      <c r="AZ18" s="334"/>
      <c r="BA18" s="370">
        <v>1.1764705882352941E-2</v>
      </c>
      <c r="BB18" s="370">
        <v>0.31294117647058828</v>
      </c>
      <c r="BC18" s="370">
        <v>0.56647058823529406</v>
      </c>
      <c r="BD18" s="370">
        <v>0.10705882352941178</v>
      </c>
      <c r="BE18" s="334">
        <v>0.43176470588235294</v>
      </c>
      <c r="BF18" s="334">
        <v>0.32117647058823529</v>
      </c>
      <c r="BG18" s="334">
        <v>0.53647058823529414</v>
      </c>
      <c r="BH18" s="192">
        <f t="shared" ref="BH18" si="6">AVERAGEIF($C$36:$C$167,"=1",BH$36:BH$167)</f>
        <v>54.722222222222221</v>
      </c>
      <c r="BI18" s="484" t="s">
        <v>910</v>
      </c>
      <c r="BJ18" s="192">
        <f t="shared" ref="BJ18:CC18" si="7">AVERAGEIF($C$36:$C$167,"=1",BJ$36:BJ$167)</f>
        <v>8.5555555555555554</v>
      </c>
      <c r="BK18" s="484" t="s">
        <v>910</v>
      </c>
      <c r="BL18" s="521">
        <f t="shared" si="7"/>
        <v>2.0555555555555563E-2</v>
      </c>
      <c r="BM18" s="521">
        <f t="shared" si="7"/>
        <v>0.28444444444444439</v>
      </c>
      <c r="BN18" s="521">
        <f t="shared" si="7"/>
        <v>0.60222222222222221</v>
      </c>
      <c r="BO18" s="521">
        <f t="shared" si="7"/>
        <v>9.3333333333333324E-2</v>
      </c>
      <c r="BP18" s="521">
        <f t="shared" si="7"/>
        <v>0.45944444444444443</v>
      </c>
      <c r="BQ18" s="521">
        <f t="shared" si="7"/>
        <v>0.33666666666666673</v>
      </c>
      <c r="BR18" s="521">
        <f t="shared" si="7"/>
        <v>0.44500000000000001</v>
      </c>
      <c r="BS18" s="192">
        <f>AVERAGEIF($C$36:$C$167,"=1",BS$36:BS$167)</f>
        <v>54.529411764705884</v>
      </c>
      <c r="BU18" s="192">
        <f t="shared" si="7"/>
        <v>8.2941176470588243</v>
      </c>
      <c r="BV18" s="624"/>
      <c r="BW18" s="521">
        <f t="shared" si="7"/>
        <v>1.8823529411764704E-2</v>
      </c>
      <c r="BX18" s="521">
        <f t="shared" si="7"/>
        <v>0.28882352941176476</v>
      </c>
      <c r="BY18" s="521">
        <f t="shared" si="7"/>
        <v>0.59294117647058819</v>
      </c>
      <c r="BZ18" s="521">
        <f t="shared" si="7"/>
        <v>0.10058823529411766</v>
      </c>
      <c r="CA18" s="521">
        <f t="shared" si="7"/>
        <v>0.35470588235294126</v>
      </c>
      <c r="CB18" s="521">
        <f t="shared" si="7"/>
        <v>0.46470588235294108</v>
      </c>
      <c r="CC18" s="521">
        <f t="shared" si="7"/>
        <v>0.48941176470588227</v>
      </c>
      <c r="CD18" s="624"/>
      <c r="CE18" s="624"/>
    </row>
    <row r="19" spans="1:83" s="267" customFormat="1" ht="24.9" customHeight="1" x14ac:dyDescent="0.25">
      <c r="A19" s="283" t="s">
        <v>247</v>
      </c>
      <c r="B19" s="6"/>
      <c r="C19" s="6"/>
      <c r="D19" s="284">
        <v>54.75</v>
      </c>
      <c r="E19" s="284">
        <v>7.15</v>
      </c>
      <c r="F19" s="65">
        <v>1.6E-2</v>
      </c>
      <c r="G19" s="65">
        <v>0.31900000000000001</v>
      </c>
      <c r="H19" s="65">
        <v>0.58300000000000007</v>
      </c>
      <c r="I19" s="65">
        <v>8.2500000000000004E-2</v>
      </c>
      <c r="J19" s="334">
        <f>AVERAGEIFS(J$36:J$167,$C$36:$C$167,"=2")</f>
        <v>0.41249999999999992</v>
      </c>
      <c r="K19" s="334">
        <f>AVERAGEIFS(K$36:K$167,$C$36:$C$167,"=2")</f>
        <v>0.45600000000000013</v>
      </c>
      <c r="L19" s="334">
        <f>AVERAGEIFS(L$36:L$167,$C$36:$C$167,"=2")</f>
        <v>0.51300000000000001</v>
      </c>
      <c r="M19" s="284">
        <v>55.578947368421055</v>
      </c>
      <c r="N19" s="284">
        <v>7.8947368421052628</v>
      </c>
      <c r="O19" s="89">
        <v>1.578947368421053E-2</v>
      </c>
      <c r="P19" s="89">
        <v>0.26473684210526321</v>
      </c>
      <c r="Q19" s="89">
        <v>0.59315789473684222</v>
      </c>
      <c r="R19" s="89">
        <v>0.12578947368421053</v>
      </c>
      <c r="S19" s="334">
        <f>AVERAGEIFS(S$36:S$167,$C$36:$C$167,"=2")</f>
        <v>0.40842105263157902</v>
      </c>
      <c r="T19" s="334">
        <f>AVERAGEIFS(T$36:T$167,$C$36:$C$167,"=2")</f>
        <v>0.44789473684210523</v>
      </c>
      <c r="U19" s="334">
        <f>AVERAGEIFS(U$36:U$167,$C$36:$C$167,"=2")</f>
        <v>0.44263157894736832</v>
      </c>
      <c r="V19" s="284">
        <v>54.684210526315788</v>
      </c>
      <c r="W19" s="284">
        <v>8.3684210526315788</v>
      </c>
      <c r="X19" s="98">
        <v>1.4210526315789474E-2</v>
      </c>
      <c r="Y19" s="98">
        <v>0.31473684210526309</v>
      </c>
      <c r="Z19" s="98">
        <v>0.5457894736842106</v>
      </c>
      <c r="AA19" s="98">
        <v>0.12421052631578947</v>
      </c>
      <c r="AB19" s="334">
        <f>AVERAGEIFS(AB$36:AB$167,$C$36:$C$167,"=2")</f>
        <v>0.41526315789473683</v>
      </c>
      <c r="AC19" s="334">
        <f>AVERAGEIFS(AC$36:AC$167,$C$36:$C$167,"=2")</f>
        <v>0.46631578947368429</v>
      </c>
      <c r="AD19" s="334">
        <f>AVERAGEIFS(AD$36:AD$167,$C$36:$C$167,"=2")</f>
        <v>0.48052631578947363</v>
      </c>
      <c r="AE19" s="441">
        <v>55.3</v>
      </c>
      <c r="AF19" s="441">
        <v>8.35</v>
      </c>
      <c r="AG19" s="65">
        <v>1.0500000000000001E-2</v>
      </c>
      <c r="AH19" s="65">
        <v>0.25950000000000001</v>
      </c>
      <c r="AI19" s="65">
        <v>0.60349999999999993</v>
      </c>
      <c r="AJ19" s="65">
        <v>0.128</v>
      </c>
      <c r="AK19" s="334">
        <f>AVERAGEIFS(AK$36:AK$167,$C$36:$C$167,"=2")</f>
        <v>0.39000000000000007</v>
      </c>
      <c r="AL19" s="334">
        <f>AVERAGEIFS(AL$36:AL$167,$C$36:$C$167,"=2")</f>
        <v>0.33999999999999997</v>
      </c>
      <c r="AM19" s="334">
        <f>AVERAGEIFS(AM$36:AM$167,$C$36:$C$167,"=2")</f>
        <v>0.39500000000000007</v>
      </c>
      <c r="AN19" s="284">
        <v>54.791666666666664</v>
      </c>
      <c r="AO19" s="284">
        <v>7.041666666666667</v>
      </c>
      <c r="AP19" s="65">
        <v>7.4999999999999997E-3</v>
      </c>
      <c r="AQ19" s="65">
        <v>0.29416666666666663</v>
      </c>
      <c r="AR19" s="65">
        <v>0.58833333333333326</v>
      </c>
      <c r="AS19" s="65">
        <v>0.11</v>
      </c>
      <c r="AT19" s="334">
        <f>AVERAGEIFS(AT$36:AT$167,$C$36:$C$167,"=2")</f>
        <v>0.43458333333333332</v>
      </c>
      <c r="AU19" s="334">
        <f>AVERAGEIFS(AU$36:AU$167,$C$36:$C$167,"=2")</f>
        <v>0.36166666666666664</v>
      </c>
      <c r="AV19" s="334">
        <f>AVERAGEIFS(AV$36:AV$167,$C$36:$C$167,"=2")</f>
        <v>0.41708333333333331</v>
      </c>
      <c r="AW19" s="440">
        <v>54.545454545454547</v>
      </c>
      <c r="AX19" s="440"/>
      <c r="AY19" s="440"/>
      <c r="AZ19" s="334"/>
      <c r="BA19" s="370">
        <v>3.0909090909090917E-2</v>
      </c>
      <c r="BB19" s="370">
        <v>0.33090909090909082</v>
      </c>
      <c r="BC19" s="370">
        <v>0.51045454545454538</v>
      </c>
      <c r="BD19" s="370">
        <v>0.1281818181818182</v>
      </c>
      <c r="BE19" s="334">
        <v>0.43545454545454554</v>
      </c>
      <c r="BF19" s="334">
        <v>0.33636363636363636</v>
      </c>
      <c r="BG19" s="334">
        <v>0.52727272727272745</v>
      </c>
      <c r="BH19" s="192">
        <f t="shared" ref="BH19" si="8">AVERAGEIF($C$36:$C$167,"=2",BH$36:BH$167)</f>
        <v>56.44</v>
      </c>
      <c r="BJ19" s="192">
        <f t="shared" ref="BJ19:CC19" si="9">AVERAGEIF($C$36:$C$167,"=2",BJ$36:BJ$167)</f>
        <v>7.84</v>
      </c>
      <c r="BL19" s="521">
        <f t="shared" si="9"/>
        <v>2.0400000000000001E-2</v>
      </c>
      <c r="BM19" s="521">
        <f t="shared" si="9"/>
        <v>0.22400000000000003</v>
      </c>
      <c r="BN19" s="521">
        <f t="shared" si="9"/>
        <v>0.58879999999999977</v>
      </c>
      <c r="BO19" s="521">
        <f t="shared" si="9"/>
        <v>0.16799999999999998</v>
      </c>
      <c r="BP19" s="521">
        <f t="shared" si="9"/>
        <v>0.43520000000000003</v>
      </c>
      <c r="BQ19" s="521">
        <f t="shared" si="9"/>
        <v>0.31199999999999994</v>
      </c>
      <c r="BR19" s="521">
        <f t="shared" si="9"/>
        <v>0.39760000000000006</v>
      </c>
      <c r="BS19" s="192">
        <f t="shared" si="9"/>
        <v>55.96153846153846</v>
      </c>
      <c r="BU19" s="192">
        <f t="shared" si="9"/>
        <v>8.3076923076923084</v>
      </c>
      <c r="BV19" s="624"/>
      <c r="BW19" s="521">
        <f t="shared" si="9"/>
        <v>2.5384615384615391E-2</v>
      </c>
      <c r="BX19" s="521">
        <f t="shared" si="9"/>
        <v>0.25769230769230766</v>
      </c>
      <c r="BY19" s="521">
        <f t="shared" si="9"/>
        <v>0.55692307692307697</v>
      </c>
      <c r="BZ19" s="521">
        <f t="shared" si="9"/>
        <v>0.16038461538461538</v>
      </c>
      <c r="CA19" s="521">
        <f t="shared" si="9"/>
        <v>0.341923076923077</v>
      </c>
      <c r="CB19" s="521">
        <f t="shared" si="9"/>
        <v>0.44423076923076926</v>
      </c>
      <c r="CC19" s="521">
        <f t="shared" si="9"/>
        <v>0.45000000000000007</v>
      </c>
      <c r="CD19" s="624"/>
      <c r="CE19" s="624"/>
    </row>
    <row r="20" spans="1:83" s="267" customFormat="1" ht="24.9" customHeight="1" x14ac:dyDescent="0.25">
      <c r="A20" s="283" t="s">
        <v>248</v>
      </c>
      <c r="B20" s="6"/>
      <c r="C20" s="6"/>
      <c r="D20" s="284">
        <v>54.555555555555557</v>
      </c>
      <c r="E20" s="284">
        <v>8</v>
      </c>
      <c r="F20" s="65">
        <v>1.9444444444444445E-2</v>
      </c>
      <c r="G20" s="65">
        <v>0.30944444444444447</v>
      </c>
      <c r="H20" s="65">
        <v>0.59777777777777785</v>
      </c>
      <c r="I20" s="65">
        <v>7.7222222222222248E-2</v>
      </c>
      <c r="J20" s="334">
        <f>AVERAGEIFS(J$36:J$167,$C$36:$C$167,"=3")</f>
        <v>0.40444444444444438</v>
      </c>
      <c r="K20" s="334">
        <f>AVERAGEIFS(K$36:K$167,$C$36:$C$167,"=3")</f>
        <v>0.4694444444444445</v>
      </c>
      <c r="L20" s="334">
        <f>AVERAGEIFS(L$36:L$167,$C$36:$C$167,"=3")</f>
        <v>0.51888888888888884</v>
      </c>
      <c r="M20" s="284">
        <v>55.368421052631582</v>
      </c>
      <c r="N20" s="284">
        <v>7.8888888888888893</v>
      </c>
      <c r="O20" s="89">
        <v>1.2105263157894735E-2</v>
      </c>
      <c r="P20" s="89">
        <v>0.25368421052631573</v>
      </c>
      <c r="Q20" s="89">
        <v>0.63473684210526304</v>
      </c>
      <c r="R20" s="89">
        <v>0.10052631578947369</v>
      </c>
      <c r="S20" s="334">
        <f>AVERAGEIFS(S$36:S$167,$C$36:$C$167,"=3")</f>
        <v>0.42000000000000004</v>
      </c>
      <c r="T20" s="334">
        <f>AVERAGEIFS(T$36:T$167,$C$36:$C$167,"=3")</f>
        <v>0.45789473684210524</v>
      </c>
      <c r="U20" s="334">
        <f>AVERAGEIFS(U$36:U$167,$C$36:$C$167,"=3")</f>
        <v>0.44631578947368422</v>
      </c>
      <c r="V20" s="284">
        <v>55.684210526315788</v>
      </c>
      <c r="W20" s="284">
        <v>8.2777777777777786</v>
      </c>
      <c r="X20" s="98">
        <v>1.368421052631579E-2</v>
      </c>
      <c r="Y20" s="98">
        <v>0.2636842105263158</v>
      </c>
      <c r="Z20" s="98">
        <v>0.59052631578947368</v>
      </c>
      <c r="AA20" s="98">
        <v>0.13315789473684214</v>
      </c>
      <c r="AB20" s="334">
        <f>AVERAGEIFS(AB$36:AB$167,$C$36:$C$167,"=3")</f>
        <v>0.40473684210526323</v>
      </c>
      <c r="AC20" s="334">
        <f>AVERAGEIFS(AC$36:AC$167,$C$36:$C$167,"=3")</f>
        <v>0.45631578947368423</v>
      </c>
      <c r="AD20" s="334">
        <f>AVERAGEIFS(AD$36:AD$167,$C$36:$C$167,"=3")</f>
        <v>0.47842105263157886</v>
      </c>
      <c r="AE20" s="441">
        <v>55.210526315789473</v>
      </c>
      <c r="AF20" s="441">
        <v>8.4444444444444446</v>
      </c>
      <c r="AG20" s="65">
        <v>8.4210526315789472E-3</v>
      </c>
      <c r="AH20" s="65">
        <v>0.28526315789473677</v>
      </c>
      <c r="AI20" s="65">
        <v>0.57315789473684209</v>
      </c>
      <c r="AJ20" s="65">
        <v>0.13315789473684211</v>
      </c>
      <c r="AK20" s="334">
        <f>AVERAGEIFS(AK$36:AK$167,$C$36:$C$167,"=3")</f>
        <v>0.40052631578947373</v>
      </c>
      <c r="AL20" s="334">
        <f>AVERAGEIFS(AL$36:AL$167,$C$36:$C$167,"=3")</f>
        <v>0.34894736842105267</v>
      </c>
      <c r="AM20" s="334">
        <f>AVERAGEIFS(AM$36:AM$167,$C$36:$C$167,"=3")</f>
        <v>0.39368421052631569</v>
      </c>
      <c r="AN20" s="284">
        <v>54.9</v>
      </c>
      <c r="AO20" s="284">
        <v>7.8</v>
      </c>
      <c r="AP20" s="65">
        <v>1.7499999999999998E-2</v>
      </c>
      <c r="AQ20" s="65">
        <v>0.26100000000000001</v>
      </c>
      <c r="AR20" s="65">
        <v>0.64649999999999996</v>
      </c>
      <c r="AS20" s="65">
        <v>7.4499999999999997E-2</v>
      </c>
      <c r="AT20" s="334">
        <f>AVERAGEIFS(AT$36:AT$167,$C$36:$C$167,"=3")</f>
        <v>0.44800000000000006</v>
      </c>
      <c r="AU20" s="334">
        <f>AVERAGEIFS(AU$36:AU$167,$C$36:$C$167,"=3")</f>
        <v>0.34550000000000003</v>
      </c>
      <c r="AV20" s="334">
        <f>AVERAGEIFS(AV$36:AV$167,$C$36:$C$167,"=3")</f>
        <v>0.40499999999999997</v>
      </c>
      <c r="AW20" s="440">
        <v>55.6</v>
      </c>
      <c r="AX20" s="440"/>
      <c r="AY20" s="440"/>
      <c r="AZ20" s="334"/>
      <c r="BA20" s="370">
        <v>1.1500000000000002E-2</v>
      </c>
      <c r="BB20" s="370">
        <v>0.28799999999999998</v>
      </c>
      <c r="BC20" s="370">
        <v>0.55899999999999994</v>
      </c>
      <c r="BD20" s="370">
        <v>0.14399999999999999</v>
      </c>
      <c r="BE20" s="334">
        <v>0.41200000000000003</v>
      </c>
      <c r="BF20" s="334">
        <v>0.32050000000000001</v>
      </c>
      <c r="BG20" s="334">
        <v>0.51100000000000012</v>
      </c>
      <c r="BH20" s="192">
        <f t="shared" ref="BH20" si="10">AVERAGEIF($C$36:$C$167,"=3",BH$36:BH$167)</f>
        <v>56.272727272727273</v>
      </c>
      <c r="BJ20" s="192">
        <f t="shared" ref="BJ20:CC20" si="11">AVERAGEIF($C$36:$C$167,"=3",BJ$36:BJ$167)</f>
        <v>8.4090909090909083</v>
      </c>
      <c r="BL20" s="521">
        <f t="shared" si="11"/>
        <v>1.2727272727272726E-2</v>
      </c>
      <c r="BM20" s="521">
        <f t="shared" si="11"/>
        <v>0.23909090909090913</v>
      </c>
      <c r="BN20" s="521">
        <f t="shared" si="11"/>
        <v>0.60272727272727267</v>
      </c>
      <c r="BO20" s="521">
        <f t="shared" si="11"/>
        <v>0.14681818181818182</v>
      </c>
      <c r="BP20" s="521">
        <f t="shared" si="11"/>
        <v>0.43545454545454548</v>
      </c>
      <c r="BQ20" s="521">
        <f t="shared" si="11"/>
        <v>0.31909090909090909</v>
      </c>
      <c r="BR20" s="521">
        <f t="shared" si="11"/>
        <v>0.40045454545454545</v>
      </c>
      <c r="BS20" s="192">
        <f t="shared" si="11"/>
        <v>55.909090909090907</v>
      </c>
      <c r="BU20" s="192">
        <f t="shared" si="11"/>
        <v>8.1363636363636367</v>
      </c>
      <c r="BV20" s="624"/>
      <c r="BW20" s="521">
        <f t="shared" si="11"/>
        <v>1.5454545454545453E-2</v>
      </c>
      <c r="BX20" s="521">
        <f t="shared" si="11"/>
        <v>0.23181818181818184</v>
      </c>
      <c r="BY20" s="521">
        <f t="shared" si="11"/>
        <v>0.62</v>
      </c>
      <c r="BZ20" s="521">
        <f t="shared" si="11"/>
        <v>0.13409090909090909</v>
      </c>
      <c r="CA20" s="521">
        <f t="shared" si="11"/>
        <v>0.34136363636363637</v>
      </c>
      <c r="CB20" s="521">
        <f t="shared" si="11"/>
        <v>0.44136363636363635</v>
      </c>
      <c r="CC20" s="521">
        <f t="shared" si="11"/>
        <v>0.4540909090909091</v>
      </c>
      <c r="CD20" s="624"/>
      <c r="CE20" s="624"/>
    </row>
    <row r="21" spans="1:83" s="267" customFormat="1" ht="24.9" customHeight="1" x14ac:dyDescent="0.25">
      <c r="A21" s="283" t="s">
        <v>249</v>
      </c>
      <c r="B21" s="6"/>
      <c r="C21" s="6"/>
      <c r="D21" s="284">
        <v>50.714285714285715</v>
      </c>
      <c r="E21" s="284">
        <v>7.5</v>
      </c>
      <c r="F21" s="65">
        <v>2.6428571428571433E-2</v>
      </c>
      <c r="G21" s="65">
        <v>0.39588235294117652</v>
      </c>
      <c r="H21" s="65">
        <v>0.48285714285714282</v>
      </c>
      <c r="I21" s="65">
        <v>2.357142857142857E-2</v>
      </c>
      <c r="J21" s="334">
        <f>AVERAGEIFS(J$36:J$167,$C$36:$C$167,"=4")</f>
        <v>0.47857142857142859</v>
      </c>
      <c r="K21" s="334">
        <f>AVERAGEIFS(K$36:K$167,$C$36:$C$167,"=4")</f>
        <v>0.52357142857142858</v>
      </c>
      <c r="L21" s="334">
        <f>AVERAGEIFS(L$36:L$167,$C$36:$C$167,"=4")</f>
        <v>0.59214285714285708</v>
      </c>
      <c r="M21" s="284">
        <v>53.6</v>
      </c>
      <c r="N21" s="284">
        <v>7.2666666666666666</v>
      </c>
      <c r="O21" s="89">
        <v>1.2857142857142857E-2</v>
      </c>
      <c r="P21" s="89">
        <v>0.33285714285714285</v>
      </c>
      <c r="Q21" s="89">
        <v>0.57285714285714284</v>
      </c>
      <c r="R21" s="89">
        <v>8.1428571428571433E-2</v>
      </c>
      <c r="S21" s="334">
        <f>AVERAGEIFS(S$36:S$167,$C$36:$C$167,"=4")</f>
        <v>0.43571428571428567</v>
      </c>
      <c r="T21" s="334">
        <f>AVERAGEIFS(T$36:T$167,$C$36:$C$167,"=4")</f>
        <v>0.47500000000000003</v>
      </c>
      <c r="U21" s="334">
        <f>AVERAGEIFS(U$36:U$167,$C$36:$C$167,"=4")</f>
        <v>0.49071428571428577</v>
      </c>
      <c r="V21" s="284">
        <v>52.93333333333333</v>
      </c>
      <c r="W21" s="284">
        <v>7.6</v>
      </c>
      <c r="X21" s="98">
        <v>1.0666666666666666E-2</v>
      </c>
      <c r="Y21" s="98">
        <v>0.36266666666666669</v>
      </c>
      <c r="Z21" s="98">
        <v>0.57799999999999996</v>
      </c>
      <c r="AA21" s="98">
        <v>4.8000000000000015E-2</v>
      </c>
      <c r="AB21" s="334">
        <f>AVERAGEIFS(AB$36:AB$167,$C$36:$C$167,"=4")</f>
        <v>0.44333333333333325</v>
      </c>
      <c r="AC21" s="334">
        <f>AVERAGEIFS(AC$36:AC$167,$C$36:$C$167,"=4")</f>
        <v>0.4966666666666667</v>
      </c>
      <c r="AD21" s="334">
        <f>AVERAGEIFS(AD$36:AD$167,$C$36:$C$167,"=4")</f>
        <v>0.51733333333333342</v>
      </c>
      <c r="AE21" s="441">
        <v>52.5</v>
      </c>
      <c r="AF21" s="441">
        <v>8.5</v>
      </c>
      <c r="AG21" s="65">
        <v>3.3571428571428578E-2</v>
      </c>
      <c r="AH21" s="65">
        <v>0.39357142857142863</v>
      </c>
      <c r="AI21" s="65">
        <v>0.4921428571428571</v>
      </c>
      <c r="AJ21" s="65">
        <v>8.1428571428571433E-2</v>
      </c>
      <c r="AK21" s="334">
        <f>AVERAGEIFS(AK$36:AK$167,$C$36:$C$167,"=4")</f>
        <v>0.43785714285714289</v>
      </c>
      <c r="AL21" s="334">
        <f>AVERAGEIFS(AL$36:AL$167,$C$36:$C$167,"=4")</f>
        <v>0.39857142857142858</v>
      </c>
      <c r="AM21" s="334">
        <f>AVERAGEIFS(AM$36:AM$167,$C$36:$C$167,"=4")</f>
        <v>0.43857142857142856</v>
      </c>
      <c r="AN21" s="284">
        <v>51.153846153846153</v>
      </c>
      <c r="AO21" s="284">
        <v>8.0769230769230766</v>
      </c>
      <c r="AP21" s="65">
        <v>3.1538461538461543E-2</v>
      </c>
      <c r="AQ21" s="65">
        <v>0.42</v>
      </c>
      <c r="AR21" s="65">
        <v>0.49692307692307697</v>
      </c>
      <c r="AS21" s="65">
        <v>5.307692307692307E-2</v>
      </c>
      <c r="AT21" s="334">
        <f>AVERAGEIFS(AT$36:AT$167,$C$36:$C$167,"=4")</f>
        <v>0.50692307692307703</v>
      </c>
      <c r="AU21" s="334">
        <f>AVERAGEIFS(AU$36:AU$167,$C$36:$C$167,"=4")</f>
        <v>0.41923076923076918</v>
      </c>
      <c r="AV21" s="334">
        <f>AVERAGEIFS(AV$36:AV$167,$C$36:$C$167,"=4")</f>
        <v>0.46153846153846145</v>
      </c>
      <c r="AW21" s="440">
        <v>52.357142857142854</v>
      </c>
      <c r="AX21" s="440"/>
      <c r="AY21" s="440"/>
      <c r="AZ21" s="334"/>
      <c r="BA21" s="370">
        <v>1.9999999999999997E-2</v>
      </c>
      <c r="BB21" s="370">
        <v>0.3978571428571428</v>
      </c>
      <c r="BC21" s="370">
        <v>0.5278571428571428</v>
      </c>
      <c r="BD21" s="370">
        <v>5.5714285714285709E-2</v>
      </c>
      <c r="BE21" s="334">
        <v>0.46142857142857147</v>
      </c>
      <c r="BF21" s="334">
        <v>0.38214285714285717</v>
      </c>
      <c r="BG21" s="334">
        <v>0.56857142857142873</v>
      </c>
      <c r="BH21" s="192">
        <f t="shared" ref="BH21" si="12">AVERAGEIF($C$36:$C$167,"=4",BH$36:BH$167)</f>
        <v>53.285714285714285</v>
      </c>
      <c r="BJ21" s="192">
        <f t="shared" ref="BJ21:CC21" si="13">AVERAGEIF($C$36:$C$167,"=4",BJ$36:BJ$167)</f>
        <v>8.5</v>
      </c>
      <c r="BL21" s="521">
        <f t="shared" si="13"/>
        <v>3.3571428571428572E-2</v>
      </c>
      <c r="BM21" s="521">
        <f t="shared" si="13"/>
        <v>0.34428571428571436</v>
      </c>
      <c r="BN21" s="521">
        <f t="shared" si="13"/>
        <v>0.51857142857142857</v>
      </c>
      <c r="BO21" s="521">
        <f t="shared" si="13"/>
        <v>0.10285714285714287</v>
      </c>
      <c r="BP21" s="521">
        <f t="shared" si="13"/>
        <v>0.47857142857142859</v>
      </c>
      <c r="BQ21" s="521">
        <f t="shared" si="13"/>
        <v>0.35500000000000004</v>
      </c>
      <c r="BR21" s="521">
        <f t="shared" si="13"/>
        <v>0.47500000000000009</v>
      </c>
      <c r="BS21" s="192">
        <f t="shared" si="13"/>
        <v>51.466666666666669</v>
      </c>
      <c r="BU21" s="192">
        <f t="shared" si="13"/>
        <v>8.6</v>
      </c>
      <c r="BV21" s="624"/>
      <c r="BW21" s="521">
        <f t="shared" si="13"/>
        <v>3.1333333333333338E-2</v>
      </c>
      <c r="BX21" s="521">
        <f t="shared" si="13"/>
        <v>0.42866666666666664</v>
      </c>
      <c r="BY21" s="521">
        <f t="shared" si="13"/>
        <v>0.47600000000000003</v>
      </c>
      <c r="BZ21" s="521">
        <f t="shared" si="13"/>
        <v>6.3333333333333325E-2</v>
      </c>
      <c r="CA21" s="521">
        <f t="shared" si="13"/>
        <v>0.41399999999999992</v>
      </c>
      <c r="CB21" s="521">
        <f t="shared" si="13"/>
        <v>0.51533333333333331</v>
      </c>
      <c r="CC21" s="521">
        <f t="shared" si="13"/>
        <v>0.54599999999999993</v>
      </c>
      <c r="CD21" s="624"/>
      <c r="CE21" s="624"/>
    </row>
    <row r="22" spans="1:83" s="267" customFormat="1" ht="24.9" customHeight="1" x14ac:dyDescent="0.25">
      <c r="A22" s="283" t="s">
        <v>250</v>
      </c>
      <c r="B22" s="6"/>
      <c r="C22" s="6"/>
      <c r="D22" s="284">
        <v>55.529411764705884</v>
      </c>
      <c r="E22" s="284">
        <v>7.7058823529411766</v>
      </c>
      <c r="F22" s="65">
        <v>1.1764705882352941E-2</v>
      </c>
      <c r="G22" s="65">
        <v>0.39588235294117652</v>
      </c>
      <c r="H22" s="65">
        <v>0.63764705882352946</v>
      </c>
      <c r="I22" s="65">
        <v>8.4705882352941186E-2</v>
      </c>
      <c r="J22" s="334">
        <f>AVERAGEIFS(J$36:J$167,$C$36:$C$167,"=5")</f>
        <v>0.40941176470588236</v>
      </c>
      <c r="K22" s="334">
        <f>AVERAGEIFS(K$36:K$167,$C$36:$C$167,"=5")</f>
        <v>0.43588235294117644</v>
      </c>
      <c r="L22" s="334">
        <f>AVERAGEIFS(L$36:L$167,$C$36:$C$167,"=5")</f>
        <v>0.53117647058823536</v>
      </c>
      <c r="M22" s="284">
        <v>56.941176470588232</v>
      </c>
      <c r="N22" s="284">
        <v>7.5882352941176467</v>
      </c>
      <c r="O22" s="89">
        <v>1.0555555555555556E-2</v>
      </c>
      <c r="P22" s="89">
        <v>0.2122222222222222</v>
      </c>
      <c r="Q22" s="89">
        <v>0.66055555555555545</v>
      </c>
      <c r="R22" s="89">
        <v>0.11444444444444445</v>
      </c>
      <c r="S22" s="334">
        <f>AVERAGEIFS(S$36:S$167,$C$36:$C$167,"=5")</f>
        <v>0.37388888888888883</v>
      </c>
      <c r="T22" s="334">
        <f>AVERAGEIFS(T$36:T$167,$C$36:$C$167,"=5")</f>
        <v>0.43111111111111111</v>
      </c>
      <c r="U22" s="334">
        <f>AVERAGEIFS(U$36:U$167,$C$36:$C$167,"=5")</f>
        <v>0.435</v>
      </c>
      <c r="V22" s="284">
        <v>55.888888888888886</v>
      </c>
      <c r="W22" s="284">
        <v>7.8888888888888893</v>
      </c>
      <c r="X22" s="98">
        <v>1.2222222222222223E-2</v>
      </c>
      <c r="Y22" s="98">
        <v>0.26833333333333331</v>
      </c>
      <c r="Z22" s="98">
        <v>0.59666666666666668</v>
      </c>
      <c r="AA22" s="98">
        <v>0.125</v>
      </c>
      <c r="AB22" s="334">
        <f>AVERAGEIFS(AB$36:AB$167,$C$36:$C$167,"=5")</f>
        <v>0.39500000000000002</v>
      </c>
      <c r="AC22" s="334">
        <f>AVERAGEIFS(AC$36:AC$167,$C$36:$C$167,"=5")</f>
        <v>0.4538888888888889</v>
      </c>
      <c r="AD22" s="334">
        <f>AVERAGEIFS(AD$36:AD$167,$C$36:$C$167,"=5")</f>
        <v>0.46444444444444444</v>
      </c>
      <c r="AE22" s="441">
        <v>56.368421052631582</v>
      </c>
      <c r="AF22" s="441">
        <v>7.9473684210526319</v>
      </c>
      <c r="AG22" s="65">
        <v>6.842105263157895E-3</v>
      </c>
      <c r="AH22" s="65">
        <v>0.25526315789473697</v>
      </c>
      <c r="AI22" s="65">
        <v>0.5915789473684212</v>
      </c>
      <c r="AJ22" s="65">
        <v>0.14684210526315788</v>
      </c>
      <c r="AK22" s="334">
        <f>AVERAGEIFS(AK$36:AK$167,$C$36:$C$167,"=5")</f>
        <v>0.37526315789473674</v>
      </c>
      <c r="AL22" s="334">
        <f>AVERAGEIFS(AL$36:AL$167,$C$36:$C$167,"=5")</f>
        <v>0.32526315789473681</v>
      </c>
      <c r="AM22" s="334">
        <f>AVERAGEIFS(AM$36:AM$167,$C$36:$C$167,"=5")</f>
        <v>0.37894736842105264</v>
      </c>
      <c r="AN22" s="284">
        <v>56.5</v>
      </c>
      <c r="AO22" s="284">
        <v>7.3888888888888893</v>
      </c>
      <c r="AP22" s="65">
        <v>2.2222222222222222E-3</v>
      </c>
      <c r="AQ22" s="65">
        <v>0.21777777777777779</v>
      </c>
      <c r="AR22" s="65">
        <v>0.66388888888888875</v>
      </c>
      <c r="AS22" s="65">
        <v>0.11611111111111111</v>
      </c>
      <c r="AT22" s="334">
        <f>AVERAGEIFS(AT$36:AT$167,$C$36:$C$167,"=5")</f>
        <v>0.42777777777777781</v>
      </c>
      <c r="AU22" s="334">
        <f>AVERAGEIFS(AU$36:AU$167,$C$36:$C$167,"=5")</f>
        <v>0.30444444444444441</v>
      </c>
      <c r="AV22" s="334">
        <f>AVERAGEIFS(AV$36:AV$167,$C$36:$C$167,"=5")</f>
        <v>0.39166666666666672</v>
      </c>
      <c r="AW22" s="440">
        <v>56.944444444444443</v>
      </c>
      <c r="AX22" s="440"/>
      <c r="AY22" s="440"/>
      <c r="AZ22" s="334"/>
      <c r="BA22" s="370">
        <v>5.5555555555555558E-3</v>
      </c>
      <c r="BB22" s="370">
        <v>0.22166666666666662</v>
      </c>
      <c r="BC22" s="370">
        <v>0.59388888888888891</v>
      </c>
      <c r="BD22" s="370">
        <v>0.1772222222222222</v>
      </c>
      <c r="BE22" s="334">
        <v>0.39111111111111119</v>
      </c>
      <c r="BF22" s="334">
        <v>0.30111111111111105</v>
      </c>
      <c r="BG22" s="334">
        <v>0.48444444444444446</v>
      </c>
      <c r="BH22" s="192">
        <f t="shared" ref="BH22" si="14">AVERAGEIF($C$36:$C$167,"=5",BH$36:BH$167)</f>
        <v>57.882352941176471</v>
      </c>
      <c r="BJ22" s="192">
        <f t="shared" ref="BJ22:CC22" si="15">AVERAGEIF($C$36:$C$167,"=5",BJ$36:BJ$167)</f>
        <v>7.7058823529411766</v>
      </c>
      <c r="BL22" s="521">
        <f t="shared" si="15"/>
        <v>1.2352941176470589E-2</v>
      </c>
      <c r="BM22" s="521">
        <f t="shared" si="15"/>
        <v>0.17294117647058824</v>
      </c>
      <c r="BN22" s="521">
        <f t="shared" si="15"/>
        <v>0.62588235294117656</v>
      </c>
      <c r="BO22" s="521">
        <f t="shared" si="15"/>
        <v>0.19</v>
      </c>
      <c r="BP22" s="521">
        <f t="shared" si="15"/>
        <v>0.41235294117647059</v>
      </c>
      <c r="BQ22" s="521">
        <f t="shared" si="15"/>
        <v>0.28176470588235292</v>
      </c>
      <c r="BR22" s="521">
        <f t="shared" si="15"/>
        <v>0.37823529411764706</v>
      </c>
      <c r="BS22" s="192">
        <f t="shared" si="15"/>
        <v>57.823529411764703</v>
      </c>
      <c r="BU22" s="192">
        <f t="shared" si="15"/>
        <v>8.1764705882352935</v>
      </c>
      <c r="BV22" s="624"/>
      <c r="BW22" s="521">
        <f t="shared" si="15"/>
        <v>6.4705882352941186E-3</v>
      </c>
      <c r="BX22" s="521">
        <f t="shared" si="15"/>
        <v>0.18941176470588236</v>
      </c>
      <c r="BY22" s="521">
        <f t="shared" si="15"/>
        <v>0.62647058823529422</v>
      </c>
      <c r="BZ22" s="521">
        <f t="shared" si="15"/>
        <v>0.17882352941176474</v>
      </c>
      <c r="CA22" s="521">
        <f t="shared" si="15"/>
        <v>0.30941176470588239</v>
      </c>
      <c r="CB22" s="521">
        <f t="shared" si="15"/>
        <v>0.4129411764705882</v>
      </c>
      <c r="CC22" s="521">
        <f t="shared" si="15"/>
        <v>0.4205882352941176</v>
      </c>
      <c r="CD22" s="624"/>
      <c r="CE22" s="624"/>
    </row>
    <row r="23" spans="1:83" ht="24.9" customHeight="1" x14ac:dyDescent="0.25">
      <c r="A23" s="283" t="s">
        <v>251</v>
      </c>
      <c r="B23" s="6"/>
      <c r="C23" s="6"/>
      <c r="D23" s="284">
        <v>54.2</v>
      </c>
      <c r="E23" s="284">
        <v>6.7333333333333334</v>
      </c>
      <c r="F23" s="65">
        <v>7.3333333333333332E-3</v>
      </c>
      <c r="G23" s="65">
        <v>0.39588235294117652</v>
      </c>
      <c r="H23" s="65">
        <v>0.56000000000000005</v>
      </c>
      <c r="I23" s="65">
        <v>5.7999999999999989E-2</v>
      </c>
      <c r="J23" s="334">
        <f>AVERAGEIFS(J$36:J$167,$C$36:$C$167,"=6")</f>
        <v>0.4273333333333334</v>
      </c>
      <c r="K23" s="334">
        <f>AVERAGEIFS(K$36:K$167,$C$36:$C$167,"=6")</f>
        <v>0.47866666666666668</v>
      </c>
      <c r="L23" s="334">
        <f>AVERAGEIFS(L$36:L$167,$C$36:$C$167,"=6")</f>
        <v>0.53599999999999992</v>
      </c>
      <c r="M23" s="284">
        <v>53.733333333333334</v>
      </c>
      <c r="N23" s="284">
        <v>8.3333333333333339</v>
      </c>
      <c r="O23" s="89">
        <v>2.8000000000000004E-2</v>
      </c>
      <c r="P23" s="89">
        <v>0.3193333333333333</v>
      </c>
      <c r="Q23" s="89">
        <v>0.57533333333333325</v>
      </c>
      <c r="R23" s="89">
        <v>7.8E-2</v>
      </c>
      <c r="S23" s="334">
        <f>AVERAGEIFS(S$36:S$167,$C$36:$C$167,"=6")</f>
        <v>0.44200000000000006</v>
      </c>
      <c r="T23" s="334">
        <f>AVERAGEIFS(T$36:T$167,$C$36:$C$167,"=6")</f>
        <v>0.47800000000000004</v>
      </c>
      <c r="U23" s="334">
        <f>AVERAGEIFS(U$36:U$167,$C$36:$C$167,"=6")</f>
        <v>0.47666666666666668</v>
      </c>
      <c r="V23" s="284">
        <v>54.357142857142854</v>
      </c>
      <c r="W23" s="284">
        <v>8.5714285714285712</v>
      </c>
      <c r="X23" s="98">
        <v>0.01</v>
      </c>
      <c r="Y23" s="98">
        <v>0.3714285714285715</v>
      </c>
      <c r="Z23" s="98">
        <v>0.51642857142857135</v>
      </c>
      <c r="AA23" s="98">
        <v>0.10571428571428572</v>
      </c>
      <c r="AB23" s="334">
        <f>AVERAGEIFS(AB$36:AB$167,$C$36:$C$167,"=6")</f>
        <v>0.42642857142857149</v>
      </c>
      <c r="AC23" s="334">
        <f>AVERAGEIFS(AC$36:AC$167,$C$36:$C$167,"=6")</f>
        <v>0.46642857142857136</v>
      </c>
      <c r="AD23" s="334">
        <f>AVERAGEIFS(AD$36:AD$167,$C$36:$C$167,"=6")</f>
        <v>0.50357142857142856</v>
      </c>
      <c r="AE23" s="441">
        <v>54.6</v>
      </c>
      <c r="AF23" s="441">
        <v>8.6666666666666661</v>
      </c>
      <c r="AG23" s="65">
        <v>1.1333333333333334E-2</v>
      </c>
      <c r="AH23" s="65">
        <v>0.32466666666666666</v>
      </c>
      <c r="AI23" s="65">
        <v>0.55533333333333335</v>
      </c>
      <c r="AJ23" s="65">
        <v>0.10933333333333331</v>
      </c>
      <c r="AK23" s="334">
        <f>AVERAGEIFS(AK$36:AK$167,$C$36:$C$167,"=6")</f>
        <v>0.41399999999999998</v>
      </c>
      <c r="AL23" s="334">
        <f>AVERAGEIFS(AL$36:AL$167,$C$36:$C$167,"=6")</f>
        <v>0.36333333333333334</v>
      </c>
      <c r="AM23" s="334">
        <f>AVERAGEIFS(AM$36:AM$167,$C$36:$C$167,"=6")</f>
        <v>0.38933333333333336</v>
      </c>
      <c r="AN23" s="284">
        <v>52.588235294117645</v>
      </c>
      <c r="AO23" s="284">
        <v>7.4705882352941178</v>
      </c>
      <c r="AP23" s="65">
        <v>3.9411764705882354E-2</v>
      </c>
      <c r="AQ23" s="65">
        <v>0.34176470588235297</v>
      </c>
      <c r="AR23" s="65">
        <v>0.54941176470588238</v>
      </c>
      <c r="AS23" s="65">
        <v>6.9411764705882367E-2</v>
      </c>
      <c r="AT23" s="334">
        <f>AVERAGEIFS(AT$36:AT$167,$C$36:$C$167,"=6")</f>
        <v>0.48529411764705882</v>
      </c>
      <c r="AU23" s="334">
        <f>AVERAGEIFS(AU$36:AU$167,$C$36:$C$167,"=6")</f>
        <v>0.37882352941176473</v>
      </c>
      <c r="AV23" s="334">
        <f>AVERAGEIFS(AV$36:AV$167,$C$36:$C$167,"=6")</f>
        <v>0.45294117647058824</v>
      </c>
      <c r="AW23" s="440">
        <v>54.1875</v>
      </c>
      <c r="AX23" s="440"/>
      <c r="AY23" s="440"/>
      <c r="AZ23" s="334"/>
      <c r="BA23" s="370">
        <v>1.6875000000000001E-2</v>
      </c>
      <c r="BB23" s="370">
        <v>0.37687500000000002</v>
      </c>
      <c r="BC23" s="370">
        <v>0.49812500000000004</v>
      </c>
      <c r="BD23" s="370">
        <v>0.10999999999999999</v>
      </c>
      <c r="BE23" s="334">
        <v>0.45437499999999992</v>
      </c>
      <c r="BF23" s="334">
        <v>0.33437499999999998</v>
      </c>
      <c r="BG23" s="334">
        <v>0.53437500000000004</v>
      </c>
      <c r="BH23" s="192">
        <f t="shared" ref="BH23" si="16">AVERAGEIF($C$36:$C$167,"=6",BH$36:BH$167)</f>
        <v>54.526315789473685</v>
      </c>
      <c r="BJ23" s="192">
        <f t="shared" ref="BJ23:CC23" si="17">AVERAGEIF($C$36:$C$167,"=6",BJ$36:BJ$167)</f>
        <v>8.3157894736842106</v>
      </c>
      <c r="BL23" s="521">
        <f t="shared" si="17"/>
        <v>2.4210526315789474E-2</v>
      </c>
      <c r="BM23" s="521">
        <f t="shared" si="17"/>
        <v>0.31052631578947371</v>
      </c>
      <c r="BN23" s="521">
        <f t="shared" si="17"/>
        <v>0.55736842105263151</v>
      </c>
      <c r="BO23" s="521">
        <f t="shared" si="17"/>
        <v>0.10684210526315789</v>
      </c>
      <c r="BP23" s="521">
        <f t="shared" si="17"/>
        <v>0.46736842105263154</v>
      </c>
      <c r="BQ23" s="521">
        <f t="shared" si="17"/>
        <v>0.3436842105263157</v>
      </c>
      <c r="BR23" s="521">
        <f t="shared" si="17"/>
        <v>0.44210526315789478</v>
      </c>
      <c r="BS23" s="192">
        <f t="shared" si="17"/>
        <v>55.6</v>
      </c>
      <c r="BU23" s="192">
        <f t="shared" si="17"/>
        <v>7.9</v>
      </c>
      <c r="BW23" s="521">
        <f t="shared" si="17"/>
        <v>9.5000000000000015E-3</v>
      </c>
      <c r="BX23" s="521">
        <f t="shared" si="17"/>
        <v>0.26700000000000002</v>
      </c>
      <c r="BY23" s="521">
        <f t="shared" si="17"/>
        <v>0.57150000000000012</v>
      </c>
      <c r="BZ23" s="521">
        <f t="shared" si="17"/>
        <v>0.15150000000000002</v>
      </c>
      <c r="CA23" s="521">
        <f t="shared" si="17"/>
        <v>0.34649999999999997</v>
      </c>
      <c r="CB23" s="521">
        <f t="shared" si="17"/>
        <v>0.44449999999999995</v>
      </c>
      <c r="CC23" s="521">
        <f t="shared" si="17"/>
        <v>0.46149999999999991</v>
      </c>
    </row>
    <row r="24" spans="1:83" s="381" customFormat="1" ht="24.9" customHeight="1" x14ac:dyDescent="0.25">
      <c r="A24" s="6" t="s">
        <v>931</v>
      </c>
      <c r="B24" s="427"/>
      <c r="C24" s="427"/>
      <c r="D24" s="284">
        <v>53</v>
      </c>
      <c r="E24" s="284">
        <v>7.25</v>
      </c>
      <c r="F24" s="370">
        <v>7.4999999999999997E-3</v>
      </c>
      <c r="G24" s="370">
        <v>0.36499999999999999</v>
      </c>
      <c r="H24" s="370">
        <v>0.58749999999999991</v>
      </c>
      <c r="I24" s="370">
        <v>3.7499999999999999E-2</v>
      </c>
      <c r="J24" s="428">
        <v>0.43499999999999994</v>
      </c>
      <c r="K24" s="428">
        <v>0.48749999999999999</v>
      </c>
      <c r="L24" s="428">
        <v>0.55000000000000004</v>
      </c>
      <c r="M24" s="284">
        <v>55</v>
      </c>
      <c r="N24" s="284">
        <v>7.25</v>
      </c>
      <c r="O24" s="370">
        <v>0.01</v>
      </c>
      <c r="P24" s="370">
        <v>0.27500000000000002</v>
      </c>
      <c r="Q24" s="370">
        <v>0.64749999999999996</v>
      </c>
      <c r="R24" s="370">
        <v>6.7500000000000004E-2</v>
      </c>
      <c r="S24" s="428">
        <v>0.42000000000000004</v>
      </c>
      <c r="T24" s="428">
        <v>0.45500000000000002</v>
      </c>
      <c r="U24" s="428">
        <v>0.45249999999999996</v>
      </c>
      <c r="V24" s="284">
        <v>53.75</v>
      </c>
      <c r="W24" s="284">
        <v>8.5</v>
      </c>
      <c r="X24" s="370">
        <v>1.4999999999999999E-2</v>
      </c>
      <c r="Y24" s="370">
        <v>0.35749999999999998</v>
      </c>
      <c r="Z24" s="370">
        <v>0.53749999999999998</v>
      </c>
      <c r="AA24" s="370">
        <v>0.09</v>
      </c>
      <c r="AB24" s="428">
        <v>0.4325</v>
      </c>
      <c r="AC24" s="428">
        <v>0.48499999999999999</v>
      </c>
      <c r="AD24" s="428">
        <v>0.505</v>
      </c>
      <c r="AE24" s="441">
        <v>54.25</v>
      </c>
      <c r="AF24" s="441">
        <v>8.75</v>
      </c>
      <c r="AG24" s="370">
        <v>2.75E-2</v>
      </c>
      <c r="AH24" s="370">
        <v>0.3075</v>
      </c>
      <c r="AI24" s="370">
        <v>0.56999999999999995</v>
      </c>
      <c r="AJ24" s="370">
        <v>9.5000000000000001E-2</v>
      </c>
      <c r="AK24" s="428">
        <v>0.42249999999999999</v>
      </c>
      <c r="AL24" s="428">
        <v>0.36250000000000004</v>
      </c>
      <c r="AM24" s="428">
        <v>0.41500000000000004</v>
      </c>
      <c r="AN24" s="284">
        <v>54.25</v>
      </c>
      <c r="AO24" s="284">
        <v>8</v>
      </c>
      <c r="AP24" s="370">
        <v>1.7500000000000002E-2</v>
      </c>
      <c r="AQ24" s="370">
        <v>0.3175</v>
      </c>
      <c r="AR24" s="370">
        <v>0.57999999999999996</v>
      </c>
      <c r="AS24" s="370">
        <v>8.249999999999999E-2</v>
      </c>
      <c r="AT24" s="428">
        <v>0.46249999999999997</v>
      </c>
      <c r="AU24" s="428">
        <v>0.35499999999999998</v>
      </c>
      <c r="AV24" s="428">
        <v>0.41749999999999998</v>
      </c>
      <c r="AW24" s="440">
        <v>53.75</v>
      </c>
      <c r="AX24" s="440"/>
      <c r="AY24" s="440">
        <v>9.5</v>
      </c>
      <c r="AZ24" s="428"/>
      <c r="BA24" s="370">
        <v>2.5000000000000001E-2</v>
      </c>
      <c r="BB24" s="370">
        <v>0.33749999999999997</v>
      </c>
      <c r="BC24" s="370">
        <v>0.53</v>
      </c>
      <c r="BD24" s="370">
        <v>0.10500000000000001</v>
      </c>
      <c r="BE24" s="428">
        <v>0.44749999999999995</v>
      </c>
      <c r="BF24" s="428">
        <v>0.34</v>
      </c>
      <c r="BG24" s="428">
        <v>0.54749999999999999</v>
      </c>
      <c r="BH24" s="448">
        <f t="shared" ref="BH24" si="18">AVERAGEIFS(BH$36:BH$167,$C$36:$C$167,"=1", $B$36:$B$167,"OFICIAL")</f>
        <v>54</v>
      </c>
      <c r="BJ24" s="448">
        <f t="shared" ref="BJ24:CC24" si="19">AVERAGEIFS(BJ$36:BJ$167,$C$36:$C$167,"=1", $B$36:$B$167,"OFICIAL")</f>
        <v>8.6</v>
      </c>
      <c r="BL24" s="522">
        <f t="shared" si="19"/>
        <v>1.4000000000000002E-2</v>
      </c>
      <c r="BM24" s="522">
        <f t="shared" si="19"/>
        <v>0.32200000000000001</v>
      </c>
      <c r="BN24" s="522">
        <f t="shared" si="19"/>
        <v>0.57200000000000006</v>
      </c>
      <c r="BO24" s="522">
        <f t="shared" si="19"/>
        <v>8.7999999999999995E-2</v>
      </c>
      <c r="BP24" s="522">
        <f t="shared" si="19"/>
        <v>0.47199999999999998</v>
      </c>
      <c r="BQ24" s="522">
        <f t="shared" si="19"/>
        <v>0.35199999999999998</v>
      </c>
      <c r="BR24" s="522">
        <f t="shared" si="19"/>
        <v>0.45599999999999996</v>
      </c>
      <c r="BS24" s="448">
        <f t="shared" si="19"/>
        <v>52.8</v>
      </c>
      <c r="BU24" s="448">
        <f t="shared" si="19"/>
        <v>8.1999999999999993</v>
      </c>
      <c r="BW24" s="522">
        <f t="shared" si="19"/>
        <v>1.6E-2</v>
      </c>
      <c r="BX24" s="522">
        <f t="shared" si="19"/>
        <v>0.36199999999999999</v>
      </c>
      <c r="BY24" s="522">
        <f t="shared" si="19"/>
        <v>0.56799999999999995</v>
      </c>
      <c r="BZ24" s="522">
        <f t="shared" si="19"/>
        <v>5.7999999999999996E-2</v>
      </c>
      <c r="CA24" s="522">
        <f t="shared" si="19"/>
        <v>0.374</v>
      </c>
      <c r="CB24" s="522">
        <f t="shared" si="19"/>
        <v>0.49800000000000005</v>
      </c>
      <c r="CC24" s="522">
        <f t="shared" si="19"/>
        <v>0.51400000000000001</v>
      </c>
    </row>
    <row r="25" spans="1:83" s="381" customFormat="1" ht="24.9" customHeight="1" x14ac:dyDescent="0.25">
      <c r="A25" s="6" t="s">
        <v>932</v>
      </c>
      <c r="B25" s="427"/>
      <c r="C25" s="427"/>
      <c r="D25" s="284">
        <v>53.5</v>
      </c>
      <c r="E25" s="284">
        <v>7.5</v>
      </c>
      <c r="F25" s="370">
        <v>5.0000000000000001E-3</v>
      </c>
      <c r="G25" s="370">
        <v>0.36</v>
      </c>
      <c r="H25" s="370">
        <v>0.56499999999999995</v>
      </c>
      <c r="I25" s="370">
        <v>6.5000000000000002E-2</v>
      </c>
      <c r="J25" s="428">
        <v>0.43</v>
      </c>
      <c r="K25" s="428">
        <v>0.49</v>
      </c>
      <c r="L25" s="428">
        <v>0.54499999999999993</v>
      </c>
      <c r="M25" s="284">
        <v>54.5</v>
      </c>
      <c r="N25" s="284">
        <v>8</v>
      </c>
      <c r="O25" s="370">
        <v>1.4999999999999999E-2</v>
      </c>
      <c r="P25" s="370">
        <v>0.29500000000000004</v>
      </c>
      <c r="Q25" s="370">
        <v>0.61499999999999999</v>
      </c>
      <c r="R25" s="370">
        <v>7.0000000000000007E-2</v>
      </c>
      <c r="S25" s="428">
        <v>0.43</v>
      </c>
      <c r="T25" s="428">
        <v>0.46499999999999997</v>
      </c>
      <c r="U25" s="428">
        <v>0.47499999999999998</v>
      </c>
      <c r="V25" s="284">
        <v>53.5</v>
      </c>
      <c r="W25" s="284">
        <v>9</v>
      </c>
      <c r="X25" s="370">
        <v>0.01</v>
      </c>
      <c r="Y25" s="370">
        <v>0.33499999999999996</v>
      </c>
      <c r="Z25" s="370">
        <v>0.54</v>
      </c>
      <c r="AA25" s="370">
        <v>0.11</v>
      </c>
      <c r="AB25" s="428">
        <v>0.42499999999999999</v>
      </c>
      <c r="AC25" s="428">
        <v>0.495</v>
      </c>
      <c r="AD25" s="428">
        <v>0.505</v>
      </c>
      <c r="AE25" s="441">
        <v>54</v>
      </c>
      <c r="AF25" s="441">
        <v>9</v>
      </c>
      <c r="AG25" s="370">
        <v>2.5000000000000001E-2</v>
      </c>
      <c r="AH25" s="370">
        <v>0.30499999999999999</v>
      </c>
      <c r="AI25" s="370">
        <v>0.57999999999999996</v>
      </c>
      <c r="AJ25" s="370">
        <v>0.09</v>
      </c>
      <c r="AK25" s="428">
        <v>0.41000000000000003</v>
      </c>
      <c r="AL25" s="428">
        <v>0.36</v>
      </c>
      <c r="AM25" s="428">
        <v>0.42</v>
      </c>
      <c r="AN25" s="284">
        <v>54</v>
      </c>
      <c r="AO25" s="284">
        <v>8.5</v>
      </c>
      <c r="AP25" s="370">
        <v>5.0000000000000001E-3</v>
      </c>
      <c r="AQ25" s="370">
        <v>0.33</v>
      </c>
      <c r="AR25" s="370">
        <v>0.57499999999999996</v>
      </c>
      <c r="AS25" s="370">
        <v>8.5000000000000006E-2</v>
      </c>
      <c r="AT25" s="428">
        <v>0.47499999999999998</v>
      </c>
      <c r="AU25" s="428">
        <v>0.36</v>
      </c>
      <c r="AV25" s="428">
        <v>0.42499999999999999</v>
      </c>
      <c r="AW25" s="440">
        <v>53.5</v>
      </c>
      <c r="AX25" s="440"/>
      <c r="AY25" s="440">
        <v>9</v>
      </c>
      <c r="AZ25" s="428"/>
      <c r="BA25" s="370">
        <v>0.02</v>
      </c>
      <c r="BB25" s="370">
        <v>0.38</v>
      </c>
      <c r="BC25" s="370">
        <v>0.5</v>
      </c>
      <c r="BD25" s="370">
        <v>0.1</v>
      </c>
      <c r="BE25" s="428">
        <v>0.45500000000000002</v>
      </c>
      <c r="BF25" s="428">
        <v>0.36</v>
      </c>
      <c r="BG25" s="428">
        <v>0.55000000000000004</v>
      </c>
      <c r="BH25" s="448">
        <f t="shared" ref="BH25" si="20">AVERAGEIFS(BH$36:BH$167,$C$36:$C$167,"=2", $B$36:$B$167,"OFICIAL")</f>
        <v>53.75</v>
      </c>
      <c r="BJ25" s="448">
        <f t="shared" ref="BJ25:CC25" si="21">AVERAGEIFS(BJ$36:BJ$167,$C$36:$C$167,"=2", $B$36:$B$167,"OFICIAL")</f>
        <v>8.75</v>
      </c>
      <c r="BL25" s="522">
        <f t="shared" si="21"/>
        <v>1.4999999999999999E-2</v>
      </c>
      <c r="BM25" s="522">
        <f t="shared" si="21"/>
        <v>0.32</v>
      </c>
      <c r="BN25" s="522">
        <f t="shared" si="21"/>
        <v>0.57250000000000001</v>
      </c>
      <c r="BO25" s="522">
        <f t="shared" si="21"/>
        <v>9.7500000000000003E-2</v>
      </c>
      <c r="BP25" s="522">
        <f t="shared" si="21"/>
        <v>0.46749999999999997</v>
      </c>
      <c r="BQ25" s="522">
        <f t="shared" si="21"/>
        <v>0.36</v>
      </c>
      <c r="BR25" s="522">
        <f t="shared" si="21"/>
        <v>0.45499999999999996</v>
      </c>
      <c r="BS25" s="448">
        <f t="shared" si="21"/>
        <v>54.25</v>
      </c>
      <c r="BU25" s="448">
        <f t="shared" si="21"/>
        <v>8.5</v>
      </c>
      <c r="BW25" s="522">
        <f t="shared" si="21"/>
        <v>0.02</v>
      </c>
      <c r="BX25" s="522">
        <f t="shared" si="21"/>
        <v>0.3</v>
      </c>
      <c r="BY25" s="522">
        <f t="shared" si="21"/>
        <v>0.59750000000000003</v>
      </c>
      <c r="BZ25" s="522">
        <f t="shared" si="21"/>
        <v>0.08</v>
      </c>
      <c r="CA25" s="522">
        <f t="shared" si="21"/>
        <v>0.37</v>
      </c>
      <c r="CB25" s="522">
        <f t="shared" si="21"/>
        <v>0.47249999999999998</v>
      </c>
      <c r="CC25" s="522">
        <f t="shared" si="21"/>
        <v>0.4975</v>
      </c>
    </row>
    <row r="26" spans="1:83" s="381" customFormat="1" ht="24.9" customHeight="1" x14ac:dyDescent="0.25">
      <c r="A26" s="6" t="s">
        <v>933</v>
      </c>
      <c r="B26" s="427"/>
      <c r="C26" s="427"/>
      <c r="D26" s="284">
        <v>53</v>
      </c>
      <c r="E26" s="284">
        <v>8.5</v>
      </c>
      <c r="F26" s="370">
        <v>2.4E-2</v>
      </c>
      <c r="G26" s="370">
        <v>0.38400000000000001</v>
      </c>
      <c r="H26" s="370">
        <v>0.53599999999999992</v>
      </c>
      <c r="I26" s="370">
        <v>0.06</v>
      </c>
      <c r="J26" s="428">
        <v>0.47400000000000003</v>
      </c>
      <c r="K26" s="428">
        <v>0.48399999999999999</v>
      </c>
      <c r="L26" s="428">
        <v>0.53800000000000003</v>
      </c>
      <c r="M26" s="284">
        <v>54.4</v>
      </c>
      <c r="N26" s="284">
        <v>8.75</v>
      </c>
      <c r="O26" s="370">
        <v>1.4000000000000002E-2</v>
      </c>
      <c r="P26" s="370">
        <v>0.30199999999999999</v>
      </c>
      <c r="Q26" s="370">
        <v>0.60199999999999998</v>
      </c>
      <c r="R26" s="370">
        <v>8.2000000000000003E-2</v>
      </c>
      <c r="S26" s="428">
        <v>0.42599999999999999</v>
      </c>
      <c r="T26" s="428">
        <v>0.48399999999999999</v>
      </c>
      <c r="U26" s="428">
        <v>0.46600000000000003</v>
      </c>
      <c r="V26" s="284">
        <v>54.2</v>
      </c>
      <c r="W26" s="284">
        <v>8.5</v>
      </c>
      <c r="X26" s="370">
        <v>1.4000000000000002E-2</v>
      </c>
      <c r="Y26" s="370">
        <v>0.29000000000000004</v>
      </c>
      <c r="Z26" s="370">
        <v>0.59</v>
      </c>
      <c r="AA26" s="370">
        <v>0.10400000000000001</v>
      </c>
      <c r="AB26" s="428">
        <v>0.42400000000000004</v>
      </c>
      <c r="AC26" s="428">
        <v>0.47599999999999998</v>
      </c>
      <c r="AD26" s="428">
        <v>0.504</v>
      </c>
      <c r="AE26" s="441">
        <v>53.6</v>
      </c>
      <c r="AF26" s="441">
        <v>8.5</v>
      </c>
      <c r="AG26" s="370">
        <v>0.01</v>
      </c>
      <c r="AH26" s="370">
        <v>0.35</v>
      </c>
      <c r="AI26" s="370">
        <v>0.55800000000000005</v>
      </c>
      <c r="AJ26" s="370">
        <v>7.7999999999999986E-2</v>
      </c>
      <c r="AK26" s="428">
        <v>0.42000000000000004</v>
      </c>
      <c r="AL26" s="428">
        <v>0.38600000000000001</v>
      </c>
      <c r="AM26" s="428">
        <v>0.42599999999999999</v>
      </c>
      <c r="AN26" s="284">
        <v>53.6</v>
      </c>
      <c r="AO26" s="284">
        <v>8.4</v>
      </c>
      <c r="AP26" s="370">
        <v>3.4000000000000002E-2</v>
      </c>
      <c r="AQ26" s="370">
        <v>0.30399999999999999</v>
      </c>
      <c r="AR26" s="370">
        <v>0.59400000000000008</v>
      </c>
      <c r="AS26" s="370">
        <v>7.1999999999999995E-2</v>
      </c>
      <c r="AT26" s="428">
        <v>0.47599999999999998</v>
      </c>
      <c r="AU26" s="428">
        <v>0.37799999999999995</v>
      </c>
      <c r="AV26" s="428">
        <v>0.43600000000000005</v>
      </c>
      <c r="AW26" s="440">
        <v>53.8</v>
      </c>
      <c r="AX26" s="440"/>
      <c r="AY26" s="440">
        <v>8.6</v>
      </c>
      <c r="AZ26" s="428"/>
      <c r="BA26" s="370">
        <v>1.6E-2</v>
      </c>
      <c r="BB26" s="370">
        <v>0.34199999999999997</v>
      </c>
      <c r="BC26" s="370">
        <v>0.55600000000000005</v>
      </c>
      <c r="BD26" s="370">
        <v>8.7999999999999995E-2</v>
      </c>
      <c r="BE26" s="428">
        <v>0.44800000000000006</v>
      </c>
      <c r="BF26" s="428">
        <v>0.34799999999999998</v>
      </c>
      <c r="BG26" s="428">
        <v>0.54600000000000004</v>
      </c>
      <c r="BH26" s="448">
        <f t="shared" ref="BH26" si="22">AVERAGEIFS(BH$36:BH$167,$C$36:$C$167,"=3", $B$36:$B$167,"OFICIAL")</f>
        <v>54.333333333333336</v>
      </c>
      <c r="BJ26" s="448">
        <f t="shared" ref="BJ26:CC26" si="23">AVERAGEIFS(BJ$36:BJ$167,$C$36:$C$167,"=3", $B$36:$B$167,"OFICIAL")</f>
        <v>8.8333333333333339</v>
      </c>
      <c r="BL26" s="522">
        <f t="shared" si="23"/>
        <v>0.01</v>
      </c>
      <c r="BM26" s="522">
        <f t="shared" si="23"/>
        <v>0.31</v>
      </c>
      <c r="BN26" s="522">
        <f t="shared" si="23"/>
        <v>0.58499999999999996</v>
      </c>
      <c r="BO26" s="522">
        <f t="shared" si="23"/>
        <v>9.6666666666666679E-2</v>
      </c>
      <c r="BP26" s="522">
        <f t="shared" si="23"/>
        <v>0.47666666666666674</v>
      </c>
      <c r="BQ26" s="522">
        <f t="shared" si="23"/>
        <v>0.34666666666666668</v>
      </c>
      <c r="BR26" s="522">
        <f t="shared" si="23"/>
        <v>0.44</v>
      </c>
      <c r="BS26" s="448">
        <f t="shared" si="23"/>
        <v>54</v>
      </c>
      <c r="BU26" s="448">
        <f t="shared" si="23"/>
        <v>8.6666666666666661</v>
      </c>
      <c r="BW26" s="522">
        <f t="shared" si="23"/>
        <v>2.3333333333333334E-2</v>
      </c>
      <c r="BX26" s="522">
        <f t="shared" si="23"/>
        <v>0.30333333333333334</v>
      </c>
      <c r="BY26" s="522">
        <f t="shared" si="23"/>
        <v>0.58166666666666667</v>
      </c>
      <c r="BZ26" s="522">
        <f t="shared" si="23"/>
        <v>9.1666666666666674E-2</v>
      </c>
      <c r="CA26" s="522">
        <f t="shared" si="23"/>
        <v>0.3666666666666667</v>
      </c>
      <c r="CB26" s="522">
        <f t="shared" si="23"/>
        <v>0.46833333333333327</v>
      </c>
      <c r="CC26" s="522">
        <f t="shared" si="23"/>
        <v>0.4916666666666667</v>
      </c>
    </row>
    <row r="27" spans="1:83" s="381" customFormat="1" ht="24.9" customHeight="1" x14ac:dyDescent="0.25">
      <c r="A27" s="6" t="s">
        <v>934</v>
      </c>
      <c r="B27" s="427"/>
      <c r="C27" s="427"/>
      <c r="D27" s="284">
        <v>49.666666666666664</v>
      </c>
      <c r="E27" s="284">
        <v>7.666666666666667</v>
      </c>
      <c r="F27" s="370">
        <v>3.1666666666666669E-2</v>
      </c>
      <c r="G27" s="370">
        <v>0.53833333333333322</v>
      </c>
      <c r="H27" s="370">
        <v>0.40833333333333338</v>
      </c>
      <c r="I27" s="370">
        <v>1.8333333333333333E-2</v>
      </c>
      <c r="J27" s="428">
        <v>0.48833333333333345</v>
      </c>
      <c r="K27" s="428">
        <v>0.52666666666666673</v>
      </c>
      <c r="L27" s="428">
        <v>0.61833333333333329</v>
      </c>
      <c r="M27" s="284">
        <v>51.333333333333336</v>
      </c>
      <c r="N27" s="284">
        <v>8.1666666666666661</v>
      </c>
      <c r="O27" s="370">
        <v>1.6666666666666666E-2</v>
      </c>
      <c r="P27" s="370">
        <v>0.47000000000000003</v>
      </c>
      <c r="Q27" s="370">
        <v>0.45666666666666661</v>
      </c>
      <c r="R27" s="370">
        <v>5.5E-2</v>
      </c>
      <c r="S27" s="428">
        <v>0.47833333333333333</v>
      </c>
      <c r="T27" s="428">
        <v>0.51666666666666672</v>
      </c>
      <c r="U27" s="428">
        <v>0.52166666666666661</v>
      </c>
      <c r="V27" s="284">
        <v>50.333333333333336</v>
      </c>
      <c r="W27" s="284">
        <v>8.6666666666666661</v>
      </c>
      <c r="X27" s="370">
        <v>2.6666666666666668E-2</v>
      </c>
      <c r="Y27" s="370">
        <v>0.5083333333333333</v>
      </c>
      <c r="Z27" s="370">
        <v>0.42</v>
      </c>
      <c r="AA27" s="370">
        <v>4.1666666666666664E-2</v>
      </c>
      <c r="AB27" s="428">
        <v>0.505</v>
      </c>
      <c r="AC27" s="428">
        <v>0.53833333333333333</v>
      </c>
      <c r="AD27" s="428">
        <v>0.55333333333333334</v>
      </c>
      <c r="AE27" s="441">
        <v>50</v>
      </c>
      <c r="AF27" s="441">
        <v>8.8333333333333339</v>
      </c>
      <c r="AG27" s="370">
        <v>4.8333333333333339E-2</v>
      </c>
      <c r="AH27" s="370">
        <v>0.49333333333333335</v>
      </c>
      <c r="AI27" s="370">
        <v>0.40833333333333338</v>
      </c>
      <c r="AJ27" s="370">
        <v>5.1666666666666666E-2</v>
      </c>
      <c r="AK27" s="428">
        <v>0.48833333333333345</v>
      </c>
      <c r="AL27" s="428">
        <v>0.435</v>
      </c>
      <c r="AM27" s="428">
        <v>0.47499999999999992</v>
      </c>
      <c r="AN27" s="284">
        <v>50</v>
      </c>
      <c r="AO27" s="284">
        <v>8.5</v>
      </c>
      <c r="AP27" s="370">
        <v>3.8333333333333337E-2</v>
      </c>
      <c r="AQ27" s="370">
        <v>0.48</v>
      </c>
      <c r="AR27" s="370">
        <v>0.44666666666666671</v>
      </c>
      <c r="AS27" s="370">
        <v>3.8333333333333337E-2</v>
      </c>
      <c r="AT27" s="428">
        <v>0.52833333333333343</v>
      </c>
      <c r="AU27" s="428">
        <v>0.4316666666666667</v>
      </c>
      <c r="AV27" s="428">
        <v>0.48833333333333334</v>
      </c>
      <c r="AW27" s="440">
        <v>50.333333333333336</v>
      </c>
      <c r="AX27" s="440"/>
      <c r="AY27" s="440">
        <v>8.5</v>
      </c>
      <c r="AZ27" s="428"/>
      <c r="BA27" s="370">
        <v>3.666666666666666E-2</v>
      </c>
      <c r="BB27" s="370">
        <v>0.47333333333333333</v>
      </c>
      <c r="BC27" s="370">
        <v>0.45</v>
      </c>
      <c r="BD27" s="370">
        <v>0.04</v>
      </c>
      <c r="BE27" s="428">
        <v>0.4916666666666667</v>
      </c>
      <c r="BF27" s="428">
        <v>0.42</v>
      </c>
      <c r="BG27" s="428">
        <v>0.59499999999999997</v>
      </c>
      <c r="BH27" s="448">
        <f t="shared" ref="BH27" si="24">AVERAGEIFS(BH$36:BH$167,$C$36:$C$167,"=4", $B$36:$B$167,"OFICIAL")</f>
        <v>51</v>
      </c>
      <c r="BJ27" s="448">
        <f t="shared" ref="BJ27:CC27" si="25">AVERAGEIFS(BJ$36:BJ$167,$C$36:$C$167,"=4", $B$36:$B$167,"OFICIAL")</f>
        <v>8.6666666666666661</v>
      </c>
      <c r="BL27" s="522">
        <f t="shared" si="25"/>
        <v>3.8333333333333337E-2</v>
      </c>
      <c r="BM27" s="522">
        <f t="shared" si="25"/>
        <v>0.43500000000000005</v>
      </c>
      <c r="BN27" s="522">
        <f t="shared" si="25"/>
        <v>0.47333333333333333</v>
      </c>
      <c r="BO27" s="522">
        <f t="shared" si="25"/>
        <v>4.9999999999999996E-2</v>
      </c>
      <c r="BP27" s="522">
        <f t="shared" si="25"/>
        <v>0.52166666666666672</v>
      </c>
      <c r="BQ27" s="522">
        <f t="shared" si="25"/>
        <v>0.40333333333333338</v>
      </c>
      <c r="BR27" s="522">
        <f t="shared" si="25"/>
        <v>0.52</v>
      </c>
      <c r="BS27" s="448">
        <f t="shared" si="25"/>
        <v>49.833333333333336</v>
      </c>
      <c r="BU27" s="448">
        <f t="shared" si="25"/>
        <v>8.8333333333333339</v>
      </c>
      <c r="BW27" s="522">
        <f t="shared" si="25"/>
        <v>5.000000000000001E-2</v>
      </c>
      <c r="BX27" s="522">
        <f t="shared" si="25"/>
        <v>0.44999999999999996</v>
      </c>
      <c r="BY27" s="522">
        <f t="shared" si="25"/>
        <v>0.45</v>
      </c>
      <c r="BZ27" s="522">
        <f t="shared" si="25"/>
        <v>4.6666666666666669E-2</v>
      </c>
      <c r="CA27" s="522">
        <f t="shared" si="25"/>
        <v>0.43166666666666664</v>
      </c>
      <c r="CB27" s="522">
        <f t="shared" si="25"/>
        <v>0.54500000000000004</v>
      </c>
      <c r="CC27" s="522">
        <f t="shared" si="25"/>
        <v>0.57666666666666666</v>
      </c>
    </row>
    <row r="28" spans="1:83" s="381" customFormat="1" ht="24.9" customHeight="1" x14ac:dyDescent="0.25">
      <c r="A28" s="6" t="s">
        <v>935</v>
      </c>
      <c r="B28" s="427"/>
      <c r="C28" s="427"/>
      <c r="D28" s="284">
        <v>53.5</v>
      </c>
      <c r="E28" s="284">
        <v>7.5</v>
      </c>
      <c r="F28" s="370">
        <v>0.01</v>
      </c>
      <c r="G28" s="370">
        <v>0.35499999999999998</v>
      </c>
      <c r="H28" s="370">
        <v>0.57499999999999996</v>
      </c>
      <c r="I28" s="370">
        <v>0.06</v>
      </c>
      <c r="J28" s="428">
        <v>0.43</v>
      </c>
      <c r="K28" s="428">
        <v>0.46499999999999997</v>
      </c>
      <c r="L28" s="428">
        <v>0.53500000000000003</v>
      </c>
      <c r="M28" s="284">
        <v>54</v>
      </c>
      <c r="N28" s="284">
        <v>8.5</v>
      </c>
      <c r="O28" s="370">
        <v>1.4999999999999999E-2</v>
      </c>
      <c r="P28" s="370">
        <v>0.33499999999999996</v>
      </c>
      <c r="Q28" s="370">
        <v>0.56499999999999995</v>
      </c>
      <c r="R28" s="370">
        <v>0.08</v>
      </c>
      <c r="S28" s="428">
        <v>0.435</v>
      </c>
      <c r="T28" s="428">
        <v>0.46499999999999997</v>
      </c>
      <c r="U28" s="428">
        <v>0.48499999999999999</v>
      </c>
      <c r="V28" s="284">
        <v>52.5</v>
      </c>
      <c r="W28" s="284">
        <v>8</v>
      </c>
      <c r="X28" s="370">
        <v>0.01</v>
      </c>
      <c r="Y28" s="370">
        <v>0.4</v>
      </c>
      <c r="Z28" s="370">
        <v>0.53</v>
      </c>
      <c r="AA28" s="370">
        <v>6.5000000000000002E-2</v>
      </c>
      <c r="AB28" s="428">
        <v>0.45499999999999996</v>
      </c>
      <c r="AC28" s="428">
        <v>0.495</v>
      </c>
      <c r="AD28" s="428">
        <v>0.52500000000000002</v>
      </c>
      <c r="AE28" s="441">
        <v>53.5</v>
      </c>
      <c r="AF28" s="441">
        <v>8</v>
      </c>
      <c r="AG28" s="370">
        <v>0.02</v>
      </c>
      <c r="AH28" s="370">
        <v>0.30500000000000005</v>
      </c>
      <c r="AI28" s="370">
        <v>0.6</v>
      </c>
      <c r="AJ28" s="370">
        <v>7.0000000000000007E-2</v>
      </c>
      <c r="AK28" s="428">
        <v>0.42499999999999999</v>
      </c>
      <c r="AL28" s="428">
        <v>0.36499999999999999</v>
      </c>
      <c r="AM28" s="428">
        <v>0.43</v>
      </c>
      <c r="AN28" s="284">
        <v>53.5</v>
      </c>
      <c r="AO28" s="284">
        <v>8</v>
      </c>
      <c r="AP28" s="370">
        <v>0.02</v>
      </c>
      <c r="AQ28" s="370">
        <v>0.33499999999999996</v>
      </c>
      <c r="AR28" s="370">
        <v>0.57000000000000006</v>
      </c>
      <c r="AS28" s="370">
        <v>7.5000000000000011E-2</v>
      </c>
      <c r="AT28" s="428">
        <v>0.47</v>
      </c>
      <c r="AU28" s="428">
        <v>0.36499999999999999</v>
      </c>
      <c r="AV28" s="428">
        <v>0.44500000000000001</v>
      </c>
      <c r="AW28" s="440">
        <v>54</v>
      </c>
      <c r="AX28" s="440"/>
      <c r="AY28" s="440">
        <v>9</v>
      </c>
      <c r="AZ28" s="428"/>
      <c r="BA28" s="370">
        <v>2.5000000000000001E-2</v>
      </c>
      <c r="BB28" s="370">
        <v>0.34499999999999997</v>
      </c>
      <c r="BC28" s="370">
        <v>0.51</v>
      </c>
      <c r="BD28" s="370">
        <v>0.115</v>
      </c>
      <c r="BE28" s="428">
        <v>0.44</v>
      </c>
      <c r="BF28" s="428">
        <v>0.33999999999999997</v>
      </c>
      <c r="BG28" s="428">
        <v>0.54500000000000004</v>
      </c>
      <c r="BH28" s="448">
        <f t="shared" ref="BH28" si="26">AVERAGEIFS(BH$36:BH$167,$C$36:$C$167,"=5", $B$36:$B$167,"OFICIAL")</f>
        <v>55</v>
      </c>
      <c r="BJ28" s="448">
        <f t="shared" ref="BJ28:CC28" si="27">AVERAGEIFS(BJ$36:BJ$167,$C$36:$C$167,"=5", $B$36:$B$167,"OFICIAL")</f>
        <v>8.5</v>
      </c>
      <c r="BL28" s="522">
        <f t="shared" si="27"/>
        <v>1.4999999999999999E-2</v>
      </c>
      <c r="BM28" s="522">
        <f t="shared" si="27"/>
        <v>0.27500000000000002</v>
      </c>
      <c r="BN28" s="522">
        <f t="shared" si="27"/>
        <v>0.61</v>
      </c>
      <c r="BO28" s="522">
        <f t="shared" si="27"/>
        <v>0.1</v>
      </c>
      <c r="BP28" s="522">
        <f t="shared" si="27"/>
        <v>0.46</v>
      </c>
      <c r="BQ28" s="522">
        <f t="shared" si="27"/>
        <v>0.34499999999999997</v>
      </c>
      <c r="BR28" s="522">
        <f t="shared" si="27"/>
        <v>0.44</v>
      </c>
      <c r="BS28" s="448">
        <f t="shared" si="27"/>
        <v>53.5</v>
      </c>
      <c r="BU28" s="448">
        <f t="shared" si="27"/>
        <v>9.5</v>
      </c>
      <c r="BW28" s="522">
        <f t="shared" si="27"/>
        <v>0.03</v>
      </c>
      <c r="BX28" s="522">
        <f t="shared" si="27"/>
        <v>0.375</v>
      </c>
      <c r="BY28" s="522">
        <f t="shared" si="27"/>
        <v>0.52</v>
      </c>
      <c r="BZ28" s="522">
        <f t="shared" si="27"/>
        <v>8.5000000000000006E-2</v>
      </c>
      <c r="CA28" s="522">
        <f t="shared" si="27"/>
        <v>0.38</v>
      </c>
      <c r="CB28" s="522">
        <f t="shared" si="27"/>
        <v>0.48499999999999999</v>
      </c>
      <c r="CC28" s="522">
        <f t="shared" si="27"/>
        <v>0.5</v>
      </c>
    </row>
    <row r="29" spans="1:83" s="381" customFormat="1" ht="24.9" customHeight="1" x14ac:dyDescent="0.25">
      <c r="A29" s="6" t="s">
        <v>936</v>
      </c>
      <c r="B29" s="427"/>
      <c r="C29" s="427"/>
      <c r="D29" s="284">
        <v>52.666666666666664</v>
      </c>
      <c r="E29" s="284">
        <v>8</v>
      </c>
      <c r="F29" s="370">
        <v>6.6666666666666671E-3</v>
      </c>
      <c r="G29" s="370">
        <v>0.41</v>
      </c>
      <c r="H29" s="370">
        <v>0.54</v>
      </c>
      <c r="I29" s="370">
        <v>4.3333333333333335E-2</v>
      </c>
      <c r="J29" s="428">
        <v>0.46666666666666662</v>
      </c>
      <c r="K29" s="428">
        <v>0.5033333333333333</v>
      </c>
      <c r="L29" s="428">
        <v>0.54666666666666652</v>
      </c>
      <c r="M29" s="284">
        <v>52.666666666666664</v>
      </c>
      <c r="N29" s="284">
        <v>7.666666666666667</v>
      </c>
      <c r="O29" s="370">
        <v>6.6666666666666671E-3</v>
      </c>
      <c r="P29" s="370">
        <v>0.39999999999999997</v>
      </c>
      <c r="Q29" s="370">
        <v>0.54666666666666675</v>
      </c>
      <c r="R29" s="370">
        <v>4.6666666666666669E-2</v>
      </c>
      <c r="S29" s="428">
        <v>0.4466666666666666</v>
      </c>
      <c r="T29" s="428">
        <v>0.49666666666666665</v>
      </c>
      <c r="U29" s="428">
        <v>0.49666666666666665</v>
      </c>
      <c r="V29" s="284">
        <v>52.666666666666664</v>
      </c>
      <c r="W29" s="284">
        <v>9</v>
      </c>
      <c r="X29" s="370">
        <v>2.6666666666666661E-2</v>
      </c>
      <c r="Y29" s="370">
        <v>0.41</v>
      </c>
      <c r="Z29" s="370">
        <v>0.47666666666666663</v>
      </c>
      <c r="AA29" s="370">
        <v>8.666666666666667E-2</v>
      </c>
      <c r="AB29" s="428">
        <v>0.45999999999999996</v>
      </c>
      <c r="AC29" s="428">
        <v>0.49666666666666665</v>
      </c>
      <c r="AD29" s="428">
        <v>0.51333333333333331</v>
      </c>
      <c r="AE29" s="441">
        <v>52.666666666666664</v>
      </c>
      <c r="AF29" s="441">
        <v>8.6666666666666661</v>
      </c>
      <c r="AG29" s="370">
        <v>2.3333333333333334E-2</v>
      </c>
      <c r="AH29" s="370">
        <v>0.35666666666666663</v>
      </c>
      <c r="AI29" s="370">
        <v>0.55000000000000004</v>
      </c>
      <c r="AJ29" s="370">
        <v>7.3333333333333348E-2</v>
      </c>
      <c r="AK29" s="428">
        <v>0.44</v>
      </c>
      <c r="AL29" s="428">
        <v>0.3833333333333333</v>
      </c>
      <c r="AM29" s="428">
        <v>0.43</v>
      </c>
      <c r="AN29" s="284">
        <v>53</v>
      </c>
      <c r="AO29" s="284">
        <v>8.6666666666666661</v>
      </c>
      <c r="AP29" s="370">
        <v>0.03</v>
      </c>
      <c r="AQ29" s="370">
        <v>0.36000000000000004</v>
      </c>
      <c r="AR29" s="370">
        <v>0.53666666666666663</v>
      </c>
      <c r="AS29" s="370">
        <v>7.6666666666666675E-2</v>
      </c>
      <c r="AT29" s="428">
        <v>0.46666666666666662</v>
      </c>
      <c r="AU29" s="428">
        <v>0.38000000000000006</v>
      </c>
      <c r="AV29" s="428">
        <v>0.45</v>
      </c>
      <c r="AW29" s="440">
        <v>52.333333333333336</v>
      </c>
      <c r="AX29" s="440"/>
      <c r="AY29" s="440">
        <v>8.6666666666666661</v>
      </c>
      <c r="AZ29" s="428"/>
      <c r="BA29" s="370">
        <v>3.3333333333333333E-2</v>
      </c>
      <c r="BB29" s="370">
        <v>0.39666666666666667</v>
      </c>
      <c r="BC29" s="370">
        <v>0.5033333333333333</v>
      </c>
      <c r="BD29" s="370">
        <v>7.3333333333333334E-2</v>
      </c>
      <c r="BE29" s="428">
        <v>0.47666666666666663</v>
      </c>
      <c r="BF29" s="428">
        <v>0.36999999999999994</v>
      </c>
      <c r="BG29" s="428">
        <v>0.56666666666666676</v>
      </c>
      <c r="BH29" s="448">
        <f t="shared" ref="BH29" si="28">AVERAGEIFS(BH$36:BH$167,$C$36:$C$167,"=6", $B$36:$B$167,"OFICIAL")</f>
        <v>53</v>
      </c>
      <c r="BJ29" s="448">
        <f t="shared" ref="BJ29:CC29" si="29">AVERAGEIFS(BJ$36:BJ$167,$C$36:$C$167,"=6", $B$36:$B$167,"OFICIAL")</f>
        <v>8.3333333333333339</v>
      </c>
      <c r="BL29" s="522">
        <f t="shared" si="29"/>
        <v>2.3333333333333334E-2</v>
      </c>
      <c r="BM29" s="522">
        <f t="shared" si="29"/>
        <v>0.35666666666666663</v>
      </c>
      <c r="BN29" s="522">
        <f t="shared" si="29"/>
        <v>0.54</v>
      </c>
      <c r="BO29" s="522">
        <f t="shared" si="29"/>
        <v>7.3333333333333334E-2</v>
      </c>
      <c r="BP29" s="522">
        <f t="shared" si="29"/>
        <v>0.49333333333333335</v>
      </c>
      <c r="BQ29" s="522">
        <f t="shared" si="29"/>
        <v>0.3666666666666667</v>
      </c>
      <c r="BR29" s="522">
        <f t="shared" si="29"/>
        <v>0.46666666666666662</v>
      </c>
      <c r="BS29" s="448">
        <f t="shared" si="29"/>
        <v>52.333333333333336</v>
      </c>
      <c r="BU29" s="448">
        <f t="shared" si="29"/>
        <v>8.3333333333333339</v>
      </c>
      <c r="BW29" s="522">
        <f t="shared" si="29"/>
        <v>2.3333333333333334E-2</v>
      </c>
      <c r="BX29" s="522">
        <f t="shared" si="29"/>
        <v>0.38999999999999996</v>
      </c>
      <c r="BY29" s="522">
        <f t="shared" si="29"/>
        <v>0.53333333333333333</v>
      </c>
      <c r="BZ29" s="522">
        <f t="shared" si="29"/>
        <v>4.9999999999999996E-2</v>
      </c>
      <c r="CA29" s="522">
        <f t="shared" si="29"/>
        <v>0.38666666666666671</v>
      </c>
      <c r="CB29" s="522">
        <f t="shared" si="29"/>
        <v>0.51</v>
      </c>
      <c r="CC29" s="522">
        <f t="shared" si="29"/>
        <v>0.52333333333333332</v>
      </c>
    </row>
    <row r="30" spans="1:83" s="381" customFormat="1" ht="24.9" customHeight="1" x14ac:dyDescent="0.25">
      <c r="A30" s="6" t="s">
        <v>937</v>
      </c>
      <c r="B30" s="427"/>
      <c r="C30" s="427"/>
      <c r="D30" s="284">
        <v>53.153846153846153</v>
      </c>
      <c r="E30" s="284">
        <v>7.4615384615384617</v>
      </c>
      <c r="F30" s="370">
        <v>0.01</v>
      </c>
      <c r="G30" s="370">
        <v>0.4053846153846154</v>
      </c>
      <c r="H30" s="370">
        <v>0.55153846153846153</v>
      </c>
      <c r="I30" s="370">
        <v>3.7692307692307685E-2</v>
      </c>
      <c r="J30" s="428">
        <v>0.43461538461538463</v>
      </c>
      <c r="K30" s="428">
        <v>0.47999999999999987</v>
      </c>
      <c r="L30" s="428">
        <v>0.56230769230769218</v>
      </c>
      <c r="M30" s="284">
        <v>53.333333333333336</v>
      </c>
      <c r="N30" s="284">
        <v>7.833333333333333</v>
      </c>
      <c r="O30" s="370">
        <v>1.3333333333333334E-2</v>
      </c>
      <c r="P30" s="370">
        <v>0.34250000000000003</v>
      </c>
      <c r="Q30" s="370">
        <v>0.57916666666666672</v>
      </c>
      <c r="R30" s="370">
        <v>6.5833333333333341E-2</v>
      </c>
      <c r="S30" s="428">
        <v>0.45500000000000007</v>
      </c>
      <c r="T30" s="428">
        <v>0.48833333333333334</v>
      </c>
      <c r="U30" s="428">
        <v>0.46999999999999992</v>
      </c>
      <c r="V30" s="284">
        <v>53.846153846153847</v>
      </c>
      <c r="W30" s="284">
        <v>8.2307692307692299</v>
      </c>
      <c r="X30" s="370">
        <v>0.02</v>
      </c>
      <c r="Y30" s="370">
        <v>0.32384615384615389</v>
      </c>
      <c r="Z30" s="370">
        <v>0.55000000000000004</v>
      </c>
      <c r="AA30" s="370">
        <v>0.11076923076923079</v>
      </c>
      <c r="AB30" s="428">
        <v>0.44307692307692303</v>
      </c>
      <c r="AC30" s="428">
        <v>0.47000000000000003</v>
      </c>
      <c r="AD30" s="428">
        <v>0.49769230769230766</v>
      </c>
      <c r="AE30" s="441">
        <v>53.53846153846154</v>
      </c>
      <c r="AF30" s="441">
        <v>8.3076923076923084</v>
      </c>
      <c r="AG30" s="370">
        <v>1.3076923076923078E-2</v>
      </c>
      <c r="AH30" s="370">
        <v>0.36538461538461547</v>
      </c>
      <c r="AI30" s="370">
        <v>0.53307692307692311</v>
      </c>
      <c r="AJ30" s="370">
        <v>8.8461538461538453E-2</v>
      </c>
      <c r="AK30" s="428">
        <v>0.42</v>
      </c>
      <c r="AL30" s="428">
        <v>0.36692307692307691</v>
      </c>
      <c r="AM30" s="428">
        <v>0.4284615384615385</v>
      </c>
      <c r="AN30" s="284">
        <v>53.692307692307693</v>
      </c>
      <c r="AO30" s="284">
        <v>8.0769230769230766</v>
      </c>
      <c r="AP30" s="370">
        <v>2.8461538461538462E-2</v>
      </c>
      <c r="AQ30" s="370">
        <v>0.28615384615384615</v>
      </c>
      <c r="AR30" s="370">
        <v>0.6100000000000001</v>
      </c>
      <c r="AS30" s="370">
        <v>7.6153846153846155E-2</v>
      </c>
      <c r="AT30" s="428">
        <v>0.4646153846153846</v>
      </c>
      <c r="AU30" s="428">
        <v>0.36230769230769233</v>
      </c>
      <c r="AV30" s="428">
        <v>0.44153846153846155</v>
      </c>
      <c r="AW30" s="440">
        <v>54.846153846153847</v>
      </c>
      <c r="AX30" s="440"/>
      <c r="AY30" s="440">
        <v>8.1538461538461533</v>
      </c>
      <c r="AZ30" s="428"/>
      <c r="BA30" s="370">
        <v>7.6923076923076927E-3</v>
      </c>
      <c r="BB30" s="370">
        <v>0.30538461538461542</v>
      </c>
      <c r="BC30" s="370">
        <v>0.57769230769230784</v>
      </c>
      <c r="BD30" s="370">
        <v>0.1076923076923077</v>
      </c>
      <c r="BE30" s="428">
        <v>0.42692307692307696</v>
      </c>
      <c r="BF30" s="428">
        <v>0.31538461538461537</v>
      </c>
      <c r="BG30" s="428">
        <v>0.53307692307692311</v>
      </c>
      <c r="BH30" s="448">
        <f t="shared" ref="BH30" si="30">AVERAGEIFS(BH$36:BH$167,$C$36:$C$167,"=1", $B$36:$B$167,"NO OFICIAL")</f>
        <v>55</v>
      </c>
      <c r="BJ30" s="448">
        <f t="shared" ref="BJ30:CC30" si="31">AVERAGEIFS(BJ$36:BJ$167,$C$36:$C$167,"=1", $B$36:$B$167,"NO OFICIAL")</f>
        <v>8.5384615384615383</v>
      </c>
      <c r="BL30" s="522">
        <f t="shared" si="31"/>
        <v>2.3076923076923082E-2</v>
      </c>
      <c r="BM30" s="522">
        <f t="shared" si="31"/>
        <v>0.27</v>
      </c>
      <c r="BN30" s="522">
        <f t="shared" si="31"/>
        <v>0.61384615384615393</v>
      </c>
      <c r="BO30" s="522">
        <f t="shared" si="31"/>
        <v>9.5384615384615387E-2</v>
      </c>
      <c r="BP30" s="522">
        <f t="shared" si="31"/>
        <v>0.45461538461538453</v>
      </c>
      <c r="BQ30" s="522">
        <f t="shared" si="31"/>
        <v>0.33076923076923076</v>
      </c>
      <c r="BR30" s="522">
        <f t="shared" si="31"/>
        <v>0.4407692307692308</v>
      </c>
      <c r="BS30" s="448">
        <f t="shared" si="31"/>
        <v>55.25</v>
      </c>
      <c r="BU30" s="448">
        <f t="shared" si="31"/>
        <v>8.3333333333333339</v>
      </c>
      <c r="BW30" s="522">
        <f t="shared" si="31"/>
        <v>0.02</v>
      </c>
      <c r="BX30" s="522">
        <f t="shared" si="31"/>
        <v>0.2583333333333333</v>
      </c>
      <c r="BY30" s="522">
        <f t="shared" si="31"/>
        <v>0.60333333333333339</v>
      </c>
      <c r="BZ30" s="522">
        <f t="shared" si="31"/>
        <v>0.11833333333333335</v>
      </c>
      <c r="CA30" s="522">
        <f t="shared" si="31"/>
        <v>0.34666666666666668</v>
      </c>
      <c r="CB30" s="522">
        <f t="shared" si="31"/>
        <v>0.45083333333333336</v>
      </c>
      <c r="CC30" s="522">
        <f t="shared" si="31"/>
        <v>0.47916666666666669</v>
      </c>
    </row>
    <row r="31" spans="1:83" s="381" customFormat="1" ht="24.9" customHeight="1" x14ac:dyDescent="0.25">
      <c r="A31" s="6" t="s">
        <v>938</v>
      </c>
      <c r="B31" s="427"/>
      <c r="C31" s="427"/>
      <c r="D31" s="284">
        <v>54.888888888888886</v>
      </c>
      <c r="E31" s="284">
        <v>7.1111111111111107</v>
      </c>
      <c r="F31" s="370">
        <v>1.7222222222222222E-2</v>
      </c>
      <c r="G31" s="370">
        <v>0.31444444444444447</v>
      </c>
      <c r="H31" s="370">
        <v>0.58500000000000008</v>
      </c>
      <c r="I31" s="370">
        <v>8.4444444444444447E-2</v>
      </c>
      <c r="J31" s="428">
        <v>0.41055555555555551</v>
      </c>
      <c r="K31" s="428">
        <v>0.45222222222222225</v>
      </c>
      <c r="L31" s="428">
        <v>0.50944444444444448</v>
      </c>
      <c r="M31" s="284">
        <v>55.705882352941174</v>
      </c>
      <c r="N31" s="284">
        <v>7.882352941176471</v>
      </c>
      <c r="O31" s="370">
        <v>1.5882352941176472E-2</v>
      </c>
      <c r="P31" s="370">
        <v>0.26117647058823534</v>
      </c>
      <c r="Q31" s="370">
        <v>0.59058823529411775</v>
      </c>
      <c r="R31" s="370">
        <v>0.13235294117647059</v>
      </c>
      <c r="S31" s="428">
        <v>0.40588235294117647</v>
      </c>
      <c r="T31" s="428">
        <v>0.44588235294117651</v>
      </c>
      <c r="U31" s="428">
        <v>0.43882352941176472</v>
      </c>
      <c r="V31" s="284">
        <v>54.823529411764703</v>
      </c>
      <c r="W31" s="284">
        <v>8.2941176470588243</v>
      </c>
      <c r="X31" s="370">
        <v>1.4705882352941176E-2</v>
      </c>
      <c r="Y31" s="370">
        <v>0.3123529411764705</v>
      </c>
      <c r="Z31" s="370">
        <v>0.54647058823529415</v>
      </c>
      <c r="AA31" s="370">
        <v>0.12588235294117647</v>
      </c>
      <c r="AB31" s="428">
        <v>0.41411764705882348</v>
      </c>
      <c r="AC31" s="428">
        <v>0.4629411764705883</v>
      </c>
      <c r="AD31" s="428">
        <v>0.47764705882352948</v>
      </c>
      <c r="AE31" s="441">
        <v>55.444444444444443</v>
      </c>
      <c r="AF31" s="441">
        <v>8.2777777777777786</v>
      </c>
      <c r="AG31" s="370">
        <v>8.8888888888888906E-3</v>
      </c>
      <c r="AH31" s="370">
        <v>0.25444444444444447</v>
      </c>
      <c r="AI31" s="370">
        <v>0.60611111111111104</v>
      </c>
      <c r="AJ31" s="370">
        <v>0.13222222222222221</v>
      </c>
      <c r="AK31" s="428">
        <v>0.38777777777777783</v>
      </c>
      <c r="AL31" s="428">
        <v>0.33777777777777779</v>
      </c>
      <c r="AM31" s="428">
        <v>0.4284615384615385</v>
      </c>
      <c r="AN31" s="284">
        <v>54.863636363636367</v>
      </c>
      <c r="AO31" s="284">
        <v>6.9090909090909092</v>
      </c>
      <c r="AP31" s="370">
        <v>7.7272727272727267E-3</v>
      </c>
      <c r="AQ31" s="370">
        <v>0.29090909090909084</v>
      </c>
      <c r="AR31" s="370">
        <v>0.58954545454545448</v>
      </c>
      <c r="AS31" s="370">
        <v>0.11227272727272729</v>
      </c>
      <c r="AT31" s="428">
        <v>0.43090909090909091</v>
      </c>
      <c r="AU31" s="428">
        <v>0.36181818181818176</v>
      </c>
      <c r="AV31" s="428">
        <v>0.41636363636363638</v>
      </c>
      <c r="AW31" s="440">
        <v>54.65</v>
      </c>
      <c r="AX31" s="440"/>
      <c r="AY31" s="440">
        <v>7.9</v>
      </c>
      <c r="AZ31" s="428"/>
      <c r="BA31" s="370">
        <v>3.2000000000000008E-2</v>
      </c>
      <c r="BB31" s="370">
        <v>0.32599999999999996</v>
      </c>
      <c r="BC31" s="370">
        <v>0.51150000000000007</v>
      </c>
      <c r="BD31" s="370">
        <v>0.13100000000000003</v>
      </c>
      <c r="BE31" s="428">
        <v>0.4335</v>
      </c>
      <c r="BF31" s="428">
        <v>0.33399999999999996</v>
      </c>
      <c r="BG31" s="428">
        <v>0.52500000000000013</v>
      </c>
      <c r="BH31" s="448">
        <f t="shared" ref="BH31" si="32">AVERAGEIFS(BH$36:BH$167,$C$36:$C$167,"=2", $B$36:$B$167,"NO OFICIAL")</f>
        <v>56.952380952380949</v>
      </c>
      <c r="BJ31" s="448">
        <f t="shared" ref="BJ31:CC31" si="33">AVERAGEIFS(BJ$36:BJ$167,$C$36:$C$167,"=2", $B$36:$B$167,"NO OFICIAL")</f>
        <v>7.666666666666667</v>
      </c>
      <c r="BL31" s="522">
        <f t="shared" si="33"/>
        <v>2.1428571428571429E-2</v>
      </c>
      <c r="BM31" s="522">
        <f t="shared" si="33"/>
        <v>0.20571428571428568</v>
      </c>
      <c r="BN31" s="522">
        <f t="shared" si="33"/>
        <v>0.59190476190476171</v>
      </c>
      <c r="BO31" s="522">
        <f t="shared" si="33"/>
        <v>0.18142857142857141</v>
      </c>
      <c r="BP31" s="522">
        <f t="shared" si="33"/>
        <v>0.42904761904761912</v>
      </c>
      <c r="BQ31" s="522">
        <f t="shared" si="33"/>
        <v>0.30285714285714282</v>
      </c>
      <c r="BR31" s="522">
        <f t="shared" si="33"/>
        <v>0.38666666666666671</v>
      </c>
      <c r="BS31" s="448">
        <f t="shared" si="33"/>
        <v>56.272727272727273</v>
      </c>
      <c r="BU31" s="448">
        <f t="shared" si="33"/>
        <v>8.2727272727272734</v>
      </c>
      <c r="BW31" s="522">
        <f t="shared" si="33"/>
        <v>2.6363636363636367E-2</v>
      </c>
      <c r="BX31" s="522">
        <f t="shared" si="33"/>
        <v>0.24999999999999992</v>
      </c>
      <c r="BY31" s="522">
        <f t="shared" si="33"/>
        <v>0.54954545454545467</v>
      </c>
      <c r="BZ31" s="522">
        <f t="shared" si="33"/>
        <v>0.17500000000000002</v>
      </c>
      <c r="CA31" s="522">
        <f t="shared" si="33"/>
        <v>0.33681818181818185</v>
      </c>
      <c r="CB31" s="522">
        <f t="shared" si="33"/>
        <v>0.43909090909090903</v>
      </c>
      <c r="CC31" s="522">
        <f t="shared" si="33"/>
        <v>0.4413636363636364</v>
      </c>
    </row>
    <row r="32" spans="1:83" s="381" customFormat="1" ht="24.9" customHeight="1" x14ac:dyDescent="0.25">
      <c r="A32" s="6" t="s">
        <v>939</v>
      </c>
      <c r="B32" s="427"/>
      <c r="C32" s="427"/>
      <c r="D32" s="284">
        <v>55.153846153846153</v>
      </c>
      <c r="E32" s="284">
        <v>7.8461538461538458</v>
      </c>
      <c r="F32" s="370">
        <v>1.7692307692307691E-2</v>
      </c>
      <c r="G32" s="370">
        <v>0.28076923076923077</v>
      </c>
      <c r="H32" s="370">
        <v>0.62153846153846171</v>
      </c>
      <c r="I32" s="370">
        <v>8.3846153846153876E-2</v>
      </c>
      <c r="J32" s="428">
        <v>0.37769230769230772</v>
      </c>
      <c r="K32" s="428">
        <v>0.46384615384615385</v>
      </c>
      <c r="L32" s="428">
        <v>0.51153846153846161</v>
      </c>
      <c r="M32" s="284">
        <v>55.714285714285715</v>
      </c>
      <c r="N32" s="284">
        <v>7.6428571428571432</v>
      </c>
      <c r="O32" s="370">
        <v>1.1428571428571429E-2</v>
      </c>
      <c r="P32" s="370">
        <v>0.2364285714285714</v>
      </c>
      <c r="Q32" s="370">
        <v>0.64642857142857146</v>
      </c>
      <c r="R32" s="370">
        <v>0.10714285714285714</v>
      </c>
      <c r="S32" s="428">
        <v>0.41785714285714282</v>
      </c>
      <c r="T32" s="428">
        <v>0.44857142857142851</v>
      </c>
      <c r="U32" s="428">
        <v>0.43928571428571433</v>
      </c>
      <c r="V32" s="284">
        <v>56.214285714285715</v>
      </c>
      <c r="W32" s="284">
        <v>8.2142857142857135</v>
      </c>
      <c r="X32" s="370">
        <v>1.3571428571428571E-2</v>
      </c>
      <c r="Y32" s="370">
        <v>0.25428571428571434</v>
      </c>
      <c r="Z32" s="370">
        <v>0.59071428571428564</v>
      </c>
      <c r="AA32" s="370">
        <v>0.1435714285714286</v>
      </c>
      <c r="AB32" s="428">
        <v>0.39785714285714296</v>
      </c>
      <c r="AC32" s="428">
        <v>0.44928571428571429</v>
      </c>
      <c r="AD32" s="428">
        <v>0.46928571428571431</v>
      </c>
      <c r="AE32" s="441">
        <v>55.785714285714285</v>
      </c>
      <c r="AF32" s="441">
        <v>8.4285714285714288</v>
      </c>
      <c r="AG32" s="370">
        <v>7.8571428571428577E-3</v>
      </c>
      <c r="AH32" s="370">
        <v>0.26214285714285718</v>
      </c>
      <c r="AI32" s="370">
        <v>0.57857142857142863</v>
      </c>
      <c r="AJ32" s="370">
        <v>0.15285714285714283</v>
      </c>
      <c r="AK32" s="428">
        <v>0.39357142857142863</v>
      </c>
      <c r="AL32" s="428">
        <v>0.33571428571428574</v>
      </c>
      <c r="AM32" s="428">
        <v>0.4284615384615385</v>
      </c>
      <c r="AN32" s="284">
        <v>55.333333333333336</v>
      </c>
      <c r="AO32" s="284">
        <v>7.6</v>
      </c>
      <c r="AP32" s="370">
        <v>1.2000000000000002E-2</v>
      </c>
      <c r="AQ32" s="370">
        <v>0.24666666666666667</v>
      </c>
      <c r="AR32" s="370">
        <v>0.66399999999999992</v>
      </c>
      <c r="AS32" s="370">
        <v>7.5333333333333335E-2</v>
      </c>
      <c r="AT32" s="428">
        <v>0.4386666666666667</v>
      </c>
      <c r="AU32" s="428">
        <v>0.33466666666666672</v>
      </c>
      <c r="AV32" s="428">
        <v>0.39466666666666667</v>
      </c>
      <c r="AW32" s="440">
        <v>56.2</v>
      </c>
      <c r="AX32" s="440"/>
      <c r="AY32" s="440">
        <v>8.5333333333333332</v>
      </c>
      <c r="AZ32" s="428"/>
      <c r="BA32" s="370">
        <v>0.01</v>
      </c>
      <c r="BB32" s="370">
        <v>0.26999999999999996</v>
      </c>
      <c r="BC32" s="370">
        <v>0.56000000000000005</v>
      </c>
      <c r="BD32" s="370">
        <v>0.16266666666666665</v>
      </c>
      <c r="BE32" s="428">
        <v>0.4</v>
      </c>
      <c r="BF32" s="428">
        <v>0.31133333333333335</v>
      </c>
      <c r="BG32" s="428">
        <v>0.49933333333333341</v>
      </c>
      <c r="BH32" s="448">
        <f t="shared" ref="BH32" si="34">AVERAGEIFS(BH$36:BH$167,$C$36:$C$167,"=3", $B$36:$B$167,"NO OFICIAL")</f>
        <v>57</v>
      </c>
      <c r="BJ32" s="448">
        <f t="shared" ref="BJ32:CC32" si="35">AVERAGEIFS(BJ$36:BJ$167,$C$36:$C$167,"=3", $B$36:$B$167,"NO OFICIAL")</f>
        <v>8.25</v>
      </c>
      <c r="BL32" s="522">
        <f t="shared" si="35"/>
        <v>1.375E-2</v>
      </c>
      <c r="BM32" s="522">
        <f t="shared" si="35"/>
        <v>0.21250000000000002</v>
      </c>
      <c r="BN32" s="522">
        <f t="shared" si="35"/>
        <v>0.609375</v>
      </c>
      <c r="BO32" s="522">
        <f t="shared" si="35"/>
        <v>0.16562499999999999</v>
      </c>
      <c r="BP32" s="522">
        <f t="shared" si="35"/>
        <v>0.42000000000000004</v>
      </c>
      <c r="BQ32" s="522">
        <f t="shared" si="35"/>
        <v>0.30874999999999997</v>
      </c>
      <c r="BR32" s="522">
        <f t="shared" si="35"/>
        <v>0.385625</v>
      </c>
      <c r="BS32" s="448">
        <f t="shared" si="35"/>
        <v>56.625</v>
      </c>
      <c r="BU32" s="448">
        <f t="shared" si="35"/>
        <v>7.9375</v>
      </c>
      <c r="BW32" s="522">
        <f t="shared" si="35"/>
        <v>1.2500000000000001E-2</v>
      </c>
      <c r="BX32" s="522">
        <f t="shared" si="35"/>
        <v>0.20500000000000002</v>
      </c>
      <c r="BY32" s="522">
        <f t="shared" si="35"/>
        <v>0.63437500000000002</v>
      </c>
      <c r="BZ32" s="522">
        <f t="shared" si="35"/>
        <v>0.15000000000000002</v>
      </c>
      <c r="CA32" s="522">
        <f t="shared" si="35"/>
        <v>0.33187499999999998</v>
      </c>
      <c r="CB32" s="522">
        <f t="shared" si="35"/>
        <v>0.43124999999999997</v>
      </c>
      <c r="CC32" s="522">
        <f t="shared" si="35"/>
        <v>0.44</v>
      </c>
    </row>
    <row r="33" spans="1:81" s="381" customFormat="1" ht="24.9" customHeight="1" x14ac:dyDescent="0.25">
      <c r="A33" s="6" t="s">
        <v>940</v>
      </c>
      <c r="B33" s="427"/>
      <c r="C33" s="427"/>
      <c r="D33" s="284">
        <v>51.5</v>
      </c>
      <c r="E33" s="284">
        <v>7.375</v>
      </c>
      <c r="F33" s="370">
        <v>2.2499999999999999E-2</v>
      </c>
      <c r="G33" s="370">
        <v>0.41125</v>
      </c>
      <c r="H33" s="370">
        <v>0.53875000000000006</v>
      </c>
      <c r="I33" s="370">
        <v>2.7499999999999997E-2</v>
      </c>
      <c r="J33" s="428">
        <v>0.47125</v>
      </c>
      <c r="K33" s="428">
        <v>0.52124999999999999</v>
      </c>
      <c r="L33" s="428">
        <v>0.57250000000000001</v>
      </c>
      <c r="M33" s="284">
        <v>55.111111111111114</v>
      </c>
      <c r="N33" s="284">
        <v>6.666666666666667</v>
      </c>
      <c r="O33" s="370">
        <v>0.01</v>
      </c>
      <c r="P33" s="370">
        <v>0.22999999999999998</v>
      </c>
      <c r="Q33" s="370">
        <v>0.65999999999999992</v>
      </c>
      <c r="R33" s="370">
        <v>0.10125000000000001</v>
      </c>
      <c r="S33" s="428">
        <v>0.40374999999999994</v>
      </c>
      <c r="T33" s="428">
        <v>0.44375000000000003</v>
      </c>
      <c r="U33" s="428">
        <v>0.46750000000000003</v>
      </c>
      <c r="V33" s="284">
        <v>54.666666666666664</v>
      </c>
      <c r="W33" s="284">
        <v>6.8888888888888893</v>
      </c>
      <c r="X33" s="370">
        <v>0</v>
      </c>
      <c r="Y33" s="370">
        <v>0.26555555555555554</v>
      </c>
      <c r="Z33" s="370">
        <v>0.68333333333333335</v>
      </c>
      <c r="AA33" s="370">
        <v>5.2222222222222218E-2</v>
      </c>
      <c r="AB33" s="428">
        <v>0.4022222222222222</v>
      </c>
      <c r="AC33" s="428">
        <v>0.46888888888888886</v>
      </c>
      <c r="AD33" s="428">
        <v>0.4933333333333334</v>
      </c>
      <c r="AE33" s="441">
        <v>54.375</v>
      </c>
      <c r="AF33" s="441">
        <v>8.25</v>
      </c>
      <c r="AG33" s="370">
        <v>2.2500000000000003E-2</v>
      </c>
      <c r="AH33" s="370">
        <v>0.31874999999999992</v>
      </c>
      <c r="AI33" s="370">
        <v>0.55500000000000005</v>
      </c>
      <c r="AJ33" s="370">
        <v>0.10375</v>
      </c>
      <c r="AK33" s="428">
        <v>0.39999999999999997</v>
      </c>
      <c r="AL33" s="428">
        <v>0.37124999999999997</v>
      </c>
      <c r="AM33" s="428">
        <v>0.4284615384615385</v>
      </c>
      <c r="AN33" s="284">
        <v>52.142857142857146</v>
      </c>
      <c r="AO33" s="284">
        <v>7.7142857142857144</v>
      </c>
      <c r="AP33" s="370">
        <v>2.5714285714285714E-2</v>
      </c>
      <c r="AQ33" s="370">
        <v>0.36857142857142861</v>
      </c>
      <c r="AR33" s="370">
        <v>0.53999999999999992</v>
      </c>
      <c r="AS33" s="370">
        <v>6.5714285714285711E-2</v>
      </c>
      <c r="AT33" s="428">
        <v>0.48857142857142855</v>
      </c>
      <c r="AU33" s="428">
        <v>0.40857142857142853</v>
      </c>
      <c r="AV33" s="428">
        <v>0.43857142857142856</v>
      </c>
      <c r="AW33" s="440">
        <v>53.875</v>
      </c>
      <c r="AX33" s="440"/>
      <c r="AY33" s="440">
        <v>7.625</v>
      </c>
      <c r="AZ33" s="428"/>
      <c r="BA33" s="370">
        <v>7.4999999999999997E-3</v>
      </c>
      <c r="BB33" s="370">
        <v>0.34124999999999994</v>
      </c>
      <c r="BC33" s="370">
        <v>0.58624999999999994</v>
      </c>
      <c r="BD33" s="370">
        <v>6.7500000000000004E-2</v>
      </c>
      <c r="BE33" s="428">
        <v>0.43875000000000003</v>
      </c>
      <c r="BF33" s="428">
        <v>0.35375000000000001</v>
      </c>
      <c r="BG33" s="428">
        <v>0.54874999999999996</v>
      </c>
      <c r="BH33" s="448">
        <f t="shared" ref="BH33" si="36">AVERAGEIFS(BH$36:BH$167,$C$36:$C$167,"=4", $B$36:$B$167,"NO OFICIAL")</f>
        <v>55</v>
      </c>
      <c r="BJ33" s="448">
        <f t="shared" ref="BJ33:CC33" si="37">AVERAGEIFS(BJ$36:BJ$167,$C$36:$C$167,"=4", $B$36:$B$167,"NO OFICIAL")</f>
        <v>8.375</v>
      </c>
      <c r="BL33" s="522">
        <f t="shared" si="37"/>
        <v>0.03</v>
      </c>
      <c r="BM33" s="522">
        <f t="shared" si="37"/>
        <v>0.27625</v>
      </c>
      <c r="BN33" s="522">
        <f t="shared" si="37"/>
        <v>0.5525000000000001</v>
      </c>
      <c r="BO33" s="522">
        <f t="shared" si="37"/>
        <v>0.14250000000000002</v>
      </c>
      <c r="BP33" s="522">
        <f t="shared" si="37"/>
        <v>0.44624999999999998</v>
      </c>
      <c r="BQ33" s="522">
        <f t="shared" si="37"/>
        <v>0.31874999999999998</v>
      </c>
      <c r="BR33" s="522">
        <f t="shared" si="37"/>
        <v>0.44125000000000003</v>
      </c>
      <c r="BS33" s="448">
        <f t="shared" si="37"/>
        <v>52.555555555555557</v>
      </c>
      <c r="BU33" s="448">
        <f t="shared" si="37"/>
        <v>8.4444444444444446</v>
      </c>
      <c r="BW33" s="522">
        <f t="shared" si="37"/>
        <v>1.8888888888888886E-2</v>
      </c>
      <c r="BX33" s="522">
        <f t="shared" si="37"/>
        <v>0.41444444444444439</v>
      </c>
      <c r="BY33" s="522">
        <f t="shared" si="37"/>
        <v>0.49333333333333329</v>
      </c>
      <c r="BZ33" s="522">
        <f t="shared" si="37"/>
        <v>7.4444444444444452E-2</v>
      </c>
      <c r="CA33" s="522">
        <f t="shared" si="37"/>
        <v>0.4022222222222222</v>
      </c>
      <c r="CB33" s="522">
        <f t="shared" si="37"/>
        <v>0.49555555555555564</v>
      </c>
      <c r="CC33" s="522">
        <f t="shared" si="37"/>
        <v>0.52555555555555555</v>
      </c>
    </row>
    <row r="34" spans="1:81" s="381" customFormat="1" ht="24.9" customHeight="1" x14ac:dyDescent="0.25">
      <c r="A34" s="6" t="s">
        <v>941</v>
      </c>
      <c r="B34" s="427"/>
      <c r="C34" s="427"/>
      <c r="D34" s="284">
        <v>55.8</v>
      </c>
      <c r="E34" s="284">
        <v>7.7333333333333334</v>
      </c>
      <c r="F34" s="370">
        <v>1.2E-2</v>
      </c>
      <c r="G34" s="370">
        <v>0.25466666666666665</v>
      </c>
      <c r="H34" s="370">
        <v>0.64600000000000002</v>
      </c>
      <c r="I34" s="370">
        <v>8.8000000000000009E-2</v>
      </c>
      <c r="J34" s="428">
        <v>0.40666666666666668</v>
      </c>
      <c r="K34" s="428">
        <v>0.43200000000000005</v>
      </c>
      <c r="L34" s="428">
        <v>0.53066666666666673</v>
      </c>
      <c r="M34" s="284">
        <v>57.333333333333336</v>
      </c>
      <c r="N34" s="284">
        <v>7.4666666666666668</v>
      </c>
      <c r="O34" s="370">
        <v>0.01</v>
      </c>
      <c r="P34" s="370">
        <v>0.19687499999999999</v>
      </c>
      <c r="Q34" s="370">
        <v>0.67249999999999999</v>
      </c>
      <c r="R34" s="370">
        <v>0.11874999999999999</v>
      </c>
      <c r="S34" s="428">
        <v>0.36624999999999996</v>
      </c>
      <c r="T34" s="428">
        <v>0.426875</v>
      </c>
      <c r="U34" s="428">
        <v>0.42875000000000002</v>
      </c>
      <c r="V34" s="284">
        <v>56.3125</v>
      </c>
      <c r="W34" s="284">
        <v>7.875</v>
      </c>
      <c r="X34" s="370">
        <v>1.2500000000000001E-2</v>
      </c>
      <c r="Y34" s="370">
        <v>0.25187500000000002</v>
      </c>
      <c r="Z34" s="370">
        <v>0.60499999999999998</v>
      </c>
      <c r="AA34" s="370">
        <v>0.13250000000000001</v>
      </c>
      <c r="AB34" s="428">
        <v>0.38750000000000001</v>
      </c>
      <c r="AC34" s="428">
        <v>0.44874999999999998</v>
      </c>
      <c r="AD34" s="428">
        <v>0.45687500000000003</v>
      </c>
      <c r="AE34" s="441">
        <v>56.705882352941174</v>
      </c>
      <c r="AF34" s="441">
        <v>7.9411764705882355</v>
      </c>
      <c r="AG34" s="370">
        <v>5.2941176470588241E-3</v>
      </c>
      <c r="AH34" s="370">
        <v>0.24941176470588242</v>
      </c>
      <c r="AI34" s="370">
        <v>0.59058823529411775</v>
      </c>
      <c r="AJ34" s="370">
        <v>0.15588235294117647</v>
      </c>
      <c r="AK34" s="428">
        <v>0.36941176470588233</v>
      </c>
      <c r="AL34" s="428">
        <v>0.32058823529411767</v>
      </c>
      <c r="AM34" s="428">
        <v>0.4284615384615385</v>
      </c>
      <c r="AN34" s="284">
        <v>56.875</v>
      </c>
      <c r="AO34" s="284">
        <v>7.3125</v>
      </c>
      <c r="AP34" s="370">
        <v>0</v>
      </c>
      <c r="AQ34" s="370">
        <v>0.20312500000000003</v>
      </c>
      <c r="AR34" s="370">
        <v>0.67562500000000003</v>
      </c>
      <c r="AS34" s="370">
        <v>0.12124999999999998</v>
      </c>
      <c r="AT34" s="428">
        <v>0.42250000000000004</v>
      </c>
      <c r="AU34" s="428">
        <v>0.29687499999999994</v>
      </c>
      <c r="AV34" s="428">
        <v>0.38500000000000001</v>
      </c>
      <c r="AW34" s="440">
        <v>57.3125</v>
      </c>
      <c r="AX34" s="440"/>
      <c r="AY34" s="440">
        <v>8.375</v>
      </c>
      <c r="AZ34" s="428"/>
      <c r="BA34" s="370">
        <v>3.1250000000000002E-3</v>
      </c>
      <c r="BB34" s="370">
        <v>0.20624999999999999</v>
      </c>
      <c r="BC34" s="370">
        <v>0.604375</v>
      </c>
      <c r="BD34" s="370">
        <v>0.185</v>
      </c>
      <c r="BE34" s="428">
        <v>0.38500000000000001</v>
      </c>
      <c r="BF34" s="428">
        <v>0.29624999999999996</v>
      </c>
      <c r="BG34" s="428">
        <v>0.47687499999999999</v>
      </c>
      <c r="BH34" s="448">
        <f t="shared" ref="BH34" si="38">AVERAGEIFS(BH$36:BH$167,$C$36:$C$167,"=5", $B$36:$B$167,"NO OFICIAL")</f>
        <v>58.266666666666666</v>
      </c>
      <c r="BJ34" s="448">
        <f t="shared" ref="BJ34:CC34" si="39">AVERAGEIFS(BJ$36:BJ$167,$C$36:$C$167,"=5", $B$36:$B$167,"NO OFICIAL")</f>
        <v>7.6</v>
      </c>
      <c r="BL34" s="522">
        <f t="shared" si="39"/>
        <v>1.2000000000000002E-2</v>
      </c>
      <c r="BM34" s="522">
        <f t="shared" si="39"/>
        <v>0.1593333333333333</v>
      </c>
      <c r="BN34" s="522">
        <f t="shared" si="39"/>
        <v>0.628</v>
      </c>
      <c r="BO34" s="522">
        <f t="shared" si="39"/>
        <v>0.20199999999999999</v>
      </c>
      <c r="BP34" s="522">
        <f t="shared" si="39"/>
        <v>0.40599999999999992</v>
      </c>
      <c r="BQ34" s="522">
        <f t="shared" si="39"/>
        <v>0.27333333333333332</v>
      </c>
      <c r="BR34" s="522">
        <f t="shared" si="39"/>
        <v>0.36999999999999994</v>
      </c>
      <c r="BS34" s="448">
        <f t="shared" si="39"/>
        <v>58.4</v>
      </c>
      <c r="BU34" s="448">
        <f t="shared" si="39"/>
        <v>8</v>
      </c>
      <c r="BW34" s="522">
        <f t="shared" si="39"/>
        <v>3.3333333333333335E-3</v>
      </c>
      <c r="BX34" s="522">
        <f t="shared" si="39"/>
        <v>0.16466666666666666</v>
      </c>
      <c r="BY34" s="522">
        <f t="shared" si="39"/>
        <v>0.64066666666666661</v>
      </c>
      <c r="BZ34" s="522">
        <f t="shared" si="39"/>
        <v>0.19133333333333333</v>
      </c>
      <c r="CA34" s="522">
        <f t="shared" si="39"/>
        <v>0.30000000000000004</v>
      </c>
      <c r="CB34" s="522">
        <f t="shared" si="39"/>
        <v>0.40333333333333332</v>
      </c>
      <c r="CC34" s="522">
        <f t="shared" si="39"/>
        <v>0.41</v>
      </c>
    </row>
    <row r="35" spans="1:81" s="381" customFormat="1" ht="24.9" customHeight="1" x14ac:dyDescent="0.25">
      <c r="A35" s="6" t="s">
        <v>942</v>
      </c>
      <c r="B35" s="427"/>
      <c r="C35" s="427"/>
      <c r="D35" s="284">
        <v>54.583333333333336</v>
      </c>
      <c r="E35" s="284">
        <v>6.416666666666667</v>
      </c>
      <c r="F35" s="370">
        <v>7.5000000000000006E-3</v>
      </c>
      <c r="G35" s="370">
        <v>0.3666666666666667</v>
      </c>
      <c r="H35" s="370">
        <v>0.56500000000000006</v>
      </c>
      <c r="I35" s="370">
        <v>6.1666666666666668E-2</v>
      </c>
      <c r="J35" s="428">
        <v>0.41749999999999998</v>
      </c>
      <c r="K35" s="428">
        <v>0.47250000000000009</v>
      </c>
      <c r="L35" s="428">
        <v>0.53333333333333333</v>
      </c>
      <c r="M35" s="284">
        <v>54</v>
      </c>
      <c r="N35" s="284">
        <v>8.5</v>
      </c>
      <c r="O35" s="370">
        <v>3.3333333333333333E-2</v>
      </c>
      <c r="P35" s="370">
        <v>0.29916666666666675</v>
      </c>
      <c r="Q35" s="370">
        <v>0.58250000000000002</v>
      </c>
      <c r="R35" s="370">
        <v>8.5833333333333331E-2</v>
      </c>
      <c r="S35" s="428">
        <v>0.44083333333333335</v>
      </c>
      <c r="T35" s="428">
        <v>0.47333333333333338</v>
      </c>
      <c r="U35" s="428">
        <v>0.47166666666666668</v>
      </c>
      <c r="V35" s="284">
        <v>54.81818181818182</v>
      </c>
      <c r="W35" s="284">
        <v>8.454545454545455</v>
      </c>
      <c r="X35" s="370">
        <v>5.454545454545455E-3</v>
      </c>
      <c r="Y35" s="370">
        <v>0.36090909090909096</v>
      </c>
      <c r="Z35" s="370">
        <v>0.52727272727272723</v>
      </c>
      <c r="AA35" s="370">
        <v>0.1109090909090909</v>
      </c>
      <c r="AB35" s="428">
        <v>0.41727272727272724</v>
      </c>
      <c r="AC35" s="428">
        <v>0.45818181818181808</v>
      </c>
      <c r="AD35" s="428">
        <v>0.50090909090909086</v>
      </c>
      <c r="AE35" s="441">
        <v>55.083333333333336</v>
      </c>
      <c r="AF35" s="441">
        <v>8.6666666666666661</v>
      </c>
      <c r="AG35" s="370">
        <v>8.3333333333333332E-3</v>
      </c>
      <c r="AH35" s="370">
        <v>0.31666666666666665</v>
      </c>
      <c r="AI35" s="370">
        <v>0.55666666666666675</v>
      </c>
      <c r="AJ35" s="370">
        <v>0.11833333333333333</v>
      </c>
      <c r="AK35" s="428">
        <v>0.40749999999999997</v>
      </c>
      <c r="AL35" s="428">
        <v>0.35833333333333334</v>
      </c>
      <c r="AM35" s="428">
        <v>0.4284615384615385</v>
      </c>
      <c r="AN35" s="284">
        <v>52.5</v>
      </c>
      <c r="AO35" s="284">
        <v>7.2142857142857144</v>
      </c>
      <c r="AP35" s="370">
        <v>4.1428571428571433E-2</v>
      </c>
      <c r="AQ35" s="370">
        <v>0.33785714285714291</v>
      </c>
      <c r="AR35" s="370">
        <v>0.55214285714285716</v>
      </c>
      <c r="AS35" s="370">
        <v>6.7857142857142866E-2</v>
      </c>
      <c r="AT35" s="428">
        <v>0.48928571428571427</v>
      </c>
      <c r="AU35" s="428">
        <v>0.37857142857142861</v>
      </c>
      <c r="AV35" s="428">
        <v>0.45357142857142863</v>
      </c>
      <c r="AW35" s="440">
        <v>54.615384615384613</v>
      </c>
      <c r="AX35" s="440"/>
      <c r="AY35" s="440">
        <v>7.4615384615384617</v>
      </c>
      <c r="AZ35" s="428"/>
      <c r="BA35" s="370">
        <v>1.3076923076923078E-2</v>
      </c>
      <c r="BB35" s="370">
        <v>0.37230769230769234</v>
      </c>
      <c r="BC35" s="370">
        <v>0.49692307692307697</v>
      </c>
      <c r="BD35" s="370">
        <v>0.11846153846153845</v>
      </c>
      <c r="BE35" s="428">
        <v>0.44923076923076916</v>
      </c>
      <c r="BF35" s="428">
        <v>0.32615384615384618</v>
      </c>
      <c r="BG35" s="428">
        <v>0.52692307692307683</v>
      </c>
      <c r="BH35" s="448">
        <f t="shared" ref="BH35" si="40">AVERAGEIFS(BH$36:BH$167,$C$36:$C$167,"=6", $B$36:$B$167,"NO OFICIAL")</f>
        <v>54.8125</v>
      </c>
      <c r="BJ35" s="448">
        <f t="shared" ref="BJ35:CC35" si="41">AVERAGEIFS(BJ$36:BJ$167,$C$36:$C$167,"=6", $B$36:$B$167,"NO OFICIAL")</f>
        <v>8.3125</v>
      </c>
      <c r="BL35" s="522">
        <f t="shared" si="41"/>
        <v>2.4375000000000001E-2</v>
      </c>
      <c r="BM35" s="522">
        <f t="shared" si="41"/>
        <v>0.30187500000000006</v>
      </c>
      <c r="BN35" s="522">
        <f t="shared" si="41"/>
        <v>0.56062500000000004</v>
      </c>
      <c r="BO35" s="522">
        <f t="shared" si="41"/>
        <v>0.113125</v>
      </c>
      <c r="BP35" s="522">
        <f t="shared" si="41"/>
        <v>0.46250000000000002</v>
      </c>
      <c r="BQ35" s="522">
        <f t="shared" si="41"/>
        <v>0.33937499999999998</v>
      </c>
      <c r="BR35" s="522">
        <f t="shared" si="41"/>
        <v>0.4375</v>
      </c>
      <c r="BS35" s="448">
        <f t="shared" si="41"/>
        <v>56.176470588235297</v>
      </c>
      <c r="BU35" s="448">
        <f t="shared" si="41"/>
        <v>7.8235294117647056</v>
      </c>
      <c r="BW35" s="522">
        <f t="shared" si="41"/>
        <v>7.0588235294117641E-3</v>
      </c>
      <c r="BX35" s="522">
        <f t="shared" si="41"/>
        <v>0.24529411764705888</v>
      </c>
      <c r="BY35" s="522">
        <f t="shared" si="41"/>
        <v>0.57823529411764707</v>
      </c>
      <c r="BZ35" s="522">
        <f t="shared" si="41"/>
        <v>0.16941176470588237</v>
      </c>
      <c r="CA35" s="522">
        <f t="shared" si="41"/>
        <v>0.3394117647058823</v>
      </c>
      <c r="CB35" s="522">
        <f t="shared" si="41"/>
        <v>0.43294117647058827</v>
      </c>
      <c r="CC35" s="522">
        <f t="shared" si="41"/>
        <v>0.45058823529411773</v>
      </c>
    </row>
    <row r="36" spans="1:81" ht="24.9" customHeight="1" x14ac:dyDescent="0.25">
      <c r="A36" s="188" t="s">
        <v>29</v>
      </c>
      <c r="B36" s="1" t="s">
        <v>222</v>
      </c>
      <c r="C36" s="2">
        <v>2</v>
      </c>
      <c r="D36" s="16">
        <v>54</v>
      </c>
      <c r="E36" s="16">
        <v>9</v>
      </c>
      <c r="F36" s="96">
        <v>0.01</v>
      </c>
      <c r="G36" s="96">
        <v>0.36</v>
      </c>
      <c r="H36" s="96">
        <v>0.56999999999999995</v>
      </c>
      <c r="I36" s="96">
        <v>0.06</v>
      </c>
      <c r="J36" s="96">
        <v>0.42</v>
      </c>
      <c r="K36" s="96">
        <v>0.47</v>
      </c>
      <c r="L36" s="96">
        <v>0.54</v>
      </c>
      <c r="M36" s="34">
        <v>55</v>
      </c>
      <c r="N36" s="34">
        <v>8</v>
      </c>
      <c r="O36" s="92">
        <v>0</v>
      </c>
      <c r="P36" s="92">
        <v>0.28999999999999998</v>
      </c>
      <c r="Q36" s="92">
        <v>0.66</v>
      </c>
      <c r="R36" s="92">
        <v>0.06</v>
      </c>
      <c r="S36" s="92">
        <v>0.41</v>
      </c>
      <c r="T36" s="92">
        <v>0.48</v>
      </c>
      <c r="U36" s="92">
        <v>0.44</v>
      </c>
      <c r="V36" s="34">
        <v>54</v>
      </c>
      <c r="W36" s="34">
        <v>8</v>
      </c>
      <c r="X36" s="99">
        <v>0.02</v>
      </c>
      <c r="Y36" s="99">
        <v>0.37</v>
      </c>
      <c r="Z36" s="99">
        <v>0.52</v>
      </c>
      <c r="AA36" s="99">
        <v>0.09</v>
      </c>
      <c r="AB36" s="99">
        <v>0.46</v>
      </c>
      <c r="AC36" s="99">
        <v>0.44</v>
      </c>
      <c r="AD36" s="99">
        <v>0.5</v>
      </c>
      <c r="AE36" s="16">
        <v>54</v>
      </c>
      <c r="AF36" s="16">
        <v>10</v>
      </c>
      <c r="AG36" s="96">
        <v>0.04</v>
      </c>
      <c r="AH36" s="96">
        <v>0.3</v>
      </c>
      <c r="AI36" s="96">
        <v>0.55000000000000004</v>
      </c>
      <c r="AJ36" s="96">
        <v>0.11</v>
      </c>
      <c r="AK36" s="96">
        <v>0.4</v>
      </c>
      <c r="AL36" s="96">
        <v>0.37</v>
      </c>
      <c r="AM36" s="96">
        <v>0.43</v>
      </c>
      <c r="AN36" s="61">
        <v>53</v>
      </c>
      <c r="AO36" s="61">
        <v>9</v>
      </c>
      <c r="AP36" s="66">
        <v>0.02</v>
      </c>
      <c r="AQ36" s="66">
        <v>0.41</v>
      </c>
      <c r="AR36" s="66">
        <v>0.49</v>
      </c>
      <c r="AS36" s="66">
        <v>0.08</v>
      </c>
      <c r="AT36" s="66">
        <v>0.48</v>
      </c>
      <c r="AU36" s="66">
        <v>0.39</v>
      </c>
      <c r="AV36" s="66">
        <v>0.44</v>
      </c>
      <c r="AW36" s="349">
        <v>56</v>
      </c>
      <c r="AX36" s="348" t="s">
        <v>910</v>
      </c>
      <c r="AY36" s="349">
        <v>8</v>
      </c>
      <c r="AZ36" s="348" t="s">
        <v>910</v>
      </c>
      <c r="BA36" s="371">
        <v>0</v>
      </c>
      <c r="BB36" s="371">
        <v>0.24</v>
      </c>
      <c r="BC36" s="371">
        <v>0.65</v>
      </c>
      <c r="BD36" s="371">
        <v>0.11</v>
      </c>
      <c r="BE36" s="371">
        <v>0.41</v>
      </c>
      <c r="BF36" s="371">
        <v>0.31</v>
      </c>
      <c r="BG36" s="371">
        <v>0.51</v>
      </c>
    </row>
    <row r="37" spans="1:81" s="53" customFormat="1" ht="24.6" customHeight="1" x14ac:dyDescent="0.25">
      <c r="A37" s="189" t="s">
        <v>272</v>
      </c>
      <c r="B37" s="15" t="s">
        <v>222</v>
      </c>
      <c r="C37" s="2">
        <v>2</v>
      </c>
      <c r="D37" s="16"/>
      <c r="E37" s="16"/>
      <c r="F37" s="16"/>
      <c r="G37" s="16"/>
      <c r="H37" s="16"/>
      <c r="I37" s="16"/>
      <c r="J37" s="16"/>
      <c r="K37" s="16"/>
      <c r="L37" s="16"/>
      <c r="M37" s="34"/>
      <c r="N37" s="34"/>
      <c r="O37" s="92"/>
      <c r="P37" s="92"/>
      <c r="Q37" s="92"/>
      <c r="R37" s="92"/>
      <c r="S37" s="92"/>
      <c r="T37" s="92"/>
      <c r="U37" s="92"/>
      <c r="V37" s="34"/>
      <c r="W37" s="34"/>
      <c r="X37" s="13"/>
      <c r="Y37" s="13"/>
      <c r="Z37" s="13"/>
      <c r="AA37" s="13"/>
      <c r="AB37" s="13"/>
      <c r="AC37" s="13"/>
      <c r="AD37" s="13"/>
      <c r="AE37" s="16"/>
      <c r="AF37" s="16"/>
      <c r="AG37" s="2"/>
      <c r="AH37" s="2"/>
      <c r="AI37" s="2"/>
      <c r="AJ37" s="2"/>
      <c r="AK37" s="2"/>
      <c r="AL37" s="2"/>
      <c r="AM37" s="2"/>
      <c r="AN37" s="61">
        <v>46</v>
      </c>
      <c r="AO37" s="61">
        <v>7</v>
      </c>
      <c r="AP37" s="66">
        <v>0</v>
      </c>
      <c r="AQ37" s="66">
        <v>0.5</v>
      </c>
      <c r="AR37" s="66">
        <v>0.5</v>
      </c>
      <c r="AS37" s="66">
        <v>0</v>
      </c>
      <c r="AT37" s="66">
        <v>0.45</v>
      </c>
      <c r="AU37" s="66">
        <v>0.71</v>
      </c>
      <c r="AV37" s="66">
        <v>0.53</v>
      </c>
      <c r="AW37" s="349">
        <v>48</v>
      </c>
      <c r="AX37" s="348" t="s">
        <v>910</v>
      </c>
      <c r="AY37" s="349">
        <v>0</v>
      </c>
      <c r="AZ37" s="348" t="s">
        <v>912</v>
      </c>
      <c r="BA37" s="371">
        <v>0</v>
      </c>
      <c r="BB37" s="371">
        <v>1</v>
      </c>
      <c r="BC37" s="371">
        <v>0</v>
      </c>
      <c r="BD37" s="371">
        <v>0</v>
      </c>
      <c r="BE37" s="371">
        <v>0.56000000000000005</v>
      </c>
      <c r="BF37" s="371">
        <v>0.5</v>
      </c>
      <c r="BG37" s="371">
        <v>0.67</v>
      </c>
      <c r="BH37" s="469">
        <v>45</v>
      </c>
      <c r="BI37" s="471" t="s">
        <v>912</v>
      </c>
      <c r="BJ37" s="469">
        <v>19</v>
      </c>
      <c r="BK37" s="471" t="s">
        <v>911</v>
      </c>
      <c r="BL37" s="501">
        <v>0.33</v>
      </c>
      <c r="BM37" s="501">
        <v>0.33</v>
      </c>
      <c r="BN37" s="501">
        <v>0</v>
      </c>
      <c r="BO37" s="501">
        <v>0.33</v>
      </c>
      <c r="BP37" s="501">
        <v>0.61</v>
      </c>
      <c r="BQ37" s="501">
        <v>0.61</v>
      </c>
      <c r="BR37" s="501">
        <v>0.53</v>
      </c>
      <c r="BS37" s="630">
        <v>65</v>
      </c>
      <c r="BT37" s="640" t="s">
        <v>911</v>
      </c>
      <c r="BU37" s="630">
        <v>0</v>
      </c>
      <c r="BV37" s="640" t="s">
        <v>912</v>
      </c>
      <c r="BW37" s="644">
        <v>0</v>
      </c>
      <c r="BX37" s="644">
        <v>0</v>
      </c>
      <c r="BY37" s="644">
        <v>1</v>
      </c>
      <c r="BZ37" s="644">
        <v>0</v>
      </c>
      <c r="CA37" s="644">
        <v>0.22</v>
      </c>
      <c r="CB37" s="644">
        <v>0.47</v>
      </c>
      <c r="CC37" s="644">
        <v>0.17</v>
      </c>
    </row>
    <row r="38" spans="1:81" s="461" customFormat="1" ht="24.6" customHeight="1" x14ac:dyDescent="0.25">
      <c r="A38" s="470" t="s">
        <v>952</v>
      </c>
      <c r="B38" s="15" t="s">
        <v>222</v>
      </c>
      <c r="C38" s="471">
        <v>2</v>
      </c>
      <c r="D38" s="502"/>
      <c r="E38" s="502"/>
      <c r="F38" s="502"/>
      <c r="G38" s="502"/>
      <c r="H38" s="502"/>
      <c r="I38" s="502"/>
      <c r="J38" s="502"/>
      <c r="K38" s="502"/>
      <c r="L38" s="502"/>
      <c r="M38" s="503"/>
      <c r="N38" s="503"/>
      <c r="O38" s="504"/>
      <c r="P38" s="504"/>
      <c r="Q38" s="504"/>
      <c r="R38" s="504"/>
      <c r="S38" s="504"/>
      <c r="T38" s="504"/>
      <c r="U38" s="504"/>
      <c r="V38" s="503"/>
      <c r="W38" s="503"/>
      <c r="X38" s="505"/>
      <c r="Y38" s="505"/>
      <c r="Z38" s="505"/>
      <c r="AA38" s="505"/>
      <c r="AB38" s="505"/>
      <c r="AC38" s="505"/>
      <c r="AD38" s="505"/>
      <c r="AE38" s="502"/>
      <c r="AF38" s="502"/>
      <c r="AG38" s="471"/>
      <c r="AH38" s="471"/>
      <c r="AI38" s="471"/>
      <c r="AJ38" s="471"/>
      <c r="AK38" s="471"/>
      <c r="AL38" s="471"/>
      <c r="AM38" s="471"/>
      <c r="AN38" s="472"/>
      <c r="AO38" s="472"/>
      <c r="AP38" s="506"/>
      <c r="AQ38" s="506"/>
      <c r="AR38" s="506"/>
      <c r="AS38" s="506"/>
      <c r="AT38" s="506"/>
      <c r="AU38" s="506"/>
      <c r="AV38" s="506"/>
      <c r="AW38" s="475"/>
      <c r="AX38" s="493"/>
      <c r="AY38" s="475"/>
      <c r="AZ38" s="493"/>
      <c r="BA38" s="507"/>
      <c r="BB38" s="507"/>
      <c r="BC38" s="507"/>
      <c r="BD38" s="507"/>
      <c r="BE38" s="507"/>
      <c r="BF38" s="507"/>
      <c r="BG38" s="507"/>
      <c r="BH38" s="469">
        <v>46</v>
      </c>
      <c r="BI38" s="471" t="s">
        <v>912</v>
      </c>
      <c r="BJ38" s="469">
        <v>7</v>
      </c>
      <c r="BK38" s="471" t="s">
        <v>910</v>
      </c>
      <c r="BL38" s="501">
        <v>0</v>
      </c>
      <c r="BM38" s="501">
        <v>0.88</v>
      </c>
      <c r="BN38" s="501">
        <v>0.13</v>
      </c>
      <c r="BO38" s="501">
        <v>0</v>
      </c>
      <c r="BP38" s="501">
        <v>0.65</v>
      </c>
      <c r="BQ38" s="501">
        <v>0.47</v>
      </c>
      <c r="BR38" s="501">
        <v>0.6</v>
      </c>
      <c r="BS38" s="630">
        <v>43</v>
      </c>
      <c r="BT38" s="640" t="s">
        <v>912</v>
      </c>
      <c r="BU38" s="630">
        <v>11</v>
      </c>
      <c r="BV38" s="640" t="s">
        <v>910</v>
      </c>
      <c r="BW38" s="644">
        <v>0.25</v>
      </c>
      <c r="BX38" s="644">
        <v>0.5</v>
      </c>
      <c r="BY38" s="644">
        <v>0.25</v>
      </c>
      <c r="BZ38" s="644">
        <v>0</v>
      </c>
      <c r="CA38" s="644">
        <v>0.59</v>
      </c>
      <c r="CB38" s="644">
        <v>0.56999999999999995</v>
      </c>
      <c r="CC38" s="644">
        <v>0.64</v>
      </c>
    </row>
    <row r="39" spans="1:81" ht="24.9" customHeight="1" x14ac:dyDescent="0.25">
      <c r="A39" s="188" t="s">
        <v>34</v>
      </c>
      <c r="B39" s="1" t="s">
        <v>222</v>
      </c>
      <c r="C39" s="2">
        <v>3</v>
      </c>
      <c r="D39" s="16">
        <v>54</v>
      </c>
      <c r="E39" s="16">
        <v>6</v>
      </c>
      <c r="F39" s="96">
        <v>0.02</v>
      </c>
      <c r="G39" s="96">
        <v>0.26</v>
      </c>
      <c r="H39" s="96">
        <v>0.71</v>
      </c>
      <c r="I39" s="96">
        <v>0.02</v>
      </c>
      <c r="J39" s="96">
        <v>0.38</v>
      </c>
      <c r="K39" s="96">
        <v>0.49</v>
      </c>
      <c r="L39" s="96">
        <v>0.59</v>
      </c>
      <c r="M39" s="34">
        <v>54</v>
      </c>
      <c r="N39" s="34">
        <v>8</v>
      </c>
      <c r="O39" s="92">
        <v>0.02</v>
      </c>
      <c r="P39" s="92">
        <v>0.36</v>
      </c>
      <c r="Q39" s="92">
        <v>0.56999999999999995</v>
      </c>
      <c r="R39" s="92">
        <v>0.05</v>
      </c>
      <c r="S39" s="92">
        <v>0.5</v>
      </c>
      <c r="T39" s="92">
        <v>0.48</v>
      </c>
      <c r="U39" s="92">
        <v>0.52</v>
      </c>
      <c r="V39" s="34">
        <v>53</v>
      </c>
      <c r="W39" s="34">
        <v>8</v>
      </c>
      <c r="X39" s="99">
        <v>0.03</v>
      </c>
      <c r="Y39" s="99">
        <v>0.46</v>
      </c>
      <c r="Z39" s="99">
        <v>0.51</v>
      </c>
      <c r="AA39" s="99">
        <v>0</v>
      </c>
      <c r="AB39" s="99">
        <v>0.48</v>
      </c>
      <c r="AC39" s="99">
        <v>0.55000000000000004</v>
      </c>
      <c r="AD39" s="99">
        <v>0.56000000000000005</v>
      </c>
      <c r="AE39" s="16">
        <v>53</v>
      </c>
      <c r="AF39" s="16">
        <v>7</v>
      </c>
      <c r="AG39" s="96">
        <v>0</v>
      </c>
      <c r="AH39" s="96">
        <v>0.33</v>
      </c>
      <c r="AI39" s="96">
        <v>0.56999999999999995</v>
      </c>
      <c r="AJ39" s="96">
        <v>0.1</v>
      </c>
      <c r="AK39" s="96">
        <v>0.43</v>
      </c>
      <c r="AL39" s="96">
        <v>0.36</v>
      </c>
      <c r="AM39" s="96">
        <v>0.44</v>
      </c>
      <c r="AN39" s="61">
        <v>54</v>
      </c>
      <c r="AO39" s="61">
        <v>7</v>
      </c>
      <c r="AP39" s="66">
        <v>0</v>
      </c>
      <c r="AQ39" s="66">
        <v>0.38</v>
      </c>
      <c r="AR39" s="66">
        <v>0.56999999999999995</v>
      </c>
      <c r="AS39" s="66">
        <v>0.05</v>
      </c>
      <c r="AT39" s="66">
        <v>0.47</v>
      </c>
      <c r="AU39" s="66">
        <v>0.36</v>
      </c>
      <c r="AV39" s="66">
        <v>0.43</v>
      </c>
      <c r="AW39" s="349">
        <v>55</v>
      </c>
      <c r="AX39" s="348" t="s">
        <v>910</v>
      </c>
      <c r="AY39" s="349">
        <v>9</v>
      </c>
      <c r="AZ39" s="348" t="s">
        <v>910</v>
      </c>
      <c r="BA39" s="371">
        <v>0.03</v>
      </c>
      <c r="BB39" s="371">
        <v>0.26</v>
      </c>
      <c r="BC39" s="371">
        <v>0.59</v>
      </c>
      <c r="BD39" s="371">
        <v>0.13</v>
      </c>
      <c r="BE39" s="371">
        <v>0.44</v>
      </c>
      <c r="BF39" s="371">
        <v>0.33</v>
      </c>
      <c r="BG39" s="371">
        <v>0.5</v>
      </c>
      <c r="BH39" s="469">
        <v>54</v>
      </c>
      <c r="BI39" s="471" t="s">
        <v>910</v>
      </c>
      <c r="BJ39" s="469">
        <v>9</v>
      </c>
      <c r="BK39" s="471" t="s">
        <v>910</v>
      </c>
      <c r="BL39" s="501">
        <v>0</v>
      </c>
      <c r="BM39" s="501">
        <v>0.36</v>
      </c>
      <c r="BN39" s="501">
        <v>0.57999999999999996</v>
      </c>
      <c r="BO39" s="501">
        <v>0.06</v>
      </c>
      <c r="BP39" s="501">
        <v>0.48</v>
      </c>
      <c r="BQ39" s="501">
        <v>0.31</v>
      </c>
      <c r="BR39" s="501">
        <v>0.43</v>
      </c>
      <c r="BS39" s="630">
        <v>55</v>
      </c>
      <c r="BT39" s="640" t="s">
        <v>910</v>
      </c>
      <c r="BU39" s="630">
        <v>8</v>
      </c>
      <c r="BV39" s="640" t="s">
        <v>910</v>
      </c>
      <c r="BW39" s="644">
        <v>0</v>
      </c>
      <c r="BX39" s="644">
        <v>0.28999999999999998</v>
      </c>
      <c r="BY39" s="644">
        <v>0.57999999999999996</v>
      </c>
      <c r="BZ39" s="644">
        <v>0.13</v>
      </c>
      <c r="CA39" s="644">
        <v>0.33</v>
      </c>
      <c r="CB39" s="644">
        <v>0.48</v>
      </c>
      <c r="CC39" s="644">
        <v>0.48</v>
      </c>
    </row>
    <row r="40" spans="1:81" ht="24.9" customHeight="1" x14ac:dyDescent="0.25">
      <c r="A40" s="189" t="s">
        <v>273</v>
      </c>
      <c r="B40" s="1" t="s">
        <v>222</v>
      </c>
      <c r="C40" s="2">
        <v>4</v>
      </c>
      <c r="D40" s="16">
        <v>52</v>
      </c>
      <c r="E40" s="16">
        <v>8</v>
      </c>
      <c r="F40" s="96">
        <v>0.02</v>
      </c>
      <c r="G40" s="96">
        <v>0.35</v>
      </c>
      <c r="H40" s="96">
        <v>0.61</v>
      </c>
      <c r="I40" s="96">
        <v>0.02</v>
      </c>
      <c r="J40" s="96">
        <v>0.45</v>
      </c>
      <c r="K40" s="96">
        <v>0.51</v>
      </c>
      <c r="L40" s="96">
        <v>0.57999999999999996</v>
      </c>
      <c r="M40" s="34">
        <v>52</v>
      </c>
      <c r="N40" s="34">
        <v>8</v>
      </c>
      <c r="O40" s="92"/>
      <c r="P40" s="92"/>
      <c r="Q40" s="92"/>
      <c r="R40" s="92"/>
      <c r="S40" s="92"/>
      <c r="T40" s="92"/>
      <c r="U40" s="92"/>
      <c r="V40" s="34">
        <v>50</v>
      </c>
      <c r="W40" s="34">
        <v>8</v>
      </c>
      <c r="X40" s="99">
        <v>0</v>
      </c>
      <c r="Y40" s="99">
        <v>0.33</v>
      </c>
      <c r="Z40" s="99">
        <v>0.61</v>
      </c>
      <c r="AA40" s="99">
        <v>0.06</v>
      </c>
      <c r="AB40" s="99">
        <v>0.4</v>
      </c>
      <c r="AC40" s="99">
        <v>0.5</v>
      </c>
      <c r="AD40" s="99">
        <v>0.52</v>
      </c>
      <c r="AE40" s="16">
        <v>53</v>
      </c>
      <c r="AF40" s="16">
        <v>8</v>
      </c>
      <c r="AG40" s="96">
        <v>0</v>
      </c>
      <c r="AH40" s="96">
        <v>0.47</v>
      </c>
      <c r="AI40" s="96">
        <v>0.53</v>
      </c>
      <c r="AJ40" s="96">
        <v>0</v>
      </c>
      <c r="AK40" s="96">
        <v>0.47</v>
      </c>
      <c r="AL40" s="96">
        <v>0.43</v>
      </c>
      <c r="AM40" s="96">
        <v>0.48</v>
      </c>
      <c r="AN40" s="61">
        <v>50</v>
      </c>
      <c r="AO40" s="61">
        <v>8</v>
      </c>
      <c r="AP40" s="66">
        <v>0.03</v>
      </c>
      <c r="AQ40" s="66">
        <v>0.5</v>
      </c>
      <c r="AR40" s="66">
        <v>0.48</v>
      </c>
      <c r="AS40" s="66">
        <v>0</v>
      </c>
      <c r="AT40" s="66">
        <v>0.5</v>
      </c>
      <c r="AU40" s="66">
        <v>0.43</v>
      </c>
      <c r="AV40" s="66">
        <v>0.51</v>
      </c>
      <c r="AW40" s="349">
        <v>52</v>
      </c>
      <c r="AX40" s="348" t="s">
        <v>910</v>
      </c>
      <c r="AY40" s="349">
        <v>9</v>
      </c>
      <c r="AZ40" s="348" t="s">
        <v>910</v>
      </c>
      <c r="BA40" s="371">
        <v>0</v>
      </c>
      <c r="BB40" s="371">
        <v>0.51</v>
      </c>
      <c r="BC40" s="371">
        <v>0.41</v>
      </c>
      <c r="BD40" s="371">
        <v>7.0000000000000007E-2</v>
      </c>
      <c r="BE40" s="371">
        <v>0.47</v>
      </c>
      <c r="BF40" s="371">
        <v>0.37</v>
      </c>
      <c r="BG40" s="371">
        <v>0.59</v>
      </c>
      <c r="BH40" s="469">
        <v>53</v>
      </c>
      <c r="BI40" s="471" t="s">
        <v>910</v>
      </c>
      <c r="BJ40" s="469">
        <v>7</v>
      </c>
      <c r="BK40" s="471" t="s">
        <v>910</v>
      </c>
      <c r="BL40" s="501">
        <v>0.02</v>
      </c>
      <c r="BM40" s="501">
        <v>0.33</v>
      </c>
      <c r="BN40" s="501">
        <v>0.59</v>
      </c>
      <c r="BO40" s="501">
        <v>7.0000000000000007E-2</v>
      </c>
      <c r="BP40" s="501">
        <v>0.5</v>
      </c>
      <c r="BQ40" s="501">
        <v>0.32</v>
      </c>
      <c r="BR40" s="501">
        <v>0.5</v>
      </c>
      <c r="BS40" s="630">
        <v>53</v>
      </c>
      <c r="BT40" s="640" t="s">
        <v>910</v>
      </c>
      <c r="BU40" s="630">
        <v>8</v>
      </c>
      <c r="BV40" s="640" t="s">
        <v>910</v>
      </c>
      <c r="BW40" s="644">
        <v>0</v>
      </c>
      <c r="BX40" s="644">
        <v>0.41</v>
      </c>
      <c r="BY40" s="644">
        <v>0.51</v>
      </c>
      <c r="BZ40" s="644">
        <v>0.08</v>
      </c>
      <c r="CA40" s="644">
        <v>0.42</v>
      </c>
      <c r="CB40" s="644">
        <v>0.46</v>
      </c>
      <c r="CC40" s="644">
        <v>0.49</v>
      </c>
    </row>
    <row r="41" spans="1:81" s="53" customFormat="1" ht="24.9" customHeight="1" x14ac:dyDescent="0.25">
      <c r="A41" s="188" t="s">
        <v>296</v>
      </c>
      <c r="B41" s="1" t="s">
        <v>222</v>
      </c>
      <c r="C41" s="2">
        <v>5</v>
      </c>
      <c r="D41" s="13" t="s">
        <v>226</v>
      </c>
      <c r="E41" s="13" t="s">
        <v>226</v>
      </c>
      <c r="F41" s="13"/>
      <c r="G41" s="13"/>
      <c r="H41" s="13"/>
      <c r="I41" s="13"/>
      <c r="J41" s="13"/>
      <c r="K41" s="13"/>
      <c r="L41" s="13"/>
      <c r="M41" s="13" t="s">
        <v>226</v>
      </c>
      <c r="N41" s="13" t="s">
        <v>226</v>
      </c>
      <c r="O41" s="92">
        <v>0.03</v>
      </c>
      <c r="P41" s="92">
        <v>0.33</v>
      </c>
      <c r="Q41" s="92">
        <v>0.55000000000000004</v>
      </c>
      <c r="R41" s="92">
        <v>0.08</v>
      </c>
      <c r="S41" s="92">
        <v>0.43</v>
      </c>
      <c r="T41" s="92">
        <v>0.47</v>
      </c>
      <c r="U41" s="92">
        <v>0.49</v>
      </c>
      <c r="V41" s="34">
        <v>53</v>
      </c>
      <c r="W41" s="34">
        <v>9</v>
      </c>
      <c r="X41" s="99">
        <v>0</v>
      </c>
      <c r="Y41" s="99">
        <v>0.37</v>
      </c>
      <c r="Z41" s="99">
        <v>0.59</v>
      </c>
      <c r="AA41" s="99">
        <v>0.04</v>
      </c>
      <c r="AB41" s="99">
        <v>0.45</v>
      </c>
      <c r="AC41" s="99">
        <v>0.47</v>
      </c>
      <c r="AD41" s="99">
        <v>0.54</v>
      </c>
      <c r="AE41" s="16">
        <v>51</v>
      </c>
      <c r="AF41" s="16">
        <v>7</v>
      </c>
      <c r="AG41" s="96">
        <v>0.02</v>
      </c>
      <c r="AH41" s="96">
        <v>0.33</v>
      </c>
      <c r="AI41" s="96">
        <v>0.6</v>
      </c>
      <c r="AJ41" s="96">
        <v>0.04</v>
      </c>
      <c r="AK41" s="96">
        <v>0.44</v>
      </c>
      <c r="AL41" s="96">
        <v>0.39</v>
      </c>
      <c r="AM41" s="96">
        <v>0.44</v>
      </c>
      <c r="AN41" s="61">
        <v>51</v>
      </c>
      <c r="AO41" s="61">
        <v>10</v>
      </c>
      <c r="AP41" s="66">
        <v>0</v>
      </c>
      <c r="AQ41" s="66">
        <v>0.59</v>
      </c>
      <c r="AR41" s="66">
        <v>0.32</v>
      </c>
      <c r="AS41" s="66">
        <v>0.09</v>
      </c>
      <c r="AT41" s="66">
        <v>0.5</v>
      </c>
      <c r="AU41" s="66">
        <v>0.45</v>
      </c>
      <c r="AV41" s="66">
        <v>0.46</v>
      </c>
      <c r="AW41" s="349">
        <v>55</v>
      </c>
      <c r="AX41" s="348" t="s">
        <v>910</v>
      </c>
      <c r="AY41" s="349">
        <v>9</v>
      </c>
      <c r="AZ41" s="348" t="s">
        <v>910</v>
      </c>
      <c r="BA41" s="371">
        <v>0</v>
      </c>
      <c r="BB41" s="371">
        <v>0.23</v>
      </c>
      <c r="BC41" s="371">
        <v>0.65</v>
      </c>
      <c r="BD41" s="371">
        <v>0.12</v>
      </c>
      <c r="BE41" s="371">
        <v>0.44</v>
      </c>
      <c r="BF41" s="371">
        <v>0.33</v>
      </c>
      <c r="BG41" s="371">
        <v>0.5</v>
      </c>
      <c r="BH41" s="469">
        <v>56</v>
      </c>
      <c r="BI41" s="471" t="s">
        <v>910</v>
      </c>
      <c r="BJ41" s="469">
        <v>9</v>
      </c>
      <c r="BK41" s="471" t="s">
        <v>910</v>
      </c>
      <c r="BL41" s="501">
        <v>0</v>
      </c>
      <c r="BM41" s="501">
        <v>0.23</v>
      </c>
      <c r="BN41" s="501">
        <v>0.69</v>
      </c>
      <c r="BO41" s="501">
        <v>0.08</v>
      </c>
      <c r="BP41" s="501">
        <v>0.46</v>
      </c>
      <c r="BQ41" s="501">
        <v>0.31</v>
      </c>
      <c r="BR41" s="501">
        <v>0.41</v>
      </c>
      <c r="BS41" s="630">
        <v>55</v>
      </c>
      <c r="BT41" s="640" t="s">
        <v>910</v>
      </c>
      <c r="BU41" s="630">
        <v>8</v>
      </c>
      <c r="BV41" s="640" t="s">
        <v>910</v>
      </c>
      <c r="BW41" s="644">
        <v>0</v>
      </c>
      <c r="BX41" s="644">
        <v>0.23</v>
      </c>
      <c r="BY41" s="644">
        <v>0.77</v>
      </c>
      <c r="BZ41" s="644">
        <v>0</v>
      </c>
      <c r="CA41" s="644">
        <v>0.32</v>
      </c>
      <c r="CB41" s="644">
        <v>0.44</v>
      </c>
      <c r="CC41" s="644">
        <v>0.5</v>
      </c>
    </row>
    <row r="42" spans="1:81" ht="24.9" customHeight="1" x14ac:dyDescent="0.25">
      <c r="A42" s="189" t="s">
        <v>269</v>
      </c>
      <c r="B42" s="15" t="s">
        <v>222</v>
      </c>
      <c r="C42" s="2">
        <v>6</v>
      </c>
      <c r="D42" s="16"/>
      <c r="E42" s="16"/>
      <c r="F42" s="16"/>
      <c r="G42" s="16"/>
      <c r="H42" s="16"/>
      <c r="I42" s="16"/>
      <c r="J42" s="16"/>
      <c r="K42" s="16"/>
      <c r="L42" s="16"/>
      <c r="M42" s="34"/>
      <c r="N42" s="34"/>
      <c r="O42" s="92"/>
      <c r="P42" s="92"/>
      <c r="Q42" s="92"/>
      <c r="R42" s="92"/>
      <c r="S42" s="92"/>
      <c r="T42" s="92"/>
      <c r="U42" s="92"/>
      <c r="V42" s="34"/>
      <c r="W42" s="34"/>
      <c r="X42" s="13"/>
      <c r="Y42" s="13"/>
      <c r="Z42" s="13"/>
      <c r="AA42" s="13"/>
      <c r="AB42" s="13"/>
      <c r="AC42" s="13"/>
      <c r="AD42" s="13"/>
      <c r="AE42" s="16"/>
      <c r="AF42" s="16"/>
      <c r="AG42" s="2"/>
      <c r="AH42" s="2"/>
      <c r="AI42" s="2"/>
      <c r="AJ42" s="2"/>
      <c r="AK42" s="2"/>
      <c r="AL42" s="2"/>
      <c r="AM42" s="2"/>
      <c r="AN42" s="61">
        <v>56</v>
      </c>
      <c r="AO42" s="61">
        <v>1</v>
      </c>
      <c r="AP42" s="66">
        <v>0</v>
      </c>
      <c r="AQ42" s="66">
        <v>0</v>
      </c>
      <c r="AR42" s="66">
        <v>1</v>
      </c>
      <c r="AS42" s="66">
        <v>0</v>
      </c>
      <c r="AT42" s="66">
        <v>0.55000000000000004</v>
      </c>
      <c r="AU42" s="66">
        <v>0.28999999999999998</v>
      </c>
      <c r="AV42" s="66">
        <v>0.33</v>
      </c>
      <c r="AW42" s="349">
        <v>47</v>
      </c>
      <c r="AX42" s="348" t="s">
        <v>912</v>
      </c>
      <c r="AY42" s="349">
        <v>0</v>
      </c>
      <c r="AZ42" s="348" t="s">
        <v>912</v>
      </c>
      <c r="BA42" s="371">
        <v>0</v>
      </c>
      <c r="BB42" s="371">
        <v>1</v>
      </c>
      <c r="BC42" s="371">
        <v>0</v>
      </c>
      <c r="BD42" s="371">
        <v>0</v>
      </c>
      <c r="BE42" s="371">
        <v>0.6</v>
      </c>
      <c r="BF42" s="371">
        <v>0.25</v>
      </c>
      <c r="BG42" s="371">
        <v>0.77</v>
      </c>
      <c r="BH42" s="469">
        <v>57</v>
      </c>
      <c r="BI42" s="471" t="s">
        <v>910</v>
      </c>
      <c r="BJ42" s="469">
        <v>8</v>
      </c>
      <c r="BK42" s="471" t="s">
        <v>910</v>
      </c>
      <c r="BL42" s="501">
        <v>0</v>
      </c>
      <c r="BM42" s="501">
        <v>0.33</v>
      </c>
      <c r="BN42" s="501">
        <v>0.67</v>
      </c>
      <c r="BO42" s="501">
        <v>0</v>
      </c>
      <c r="BP42" s="501">
        <v>0.48</v>
      </c>
      <c r="BQ42" s="501">
        <v>0.31</v>
      </c>
      <c r="BR42" s="501">
        <v>0.35</v>
      </c>
      <c r="BS42" s="630">
        <v>56</v>
      </c>
      <c r="BT42" s="640" t="s">
        <v>910</v>
      </c>
      <c r="BU42" s="630">
        <v>5</v>
      </c>
      <c r="BV42" s="640" t="s">
        <v>912</v>
      </c>
      <c r="BW42" s="644">
        <v>0</v>
      </c>
      <c r="BX42" s="644">
        <v>0.08</v>
      </c>
      <c r="BY42" s="644">
        <v>0.92</v>
      </c>
      <c r="BZ42" s="644">
        <v>0</v>
      </c>
      <c r="CA42" s="644">
        <v>0.34</v>
      </c>
      <c r="CB42" s="644">
        <v>0.49</v>
      </c>
      <c r="CC42" s="644">
        <v>0.47</v>
      </c>
    </row>
    <row r="43" spans="1:81" ht="24.9" customHeight="1" x14ac:dyDescent="0.25">
      <c r="A43" s="188" t="s">
        <v>190</v>
      </c>
      <c r="B43" s="1" t="s">
        <v>222</v>
      </c>
      <c r="C43" s="2">
        <v>2</v>
      </c>
      <c r="D43" s="16">
        <v>62</v>
      </c>
      <c r="E43" s="16">
        <v>0</v>
      </c>
      <c r="F43" s="96">
        <v>0</v>
      </c>
      <c r="G43" s="96">
        <v>0</v>
      </c>
      <c r="H43" s="96">
        <v>1</v>
      </c>
      <c r="I43" s="96">
        <v>0</v>
      </c>
      <c r="J43" s="96">
        <v>0.33</v>
      </c>
      <c r="K43" s="96">
        <v>0.42</v>
      </c>
      <c r="L43" s="96">
        <v>0.23</v>
      </c>
      <c r="M43" s="13" t="s">
        <v>226</v>
      </c>
      <c r="N43" s="13" t="s">
        <v>226</v>
      </c>
      <c r="O43" s="92"/>
      <c r="P43" s="92"/>
      <c r="Q43" s="92"/>
      <c r="R43" s="92"/>
      <c r="S43" s="92"/>
      <c r="T43" s="92"/>
      <c r="U43" s="92"/>
      <c r="V43" s="13" t="s">
        <v>226</v>
      </c>
      <c r="W43" s="13" t="s">
        <v>226</v>
      </c>
      <c r="X43" s="13"/>
      <c r="Y43" s="13"/>
      <c r="Z43" s="13"/>
      <c r="AA43" s="13"/>
      <c r="AB43" s="13"/>
      <c r="AC43" s="13"/>
      <c r="AD43" s="13"/>
      <c r="AE43" s="13" t="s">
        <v>226</v>
      </c>
      <c r="AF43" s="13" t="s">
        <v>226</v>
      </c>
      <c r="AG43" s="2"/>
      <c r="AH43" s="2"/>
      <c r="AI43" s="2"/>
      <c r="AJ43" s="2"/>
      <c r="AK43" s="2"/>
      <c r="AL43" s="2"/>
      <c r="AM43" s="2"/>
      <c r="AN43" s="61">
        <v>42</v>
      </c>
      <c r="AO43" s="61">
        <v>0</v>
      </c>
      <c r="AP43" s="66">
        <v>0</v>
      </c>
      <c r="AQ43" s="66">
        <v>1</v>
      </c>
      <c r="AR43" s="66">
        <v>0</v>
      </c>
      <c r="AS43" s="66">
        <v>0</v>
      </c>
      <c r="AT43" s="66">
        <v>0.75</v>
      </c>
      <c r="AU43" s="66">
        <v>0.63</v>
      </c>
      <c r="AV43" s="66">
        <v>0.56999999999999995</v>
      </c>
      <c r="AW43" s="61"/>
      <c r="AX43" s="73"/>
    </row>
    <row r="44" spans="1:81" s="461" customFormat="1" ht="24.9" customHeight="1" x14ac:dyDescent="0.25">
      <c r="A44" s="470" t="s">
        <v>954</v>
      </c>
      <c r="B44" s="15" t="s">
        <v>222</v>
      </c>
      <c r="C44" s="471">
        <v>2</v>
      </c>
      <c r="D44" s="502"/>
      <c r="E44" s="502"/>
      <c r="F44" s="501"/>
      <c r="G44" s="501"/>
      <c r="H44" s="501"/>
      <c r="I44" s="501"/>
      <c r="J44" s="501"/>
      <c r="K44" s="501"/>
      <c r="L44" s="501"/>
      <c r="M44" s="505"/>
      <c r="N44" s="505"/>
      <c r="O44" s="504"/>
      <c r="P44" s="504"/>
      <c r="Q44" s="504"/>
      <c r="R44" s="504"/>
      <c r="S44" s="504"/>
      <c r="T44" s="504"/>
      <c r="U44" s="504"/>
      <c r="V44" s="505"/>
      <c r="W44" s="505"/>
      <c r="X44" s="505"/>
      <c r="Y44" s="505"/>
      <c r="Z44" s="505"/>
      <c r="AA44" s="505"/>
      <c r="AB44" s="505"/>
      <c r="AC44" s="505"/>
      <c r="AD44" s="505"/>
      <c r="AE44" s="505"/>
      <c r="AF44" s="505"/>
      <c r="AG44" s="471"/>
      <c r="AH44" s="471"/>
      <c r="AI44" s="471"/>
      <c r="AJ44" s="471"/>
      <c r="AK44" s="471"/>
      <c r="AL44" s="471"/>
      <c r="AM44" s="471"/>
      <c r="AN44" s="73"/>
      <c r="AO44" s="73"/>
      <c r="AP44" s="74"/>
      <c r="AQ44" s="74"/>
      <c r="AR44" s="74"/>
      <c r="AS44" s="74"/>
      <c r="AT44" s="74"/>
      <c r="AU44" s="74"/>
      <c r="AV44" s="74"/>
      <c r="AW44" s="472"/>
      <c r="AX44" s="73"/>
      <c r="BH44" s="469">
        <v>67</v>
      </c>
      <c r="BI44" s="471" t="s">
        <v>911</v>
      </c>
      <c r="BJ44" s="469">
        <v>3</v>
      </c>
      <c r="BK44" s="471" t="s">
        <v>912</v>
      </c>
      <c r="BL44" s="501">
        <v>0</v>
      </c>
      <c r="BM44" s="501">
        <v>0</v>
      </c>
      <c r="BN44" s="501">
        <v>0.33</v>
      </c>
      <c r="BO44" s="501">
        <v>0.67</v>
      </c>
      <c r="BP44" s="501">
        <v>0.28000000000000003</v>
      </c>
      <c r="BQ44" s="501">
        <v>0.15</v>
      </c>
      <c r="BR44" s="501">
        <v>0.18</v>
      </c>
      <c r="BS44" s="630">
        <v>56</v>
      </c>
      <c r="BT44" s="640" t="s">
        <v>910</v>
      </c>
      <c r="BU44" s="630">
        <v>9</v>
      </c>
      <c r="BV44" s="640" t="s">
        <v>910</v>
      </c>
      <c r="BW44" s="644">
        <v>0</v>
      </c>
      <c r="BX44" s="644">
        <v>0.43</v>
      </c>
      <c r="BY44" s="644">
        <v>0.43</v>
      </c>
      <c r="BZ44" s="644">
        <v>0.14000000000000001</v>
      </c>
      <c r="CA44" s="644">
        <v>0.41</v>
      </c>
      <c r="CB44" s="644">
        <v>0.43</v>
      </c>
      <c r="CC44" s="644">
        <v>0.46</v>
      </c>
    </row>
    <row r="45" spans="1:81" ht="24.9" customHeight="1" x14ac:dyDescent="0.25">
      <c r="A45" s="188" t="s">
        <v>63</v>
      </c>
      <c r="B45" s="1" t="s">
        <v>222</v>
      </c>
      <c r="C45" s="2">
        <v>4</v>
      </c>
      <c r="D45" s="16">
        <v>52</v>
      </c>
      <c r="E45" s="16">
        <v>10</v>
      </c>
      <c r="F45" s="96">
        <v>0</v>
      </c>
      <c r="G45" s="96">
        <v>0.4</v>
      </c>
      <c r="H45" s="96">
        <v>0.6</v>
      </c>
      <c r="I45" s="96">
        <v>0</v>
      </c>
      <c r="J45" s="96">
        <v>0.42</v>
      </c>
      <c r="K45" s="96">
        <v>0.53</v>
      </c>
      <c r="L45" s="96">
        <v>0.53</v>
      </c>
      <c r="M45" s="13">
        <v>60</v>
      </c>
      <c r="N45" s="13">
        <v>7</v>
      </c>
      <c r="O45" s="92">
        <v>0</v>
      </c>
      <c r="P45" s="92">
        <v>0</v>
      </c>
      <c r="Q45" s="92">
        <v>0.6</v>
      </c>
      <c r="R45" s="92">
        <v>0.4</v>
      </c>
      <c r="S45" s="92">
        <v>0.3</v>
      </c>
      <c r="T45" s="92">
        <v>0.32</v>
      </c>
      <c r="U45" s="92">
        <v>0.4</v>
      </c>
      <c r="V45" s="13">
        <v>57</v>
      </c>
      <c r="W45" s="13">
        <v>9</v>
      </c>
      <c r="X45" s="99">
        <v>0</v>
      </c>
      <c r="Y45" s="99">
        <v>0.27</v>
      </c>
      <c r="Z45" s="99">
        <v>0.55000000000000004</v>
      </c>
      <c r="AA45" s="99">
        <v>0.18</v>
      </c>
      <c r="AB45" s="99">
        <v>0.35</v>
      </c>
      <c r="AC45" s="99">
        <v>0.41</v>
      </c>
      <c r="AD45" s="99">
        <v>0.54</v>
      </c>
      <c r="AE45" s="13">
        <v>61</v>
      </c>
      <c r="AF45" s="13">
        <v>9</v>
      </c>
      <c r="AG45" s="96">
        <v>0</v>
      </c>
      <c r="AH45" s="96">
        <v>0.1</v>
      </c>
      <c r="AI45" s="96">
        <v>0.5</v>
      </c>
      <c r="AJ45" s="96">
        <v>0.4</v>
      </c>
      <c r="AK45" s="96">
        <v>0.27</v>
      </c>
      <c r="AL45" s="96">
        <v>0.3</v>
      </c>
      <c r="AM45" s="96">
        <v>0.32</v>
      </c>
      <c r="AN45" s="73">
        <v>51</v>
      </c>
      <c r="AO45" s="73">
        <v>7</v>
      </c>
      <c r="AP45" s="74">
        <v>0.08</v>
      </c>
      <c r="AQ45" s="74">
        <v>0.23</v>
      </c>
      <c r="AR45" s="74">
        <v>0.69</v>
      </c>
      <c r="AS45" s="74">
        <v>0</v>
      </c>
      <c r="AT45" s="74">
        <v>0.55000000000000004</v>
      </c>
      <c r="AU45" s="74">
        <v>0.43</v>
      </c>
      <c r="AV45" s="74">
        <v>0.42</v>
      </c>
      <c r="AW45" s="349">
        <v>56</v>
      </c>
      <c r="AX45" s="348" t="s">
        <v>910</v>
      </c>
      <c r="AY45" s="349">
        <v>10</v>
      </c>
      <c r="AZ45" s="348" t="s">
        <v>910</v>
      </c>
      <c r="BA45" s="371">
        <v>0</v>
      </c>
      <c r="BB45" s="371">
        <v>0.38</v>
      </c>
      <c r="BC45" s="371">
        <v>0.52</v>
      </c>
      <c r="BD45" s="371">
        <v>0.1</v>
      </c>
      <c r="BE45" s="371">
        <v>0.43</v>
      </c>
      <c r="BF45" s="371">
        <v>0.28999999999999998</v>
      </c>
      <c r="BG45" s="371">
        <v>0.46</v>
      </c>
      <c r="BH45" s="469">
        <v>53</v>
      </c>
      <c r="BI45" s="471" t="s">
        <v>910</v>
      </c>
      <c r="BJ45" s="469">
        <v>9</v>
      </c>
      <c r="BK45" s="471" t="s">
        <v>910</v>
      </c>
      <c r="BL45" s="501">
        <v>0.08</v>
      </c>
      <c r="BM45" s="501">
        <v>0.24</v>
      </c>
      <c r="BN45" s="501">
        <v>0.56000000000000005</v>
      </c>
      <c r="BO45" s="501">
        <v>0.12</v>
      </c>
      <c r="BP45" s="501">
        <v>0.48</v>
      </c>
      <c r="BQ45" s="501">
        <v>0.34</v>
      </c>
      <c r="BR45" s="501">
        <v>0.46</v>
      </c>
      <c r="BS45" s="630">
        <v>52</v>
      </c>
      <c r="BT45" s="640" t="s">
        <v>910</v>
      </c>
      <c r="BU45" s="630">
        <v>9</v>
      </c>
      <c r="BV45" s="640" t="s">
        <v>910</v>
      </c>
      <c r="BW45" s="644">
        <v>0</v>
      </c>
      <c r="BX45" s="644">
        <v>0.39</v>
      </c>
      <c r="BY45" s="644">
        <v>0.56000000000000005</v>
      </c>
      <c r="BZ45" s="644">
        <v>0.06</v>
      </c>
      <c r="CA45" s="644">
        <v>0.38</v>
      </c>
      <c r="CB45" s="644">
        <v>0.52</v>
      </c>
      <c r="CC45" s="644">
        <v>0.54</v>
      </c>
    </row>
    <row r="46" spans="1:81" ht="24.9" customHeight="1" x14ac:dyDescent="0.25">
      <c r="A46" s="188" t="s">
        <v>44</v>
      </c>
      <c r="B46" s="1" t="s">
        <v>222</v>
      </c>
      <c r="C46" s="2">
        <v>1</v>
      </c>
      <c r="D46" s="16">
        <v>52</v>
      </c>
      <c r="E46" s="16">
        <v>7</v>
      </c>
      <c r="F46" s="96">
        <v>0</v>
      </c>
      <c r="G46" s="96">
        <v>0.47</v>
      </c>
      <c r="H46" s="96">
        <v>0.53</v>
      </c>
      <c r="I46" s="96">
        <v>0</v>
      </c>
      <c r="J46" s="96">
        <v>0.46</v>
      </c>
      <c r="K46" s="96">
        <v>0.51</v>
      </c>
      <c r="L46" s="96">
        <v>0.59</v>
      </c>
      <c r="M46" s="13" t="s">
        <v>226</v>
      </c>
      <c r="N46" s="13" t="s">
        <v>226</v>
      </c>
      <c r="O46" s="92"/>
      <c r="P46" s="92"/>
      <c r="Q46" s="92"/>
      <c r="R46" s="92"/>
      <c r="S46" s="92"/>
      <c r="T46" s="92"/>
      <c r="U46" s="92"/>
      <c r="V46" s="13" t="s">
        <v>226</v>
      </c>
      <c r="W46" s="13" t="s">
        <v>226</v>
      </c>
      <c r="X46" s="13"/>
      <c r="Y46" s="13"/>
      <c r="Z46" s="13"/>
      <c r="AA46" s="13"/>
      <c r="AB46" s="13"/>
      <c r="AC46" s="13"/>
      <c r="AD46" s="13"/>
      <c r="AE46" s="13" t="s">
        <v>226</v>
      </c>
      <c r="AF46" s="13" t="s">
        <v>226</v>
      </c>
      <c r="AG46" s="2"/>
      <c r="AH46" s="2"/>
      <c r="AI46" s="2"/>
      <c r="AJ46" s="2"/>
      <c r="AK46" s="2"/>
      <c r="AL46" s="2"/>
      <c r="AM46" s="2"/>
      <c r="AN46" s="67"/>
      <c r="AO46" s="67"/>
      <c r="AP46" s="67"/>
      <c r="AQ46" s="67"/>
      <c r="AR46" s="67"/>
      <c r="AS46" s="67"/>
      <c r="AT46" s="67"/>
      <c r="AU46" s="67"/>
      <c r="AV46" s="67"/>
    </row>
    <row r="47" spans="1:81" s="53" customFormat="1" ht="24.9" customHeight="1" x14ac:dyDescent="0.25">
      <c r="A47" s="188" t="s">
        <v>69</v>
      </c>
      <c r="B47" s="1" t="s">
        <v>222</v>
      </c>
      <c r="C47" s="2">
        <v>2</v>
      </c>
      <c r="D47" s="16">
        <v>49</v>
      </c>
      <c r="E47" s="16">
        <v>7</v>
      </c>
      <c r="F47" s="96">
        <v>0.08</v>
      </c>
      <c r="G47" s="96">
        <v>0.5</v>
      </c>
      <c r="H47" s="96">
        <v>0.42</v>
      </c>
      <c r="I47" s="96">
        <v>0</v>
      </c>
      <c r="J47" s="96">
        <v>0.56999999999999995</v>
      </c>
      <c r="K47" s="96">
        <v>0.59</v>
      </c>
      <c r="L47" s="96">
        <v>0.61</v>
      </c>
      <c r="M47" s="13" t="s">
        <v>226</v>
      </c>
      <c r="N47" s="13" t="s">
        <v>226</v>
      </c>
      <c r="O47" s="92"/>
      <c r="P47" s="92"/>
      <c r="Q47" s="92"/>
      <c r="R47" s="92"/>
      <c r="S47" s="92"/>
      <c r="T47" s="92"/>
      <c r="U47" s="92"/>
      <c r="V47" s="34">
        <v>47</v>
      </c>
      <c r="W47" s="34">
        <v>9</v>
      </c>
      <c r="X47" s="99">
        <v>0.14000000000000001</v>
      </c>
      <c r="Y47" s="99">
        <v>0.43</v>
      </c>
      <c r="Z47" s="99">
        <v>0.43</v>
      </c>
      <c r="AA47" s="99">
        <v>0</v>
      </c>
      <c r="AB47" s="99">
        <v>0.48</v>
      </c>
      <c r="AC47" s="99">
        <v>0.65</v>
      </c>
      <c r="AD47" s="99">
        <v>0.56000000000000005</v>
      </c>
      <c r="AE47" s="16">
        <v>55</v>
      </c>
      <c r="AF47" s="16">
        <v>6</v>
      </c>
      <c r="AG47" s="96">
        <v>0</v>
      </c>
      <c r="AH47" s="96">
        <v>0.23</v>
      </c>
      <c r="AI47" s="96">
        <v>0.77</v>
      </c>
      <c r="AJ47" s="96">
        <v>0</v>
      </c>
      <c r="AK47" s="96">
        <v>0.39</v>
      </c>
      <c r="AL47" s="96">
        <v>0.38</v>
      </c>
      <c r="AM47" s="96">
        <v>0.38</v>
      </c>
      <c r="AN47" s="61">
        <v>56</v>
      </c>
      <c r="AO47" s="61">
        <v>8</v>
      </c>
      <c r="AP47" s="66">
        <v>0</v>
      </c>
      <c r="AQ47" s="66">
        <v>0.17</v>
      </c>
      <c r="AR47" s="66">
        <v>0.67</v>
      </c>
      <c r="AS47" s="66">
        <v>0.17</v>
      </c>
      <c r="AT47" s="66">
        <v>0.42</v>
      </c>
      <c r="AU47" s="66">
        <v>0.28999999999999998</v>
      </c>
      <c r="AV47" s="66">
        <v>0.4</v>
      </c>
      <c r="AW47" s="349">
        <v>51</v>
      </c>
      <c r="AX47" s="348" t="s">
        <v>910</v>
      </c>
      <c r="AY47" s="349">
        <v>14</v>
      </c>
      <c r="AZ47" s="348" t="s">
        <v>911</v>
      </c>
      <c r="BA47" s="371">
        <v>0.17</v>
      </c>
      <c r="BB47" s="371">
        <v>0.33</v>
      </c>
      <c r="BC47" s="371">
        <v>0.33</v>
      </c>
      <c r="BD47" s="371">
        <v>0.17</v>
      </c>
      <c r="BE47" s="371">
        <v>0.46</v>
      </c>
      <c r="BF47" s="371">
        <v>0.42</v>
      </c>
      <c r="BG47" s="371">
        <v>0.53</v>
      </c>
      <c r="BS47" s="630">
        <v>56</v>
      </c>
      <c r="BT47" s="640" t="s">
        <v>910</v>
      </c>
      <c r="BU47" s="630">
        <v>9</v>
      </c>
      <c r="BV47" s="640" t="s">
        <v>910</v>
      </c>
      <c r="BW47" s="644">
        <v>0</v>
      </c>
      <c r="BX47" s="644">
        <v>0.43</v>
      </c>
      <c r="BY47" s="644">
        <v>0.43</v>
      </c>
      <c r="BZ47" s="644">
        <v>0.14000000000000001</v>
      </c>
      <c r="CA47" s="644">
        <v>0.44</v>
      </c>
      <c r="CB47" s="644">
        <v>0.42</v>
      </c>
      <c r="CC47" s="644">
        <v>0.41</v>
      </c>
    </row>
    <row r="48" spans="1:81" ht="24.9" customHeight="1" x14ac:dyDescent="0.25">
      <c r="A48" s="189" t="s">
        <v>270</v>
      </c>
      <c r="B48" s="1" t="s">
        <v>222</v>
      </c>
      <c r="C48" s="2">
        <v>6</v>
      </c>
      <c r="D48" s="16"/>
      <c r="E48" s="16"/>
      <c r="F48" s="16"/>
      <c r="G48" s="16"/>
      <c r="H48" s="16"/>
      <c r="I48" s="16"/>
      <c r="J48" s="16"/>
      <c r="K48" s="16"/>
      <c r="L48" s="16"/>
      <c r="M48" s="13"/>
      <c r="N48" s="13"/>
      <c r="O48" s="92"/>
      <c r="P48" s="92"/>
      <c r="Q48" s="92"/>
      <c r="R48" s="92"/>
      <c r="S48" s="92"/>
      <c r="T48" s="92"/>
      <c r="U48" s="92"/>
      <c r="V48" s="34"/>
      <c r="W48" s="34"/>
      <c r="X48" s="13"/>
      <c r="Y48" s="13"/>
      <c r="Z48" s="13"/>
      <c r="AA48" s="13"/>
      <c r="AB48" s="13"/>
      <c r="AC48" s="13"/>
      <c r="AD48" s="13"/>
      <c r="AE48" s="16"/>
      <c r="AF48" s="16"/>
      <c r="AG48" s="2"/>
      <c r="AH48" s="2"/>
      <c r="AI48" s="2"/>
      <c r="AJ48" s="2"/>
      <c r="AK48" s="2"/>
      <c r="AL48" s="2"/>
      <c r="AM48" s="2"/>
      <c r="AN48" s="61">
        <v>50</v>
      </c>
      <c r="AO48" s="61">
        <v>8</v>
      </c>
      <c r="AP48" s="66">
        <v>0.04</v>
      </c>
      <c r="AQ48" s="66">
        <v>0.48</v>
      </c>
      <c r="AR48" s="66">
        <v>0.48</v>
      </c>
      <c r="AS48" s="66">
        <v>0</v>
      </c>
      <c r="AT48" s="66">
        <v>0.52</v>
      </c>
      <c r="AU48" s="66">
        <v>0.4</v>
      </c>
      <c r="AV48" s="66">
        <v>0.56000000000000005</v>
      </c>
      <c r="AW48" s="349">
        <v>57</v>
      </c>
      <c r="AX48" s="348" t="s">
        <v>910</v>
      </c>
      <c r="AY48" s="349">
        <v>9</v>
      </c>
      <c r="AZ48" s="348" t="s">
        <v>910</v>
      </c>
      <c r="BA48" s="371">
        <v>0</v>
      </c>
      <c r="BB48" s="371">
        <v>0.19</v>
      </c>
      <c r="BC48" s="371">
        <v>0.62</v>
      </c>
      <c r="BD48" s="371">
        <v>0.19</v>
      </c>
      <c r="BE48" s="371">
        <v>0.4</v>
      </c>
      <c r="BF48" s="371">
        <v>0.31</v>
      </c>
      <c r="BG48" s="371">
        <v>0.46</v>
      </c>
      <c r="BH48" s="469">
        <v>51</v>
      </c>
      <c r="BI48" s="471" t="s">
        <v>910</v>
      </c>
      <c r="BJ48" s="469">
        <v>9</v>
      </c>
      <c r="BK48" s="471" t="s">
        <v>910</v>
      </c>
      <c r="BL48" s="501">
        <v>0.03</v>
      </c>
      <c r="BM48" s="501">
        <v>0.41</v>
      </c>
      <c r="BN48" s="501">
        <v>0.5</v>
      </c>
      <c r="BO48" s="501">
        <v>0.06</v>
      </c>
      <c r="BP48" s="501">
        <v>0.51</v>
      </c>
      <c r="BQ48" s="501">
        <v>0.42</v>
      </c>
      <c r="BR48" s="501">
        <v>0.5</v>
      </c>
      <c r="BS48" s="630">
        <v>56</v>
      </c>
      <c r="BT48" s="640" t="s">
        <v>910</v>
      </c>
      <c r="BU48" s="630">
        <v>10</v>
      </c>
      <c r="BV48" s="640" t="s">
        <v>910</v>
      </c>
      <c r="BW48" s="644">
        <v>0</v>
      </c>
      <c r="BX48" s="644">
        <v>0.32</v>
      </c>
      <c r="BY48" s="644">
        <v>0.46</v>
      </c>
      <c r="BZ48" s="644">
        <v>0.21</v>
      </c>
      <c r="CA48" s="644">
        <v>0.33</v>
      </c>
      <c r="CB48" s="644">
        <v>0.41</v>
      </c>
      <c r="CC48" s="644">
        <v>0.46</v>
      </c>
    </row>
    <row r="49" spans="1:81" ht="24.9" customHeight="1" x14ac:dyDescent="0.25">
      <c r="A49" s="188" t="s">
        <v>225</v>
      </c>
      <c r="B49" s="1" t="s">
        <v>222</v>
      </c>
      <c r="C49" s="2">
        <v>3</v>
      </c>
      <c r="D49" s="13" t="s">
        <v>226</v>
      </c>
      <c r="E49" s="13" t="s">
        <v>226</v>
      </c>
      <c r="F49" s="13"/>
      <c r="G49" s="13"/>
      <c r="H49" s="13"/>
      <c r="I49" s="13"/>
      <c r="J49" s="13"/>
      <c r="K49" s="13"/>
      <c r="L49" s="13"/>
      <c r="M49" s="34">
        <v>54</v>
      </c>
      <c r="N49" s="34">
        <v>8</v>
      </c>
      <c r="O49" s="92">
        <v>0.02</v>
      </c>
      <c r="P49" s="92">
        <v>0.28999999999999998</v>
      </c>
      <c r="Q49" s="92">
        <v>0.56999999999999995</v>
      </c>
      <c r="R49" s="92">
        <v>0.11</v>
      </c>
      <c r="S49" s="92">
        <v>0.43</v>
      </c>
      <c r="T49" s="92">
        <v>0.47</v>
      </c>
      <c r="U49" s="92">
        <v>0.47</v>
      </c>
      <c r="V49" s="34">
        <v>53</v>
      </c>
      <c r="W49" s="34">
        <v>9</v>
      </c>
      <c r="X49" s="99">
        <v>0.03</v>
      </c>
      <c r="Y49" s="99">
        <v>0.39</v>
      </c>
      <c r="Z49" s="99">
        <v>0.52</v>
      </c>
      <c r="AA49" s="99">
        <v>0.06</v>
      </c>
      <c r="AB49" s="99">
        <v>0.47</v>
      </c>
      <c r="AC49" s="99">
        <v>0.52</v>
      </c>
      <c r="AD49" s="99">
        <v>0.52</v>
      </c>
      <c r="AE49" s="16">
        <v>52</v>
      </c>
      <c r="AF49" s="16">
        <v>9</v>
      </c>
      <c r="AG49" s="96">
        <v>0.01</v>
      </c>
      <c r="AH49" s="96">
        <v>0.41</v>
      </c>
      <c r="AI49" s="96">
        <v>0.5</v>
      </c>
      <c r="AJ49" s="96">
        <v>0.08</v>
      </c>
      <c r="AK49" s="96">
        <v>0.46</v>
      </c>
      <c r="AL49" s="96">
        <v>0.38</v>
      </c>
      <c r="AM49" s="96">
        <v>0.45</v>
      </c>
      <c r="AN49" s="61">
        <v>50</v>
      </c>
      <c r="AO49" s="61">
        <v>10</v>
      </c>
      <c r="AP49" s="66">
        <v>0.04</v>
      </c>
      <c r="AQ49" s="66">
        <v>0.48</v>
      </c>
      <c r="AR49" s="66">
        <v>0.44</v>
      </c>
      <c r="AS49" s="66">
        <v>0.03</v>
      </c>
      <c r="AT49" s="66">
        <v>0.52</v>
      </c>
      <c r="AU49" s="66">
        <v>0.44</v>
      </c>
      <c r="AV49" s="66">
        <v>0.49</v>
      </c>
      <c r="AW49" s="349">
        <v>52</v>
      </c>
      <c r="AX49" s="348" t="s">
        <v>910</v>
      </c>
      <c r="AY49" s="349">
        <v>9</v>
      </c>
      <c r="AZ49" s="348" t="s">
        <v>910</v>
      </c>
      <c r="BA49" s="371">
        <v>0.03</v>
      </c>
      <c r="BB49" s="371">
        <v>0.45</v>
      </c>
      <c r="BC49" s="371">
        <v>0.46</v>
      </c>
      <c r="BD49" s="371">
        <v>0.06</v>
      </c>
      <c r="BE49" s="371">
        <v>0.48</v>
      </c>
      <c r="BF49" s="371">
        <v>0.38</v>
      </c>
      <c r="BG49" s="371">
        <v>0.57999999999999996</v>
      </c>
      <c r="BH49" s="469">
        <v>52</v>
      </c>
      <c r="BI49" s="471" t="s">
        <v>910</v>
      </c>
      <c r="BJ49" s="469">
        <v>9</v>
      </c>
      <c r="BK49" s="471" t="s">
        <v>910</v>
      </c>
      <c r="BL49" s="501">
        <v>0.06</v>
      </c>
      <c r="BM49" s="501">
        <v>0.34</v>
      </c>
      <c r="BN49" s="501">
        <v>0.55000000000000004</v>
      </c>
      <c r="BO49" s="501">
        <v>0.05</v>
      </c>
      <c r="BP49" s="501">
        <v>0.51</v>
      </c>
      <c r="BQ49" s="501">
        <v>0.39</v>
      </c>
      <c r="BR49" s="501">
        <v>0.5</v>
      </c>
      <c r="BS49" s="630">
        <v>53</v>
      </c>
      <c r="BT49" s="640" t="s">
        <v>910</v>
      </c>
      <c r="BU49" s="630">
        <v>9</v>
      </c>
      <c r="BV49" s="640" t="s">
        <v>910</v>
      </c>
      <c r="BW49" s="644">
        <v>0.02</v>
      </c>
      <c r="BX49" s="644">
        <v>0.33</v>
      </c>
      <c r="BY49" s="644">
        <v>0.56000000000000005</v>
      </c>
      <c r="BZ49" s="644">
        <v>0.1</v>
      </c>
      <c r="CA49" s="644">
        <v>0.38</v>
      </c>
      <c r="CB49" s="644">
        <v>0.5</v>
      </c>
      <c r="CC49" s="644">
        <v>0.49</v>
      </c>
    </row>
    <row r="50" spans="1:81" s="53" customFormat="1" ht="24.9" customHeight="1" x14ac:dyDescent="0.25">
      <c r="A50" s="188" t="s">
        <v>126</v>
      </c>
      <c r="B50" s="1" t="s">
        <v>222</v>
      </c>
      <c r="C50" s="2">
        <v>2</v>
      </c>
      <c r="D50" s="16">
        <v>59</v>
      </c>
      <c r="E50" s="16">
        <v>8</v>
      </c>
      <c r="F50" s="96">
        <v>0</v>
      </c>
      <c r="G50" s="96">
        <v>0.15</v>
      </c>
      <c r="H50" s="96">
        <v>0.65</v>
      </c>
      <c r="I50" s="96">
        <v>0.2</v>
      </c>
      <c r="J50" s="96">
        <v>0.37</v>
      </c>
      <c r="K50" s="96">
        <v>0.38</v>
      </c>
      <c r="L50" s="96">
        <v>0.43</v>
      </c>
      <c r="M50" s="34">
        <v>59</v>
      </c>
      <c r="N50" s="34">
        <v>7</v>
      </c>
      <c r="O50" s="92">
        <v>0</v>
      </c>
      <c r="P50" s="92">
        <v>0.08</v>
      </c>
      <c r="Q50" s="92">
        <v>0.74</v>
      </c>
      <c r="R50" s="92">
        <v>0.17</v>
      </c>
      <c r="S50" s="92">
        <v>0.33</v>
      </c>
      <c r="T50" s="92">
        <v>0.4</v>
      </c>
      <c r="U50" s="92">
        <v>0.38</v>
      </c>
      <c r="V50" s="34">
        <v>59</v>
      </c>
      <c r="W50" s="34">
        <v>8</v>
      </c>
      <c r="X50" s="99">
        <v>0</v>
      </c>
      <c r="Y50" s="99">
        <v>0.11</v>
      </c>
      <c r="Z50" s="99">
        <v>0.68</v>
      </c>
      <c r="AA50" s="99">
        <v>0.21</v>
      </c>
      <c r="AB50" s="99">
        <v>0.34</v>
      </c>
      <c r="AC50" s="99">
        <v>0.38</v>
      </c>
      <c r="AD50" s="99">
        <v>0.42</v>
      </c>
      <c r="AE50" s="16">
        <v>60</v>
      </c>
      <c r="AF50" s="16">
        <v>8</v>
      </c>
      <c r="AG50" s="96">
        <v>0.01</v>
      </c>
      <c r="AH50" s="96">
        <v>0.11</v>
      </c>
      <c r="AI50" s="96">
        <v>0.66</v>
      </c>
      <c r="AJ50" s="96">
        <v>0.22</v>
      </c>
      <c r="AK50" s="96">
        <v>0.31</v>
      </c>
      <c r="AL50" s="96">
        <v>0.27</v>
      </c>
      <c r="AM50" s="96">
        <v>0.34</v>
      </c>
      <c r="AN50" s="61">
        <v>62</v>
      </c>
      <c r="AO50" s="61">
        <v>9</v>
      </c>
      <c r="AP50" s="66">
        <v>0</v>
      </c>
      <c r="AQ50" s="66">
        <v>7.0000000000000007E-2</v>
      </c>
      <c r="AR50" s="66">
        <v>0.62</v>
      </c>
      <c r="AS50" s="66">
        <v>0.31</v>
      </c>
      <c r="AT50" s="66">
        <v>0.32</v>
      </c>
      <c r="AU50" s="66">
        <v>0.26</v>
      </c>
      <c r="AV50" s="66">
        <v>0.28999999999999998</v>
      </c>
      <c r="AW50" s="349">
        <v>59</v>
      </c>
      <c r="AX50" s="348" t="s">
        <v>910</v>
      </c>
      <c r="AY50" s="349">
        <v>7</v>
      </c>
      <c r="AZ50" s="348" t="s">
        <v>910</v>
      </c>
      <c r="BA50" s="371">
        <v>0</v>
      </c>
      <c r="BB50" s="371">
        <v>0.14000000000000001</v>
      </c>
      <c r="BC50" s="371">
        <v>0.68</v>
      </c>
      <c r="BD50" s="371">
        <v>0.18</v>
      </c>
      <c r="BE50" s="371">
        <v>0.35</v>
      </c>
      <c r="BF50" s="371">
        <v>0.28000000000000003</v>
      </c>
      <c r="BG50" s="371">
        <v>0.43</v>
      </c>
      <c r="BH50" s="469">
        <v>62</v>
      </c>
      <c r="BI50" s="471" t="s">
        <v>910</v>
      </c>
      <c r="BJ50" s="469">
        <v>7</v>
      </c>
      <c r="BK50" s="471" t="s">
        <v>910</v>
      </c>
      <c r="BL50" s="501">
        <v>0</v>
      </c>
      <c r="BM50" s="501">
        <v>0.04</v>
      </c>
      <c r="BN50" s="501">
        <v>0.67</v>
      </c>
      <c r="BO50" s="501">
        <v>0.28999999999999998</v>
      </c>
      <c r="BP50" s="501">
        <v>0.34</v>
      </c>
      <c r="BQ50" s="501">
        <v>0.23</v>
      </c>
      <c r="BR50" s="501">
        <v>0.28999999999999998</v>
      </c>
      <c r="BS50" s="630">
        <v>60</v>
      </c>
      <c r="BT50" s="640" t="s">
        <v>910</v>
      </c>
      <c r="BU50" s="630">
        <v>8</v>
      </c>
      <c r="BV50" s="640" t="s">
        <v>910</v>
      </c>
      <c r="BW50" s="644">
        <v>0</v>
      </c>
      <c r="BX50" s="644">
        <v>0.13</v>
      </c>
      <c r="BY50" s="644">
        <v>0.63</v>
      </c>
      <c r="BZ50" s="644">
        <v>0.24</v>
      </c>
      <c r="CA50" s="644">
        <v>0.27</v>
      </c>
      <c r="CB50" s="644">
        <v>0.37</v>
      </c>
      <c r="CC50" s="644">
        <v>0.39</v>
      </c>
    </row>
    <row r="51" spans="1:81" ht="24.9" customHeight="1" x14ac:dyDescent="0.25">
      <c r="A51" s="189" t="s">
        <v>271</v>
      </c>
      <c r="B51" s="1" t="s">
        <v>222</v>
      </c>
      <c r="C51" s="2">
        <v>2</v>
      </c>
      <c r="D51" s="16"/>
      <c r="E51" s="16"/>
      <c r="F51" s="16"/>
      <c r="G51" s="16"/>
      <c r="H51" s="16"/>
      <c r="I51" s="16"/>
      <c r="J51" s="16"/>
      <c r="K51" s="16"/>
      <c r="L51" s="16"/>
      <c r="M51" s="34"/>
      <c r="N51" s="34"/>
      <c r="O51" s="92"/>
      <c r="P51" s="92"/>
      <c r="Q51" s="92"/>
      <c r="R51" s="92"/>
      <c r="S51" s="92"/>
      <c r="T51" s="92"/>
      <c r="U51" s="92"/>
      <c r="V51" s="34"/>
      <c r="W51" s="34"/>
      <c r="X51" s="13"/>
      <c r="Y51" s="13"/>
      <c r="Z51" s="13"/>
      <c r="AA51" s="13"/>
      <c r="AB51" s="13"/>
      <c r="AC51" s="13"/>
      <c r="AD51" s="13"/>
      <c r="AE51" s="16"/>
      <c r="AF51" s="16"/>
      <c r="AG51" s="2"/>
      <c r="AH51" s="2"/>
      <c r="AI51" s="2"/>
      <c r="AJ51" s="2"/>
      <c r="AK51" s="2"/>
      <c r="AL51" s="2"/>
      <c r="AM51" s="2"/>
      <c r="AN51" s="61">
        <v>61</v>
      </c>
      <c r="AO51" s="61">
        <v>0</v>
      </c>
      <c r="AP51" s="66">
        <v>0</v>
      </c>
      <c r="AQ51" s="66">
        <v>0</v>
      </c>
      <c r="AR51" s="66">
        <v>1</v>
      </c>
      <c r="AS51" s="66">
        <v>0</v>
      </c>
      <c r="AT51" s="66">
        <v>0.18</v>
      </c>
      <c r="AU51" s="66">
        <v>0.33</v>
      </c>
      <c r="AV51" s="66">
        <v>0.43</v>
      </c>
    </row>
    <row r="52" spans="1:81" ht="24.9" customHeight="1" x14ac:dyDescent="0.25">
      <c r="A52" s="188" t="s">
        <v>134</v>
      </c>
      <c r="B52" s="1" t="s">
        <v>222</v>
      </c>
      <c r="C52" s="2">
        <v>5</v>
      </c>
      <c r="D52" s="16">
        <v>55</v>
      </c>
      <c r="E52" s="16">
        <v>6</v>
      </c>
      <c r="F52" s="96">
        <v>0</v>
      </c>
      <c r="G52" s="96">
        <v>0.33</v>
      </c>
      <c r="H52" s="96">
        <v>0.63</v>
      </c>
      <c r="I52" s="96">
        <v>0.04</v>
      </c>
      <c r="J52" s="96">
        <v>0.39</v>
      </c>
      <c r="K52" s="96">
        <v>0.52</v>
      </c>
      <c r="L52" s="96">
        <v>0.51</v>
      </c>
      <c r="M52" s="34">
        <v>58</v>
      </c>
      <c r="N52" s="34">
        <v>7</v>
      </c>
      <c r="O52" s="92">
        <v>0</v>
      </c>
      <c r="P52" s="92">
        <v>0.22</v>
      </c>
      <c r="Q52" s="92">
        <v>0.72</v>
      </c>
      <c r="R52" s="92">
        <v>0.06</v>
      </c>
      <c r="S52" s="92">
        <v>0.38</v>
      </c>
      <c r="T52" s="92">
        <v>0.45</v>
      </c>
      <c r="U52" s="92">
        <v>0.38</v>
      </c>
      <c r="V52" s="34">
        <v>56</v>
      </c>
      <c r="W52" s="34">
        <v>9</v>
      </c>
      <c r="X52" s="99">
        <v>0</v>
      </c>
      <c r="Y52" s="99">
        <v>0.28000000000000003</v>
      </c>
      <c r="Z52" s="99">
        <v>0.56000000000000005</v>
      </c>
      <c r="AA52" s="99">
        <v>0.17</v>
      </c>
      <c r="AB52" s="99">
        <v>0.39</v>
      </c>
      <c r="AC52" s="99">
        <v>0.43</v>
      </c>
      <c r="AD52" s="99">
        <v>0.51</v>
      </c>
      <c r="AE52" s="16">
        <v>60</v>
      </c>
      <c r="AF52" s="16">
        <v>9</v>
      </c>
      <c r="AG52" s="96">
        <v>0</v>
      </c>
      <c r="AH52" s="96">
        <v>0.32</v>
      </c>
      <c r="AI52" s="96">
        <v>0.37</v>
      </c>
      <c r="AJ52" s="96">
        <v>0.32</v>
      </c>
      <c r="AK52" s="96">
        <v>0.33</v>
      </c>
      <c r="AL52" s="96">
        <v>0.25</v>
      </c>
      <c r="AM52" s="96">
        <v>0.34</v>
      </c>
      <c r="AN52" s="61">
        <v>59</v>
      </c>
      <c r="AO52" s="61">
        <v>7</v>
      </c>
      <c r="AP52" s="66">
        <v>0</v>
      </c>
      <c r="AQ52" s="66">
        <v>0.14000000000000001</v>
      </c>
      <c r="AR52" s="66">
        <v>0.71</v>
      </c>
      <c r="AS52" s="66">
        <v>0.14000000000000001</v>
      </c>
      <c r="AT52" s="66">
        <v>0.41</v>
      </c>
      <c r="AU52" s="66">
        <v>0.26</v>
      </c>
      <c r="AV52" s="66">
        <v>0.33</v>
      </c>
      <c r="AW52" s="349">
        <v>64</v>
      </c>
      <c r="AX52" s="348" t="s">
        <v>911</v>
      </c>
      <c r="AY52" s="349">
        <v>10</v>
      </c>
      <c r="AZ52" s="348" t="s">
        <v>910</v>
      </c>
      <c r="BA52" s="371">
        <v>0</v>
      </c>
      <c r="BB52" s="371">
        <v>0.19</v>
      </c>
      <c r="BC52" s="371">
        <v>0.33</v>
      </c>
      <c r="BD52" s="371">
        <v>0.48</v>
      </c>
      <c r="BE52" s="371">
        <v>0.28999999999999998</v>
      </c>
      <c r="BF52" s="371">
        <v>0.25</v>
      </c>
      <c r="BG52" s="371">
        <v>0.34</v>
      </c>
      <c r="BH52" s="469">
        <v>59</v>
      </c>
      <c r="BI52" s="471" t="s">
        <v>910</v>
      </c>
      <c r="BJ52" s="469">
        <v>6</v>
      </c>
      <c r="BK52" s="471" t="s">
        <v>910</v>
      </c>
      <c r="BL52" s="501">
        <v>0</v>
      </c>
      <c r="BM52" s="501">
        <v>0.06</v>
      </c>
      <c r="BN52" s="501">
        <v>0.83</v>
      </c>
      <c r="BO52" s="501">
        <v>0.11</v>
      </c>
      <c r="BP52" s="501">
        <v>0.37</v>
      </c>
      <c r="BQ52" s="501">
        <v>0.24</v>
      </c>
      <c r="BR52" s="501">
        <v>0.4</v>
      </c>
      <c r="BS52" s="630">
        <v>60</v>
      </c>
      <c r="BT52" s="640" t="s">
        <v>910</v>
      </c>
      <c r="BU52" s="630">
        <v>6</v>
      </c>
      <c r="BV52" s="640" t="s">
        <v>910</v>
      </c>
      <c r="BW52" s="644">
        <v>0</v>
      </c>
      <c r="BX52" s="644">
        <v>0</v>
      </c>
      <c r="BY52" s="644">
        <v>0.76</v>
      </c>
      <c r="BZ52" s="644">
        <v>0.24</v>
      </c>
      <c r="CA52" s="644">
        <v>0.23</v>
      </c>
      <c r="CB52" s="644">
        <v>0.38</v>
      </c>
      <c r="CC52" s="644">
        <v>0.43</v>
      </c>
    </row>
    <row r="53" spans="1:81" s="461" customFormat="1" ht="24.9" customHeight="1" x14ac:dyDescent="0.25">
      <c r="A53" s="470" t="s">
        <v>956</v>
      </c>
      <c r="B53" s="15" t="s">
        <v>222</v>
      </c>
      <c r="C53" s="471">
        <v>6</v>
      </c>
      <c r="D53" s="502"/>
      <c r="E53" s="502"/>
      <c r="F53" s="501"/>
      <c r="G53" s="501"/>
      <c r="H53" s="501"/>
      <c r="I53" s="501"/>
      <c r="J53" s="501"/>
      <c r="K53" s="501"/>
      <c r="L53" s="501"/>
      <c r="M53" s="503"/>
      <c r="N53" s="503"/>
      <c r="O53" s="504"/>
      <c r="P53" s="504"/>
      <c r="Q53" s="504"/>
      <c r="R53" s="504"/>
      <c r="S53" s="504"/>
      <c r="T53" s="504"/>
      <c r="U53" s="504"/>
      <c r="V53" s="503"/>
      <c r="W53" s="503"/>
      <c r="X53" s="508"/>
      <c r="Y53" s="508"/>
      <c r="Z53" s="508"/>
      <c r="AA53" s="508"/>
      <c r="AB53" s="508"/>
      <c r="AC53" s="508"/>
      <c r="AD53" s="508"/>
      <c r="AE53" s="502"/>
      <c r="AF53" s="502"/>
      <c r="AG53" s="501"/>
      <c r="AH53" s="501"/>
      <c r="AI53" s="501"/>
      <c r="AJ53" s="501"/>
      <c r="AK53" s="501"/>
      <c r="AL53" s="501"/>
      <c r="AM53" s="501"/>
      <c r="AN53" s="472"/>
      <c r="AO53" s="472"/>
      <c r="AP53" s="506"/>
      <c r="AQ53" s="506"/>
      <c r="AR53" s="506"/>
      <c r="AS53" s="506"/>
      <c r="AT53" s="506"/>
      <c r="AU53" s="506"/>
      <c r="AV53" s="506"/>
      <c r="AW53" s="475"/>
      <c r="AX53" s="493"/>
      <c r="AY53" s="475"/>
      <c r="AZ53" s="493"/>
      <c r="BA53" s="507"/>
      <c r="BB53" s="507"/>
      <c r="BC53" s="507"/>
      <c r="BD53" s="507"/>
      <c r="BE53" s="507"/>
      <c r="BF53" s="507"/>
      <c r="BG53" s="507"/>
      <c r="BH53" s="469">
        <v>63</v>
      </c>
      <c r="BI53" s="471" t="s">
        <v>911</v>
      </c>
      <c r="BJ53" s="469">
        <v>6</v>
      </c>
      <c r="BK53" s="471" t="s">
        <v>910</v>
      </c>
      <c r="BL53" s="501">
        <v>0</v>
      </c>
      <c r="BM53" s="501">
        <v>0</v>
      </c>
      <c r="BN53" s="501">
        <v>0.69</v>
      </c>
      <c r="BO53" s="501">
        <v>0.31</v>
      </c>
      <c r="BP53" s="501">
        <v>0.35</v>
      </c>
      <c r="BQ53" s="501">
        <v>0.18</v>
      </c>
      <c r="BR53" s="501">
        <v>0.24</v>
      </c>
      <c r="BS53" s="630">
        <v>64</v>
      </c>
      <c r="BT53" s="640" t="s">
        <v>911</v>
      </c>
      <c r="BU53" s="630">
        <v>7</v>
      </c>
      <c r="BV53" s="640" t="s">
        <v>910</v>
      </c>
      <c r="BW53" s="644">
        <v>0</v>
      </c>
      <c r="BX53" s="644">
        <v>0.04</v>
      </c>
      <c r="BY53" s="644">
        <v>0.56000000000000005</v>
      </c>
      <c r="BZ53" s="644">
        <v>0.41</v>
      </c>
      <c r="CA53" s="644">
        <v>0.24</v>
      </c>
      <c r="CB53" s="644">
        <v>0.28000000000000003</v>
      </c>
      <c r="CC53" s="644">
        <v>0.3</v>
      </c>
    </row>
    <row r="54" spans="1:81" ht="24.9" customHeight="1" x14ac:dyDescent="0.25">
      <c r="A54" s="188" t="s">
        <v>101</v>
      </c>
      <c r="B54" s="1" t="s">
        <v>222</v>
      </c>
      <c r="C54" s="2">
        <v>1</v>
      </c>
      <c r="D54" s="16">
        <v>55</v>
      </c>
      <c r="E54" s="16">
        <v>9</v>
      </c>
      <c r="F54" s="96">
        <v>0</v>
      </c>
      <c r="G54" s="96">
        <v>0.35</v>
      </c>
      <c r="H54" s="96">
        <v>0.53</v>
      </c>
      <c r="I54" s="96">
        <v>0.12</v>
      </c>
      <c r="J54" s="96">
        <v>0.42</v>
      </c>
      <c r="K54" s="96">
        <v>0.45</v>
      </c>
      <c r="L54" s="96">
        <v>0.5</v>
      </c>
      <c r="M54" s="34">
        <v>56</v>
      </c>
      <c r="N54" s="34">
        <v>7</v>
      </c>
      <c r="O54" s="92">
        <v>0</v>
      </c>
      <c r="P54" s="92">
        <v>0.21</v>
      </c>
      <c r="Q54" s="92">
        <v>0.73</v>
      </c>
      <c r="R54" s="92">
        <v>0.06</v>
      </c>
      <c r="S54" s="92">
        <v>0.41</v>
      </c>
      <c r="T54" s="92">
        <v>0.44</v>
      </c>
      <c r="U54" s="92">
        <v>0.44</v>
      </c>
      <c r="V54" s="34">
        <v>57</v>
      </c>
      <c r="W54" s="34">
        <v>8</v>
      </c>
      <c r="X54" s="99">
        <v>0.04</v>
      </c>
      <c r="Y54" s="99">
        <v>0.21</v>
      </c>
      <c r="Z54" s="99">
        <v>0.53</v>
      </c>
      <c r="AA54" s="99">
        <v>0.23</v>
      </c>
      <c r="AB54" s="99">
        <v>0.36</v>
      </c>
      <c r="AC54" s="99">
        <v>0.42</v>
      </c>
      <c r="AD54" s="99">
        <v>0.47</v>
      </c>
      <c r="AE54" s="16">
        <v>56</v>
      </c>
      <c r="AF54" s="16">
        <v>8</v>
      </c>
      <c r="AG54" s="96">
        <v>0</v>
      </c>
      <c r="AH54" s="96">
        <v>0.25</v>
      </c>
      <c r="AI54" s="96">
        <v>0.63</v>
      </c>
      <c r="AJ54" s="96">
        <v>0.12</v>
      </c>
      <c r="AK54" s="96">
        <v>0.37</v>
      </c>
      <c r="AL54" s="96">
        <v>0.32</v>
      </c>
      <c r="AM54" s="96">
        <v>0.38</v>
      </c>
      <c r="AN54" s="61">
        <v>54</v>
      </c>
      <c r="AO54" s="61">
        <v>9</v>
      </c>
      <c r="AP54" s="66">
        <v>0.02</v>
      </c>
      <c r="AQ54" s="66">
        <v>0.35</v>
      </c>
      <c r="AR54" s="66">
        <v>0.55000000000000004</v>
      </c>
      <c r="AS54" s="66">
        <v>0.09</v>
      </c>
      <c r="AT54" s="66">
        <v>0.43</v>
      </c>
      <c r="AU54" s="66">
        <v>0.38</v>
      </c>
      <c r="AV54" s="66">
        <v>0.42</v>
      </c>
      <c r="AW54" s="349">
        <v>55</v>
      </c>
      <c r="AX54" s="348" t="s">
        <v>910</v>
      </c>
      <c r="AY54" s="349">
        <v>8</v>
      </c>
      <c r="AZ54" s="348" t="s">
        <v>910</v>
      </c>
      <c r="BA54" s="371">
        <v>0</v>
      </c>
      <c r="BB54" s="371">
        <v>0.32</v>
      </c>
      <c r="BC54" s="371">
        <v>0.55000000000000004</v>
      </c>
      <c r="BD54" s="371">
        <v>0.13</v>
      </c>
      <c r="BE54" s="371">
        <v>0.44</v>
      </c>
      <c r="BF54" s="371">
        <v>0.32</v>
      </c>
      <c r="BG54" s="371">
        <v>0.53</v>
      </c>
      <c r="BH54" s="469">
        <v>57</v>
      </c>
      <c r="BI54" s="471" t="s">
        <v>910</v>
      </c>
      <c r="BJ54" s="469">
        <v>7</v>
      </c>
      <c r="BK54" s="471" t="s">
        <v>910</v>
      </c>
      <c r="BL54" s="501">
        <v>0</v>
      </c>
      <c r="BM54" s="501">
        <v>0.23</v>
      </c>
      <c r="BN54" s="501">
        <v>0.68</v>
      </c>
      <c r="BO54" s="501">
        <v>0.09</v>
      </c>
      <c r="BP54" s="501">
        <v>0.4</v>
      </c>
      <c r="BQ54" s="501">
        <v>0.31</v>
      </c>
      <c r="BR54" s="501">
        <v>0.42</v>
      </c>
      <c r="BS54" s="630">
        <v>55</v>
      </c>
      <c r="BT54" s="640" t="s">
        <v>910</v>
      </c>
      <c r="BU54" s="630">
        <v>9</v>
      </c>
      <c r="BV54" s="640" t="s">
        <v>910</v>
      </c>
      <c r="BW54" s="644">
        <v>0.02</v>
      </c>
      <c r="BX54" s="644">
        <v>0.26</v>
      </c>
      <c r="BY54" s="644">
        <v>0.57999999999999996</v>
      </c>
      <c r="BZ54" s="644">
        <v>0.14000000000000001</v>
      </c>
      <c r="CA54" s="644">
        <v>0.35</v>
      </c>
      <c r="CB54" s="644">
        <v>0.44</v>
      </c>
      <c r="CC54" s="644">
        <v>0.49</v>
      </c>
    </row>
    <row r="55" spans="1:81" ht="24.9" customHeight="1" x14ac:dyDescent="0.25">
      <c r="A55" s="188" t="s">
        <v>231</v>
      </c>
      <c r="B55" s="1" t="s">
        <v>222</v>
      </c>
      <c r="C55" s="2">
        <v>1</v>
      </c>
      <c r="D55" s="13" t="s">
        <v>226</v>
      </c>
      <c r="E55" s="13" t="s">
        <v>226</v>
      </c>
      <c r="F55" s="13"/>
      <c r="G55" s="13"/>
      <c r="H55" s="13"/>
      <c r="I55" s="13"/>
      <c r="J55" s="13"/>
      <c r="K55" s="13"/>
      <c r="L55" s="13"/>
      <c r="M55" s="13" t="s">
        <v>226</v>
      </c>
      <c r="N55" s="13" t="s">
        <v>226</v>
      </c>
      <c r="O55" s="92"/>
      <c r="P55" s="92"/>
      <c r="Q55" s="92"/>
      <c r="R55" s="92"/>
      <c r="S55" s="92"/>
      <c r="T55" s="92"/>
      <c r="U55" s="92"/>
      <c r="V55" s="34">
        <v>59</v>
      </c>
      <c r="W55" s="34">
        <v>9</v>
      </c>
      <c r="X55" s="99">
        <v>0</v>
      </c>
      <c r="Y55" s="99">
        <v>0.17</v>
      </c>
      <c r="Z55" s="99">
        <v>0.67</v>
      </c>
      <c r="AA55" s="99">
        <v>0.17</v>
      </c>
      <c r="AB55" s="99">
        <v>0.43</v>
      </c>
      <c r="AC55" s="99">
        <v>0.28999999999999998</v>
      </c>
      <c r="AD55" s="99">
        <v>0.36</v>
      </c>
      <c r="AE55" s="16">
        <v>52</v>
      </c>
      <c r="AF55" s="16">
        <v>9</v>
      </c>
      <c r="AG55" s="96">
        <v>0</v>
      </c>
      <c r="AH55" s="96">
        <v>0.5</v>
      </c>
      <c r="AI55" s="96">
        <v>0.4</v>
      </c>
      <c r="AJ55" s="96">
        <v>0.1</v>
      </c>
      <c r="AK55" s="96">
        <v>0.46</v>
      </c>
      <c r="AL55" s="96">
        <v>0.26</v>
      </c>
      <c r="AM55" s="96">
        <v>0.56000000000000005</v>
      </c>
      <c r="AN55" s="61">
        <v>53</v>
      </c>
      <c r="AO55" s="61">
        <v>6</v>
      </c>
      <c r="AP55" s="66">
        <v>0</v>
      </c>
      <c r="AQ55" s="66">
        <v>0.3</v>
      </c>
      <c r="AR55" s="66">
        <v>0.7</v>
      </c>
      <c r="AS55" s="66">
        <v>0</v>
      </c>
      <c r="AT55" s="66">
        <v>0.45</v>
      </c>
      <c r="AU55" s="66">
        <v>0.39</v>
      </c>
      <c r="AV55" s="66">
        <v>0.52</v>
      </c>
      <c r="AW55" s="349">
        <v>58</v>
      </c>
      <c r="AX55" s="348" t="s">
        <v>910</v>
      </c>
      <c r="AY55" s="349">
        <v>4</v>
      </c>
      <c r="AZ55" s="348" t="s">
        <v>912</v>
      </c>
      <c r="BA55" s="371">
        <v>0</v>
      </c>
      <c r="BB55" s="371">
        <v>0</v>
      </c>
      <c r="BC55" s="371">
        <v>1</v>
      </c>
      <c r="BD55" s="371">
        <v>0</v>
      </c>
      <c r="BE55" s="371">
        <v>0.31</v>
      </c>
      <c r="BF55" s="371">
        <v>0.33</v>
      </c>
      <c r="BG55" s="371">
        <v>0.52</v>
      </c>
      <c r="BH55" s="469">
        <v>59</v>
      </c>
      <c r="BI55" s="471" t="s">
        <v>910</v>
      </c>
      <c r="BJ55" s="469">
        <v>6</v>
      </c>
      <c r="BK55" s="471" t="s">
        <v>910</v>
      </c>
      <c r="BL55" s="501">
        <v>0</v>
      </c>
      <c r="BM55" s="501">
        <v>0.1</v>
      </c>
      <c r="BN55" s="501">
        <v>0.9</v>
      </c>
      <c r="BO55" s="501">
        <v>0</v>
      </c>
      <c r="BP55" s="501">
        <v>0.38</v>
      </c>
      <c r="BQ55" s="501">
        <v>0.24</v>
      </c>
      <c r="BR55" s="501">
        <v>0.41</v>
      </c>
      <c r="BS55" s="630">
        <v>59</v>
      </c>
      <c r="BT55" s="640" t="s">
        <v>910</v>
      </c>
      <c r="BU55" s="630">
        <v>8</v>
      </c>
      <c r="BV55" s="640" t="s">
        <v>910</v>
      </c>
      <c r="BW55" s="644">
        <v>0</v>
      </c>
      <c r="BX55" s="644">
        <v>0.15</v>
      </c>
      <c r="BY55" s="644">
        <v>0.6</v>
      </c>
      <c r="BZ55" s="644">
        <v>0.25</v>
      </c>
      <c r="CA55" s="644">
        <v>0.28999999999999998</v>
      </c>
      <c r="CB55" s="644">
        <v>0.39</v>
      </c>
      <c r="CC55" s="644">
        <v>0.44</v>
      </c>
    </row>
    <row r="56" spans="1:81" ht="24.9" customHeight="1" x14ac:dyDescent="0.25">
      <c r="A56" s="188" t="s">
        <v>116</v>
      </c>
      <c r="B56" s="1" t="s">
        <v>222</v>
      </c>
      <c r="C56" s="2">
        <v>2</v>
      </c>
      <c r="D56" s="16">
        <v>53</v>
      </c>
      <c r="E56" s="16">
        <v>7</v>
      </c>
      <c r="F56" s="96">
        <v>0.03</v>
      </c>
      <c r="G56" s="96">
        <v>0.26</v>
      </c>
      <c r="H56" s="96">
        <v>0.68</v>
      </c>
      <c r="I56" s="96">
        <v>0.03</v>
      </c>
      <c r="J56" s="96">
        <v>0.42</v>
      </c>
      <c r="K56" s="96">
        <v>0.47</v>
      </c>
      <c r="L56" s="96">
        <v>0.56000000000000005</v>
      </c>
      <c r="M56" s="34">
        <v>55</v>
      </c>
      <c r="N56" s="34">
        <v>9</v>
      </c>
      <c r="O56" s="92">
        <v>0.02</v>
      </c>
      <c r="P56" s="92">
        <v>0.26</v>
      </c>
      <c r="Q56" s="92">
        <v>0.65</v>
      </c>
      <c r="R56" s="92">
        <v>7.0000000000000007E-2</v>
      </c>
      <c r="S56" s="92">
        <v>0.43</v>
      </c>
      <c r="T56" s="92">
        <v>0.46</v>
      </c>
      <c r="U56" s="92">
        <v>0.44</v>
      </c>
      <c r="V56" s="34">
        <v>55</v>
      </c>
      <c r="W56" s="34">
        <v>9</v>
      </c>
      <c r="X56" s="99">
        <v>0</v>
      </c>
      <c r="Y56" s="99">
        <v>0.28999999999999998</v>
      </c>
      <c r="Z56" s="99">
        <v>0.6</v>
      </c>
      <c r="AA56" s="99">
        <v>0.11</v>
      </c>
      <c r="AB56" s="99">
        <v>0.41</v>
      </c>
      <c r="AC56" s="99">
        <v>0.47</v>
      </c>
      <c r="AD56" s="99">
        <v>0.49</v>
      </c>
      <c r="AE56" s="16">
        <v>56</v>
      </c>
      <c r="AF56" s="16">
        <v>9</v>
      </c>
      <c r="AG56" s="96">
        <v>0.02</v>
      </c>
      <c r="AH56" s="96">
        <v>0.25</v>
      </c>
      <c r="AI56" s="96">
        <v>0.57999999999999996</v>
      </c>
      <c r="AJ56" s="96">
        <v>0.16</v>
      </c>
      <c r="AK56" s="96">
        <v>0.39</v>
      </c>
      <c r="AL56" s="96">
        <v>0.32</v>
      </c>
      <c r="AM56" s="96">
        <v>0.36</v>
      </c>
      <c r="AN56" s="61">
        <v>54</v>
      </c>
      <c r="AO56" s="61">
        <v>7</v>
      </c>
      <c r="AP56" s="66">
        <v>0.01</v>
      </c>
      <c r="AQ56" s="66">
        <v>0.33</v>
      </c>
      <c r="AR56" s="66">
        <v>0.62</v>
      </c>
      <c r="AS56" s="66">
        <v>0.04</v>
      </c>
      <c r="AT56" s="66">
        <v>0.46</v>
      </c>
      <c r="AU56" s="66">
        <v>0.36</v>
      </c>
      <c r="AV56" s="66">
        <v>0.44</v>
      </c>
      <c r="AW56" s="349">
        <v>60</v>
      </c>
      <c r="AX56" s="348" t="s">
        <v>910</v>
      </c>
      <c r="AY56" s="349">
        <v>7</v>
      </c>
      <c r="AZ56" s="348" t="s">
        <v>910</v>
      </c>
      <c r="BA56" s="371">
        <v>0</v>
      </c>
      <c r="BB56" s="371">
        <v>0.18</v>
      </c>
      <c r="BC56" s="371">
        <v>0.63</v>
      </c>
      <c r="BD56" s="371">
        <v>0.18</v>
      </c>
      <c r="BE56" s="371">
        <v>0.34</v>
      </c>
      <c r="BF56" s="371">
        <v>0.23</v>
      </c>
      <c r="BG56" s="371">
        <v>0.47</v>
      </c>
      <c r="BH56" s="469">
        <v>58</v>
      </c>
      <c r="BI56" s="471" t="s">
        <v>910</v>
      </c>
      <c r="BJ56" s="469">
        <v>9</v>
      </c>
      <c r="BK56" s="471" t="s">
        <v>910</v>
      </c>
      <c r="BL56" s="501">
        <v>0.01</v>
      </c>
      <c r="BM56" s="501">
        <v>0.19</v>
      </c>
      <c r="BN56" s="501">
        <v>0.61</v>
      </c>
      <c r="BO56" s="501">
        <v>0.19</v>
      </c>
      <c r="BP56" s="501">
        <v>0.4</v>
      </c>
      <c r="BQ56" s="501">
        <v>0.28999999999999998</v>
      </c>
      <c r="BR56" s="501">
        <v>0.38</v>
      </c>
      <c r="BS56" s="630">
        <v>56</v>
      </c>
      <c r="BT56" s="640" t="s">
        <v>910</v>
      </c>
      <c r="BU56" s="630">
        <v>10</v>
      </c>
      <c r="BV56" s="640" t="s">
        <v>910</v>
      </c>
      <c r="BW56" s="644">
        <v>0.04</v>
      </c>
      <c r="BX56" s="644">
        <v>0.24</v>
      </c>
      <c r="BY56" s="644">
        <v>0.57999999999999996</v>
      </c>
      <c r="BZ56" s="644">
        <v>0.15</v>
      </c>
      <c r="CA56" s="644">
        <v>0.32</v>
      </c>
      <c r="CB56" s="644">
        <v>0.42</v>
      </c>
      <c r="CC56" s="644">
        <v>0.47</v>
      </c>
    </row>
    <row r="57" spans="1:81" ht="24.9" customHeight="1" x14ac:dyDescent="0.25">
      <c r="A57" s="188" t="s">
        <v>151</v>
      </c>
      <c r="B57" s="1" t="s">
        <v>222</v>
      </c>
      <c r="C57" s="2">
        <v>3</v>
      </c>
      <c r="D57" s="16">
        <v>55</v>
      </c>
      <c r="E57" s="16">
        <v>9</v>
      </c>
      <c r="F57" s="96">
        <v>0.04</v>
      </c>
      <c r="G57" s="96">
        <v>0.22</v>
      </c>
      <c r="H57" s="96">
        <v>0.67</v>
      </c>
      <c r="I57" s="96">
        <v>7.0000000000000007E-2</v>
      </c>
      <c r="J57" s="96">
        <v>0.35</v>
      </c>
      <c r="K57" s="96">
        <v>0.43</v>
      </c>
      <c r="L57" s="96">
        <v>0.55000000000000004</v>
      </c>
      <c r="M57" s="34">
        <v>53</v>
      </c>
      <c r="N57" s="34">
        <v>8</v>
      </c>
      <c r="O57" s="92">
        <v>0</v>
      </c>
      <c r="P57" s="92">
        <v>0.36</v>
      </c>
      <c r="Q57" s="92">
        <v>0.56999999999999995</v>
      </c>
      <c r="R57" s="92">
        <v>7.0000000000000007E-2</v>
      </c>
      <c r="S57" s="92">
        <v>0.55000000000000004</v>
      </c>
      <c r="T57" s="92">
        <v>0.5</v>
      </c>
      <c r="U57" s="92">
        <v>0.48</v>
      </c>
      <c r="V57" s="34">
        <v>57</v>
      </c>
      <c r="W57" s="34">
        <v>7</v>
      </c>
      <c r="X57" s="99">
        <v>0</v>
      </c>
      <c r="Y57" s="99">
        <v>0.13</v>
      </c>
      <c r="Z57" s="99">
        <v>0.74</v>
      </c>
      <c r="AA57" s="99">
        <v>0.13</v>
      </c>
      <c r="AB57" s="99">
        <v>0.38</v>
      </c>
      <c r="AC57" s="99">
        <v>0.42</v>
      </c>
      <c r="AD57" s="99">
        <v>0.48</v>
      </c>
      <c r="AE57" s="16">
        <v>54</v>
      </c>
      <c r="AF57" s="16">
        <v>7</v>
      </c>
      <c r="AG57" s="96">
        <v>0</v>
      </c>
      <c r="AH57" s="96">
        <v>0.32</v>
      </c>
      <c r="AI57" s="96">
        <v>0.68</v>
      </c>
      <c r="AJ57" s="96">
        <v>0</v>
      </c>
      <c r="AK57" s="96">
        <v>0.41</v>
      </c>
      <c r="AL57" s="96">
        <v>0.36</v>
      </c>
      <c r="AM57" s="96">
        <v>0.42</v>
      </c>
      <c r="AN57" s="61">
        <v>55</v>
      </c>
      <c r="AO57" s="61">
        <v>9</v>
      </c>
      <c r="AP57" s="66">
        <v>0.03</v>
      </c>
      <c r="AQ57" s="66">
        <v>0.21</v>
      </c>
      <c r="AR57" s="66">
        <v>0.66</v>
      </c>
      <c r="AS57" s="66">
        <v>0.1</v>
      </c>
      <c r="AT57" s="66">
        <v>0.48</v>
      </c>
      <c r="AU57" s="66">
        <v>0.34</v>
      </c>
      <c r="AV57" s="66">
        <v>0.39</v>
      </c>
      <c r="AW57" s="349">
        <v>57</v>
      </c>
      <c r="AX57" s="348" t="s">
        <v>910</v>
      </c>
      <c r="AY57" s="349">
        <v>8</v>
      </c>
      <c r="AZ57" s="348" t="s">
        <v>910</v>
      </c>
      <c r="BA57" s="371">
        <v>0.02</v>
      </c>
      <c r="BB57" s="371">
        <v>0.15</v>
      </c>
      <c r="BC57" s="371">
        <v>0.72</v>
      </c>
      <c r="BD57" s="371">
        <v>0.11</v>
      </c>
      <c r="BE57" s="371">
        <v>0.38</v>
      </c>
      <c r="BF57" s="371">
        <v>0.31</v>
      </c>
      <c r="BG57" s="371">
        <v>0.49</v>
      </c>
      <c r="BH57" s="469">
        <v>51</v>
      </c>
      <c r="BI57" s="471" t="s">
        <v>910</v>
      </c>
      <c r="BJ57" s="469">
        <v>7</v>
      </c>
      <c r="BK57" s="471" t="s">
        <v>910</v>
      </c>
      <c r="BL57" s="501">
        <v>0.03</v>
      </c>
      <c r="BM57" s="501">
        <v>0.38</v>
      </c>
      <c r="BN57" s="501">
        <v>0.56000000000000005</v>
      </c>
      <c r="BO57" s="501">
        <v>0.03</v>
      </c>
      <c r="BP57" s="501">
        <v>0.53</v>
      </c>
      <c r="BQ57" s="501">
        <v>0.38</v>
      </c>
      <c r="BR57" s="501">
        <v>0.5</v>
      </c>
      <c r="BS57" s="630">
        <v>54</v>
      </c>
      <c r="BT57" s="640" t="s">
        <v>910</v>
      </c>
      <c r="BU57" s="630">
        <v>9</v>
      </c>
      <c r="BV57" s="640" t="s">
        <v>910</v>
      </c>
      <c r="BW57" s="644">
        <v>0</v>
      </c>
      <c r="BX57" s="644">
        <v>0.37</v>
      </c>
      <c r="BY57" s="644">
        <v>0.53</v>
      </c>
      <c r="BZ57" s="644">
        <v>0.11</v>
      </c>
      <c r="CA57" s="644">
        <v>0.37</v>
      </c>
      <c r="CB57" s="644">
        <v>0.49</v>
      </c>
      <c r="CC57" s="644">
        <v>0.49</v>
      </c>
    </row>
    <row r="58" spans="1:81" s="219" customFormat="1" ht="24.9" customHeight="1" x14ac:dyDescent="0.25">
      <c r="A58" s="188" t="s">
        <v>877</v>
      </c>
      <c r="B58" s="1" t="s">
        <v>222</v>
      </c>
      <c r="C58" s="2">
        <v>4</v>
      </c>
      <c r="D58" s="16"/>
      <c r="E58" s="16"/>
      <c r="F58" s="96"/>
      <c r="G58" s="96"/>
      <c r="H58" s="96"/>
      <c r="I58" s="96"/>
      <c r="J58" s="96"/>
      <c r="K58" s="96"/>
      <c r="L58" s="96"/>
      <c r="M58" s="34"/>
      <c r="N58" s="34"/>
      <c r="O58" s="92"/>
      <c r="P58" s="92"/>
      <c r="Q58" s="92"/>
      <c r="R58" s="92"/>
      <c r="S58" s="92"/>
      <c r="T58" s="92"/>
      <c r="U58" s="92"/>
      <c r="V58" s="34"/>
      <c r="W58" s="34"/>
      <c r="X58" s="99"/>
      <c r="Y58" s="99"/>
      <c r="Z58" s="99"/>
      <c r="AA58" s="99"/>
      <c r="AB58" s="99"/>
      <c r="AC58" s="99"/>
      <c r="AD58" s="99"/>
      <c r="AE58" s="16"/>
      <c r="AF58" s="16"/>
      <c r="AG58" s="96"/>
      <c r="AH58" s="96"/>
      <c r="AI58" s="96"/>
      <c r="AJ58" s="96"/>
      <c r="AK58" s="96"/>
      <c r="AL58" s="96"/>
      <c r="AM58" s="96"/>
      <c r="AN58" s="61"/>
      <c r="AO58" s="61"/>
      <c r="AP58" s="66"/>
      <c r="AQ58" s="66"/>
      <c r="AR58" s="66"/>
      <c r="AS58" s="66"/>
      <c r="AT58" s="66"/>
      <c r="AU58" s="66"/>
      <c r="AV58" s="66"/>
      <c r="AX58" s="336"/>
      <c r="AZ58" s="336"/>
    </row>
    <row r="59" spans="1:81" ht="24.9" customHeight="1" x14ac:dyDescent="0.25">
      <c r="A59" s="188" t="s">
        <v>200</v>
      </c>
      <c r="B59" s="1" t="s">
        <v>222</v>
      </c>
      <c r="C59" s="2">
        <v>3</v>
      </c>
      <c r="D59" s="16">
        <v>56</v>
      </c>
      <c r="E59" s="16">
        <v>8</v>
      </c>
      <c r="F59" s="96">
        <v>0</v>
      </c>
      <c r="G59" s="96">
        <v>0.23</v>
      </c>
      <c r="H59" s="96">
        <v>0.66</v>
      </c>
      <c r="I59" s="96">
        <v>0.11</v>
      </c>
      <c r="J59" s="96">
        <v>0.36</v>
      </c>
      <c r="K59" s="96">
        <v>0.43</v>
      </c>
      <c r="L59" s="96">
        <v>0.49</v>
      </c>
      <c r="M59" s="34">
        <v>59</v>
      </c>
      <c r="N59" s="34">
        <v>7</v>
      </c>
      <c r="O59" s="92">
        <v>0</v>
      </c>
      <c r="P59" s="92">
        <v>0.09</v>
      </c>
      <c r="Q59" s="92">
        <v>0.73</v>
      </c>
      <c r="R59" s="92">
        <v>0.18</v>
      </c>
      <c r="S59" s="92">
        <v>0.37</v>
      </c>
      <c r="T59" s="92">
        <v>0.41</v>
      </c>
      <c r="U59" s="92">
        <v>0.36</v>
      </c>
      <c r="V59" s="34">
        <v>57</v>
      </c>
      <c r="W59" s="34">
        <v>8</v>
      </c>
      <c r="X59" s="99">
        <v>0.02</v>
      </c>
      <c r="Y59" s="99">
        <v>0.15</v>
      </c>
      <c r="Z59" s="99">
        <v>0.66</v>
      </c>
      <c r="AA59" s="99">
        <v>0.18</v>
      </c>
      <c r="AB59" s="99">
        <v>0.39</v>
      </c>
      <c r="AC59" s="99">
        <v>0.42</v>
      </c>
      <c r="AD59" s="99">
        <v>0.43</v>
      </c>
      <c r="AE59" s="16">
        <v>59</v>
      </c>
      <c r="AF59" s="16">
        <v>7</v>
      </c>
      <c r="AG59" s="96">
        <v>0</v>
      </c>
      <c r="AH59" s="96">
        <v>0.14000000000000001</v>
      </c>
      <c r="AI59" s="96">
        <v>0.69</v>
      </c>
      <c r="AJ59" s="96">
        <v>0.17</v>
      </c>
      <c r="AK59" s="96">
        <v>0.35</v>
      </c>
      <c r="AL59" s="96">
        <v>0.28999999999999998</v>
      </c>
      <c r="AM59" s="96">
        <v>0.35</v>
      </c>
      <c r="AN59" s="61">
        <v>58</v>
      </c>
      <c r="AO59" s="61">
        <v>8</v>
      </c>
      <c r="AP59" s="66">
        <v>0</v>
      </c>
      <c r="AQ59" s="66">
        <v>0.17</v>
      </c>
      <c r="AR59" s="66">
        <v>0.64</v>
      </c>
      <c r="AS59" s="66">
        <v>0.18</v>
      </c>
      <c r="AT59" s="66">
        <v>0.38</v>
      </c>
      <c r="AU59" s="66">
        <v>0.27</v>
      </c>
      <c r="AV59" s="66">
        <v>0.36</v>
      </c>
      <c r="AW59" s="349">
        <v>59</v>
      </c>
      <c r="AX59" s="348" t="s">
        <v>910</v>
      </c>
      <c r="AY59" s="349">
        <v>8</v>
      </c>
      <c r="AZ59" s="348" t="s">
        <v>910</v>
      </c>
      <c r="BA59" s="371">
        <v>0</v>
      </c>
      <c r="BB59" s="371">
        <v>0.16</v>
      </c>
      <c r="BC59" s="371">
        <v>0.59</v>
      </c>
      <c r="BD59" s="371">
        <v>0.25</v>
      </c>
      <c r="BE59" s="371">
        <v>0.35</v>
      </c>
      <c r="BF59" s="371">
        <v>0.26</v>
      </c>
      <c r="BG59" s="371">
        <v>0.44</v>
      </c>
      <c r="BH59" s="469">
        <v>60</v>
      </c>
      <c r="BI59" s="471" t="s">
        <v>910</v>
      </c>
      <c r="BJ59" s="469">
        <v>9</v>
      </c>
      <c r="BK59" s="471" t="s">
        <v>910</v>
      </c>
      <c r="BL59" s="501">
        <v>0.01</v>
      </c>
      <c r="BM59" s="501">
        <v>0.12</v>
      </c>
      <c r="BN59" s="501">
        <v>0.59</v>
      </c>
      <c r="BO59" s="501">
        <v>0.28000000000000003</v>
      </c>
      <c r="BP59" s="501">
        <v>0.37</v>
      </c>
      <c r="BQ59" s="501">
        <v>0.25</v>
      </c>
      <c r="BR59" s="501">
        <v>0.34</v>
      </c>
      <c r="BS59" s="630">
        <v>59</v>
      </c>
      <c r="BT59" s="640" t="s">
        <v>910</v>
      </c>
      <c r="BU59" s="630">
        <v>8</v>
      </c>
      <c r="BV59" s="640" t="s">
        <v>910</v>
      </c>
      <c r="BW59" s="644">
        <v>0.01</v>
      </c>
      <c r="BX59" s="644">
        <v>0.13</v>
      </c>
      <c r="BY59" s="644">
        <v>0.66</v>
      </c>
      <c r="BZ59" s="644">
        <v>0.21</v>
      </c>
      <c r="CA59" s="644">
        <v>0.3</v>
      </c>
      <c r="CB59" s="644">
        <v>0.39</v>
      </c>
      <c r="CC59" s="644">
        <v>0.42</v>
      </c>
    </row>
    <row r="60" spans="1:81" ht="24.9" customHeight="1" x14ac:dyDescent="0.25">
      <c r="A60" s="188" t="s">
        <v>175</v>
      </c>
      <c r="B60" s="1" t="s">
        <v>222</v>
      </c>
      <c r="C60" s="2">
        <v>2</v>
      </c>
      <c r="D60" s="16">
        <v>53</v>
      </c>
      <c r="E60" s="16">
        <v>8</v>
      </c>
      <c r="F60" s="96">
        <v>0</v>
      </c>
      <c r="G60" s="96">
        <v>0.36</v>
      </c>
      <c r="H60" s="96">
        <v>0.62</v>
      </c>
      <c r="I60" s="96">
        <v>0.03</v>
      </c>
      <c r="J60" s="96">
        <v>0.44</v>
      </c>
      <c r="K60" s="96">
        <v>0.47</v>
      </c>
      <c r="L60" s="96">
        <v>0.56000000000000005</v>
      </c>
      <c r="M60" s="34">
        <v>54</v>
      </c>
      <c r="N60" s="34">
        <v>8</v>
      </c>
      <c r="O60" s="92">
        <v>0</v>
      </c>
      <c r="P60" s="92">
        <v>0.4</v>
      </c>
      <c r="Q60" s="92">
        <v>0.5</v>
      </c>
      <c r="R60" s="92">
        <v>0.1</v>
      </c>
      <c r="S60" s="92">
        <v>0.42</v>
      </c>
      <c r="T60" s="92">
        <v>0.5</v>
      </c>
      <c r="U60" s="92">
        <v>0.46</v>
      </c>
      <c r="V60" s="34">
        <v>53</v>
      </c>
      <c r="W60" s="34">
        <v>10</v>
      </c>
      <c r="X60" s="99">
        <v>0.03</v>
      </c>
      <c r="Y60" s="99">
        <v>0.25</v>
      </c>
      <c r="Z60" s="99">
        <v>0.61</v>
      </c>
      <c r="AA60" s="99">
        <v>0.11</v>
      </c>
      <c r="AB60" s="99">
        <v>0.47</v>
      </c>
      <c r="AC60" s="99">
        <v>0.44</v>
      </c>
      <c r="AD60" s="99">
        <v>0.48</v>
      </c>
      <c r="AE60" s="16">
        <v>57</v>
      </c>
      <c r="AF60" s="16">
        <v>7</v>
      </c>
      <c r="AG60" s="96">
        <v>0</v>
      </c>
      <c r="AH60" s="96">
        <v>0.15</v>
      </c>
      <c r="AI60" s="96">
        <v>0.73</v>
      </c>
      <c r="AJ60" s="96">
        <v>0.12</v>
      </c>
      <c r="AK60" s="96">
        <v>0.36</v>
      </c>
      <c r="AL60" s="96">
        <v>0.28999999999999998</v>
      </c>
      <c r="AM60" s="96">
        <v>0.37</v>
      </c>
      <c r="AN60" s="61">
        <v>54</v>
      </c>
      <c r="AO60" s="61">
        <v>8</v>
      </c>
      <c r="AP60" s="66">
        <v>0</v>
      </c>
      <c r="AQ60" s="66">
        <v>0.28000000000000003</v>
      </c>
      <c r="AR60" s="66">
        <v>0.67</v>
      </c>
      <c r="AS60" s="66">
        <v>0.06</v>
      </c>
      <c r="AT60" s="66">
        <v>0.46</v>
      </c>
      <c r="AU60" s="66">
        <v>0.33</v>
      </c>
      <c r="AV60" s="66">
        <v>0.42</v>
      </c>
      <c r="AW60" s="349">
        <v>55</v>
      </c>
      <c r="AX60" s="348" t="s">
        <v>910</v>
      </c>
      <c r="AY60" s="349">
        <v>8</v>
      </c>
      <c r="AZ60" s="348" t="s">
        <v>910</v>
      </c>
      <c r="BA60" s="371">
        <v>0</v>
      </c>
      <c r="BB60" s="371">
        <v>0.31</v>
      </c>
      <c r="BC60" s="371">
        <v>0.56000000000000005</v>
      </c>
      <c r="BD60" s="371">
        <v>0.13</v>
      </c>
      <c r="BE60" s="371">
        <v>0.42</v>
      </c>
      <c r="BF60" s="371">
        <v>0.33</v>
      </c>
      <c r="BG60" s="371">
        <v>0.52</v>
      </c>
      <c r="BH60" s="469">
        <v>58</v>
      </c>
      <c r="BI60" s="471" t="s">
        <v>910</v>
      </c>
      <c r="BJ60" s="469">
        <v>7</v>
      </c>
      <c r="BK60" s="471" t="s">
        <v>910</v>
      </c>
      <c r="BL60" s="501">
        <v>0</v>
      </c>
      <c r="BM60" s="501">
        <v>0.16</v>
      </c>
      <c r="BN60" s="501">
        <v>0.68</v>
      </c>
      <c r="BO60" s="501">
        <v>0.16</v>
      </c>
      <c r="BP60" s="501">
        <v>0.4</v>
      </c>
      <c r="BQ60" s="501">
        <v>0.28000000000000003</v>
      </c>
      <c r="BR60" s="501">
        <v>0.38</v>
      </c>
      <c r="BS60" s="630">
        <v>56</v>
      </c>
      <c r="BT60" s="640" t="s">
        <v>910</v>
      </c>
      <c r="BU60" s="630">
        <v>9</v>
      </c>
      <c r="BV60" s="640" t="s">
        <v>910</v>
      </c>
      <c r="BW60" s="644">
        <v>0</v>
      </c>
      <c r="BX60" s="644">
        <v>0.24</v>
      </c>
      <c r="BY60" s="644">
        <v>0.61</v>
      </c>
      <c r="BZ60" s="644">
        <v>0.15</v>
      </c>
      <c r="CA60" s="644">
        <v>0.28999999999999998</v>
      </c>
      <c r="CB60" s="644">
        <v>0.45</v>
      </c>
      <c r="CC60" s="644">
        <v>0.47</v>
      </c>
    </row>
    <row r="61" spans="1:81" ht="24.9" customHeight="1" x14ac:dyDescent="0.25">
      <c r="A61" s="188" t="s">
        <v>84</v>
      </c>
      <c r="B61" s="1" t="s">
        <v>222</v>
      </c>
      <c r="C61" s="2">
        <v>2</v>
      </c>
      <c r="D61" s="16">
        <v>60</v>
      </c>
      <c r="E61" s="16">
        <v>6</v>
      </c>
      <c r="F61" s="96">
        <v>0</v>
      </c>
      <c r="G61" s="96">
        <v>0.04</v>
      </c>
      <c r="H61" s="96">
        <v>0.83</v>
      </c>
      <c r="I61" s="96">
        <v>0.13</v>
      </c>
      <c r="J61" s="96">
        <v>0.3</v>
      </c>
      <c r="K61" s="96">
        <v>0.31</v>
      </c>
      <c r="L61" s="96">
        <v>0.46</v>
      </c>
      <c r="M61" s="34">
        <v>62</v>
      </c>
      <c r="N61" s="34">
        <v>4</v>
      </c>
      <c r="O61" s="92">
        <v>0</v>
      </c>
      <c r="P61" s="92">
        <v>0</v>
      </c>
      <c r="Q61" s="92">
        <v>0.79</v>
      </c>
      <c r="R61" s="92">
        <v>0.21</v>
      </c>
      <c r="S61" s="92">
        <v>0.28000000000000003</v>
      </c>
      <c r="T61" s="92">
        <v>0.31</v>
      </c>
      <c r="U61" s="92">
        <v>0.33</v>
      </c>
      <c r="V61" s="34">
        <v>65</v>
      </c>
      <c r="W61" s="34">
        <v>7</v>
      </c>
      <c r="X61" s="99">
        <v>0</v>
      </c>
      <c r="Y61" s="99">
        <v>0</v>
      </c>
      <c r="Z61" s="99">
        <v>0.56000000000000005</v>
      </c>
      <c r="AA61" s="99">
        <v>0.44</v>
      </c>
      <c r="AB61" s="99">
        <v>0.22</v>
      </c>
      <c r="AC61" s="99">
        <v>0.32</v>
      </c>
      <c r="AD61" s="99">
        <v>0.36</v>
      </c>
      <c r="AE61" s="16">
        <v>58</v>
      </c>
      <c r="AF61" s="16">
        <v>8</v>
      </c>
      <c r="AG61" s="96">
        <v>0</v>
      </c>
      <c r="AH61" s="96">
        <v>0.14000000000000001</v>
      </c>
      <c r="AI61" s="96">
        <v>0.59</v>
      </c>
      <c r="AJ61" s="96">
        <v>0.27</v>
      </c>
      <c r="AK61" s="96">
        <v>0.32</v>
      </c>
      <c r="AL61" s="96">
        <v>0.33</v>
      </c>
      <c r="AM61" s="96">
        <v>0.34</v>
      </c>
      <c r="AN61" s="61">
        <v>60</v>
      </c>
      <c r="AO61" s="61">
        <v>7</v>
      </c>
      <c r="AP61" s="66">
        <v>0</v>
      </c>
      <c r="AQ61" s="66">
        <v>0.11</v>
      </c>
      <c r="AR61" s="66">
        <v>0.67</v>
      </c>
      <c r="AS61" s="66">
        <v>0.22</v>
      </c>
      <c r="AT61" s="66">
        <v>0.35</v>
      </c>
      <c r="AU61" s="66">
        <v>0.27</v>
      </c>
      <c r="AV61" s="66">
        <v>0.31</v>
      </c>
      <c r="AW61" s="349">
        <v>59</v>
      </c>
      <c r="AX61" s="348" t="s">
        <v>910</v>
      </c>
      <c r="AY61" s="349">
        <v>8</v>
      </c>
      <c r="AZ61" s="348" t="s">
        <v>910</v>
      </c>
      <c r="BA61" s="371">
        <v>0</v>
      </c>
      <c r="BB61" s="371">
        <v>0.1</v>
      </c>
      <c r="BC61" s="371">
        <v>0.76</v>
      </c>
      <c r="BD61" s="371">
        <v>0.14000000000000001</v>
      </c>
      <c r="BE61" s="371">
        <v>0.35</v>
      </c>
      <c r="BF61" s="371">
        <v>0.3</v>
      </c>
      <c r="BG61" s="371">
        <v>0.44</v>
      </c>
      <c r="BH61" s="469">
        <v>60</v>
      </c>
      <c r="BI61" s="471" t="s">
        <v>910</v>
      </c>
      <c r="BJ61" s="469">
        <v>8</v>
      </c>
      <c r="BK61" s="471" t="s">
        <v>910</v>
      </c>
      <c r="BL61" s="501">
        <v>0</v>
      </c>
      <c r="BM61" s="501">
        <v>0.15</v>
      </c>
      <c r="BN61" s="501">
        <v>0.5</v>
      </c>
      <c r="BO61" s="501">
        <v>0.35</v>
      </c>
      <c r="BP61" s="501">
        <v>0.35</v>
      </c>
      <c r="BQ61" s="501">
        <v>0.26</v>
      </c>
      <c r="BR61" s="501">
        <v>0.35</v>
      </c>
      <c r="BS61" s="630">
        <v>62</v>
      </c>
      <c r="BT61" s="640" t="s">
        <v>910</v>
      </c>
      <c r="BU61" s="630">
        <v>7</v>
      </c>
      <c r="BV61" s="640" t="s">
        <v>910</v>
      </c>
      <c r="BW61" s="644">
        <v>0</v>
      </c>
      <c r="BX61" s="644">
        <v>0</v>
      </c>
      <c r="BY61" s="644">
        <v>0.44</v>
      </c>
      <c r="BZ61" s="644">
        <v>0.56000000000000005</v>
      </c>
      <c r="CA61" s="644">
        <v>0.26</v>
      </c>
      <c r="CB61" s="644">
        <v>0.32</v>
      </c>
      <c r="CC61" s="644">
        <v>0.35</v>
      </c>
    </row>
    <row r="62" spans="1:81" ht="24.9" customHeight="1" x14ac:dyDescent="0.25">
      <c r="A62" s="188" t="s">
        <v>186</v>
      </c>
      <c r="B62" s="1" t="s">
        <v>222</v>
      </c>
      <c r="C62" s="2">
        <v>1</v>
      </c>
      <c r="D62" s="16">
        <v>51</v>
      </c>
      <c r="E62" s="16">
        <v>8</v>
      </c>
      <c r="F62" s="96">
        <v>0</v>
      </c>
      <c r="G62" s="96">
        <v>0.54</v>
      </c>
      <c r="H62" s="96">
        <v>0.46</v>
      </c>
      <c r="I62" s="96">
        <v>0</v>
      </c>
      <c r="J62" s="96">
        <v>0.47</v>
      </c>
      <c r="K62" s="96">
        <v>0.53</v>
      </c>
      <c r="L62" s="96">
        <v>0.62</v>
      </c>
      <c r="M62" s="34">
        <v>51</v>
      </c>
      <c r="N62" s="34">
        <v>7</v>
      </c>
      <c r="O62" s="92">
        <v>0</v>
      </c>
      <c r="P62" s="92">
        <v>0.6</v>
      </c>
      <c r="Q62" s="92">
        <v>0.4</v>
      </c>
      <c r="R62" s="92">
        <v>0</v>
      </c>
      <c r="S62" s="92">
        <v>0.53</v>
      </c>
      <c r="T62" s="92">
        <v>0.53</v>
      </c>
      <c r="U62" s="92">
        <v>0.5</v>
      </c>
      <c r="V62" s="34">
        <v>51</v>
      </c>
      <c r="W62" s="34">
        <v>8</v>
      </c>
      <c r="X62" s="99">
        <v>0.05</v>
      </c>
      <c r="Y62" s="99">
        <v>0.32</v>
      </c>
      <c r="Z62" s="99">
        <v>0.63</v>
      </c>
      <c r="AA62" s="99">
        <v>0</v>
      </c>
      <c r="AB62" s="99">
        <v>0.46</v>
      </c>
      <c r="AC62" s="99">
        <v>0.54</v>
      </c>
      <c r="AD62" s="99">
        <v>0.56000000000000005</v>
      </c>
      <c r="AE62" s="16">
        <v>48</v>
      </c>
      <c r="AF62" s="16">
        <v>8</v>
      </c>
      <c r="AG62" s="96">
        <v>0.06</v>
      </c>
      <c r="AH62" s="96">
        <v>0.65</v>
      </c>
      <c r="AI62" s="96">
        <v>0.28999999999999998</v>
      </c>
      <c r="AJ62" s="96">
        <v>0</v>
      </c>
      <c r="AK62" s="96">
        <v>0.56999999999999995</v>
      </c>
      <c r="AL62" s="96">
        <v>0.44</v>
      </c>
      <c r="AM62" s="96">
        <v>0.52</v>
      </c>
      <c r="AN62" s="61">
        <v>51</v>
      </c>
      <c r="AO62" s="61">
        <v>7</v>
      </c>
      <c r="AP62" s="66">
        <v>0</v>
      </c>
      <c r="AQ62" s="66">
        <v>0.35</v>
      </c>
      <c r="AR62" s="66">
        <v>0.65</v>
      </c>
      <c r="AS62" s="66">
        <v>0</v>
      </c>
      <c r="AT62" s="66">
        <v>0.53</v>
      </c>
      <c r="AU62" s="66">
        <v>0.37</v>
      </c>
      <c r="AV62" s="66">
        <v>0.45</v>
      </c>
      <c r="AW62" s="349">
        <v>51</v>
      </c>
      <c r="AX62" s="348" t="s">
        <v>910</v>
      </c>
      <c r="AY62" s="349">
        <v>6</v>
      </c>
      <c r="AZ62" s="348" t="s">
        <v>910</v>
      </c>
      <c r="BA62" s="371">
        <v>0</v>
      </c>
      <c r="BB62" s="371">
        <v>0.44</v>
      </c>
      <c r="BC62" s="371">
        <v>0.56000000000000005</v>
      </c>
      <c r="BD62" s="371">
        <v>0</v>
      </c>
      <c r="BE62" s="371">
        <v>0.46</v>
      </c>
      <c r="BF62" s="371">
        <v>0.37</v>
      </c>
      <c r="BG62" s="371">
        <v>0.64</v>
      </c>
      <c r="BH62" s="469">
        <v>51</v>
      </c>
      <c r="BI62" s="471" t="s">
        <v>910</v>
      </c>
      <c r="BJ62" s="469">
        <v>8</v>
      </c>
      <c r="BK62" s="471" t="s">
        <v>910</v>
      </c>
      <c r="BL62" s="501">
        <v>0</v>
      </c>
      <c r="BM62" s="501">
        <v>0.5</v>
      </c>
      <c r="BN62" s="501">
        <v>0.5</v>
      </c>
      <c r="BO62" s="501">
        <v>0</v>
      </c>
      <c r="BP62" s="501">
        <v>0.56000000000000005</v>
      </c>
      <c r="BQ62" s="501">
        <v>0.4</v>
      </c>
      <c r="BR62" s="501">
        <v>0.51</v>
      </c>
      <c r="BS62" s="630">
        <v>54</v>
      </c>
      <c r="BT62" s="640" t="s">
        <v>910</v>
      </c>
      <c r="BU62" s="630">
        <v>4</v>
      </c>
      <c r="BV62" s="640" t="s">
        <v>912</v>
      </c>
      <c r="BW62" s="644">
        <v>0</v>
      </c>
      <c r="BX62" s="644">
        <v>0.38</v>
      </c>
      <c r="BY62" s="644">
        <v>0.63</v>
      </c>
      <c r="BZ62" s="644">
        <v>0</v>
      </c>
      <c r="CA62" s="644">
        <v>0.4</v>
      </c>
      <c r="CB62" s="644">
        <v>0.5</v>
      </c>
      <c r="CC62" s="644">
        <v>0.51</v>
      </c>
    </row>
    <row r="63" spans="1:81" ht="24.9" customHeight="1" x14ac:dyDescent="0.25">
      <c r="A63" s="188" t="s">
        <v>162</v>
      </c>
      <c r="B63" s="1" t="s">
        <v>222</v>
      </c>
      <c r="C63" s="2">
        <v>4</v>
      </c>
      <c r="D63" s="16">
        <v>54</v>
      </c>
      <c r="E63" s="16">
        <v>9</v>
      </c>
      <c r="F63" s="96">
        <v>0.02</v>
      </c>
      <c r="G63" s="96">
        <v>0.37</v>
      </c>
      <c r="H63" s="96">
        <v>0.49</v>
      </c>
      <c r="I63" s="96">
        <v>0.12</v>
      </c>
      <c r="J63" s="96">
        <v>0.46</v>
      </c>
      <c r="K63" s="96">
        <v>0.47</v>
      </c>
      <c r="L63" s="96">
        <v>0.54</v>
      </c>
      <c r="M63" s="34">
        <v>53</v>
      </c>
      <c r="N63" s="34">
        <v>7</v>
      </c>
      <c r="O63" s="92">
        <v>0.05</v>
      </c>
      <c r="P63" s="92">
        <v>0.23</v>
      </c>
      <c r="Q63" s="92">
        <v>0.72</v>
      </c>
      <c r="R63" s="92">
        <v>0</v>
      </c>
      <c r="S63" s="92">
        <v>0.46</v>
      </c>
      <c r="T63" s="92">
        <v>0.5</v>
      </c>
      <c r="U63" s="92">
        <v>0.47</v>
      </c>
      <c r="V63" s="34">
        <v>54</v>
      </c>
      <c r="W63" s="34">
        <v>7</v>
      </c>
      <c r="X63" s="99">
        <v>0</v>
      </c>
      <c r="Y63" s="99">
        <v>0.35</v>
      </c>
      <c r="Z63" s="99">
        <v>0.56000000000000005</v>
      </c>
      <c r="AA63" s="99">
        <v>0.09</v>
      </c>
      <c r="AB63" s="99">
        <v>0.41</v>
      </c>
      <c r="AC63" s="99">
        <v>0.5</v>
      </c>
      <c r="AD63" s="99">
        <v>0.51</v>
      </c>
      <c r="AE63" s="16">
        <v>54</v>
      </c>
      <c r="AF63" s="16">
        <v>9</v>
      </c>
      <c r="AG63" s="96">
        <v>0.03</v>
      </c>
      <c r="AH63" s="96">
        <v>0.32</v>
      </c>
      <c r="AI63" s="96">
        <v>0.56999999999999995</v>
      </c>
      <c r="AJ63" s="96">
        <v>0.08</v>
      </c>
      <c r="AK63" s="96">
        <v>0.43</v>
      </c>
      <c r="AL63" s="96">
        <v>0.34</v>
      </c>
      <c r="AM63" s="96">
        <v>0.41</v>
      </c>
      <c r="AN63" s="61">
        <v>53</v>
      </c>
      <c r="AO63" s="61">
        <v>9</v>
      </c>
      <c r="AP63" s="66">
        <v>0.02</v>
      </c>
      <c r="AQ63" s="66">
        <v>0.37</v>
      </c>
      <c r="AR63" s="66">
        <v>0.51</v>
      </c>
      <c r="AS63" s="66">
        <v>0.1</v>
      </c>
      <c r="AT63" s="66">
        <v>0.48</v>
      </c>
      <c r="AU63" s="66">
        <v>0.39</v>
      </c>
      <c r="AV63" s="66">
        <v>0.42</v>
      </c>
      <c r="AW63" s="349">
        <v>55</v>
      </c>
      <c r="AX63" s="348" t="s">
        <v>910</v>
      </c>
      <c r="AY63" s="349">
        <v>9</v>
      </c>
      <c r="AZ63" s="348" t="s">
        <v>910</v>
      </c>
      <c r="BA63" s="371">
        <v>0</v>
      </c>
      <c r="BB63" s="371">
        <v>0.3</v>
      </c>
      <c r="BC63" s="371">
        <v>0.63</v>
      </c>
      <c r="BD63" s="371">
        <v>0.08</v>
      </c>
      <c r="BE63" s="371">
        <v>0.43</v>
      </c>
      <c r="BF63" s="371">
        <v>0.36</v>
      </c>
      <c r="BG63" s="371">
        <v>0.51</v>
      </c>
      <c r="BH63" s="469">
        <v>55</v>
      </c>
      <c r="BI63" s="471" t="s">
        <v>910</v>
      </c>
      <c r="BJ63" s="469">
        <v>9</v>
      </c>
      <c r="BK63" s="471" t="s">
        <v>910</v>
      </c>
      <c r="BL63" s="501">
        <v>0</v>
      </c>
      <c r="BM63" s="501">
        <v>0.35</v>
      </c>
      <c r="BN63" s="501">
        <v>0.54</v>
      </c>
      <c r="BO63" s="501">
        <v>0.11</v>
      </c>
      <c r="BP63" s="501">
        <v>0.47</v>
      </c>
      <c r="BQ63" s="501">
        <v>0.31</v>
      </c>
      <c r="BR63" s="501">
        <v>0.44</v>
      </c>
      <c r="BS63" s="630">
        <v>55</v>
      </c>
      <c r="BT63" s="640" t="s">
        <v>910</v>
      </c>
      <c r="BU63" s="630">
        <v>8</v>
      </c>
      <c r="BV63" s="640" t="s">
        <v>910</v>
      </c>
      <c r="BW63" s="644">
        <v>0.05</v>
      </c>
      <c r="BX63" s="644">
        <v>0.19</v>
      </c>
      <c r="BY63" s="644">
        <v>0.74</v>
      </c>
      <c r="BZ63" s="644">
        <v>0.02</v>
      </c>
      <c r="CA63" s="644">
        <v>0.35</v>
      </c>
      <c r="CB63" s="644">
        <v>0.46</v>
      </c>
      <c r="CC63" s="644">
        <v>0.47</v>
      </c>
    </row>
    <row r="64" spans="1:81" ht="24.9" customHeight="1" x14ac:dyDescent="0.25">
      <c r="A64" s="188" t="s">
        <v>114</v>
      </c>
      <c r="B64" s="1" t="s">
        <v>222</v>
      </c>
      <c r="C64" s="2">
        <v>3</v>
      </c>
      <c r="D64" s="16">
        <v>55</v>
      </c>
      <c r="E64" s="16">
        <v>8</v>
      </c>
      <c r="F64" s="96">
        <v>0</v>
      </c>
      <c r="G64" s="96">
        <v>0.26</v>
      </c>
      <c r="H64" s="96">
        <v>0.66</v>
      </c>
      <c r="I64" s="96">
        <v>0.09</v>
      </c>
      <c r="J64" s="96">
        <v>0.35</v>
      </c>
      <c r="K64" s="96">
        <v>0.49</v>
      </c>
      <c r="L64" s="96">
        <v>0.5</v>
      </c>
      <c r="M64" s="34">
        <v>59</v>
      </c>
      <c r="N64" s="34">
        <v>7</v>
      </c>
      <c r="O64" s="92">
        <v>0</v>
      </c>
      <c r="P64" s="92">
        <v>0.11</v>
      </c>
      <c r="Q64" s="92">
        <v>0.75</v>
      </c>
      <c r="R64" s="92">
        <v>0.14000000000000001</v>
      </c>
      <c r="S64" s="92">
        <v>0.33</v>
      </c>
      <c r="T64" s="92">
        <v>0.39</v>
      </c>
      <c r="U64" s="92">
        <v>0.4</v>
      </c>
      <c r="V64" s="34">
        <v>58</v>
      </c>
      <c r="W64" s="34">
        <v>8</v>
      </c>
      <c r="X64" s="99">
        <v>0</v>
      </c>
      <c r="Y64" s="99">
        <v>0.22</v>
      </c>
      <c r="Z64" s="99">
        <v>0.57999999999999996</v>
      </c>
      <c r="AA64" s="99">
        <v>0.2</v>
      </c>
      <c r="AB64" s="99">
        <v>0.35</v>
      </c>
      <c r="AC64" s="99">
        <v>0.41</v>
      </c>
      <c r="AD64" s="99">
        <v>0.44</v>
      </c>
      <c r="AE64" s="16">
        <v>59</v>
      </c>
      <c r="AF64" s="16">
        <v>8</v>
      </c>
      <c r="AG64" s="96">
        <v>0</v>
      </c>
      <c r="AH64" s="96">
        <v>0.11</v>
      </c>
      <c r="AI64" s="96">
        <v>0.66</v>
      </c>
      <c r="AJ64" s="96">
        <v>0.23</v>
      </c>
      <c r="AK64" s="96">
        <v>0.33</v>
      </c>
      <c r="AL64" s="96">
        <v>0.27</v>
      </c>
      <c r="AM64" s="96">
        <v>0.33</v>
      </c>
      <c r="AN64" s="61">
        <v>59</v>
      </c>
      <c r="AO64" s="61">
        <v>8</v>
      </c>
      <c r="AP64" s="66">
        <v>0</v>
      </c>
      <c r="AQ64" s="66">
        <v>0.16</v>
      </c>
      <c r="AR64" s="66">
        <v>0.66</v>
      </c>
      <c r="AS64" s="66">
        <v>0.18</v>
      </c>
      <c r="AT64" s="66">
        <v>0.36</v>
      </c>
      <c r="AU64" s="66">
        <v>0.31</v>
      </c>
      <c r="AV64" s="66">
        <v>0.33</v>
      </c>
      <c r="AW64" s="349">
        <v>59</v>
      </c>
      <c r="AX64" s="348" t="s">
        <v>910</v>
      </c>
      <c r="AY64" s="349">
        <v>10</v>
      </c>
      <c r="AZ64" s="348" t="s">
        <v>910</v>
      </c>
      <c r="BA64" s="371">
        <v>0</v>
      </c>
      <c r="BB64" s="371">
        <v>0.23</v>
      </c>
      <c r="BC64" s="371">
        <v>0.55000000000000004</v>
      </c>
      <c r="BD64" s="371">
        <v>0.22</v>
      </c>
      <c r="BE64" s="371">
        <v>0.36</v>
      </c>
      <c r="BF64" s="371">
        <v>0.27</v>
      </c>
      <c r="BG64" s="371">
        <v>0.46</v>
      </c>
      <c r="BH64" s="469">
        <v>60</v>
      </c>
      <c r="BI64" s="471" t="s">
        <v>910</v>
      </c>
      <c r="BJ64" s="469">
        <v>8</v>
      </c>
      <c r="BK64" s="471" t="s">
        <v>910</v>
      </c>
      <c r="BL64" s="501">
        <v>0</v>
      </c>
      <c r="BM64" s="501">
        <v>0.15</v>
      </c>
      <c r="BN64" s="501">
        <v>0.57999999999999996</v>
      </c>
      <c r="BO64" s="501">
        <v>0.27</v>
      </c>
      <c r="BP64" s="501">
        <v>0.38</v>
      </c>
      <c r="BQ64" s="501">
        <v>0.25</v>
      </c>
      <c r="BR64" s="501">
        <v>0.34</v>
      </c>
      <c r="BS64" s="630">
        <v>60</v>
      </c>
      <c r="BT64" s="640" t="s">
        <v>910</v>
      </c>
      <c r="BU64" s="630">
        <v>7</v>
      </c>
      <c r="BV64" s="640" t="s">
        <v>910</v>
      </c>
      <c r="BW64" s="644">
        <v>0</v>
      </c>
      <c r="BX64" s="644">
        <v>0.08</v>
      </c>
      <c r="BY64" s="644">
        <v>0.64</v>
      </c>
      <c r="BZ64" s="644">
        <v>0.28000000000000003</v>
      </c>
      <c r="CA64" s="644">
        <v>0.28999999999999998</v>
      </c>
      <c r="CB64" s="644">
        <v>0.35</v>
      </c>
      <c r="CC64" s="644">
        <v>0.4</v>
      </c>
    </row>
    <row r="65" spans="1:81" ht="24.9" customHeight="1" x14ac:dyDescent="0.25">
      <c r="A65" s="188" t="s">
        <v>128</v>
      </c>
      <c r="B65" s="1" t="s">
        <v>222</v>
      </c>
      <c r="C65" s="2">
        <v>5</v>
      </c>
      <c r="D65" s="16">
        <v>57</v>
      </c>
      <c r="E65" s="16">
        <v>8</v>
      </c>
      <c r="F65" s="96">
        <v>0</v>
      </c>
      <c r="G65" s="96">
        <v>0.17</v>
      </c>
      <c r="H65" s="96">
        <v>0.67</v>
      </c>
      <c r="I65" s="96">
        <v>0.17</v>
      </c>
      <c r="J65" s="96">
        <v>0.35</v>
      </c>
      <c r="K65" s="96">
        <v>0.39</v>
      </c>
      <c r="L65" s="96">
        <v>0.46</v>
      </c>
      <c r="M65" s="34">
        <v>56</v>
      </c>
      <c r="N65" s="34">
        <v>7</v>
      </c>
      <c r="O65" s="92">
        <v>0</v>
      </c>
      <c r="P65" s="92">
        <v>0.22</v>
      </c>
      <c r="Q65" s="92">
        <v>0.61</v>
      </c>
      <c r="R65" s="92">
        <v>0.17</v>
      </c>
      <c r="S65" s="92">
        <v>0.39</v>
      </c>
      <c r="T65" s="92">
        <v>0.42</v>
      </c>
      <c r="U65" s="92">
        <v>0.44</v>
      </c>
      <c r="V65" s="34">
        <v>57</v>
      </c>
      <c r="W65" s="34">
        <v>9</v>
      </c>
      <c r="X65" s="99">
        <v>0.03</v>
      </c>
      <c r="Y65" s="99">
        <v>0.17</v>
      </c>
      <c r="Z65" s="99">
        <v>0.62</v>
      </c>
      <c r="AA65" s="99">
        <v>0.17</v>
      </c>
      <c r="AB65" s="99">
        <v>0.37</v>
      </c>
      <c r="AC65" s="99">
        <v>0.47</v>
      </c>
      <c r="AD65" s="99">
        <v>0.42</v>
      </c>
      <c r="AE65" s="16">
        <v>58</v>
      </c>
      <c r="AF65" s="16">
        <v>9</v>
      </c>
      <c r="AG65" s="96">
        <v>0</v>
      </c>
      <c r="AH65" s="96">
        <v>0.28000000000000003</v>
      </c>
      <c r="AI65" s="96">
        <v>0.5</v>
      </c>
      <c r="AJ65" s="96">
        <v>0.22</v>
      </c>
      <c r="AK65" s="96">
        <v>0.26</v>
      </c>
      <c r="AL65" s="96">
        <v>0.38</v>
      </c>
      <c r="AM65" s="96">
        <v>0.39</v>
      </c>
      <c r="AN65" s="61">
        <v>56</v>
      </c>
      <c r="AO65" s="61">
        <v>4</v>
      </c>
      <c r="AP65" s="66">
        <v>0</v>
      </c>
      <c r="AQ65" s="66">
        <v>0.1</v>
      </c>
      <c r="AR65" s="66">
        <v>0.9</v>
      </c>
      <c r="AS65" s="66">
        <v>0</v>
      </c>
      <c r="AT65" s="66">
        <v>0.43</v>
      </c>
      <c r="AU65" s="66">
        <v>0.36</v>
      </c>
      <c r="AV65" s="66">
        <v>0.37</v>
      </c>
      <c r="AW65" s="349">
        <v>56</v>
      </c>
      <c r="AX65" s="348" t="s">
        <v>910</v>
      </c>
      <c r="AY65" s="349">
        <v>12</v>
      </c>
      <c r="AZ65" s="348" t="s">
        <v>910</v>
      </c>
      <c r="BA65" s="371">
        <v>0</v>
      </c>
      <c r="BB65" s="371">
        <v>0.25</v>
      </c>
      <c r="BC65" s="371">
        <v>0.45</v>
      </c>
      <c r="BD65" s="371">
        <v>0.3</v>
      </c>
      <c r="BE65" s="371">
        <v>0.4</v>
      </c>
      <c r="BF65" s="371">
        <v>0.33</v>
      </c>
      <c r="BG65" s="371">
        <v>0.49</v>
      </c>
      <c r="BH65" s="469">
        <v>57</v>
      </c>
      <c r="BI65" s="471" t="s">
        <v>910</v>
      </c>
      <c r="BJ65" s="469">
        <v>8</v>
      </c>
      <c r="BK65" s="471" t="s">
        <v>910</v>
      </c>
      <c r="BL65" s="501">
        <v>0.04</v>
      </c>
      <c r="BM65" s="501">
        <v>0.11</v>
      </c>
      <c r="BN65" s="501">
        <v>0.68</v>
      </c>
      <c r="BO65" s="501">
        <v>0.18</v>
      </c>
      <c r="BP65" s="501">
        <v>0.41</v>
      </c>
      <c r="BQ65" s="501">
        <v>0.3</v>
      </c>
      <c r="BR65" s="501">
        <v>0.37</v>
      </c>
      <c r="BS65" s="630">
        <v>57</v>
      </c>
      <c r="BT65" s="640" t="s">
        <v>910</v>
      </c>
      <c r="BU65" s="630">
        <v>7</v>
      </c>
      <c r="BV65" s="640" t="s">
        <v>910</v>
      </c>
      <c r="BW65" s="644">
        <v>0</v>
      </c>
      <c r="BX65" s="644">
        <v>0.19</v>
      </c>
      <c r="BY65" s="644">
        <v>0.67</v>
      </c>
      <c r="BZ65" s="644">
        <v>0.15</v>
      </c>
      <c r="CA65" s="644">
        <v>0.32</v>
      </c>
      <c r="CB65" s="644">
        <v>0.39</v>
      </c>
      <c r="CC65" s="644">
        <v>0.43</v>
      </c>
    </row>
    <row r="66" spans="1:81" ht="24.9" customHeight="1" x14ac:dyDescent="0.25">
      <c r="A66" s="188" t="s">
        <v>160</v>
      </c>
      <c r="B66" s="1" t="s">
        <v>222</v>
      </c>
      <c r="C66" s="2">
        <v>3</v>
      </c>
      <c r="D66" s="16">
        <v>56</v>
      </c>
      <c r="E66" s="16">
        <v>8</v>
      </c>
      <c r="F66" s="96">
        <v>0</v>
      </c>
      <c r="G66" s="96">
        <v>0.26</v>
      </c>
      <c r="H66" s="96">
        <v>0.66</v>
      </c>
      <c r="I66" s="96">
        <v>0.08</v>
      </c>
      <c r="J66" s="96">
        <v>0.39</v>
      </c>
      <c r="K66" s="96">
        <v>0.46</v>
      </c>
      <c r="L66" s="96">
        <v>0.48</v>
      </c>
      <c r="M66" s="34">
        <v>57</v>
      </c>
      <c r="N66" s="34">
        <v>7</v>
      </c>
      <c r="O66" s="92">
        <v>0</v>
      </c>
      <c r="P66" s="92">
        <v>0.17</v>
      </c>
      <c r="Q66" s="92">
        <v>0.7</v>
      </c>
      <c r="R66" s="92">
        <v>0.13</v>
      </c>
      <c r="S66" s="92">
        <v>0.42</v>
      </c>
      <c r="T66" s="92">
        <v>0.39</v>
      </c>
      <c r="U66" s="92">
        <v>0.41</v>
      </c>
      <c r="V66" s="34">
        <v>64</v>
      </c>
      <c r="W66" s="34">
        <v>6</v>
      </c>
      <c r="X66" s="99">
        <v>0</v>
      </c>
      <c r="Y66" s="99">
        <v>0</v>
      </c>
      <c r="Z66" s="99">
        <v>0.56000000000000005</v>
      </c>
      <c r="AA66" s="99">
        <v>0.44</v>
      </c>
      <c r="AB66" s="99">
        <v>0.24</v>
      </c>
      <c r="AC66" s="99">
        <v>0.33</v>
      </c>
      <c r="AD66" s="99">
        <v>0.34</v>
      </c>
      <c r="AE66" s="16">
        <v>59</v>
      </c>
      <c r="AF66" s="16">
        <v>7</v>
      </c>
      <c r="AG66" s="96">
        <v>0</v>
      </c>
      <c r="AH66" s="96">
        <v>0.15</v>
      </c>
      <c r="AI66" s="96">
        <v>0.62</v>
      </c>
      <c r="AJ66" s="96">
        <v>0.23</v>
      </c>
      <c r="AK66" s="96">
        <v>0.33</v>
      </c>
      <c r="AL66" s="96">
        <v>0.26</v>
      </c>
      <c r="AM66" s="96">
        <v>0.36</v>
      </c>
      <c r="AN66" s="61">
        <v>57</v>
      </c>
      <c r="AO66" s="61">
        <v>6</v>
      </c>
      <c r="AP66" s="66">
        <v>0</v>
      </c>
      <c r="AQ66" s="66">
        <v>0.16</v>
      </c>
      <c r="AR66" s="66">
        <v>0.79</v>
      </c>
      <c r="AS66" s="66">
        <v>0.05</v>
      </c>
      <c r="AT66" s="66">
        <v>0.39</v>
      </c>
      <c r="AU66" s="66">
        <v>0.3</v>
      </c>
      <c r="AV66" s="66">
        <v>0.35</v>
      </c>
      <c r="AW66" s="349">
        <v>60</v>
      </c>
      <c r="AX66" s="348" t="s">
        <v>910</v>
      </c>
      <c r="AY66" s="349">
        <v>9</v>
      </c>
      <c r="AZ66" s="348" t="s">
        <v>910</v>
      </c>
      <c r="BA66" s="371">
        <v>0</v>
      </c>
      <c r="BB66" s="371">
        <v>0.15</v>
      </c>
      <c r="BC66" s="371">
        <v>0.65</v>
      </c>
      <c r="BD66" s="371">
        <v>0.21</v>
      </c>
      <c r="BE66" s="371">
        <v>0.33</v>
      </c>
      <c r="BF66" s="371">
        <v>0.27</v>
      </c>
      <c r="BG66" s="371">
        <v>0.42</v>
      </c>
      <c r="BH66" s="469">
        <v>63</v>
      </c>
      <c r="BI66" s="471" t="s">
        <v>911</v>
      </c>
      <c r="BJ66" s="469">
        <v>8</v>
      </c>
      <c r="BK66" s="471" t="s">
        <v>910</v>
      </c>
      <c r="BL66" s="501">
        <v>0</v>
      </c>
      <c r="BM66" s="501">
        <v>0.08</v>
      </c>
      <c r="BN66" s="501">
        <v>0.55000000000000004</v>
      </c>
      <c r="BO66" s="501">
        <v>0.37</v>
      </c>
      <c r="BP66" s="501">
        <v>0.31</v>
      </c>
      <c r="BQ66" s="501">
        <v>0.24</v>
      </c>
      <c r="BR66" s="501">
        <v>0.27</v>
      </c>
      <c r="BS66" s="630">
        <v>61</v>
      </c>
      <c r="BT66" s="640" t="s">
        <v>910</v>
      </c>
      <c r="BU66" s="630">
        <v>7</v>
      </c>
      <c r="BV66" s="640" t="s">
        <v>910</v>
      </c>
      <c r="BW66" s="644">
        <v>0</v>
      </c>
      <c r="BX66" s="644">
        <v>0.02</v>
      </c>
      <c r="BY66" s="644">
        <v>0.67</v>
      </c>
      <c r="BZ66" s="644">
        <v>0.31</v>
      </c>
      <c r="CA66" s="644">
        <v>0.24</v>
      </c>
      <c r="CB66" s="644">
        <v>0.37</v>
      </c>
      <c r="CC66" s="644">
        <v>0.34</v>
      </c>
    </row>
    <row r="67" spans="1:81" ht="24.9" customHeight="1" x14ac:dyDescent="0.25">
      <c r="A67" s="188" t="s">
        <v>59</v>
      </c>
      <c r="B67" s="1" t="s">
        <v>222</v>
      </c>
      <c r="C67" s="2">
        <v>1</v>
      </c>
      <c r="D67" s="16">
        <v>55</v>
      </c>
      <c r="E67" s="16">
        <v>7</v>
      </c>
      <c r="F67" s="96">
        <v>0</v>
      </c>
      <c r="G67" s="96">
        <v>0.39</v>
      </c>
      <c r="H67" s="96">
        <v>0.56000000000000005</v>
      </c>
      <c r="I67" s="96">
        <v>0.06</v>
      </c>
      <c r="J67" s="96">
        <v>0.42</v>
      </c>
      <c r="K67" s="96">
        <v>0.47</v>
      </c>
      <c r="L67" s="96">
        <v>0.52</v>
      </c>
      <c r="M67" s="34">
        <v>50</v>
      </c>
      <c r="N67" s="34">
        <v>7</v>
      </c>
      <c r="O67" s="92">
        <v>0.03</v>
      </c>
      <c r="P67" s="92">
        <v>0.43</v>
      </c>
      <c r="Q67" s="92">
        <v>0.5</v>
      </c>
      <c r="R67" s="92">
        <v>0.03</v>
      </c>
      <c r="S67" s="92">
        <v>0.55000000000000004</v>
      </c>
      <c r="T67" s="92">
        <v>0.54</v>
      </c>
      <c r="U67" s="92">
        <v>0.5</v>
      </c>
      <c r="V67" s="34">
        <v>50</v>
      </c>
      <c r="W67" s="34">
        <v>7</v>
      </c>
      <c r="X67" s="99">
        <v>0.05</v>
      </c>
      <c r="Y67" s="99">
        <v>0.5</v>
      </c>
      <c r="Z67" s="99">
        <v>0.41</v>
      </c>
      <c r="AA67" s="99">
        <v>0.05</v>
      </c>
      <c r="AB67" s="99">
        <v>0.52</v>
      </c>
      <c r="AC67" s="99">
        <v>0.53</v>
      </c>
      <c r="AD67" s="99">
        <v>0.56999999999999995</v>
      </c>
      <c r="AE67" s="16">
        <v>52</v>
      </c>
      <c r="AF67" s="16">
        <v>9</v>
      </c>
      <c r="AG67" s="96">
        <v>0</v>
      </c>
      <c r="AH67" s="96">
        <v>0.42</v>
      </c>
      <c r="AI67" s="96">
        <v>0.5</v>
      </c>
      <c r="AJ67" s="96">
        <v>0.08</v>
      </c>
      <c r="AK67" s="96">
        <v>0.44</v>
      </c>
      <c r="AL67" s="96">
        <v>0.39</v>
      </c>
      <c r="AM67" s="96">
        <v>0.48</v>
      </c>
      <c r="AN67" s="61">
        <v>49</v>
      </c>
      <c r="AO67" s="61">
        <v>8</v>
      </c>
      <c r="AP67" s="66">
        <v>0.04</v>
      </c>
      <c r="AQ67" s="66">
        <v>0.44</v>
      </c>
      <c r="AR67" s="66">
        <v>0.48</v>
      </c>
      <c r="AS67" s="66">
        <v>0.04</v>
      </c>
      <c r="AT67" s="66">
        <v>0.53</v>
      </c>
      <c r="AU67" s="66">
        <v>0.47</v>
      </c>
      <c r="AV67" s="66">
        <v>0.55000000000000004</v>
      </c>
      <c r="AW67" s="349">
        <v>53</v>
      </c>
      <c r="AX67" s="348" t="s">
        <v>910</v>
      </c>
      <c r="AY67" s="349">
        <v>10</v>
      </c>
      <c r="AZ67" s="348" t="s">
        <v>910</v>
      </c>
      <c r="BA67" s="371">
        <v>0</v>
      </c>
      <c r="BB67" s="371">
        <v>0.48</v>
      </c>
      <c r="BC67" s="371">
        <v>0.33</v>
      </c>
      <c r="BD67" s="371">
        <v>0.19</v>
      </c>
      <c r="BE67" s="371">
        <v>0.47</v>
      </c>
      <c r="BF67" s="371">
        <v>0.36</v>
      </c>
      <c r="BG67" s="371">
        <v>0.53</v>
      </c>
      <c r="BH67" s="469">
        <v>50</v>
      </c>
      <c r="BI67" s="471" t="s">
        <v>910</v>
      </c>
      <c r="BJ67" s="469">
        <v>10</v>
      </c>
      <c r="BK67" s="471" t="s">
        <v>910</v>
      </c>
      <c r="BL67" s="501">
        <v>0.04</v>
      </c>
      <c r="BM67" s="501">
        <v>0.43</v>
      </c>
      <c r="BN67" s="501">
        <v>0.39</v>
      </c>
      <c r="BO67" s="501">
        <v>0.14000000000000001</v>
      </c>
      <c r="BP67" s="501">
        <v>0.51</v>
      </c>
      <c r="BQ67" s="501">
        <v>0.4</v>
      </c>
      <c r="BR67" s="501">
        <v>0.55000000000000004</v>
      </c>
      <c r="BS67" s="630">
        <v>52</v>
      </c>
      <c r="BT67" s="640" t="s">
        <v>910</v>
      </c>
      <c r="BU67" s="630">
        <v>9</v>
      </c>
      <c r="BV67" s="640" t="s">
        <v>910</v>
      </c>
      <c r="BW67" s="644">
        <v>0.05</v>
      </c>
      <c r="BX67" s="644">
        <v>0.27</v>
      </c>
      <c r="BY67" s="644">
        <v>0.64</v>
      </c>
      <c r="BZ67" s="644">
        <v>0.05</v>
      </c>
      <c r="CA67" s="644">
        <v>0.38</v>
      </c>
      <c r="CB67" s="644">
        <v>0.51</v>
      </c>
      <c r="CC67" s="644">
        <v>0.53</v>
      </c>
    </row>
    <row r="68" spans="1:81" ht="24.9" customHeight="1" x14ac:dyDescent="0.25">
      <c r="A68" s="188" t="s">
        <v>132</v>
      </c>
      <c r="B68" s="1" t="s">
        <v>222</v>
      </c>
      <c r="C68" s="2">
        <v>3</v>
      </c>
      <c r="D68" s="16">
        <v>58</v>
      </c>
      <c r="E68" s="16">
        <v>9</v>
      </c>
      <c r="F68" s="96">
        <v>0</v>
      </c>
      <c r="G68" s="96">
        <v>0.21</v>
      </c>
      <c r="H68" s="96">
        <v>0.56000000000000005</v>
      </c>
      <c r="I68" s="96">
        <v>0.24</v>
      </c>
      <c r="J68" s="96">
        <v>0.36</v>
      </c>
      <c r="K68" s="96">
        <v>0.41</v>
      </c>
      <c r="L68" s="96">
        <v>0.45</v>
      </c>
      <c r="M68" s="34">
        <v>57</v>
      </c>
      <c r="N68" s="34">
        <v>8</v>
      </c>
      <c r="O68" s="92">
        <v>0</v>
      </c>
      <c r="P68" s="92">
        <v>0.23</v>
      </c>
      <c r="Q68" s="92">
        <v>0.6</v>
      </c>
      <c r="R68" s="92">
        <v>0.18</v>
      </c>
      <c r="S68" s="92">
        <v>0.4</v>
      </c>
      <c r="T68" s="92">
        <v>0.43</v>
      </c>
      <c r="U68" s="92">
        <v>0.39</v>
      </c>
      <c r="V68" s="34">
        <v>59</v>
      </c>
      <c r="W68" s="34">
        <v>8</v>
      </c>
      <c r="X68" s="99">
        <v>0</v>
      </c>
      <c r="Y68" s="99">
        <v>0.16</v>
      </c>
      <c r="Z68" s="99">
        <v>0.57999999999999996</v>
      </c>
      <c r="AA68" s="99">
        <v>0.26</v>
      </c>
      <c r="AB68" s="99">
        <v>0.34</v>
      </c>
      <c r="AC68" s="99">
        <v>0.42</v>
      </c>
      <c r="AD68" s="99">
        <v>0.45</v>
      </c>
      <c r="AE68" s="16">
        <v>56</v>
      </c>
      <c r="AF68" s="16">
        <v>8</v>
      </c>
      <c r="AG68" s="96">
        <v>0.02</v>
      </c>
      <c r="AH68" s="96">
        <v>0.14000000000000001</v>
      </c>
      <c r="AI68" s="96">
        <v>0.75</v>
      </c>
      <c r="AJ68" s="96">
        <v>0.1</v>
      </c>
      <c r="AK68" s="96">
        <v>0.39</v>
      </c>
      <c r="AL68" s="96">
        <v>0.35</v>
      </c>
      <c r="AM68" s="96">
        <v>0.36</v>
      </c>
      <c r="AN68" s="61">
        <v>57</v>
      </c>
      <c r="AO68" s="61">
        <v>7</v>
      </c>
      <c r="AP68" s="66">
        <v>0</v>
      </c>
      <c r="AQ68" s="66">
        <v>0.16</v>
      </c>
      <c r="AR68" s="66">
        <v>0.76</v>
      </c>
      <c r="AS68" s="66">
        <v>0.08</v>
      </c>
      <c r="AT68" s="66">
        <v>0.41</v>
      </c>
      <c r="AU68" s="66">
        <v>0.3</v>
      </c>
      <c r="AV68" s="66">
        <v>0.33</v>
      </c>
      <c r="AW68" s="349">
        <v>57</v>
      </c>
      <c r="AX68" s="348" t="s">
        <v>910</v>
      </c>
      <c r="AY68" s="349">
        <v>10</v>
      </c>
      <c r="AZ68" s="348" t="s">
        <v>910</v>
      </c>
      <c r="BA68" s="371">
        <v>0.03</v>
      </c>
      <c r="BB68" s="371">
        <v>0.26</v>
      </c>
      <c r="BC68" s="371">
        <v>0.54</v>
      </c>
      <c r="BD68" s="371">
        <v>0.17</v>
      </c>
      <c r="BE68" s="371">
        <v>0.38</v>
      </c>
      <c r="BF68" s="371">
        <v>0.3</v>
      </c>
      <c r="BG68" s="371">
        <v>0.48</v>
      </c>
      <c r="BH68" s="469">
        <v>62</v>
      </c>
      <c r="BI68" s="471" t="s">
        <v>910</v>
      </c>
      <c r="BJ68" s="469">
        <v>7</v>
      </c>
      <c r="BK68" s="471" t="s">
        <v>910</v>
      </c>
      <c r="BL68" s="501">
        <v>0</v>
      </c>
      <c r="BM68" s="501">
        <v>0.06</v>
      </c>
      <c r="BN68" s="501">
        <v>0.6</v>
      </c>
      <c r="BO68" s="501">
        <v>0.34</v>
      </c>
      <c r="BP68" s="501">
        <v>0.32</v>
      </c>
      <c r="BQ68" s="501">
        <v>0.22</v>
      </c>
      <c r="BR68" s="501">
        <v>0.24</v>
      </c>
      <c r="BS68" s="630">
        <v>60</v>
      </c>
      <c r="BT68" s="640" t="s">
        <v>910</v>
      </c>
      <c r="BU68" s="630">
        <v>7</v>
      </c>
      <c r="BV68" s="640" t="s">
        <v>910</v>
      </c>
      <c r="BW68" s="644">
        <v>0.02</v>
      </c>
      <c r="BX68" s="644">
        <v>0.05</v>
      </c>
      <c r="BY68" s="644">
        <v>0.74</v>
      </c>
      <c r="BZ68" s="644">
        <v>0.19</v>
      </c>
      <c r="CA68" s="644">
        <v>0.24</v>
      </c>
      <c r="CB68" s="644">
        <v>0.38</v>
      </c>
      <c r="CC68" s="644">
        <v>0.42</v>
      </c>
    </row>
    <row r="69" spans="1:81" ht="24.9" customHeight="1" x14ac:dyDescent="0.25">
      <c r="A69" s="188" t="s">
        <v>179</v>
      </c>
      <c r="B69" s="1" t="s">
        <v>222</v>
      </c>
      <c r="C69" s="2">
        <v>5</v>
      </c>
      <c r="D69" s="16">
        <v>54</v>
      </c>
      <c r="E69" s="16">
        <v>7</v>
      </c>
      <c r="F69" s="96">
        <v>0.01</v>
      </c>
      <c r="G69" s="96">
        <v>0.35</v>
      </c>
      <c r="H69" s="96">
        <v>0.57999999999999996</v>
      </c>
      <c r="I69" s="96">
        <v>0.06</v>
      </c>
      <c r="J69" s="96">
        <v>0.4</v>
      </c>
      <c r="K69" s="96">
        <v>0.48</v>
      </c>
      <c r="L69" s="96">
        <v>0.54</v>
      </c>
      <c r="M69" s="34">
        <v>56</v>
      </c>
      <c r="N69" s="34">
        <v>8</v>
      </c>
      <c r="O69" s="92">
        <v>0.01</v>
      </c>
      <c r="P69" s="92">
        <v>0.25</v>
      </c>
      <c r="Q69" s="92">
        <v>0.63</v>
      </c>
      <c r="R69" s="92">
        <v>0.11</v>
      </c>
      <c r="S69" s="92">
        <v>0.38</v>
      </c>
      <c r="T69" s="92">
        <v>0.44</v>
      </c>
      <c r="U69" s="92">
        <v>0.46</v>
      </c>
      <c r="V69" s="34">
        <v>55</v>
      </c>
      <c r="W69" s="34">
        <v>8</v>
      </c>
      <c r="X69" s="99">
        <v>0.01</v>
      </c>
      <c r="Y69" s="99">
        <v>0.3</v>
      </c>
      <c r="Z69" s="99">
        <v>0.62</v>
      </c>
      <c r="AA69" s="99">
        <v>7.0000000000000007E-2</v>
      </c>
      <c r="AB69" s="99">
        <v>0.4</v>
      </c>
      <c r="AC69" s="99">
        <v>0.44</v>
      </c>
      <c r="AD69" s="99">
        <v>0.5</v>
      </c>
      <c r="AE69" s="16">
        <v>56</v>
      </c>
      <c r="AF69" s="16">
        <v>8</v>
      </c>
      <c r="AG69" s="96">
        <v>0.02</v>
      </c>
      <c r="AH69" s="96">
        <v>0.23</v>
      </c>
      <c r="AI69" s="96">
        <v>0.6</v>
      </c>
      <c r="AJ69" s="96">
        <v>0.15</v>
      </c>
      <c r="AK69" s="96">
        <v>0.38</v>
      </c>
      <c r="AL69" s="96">
        <v>0.32</v>
      </c>
      <c r="AM69" s="96">
        <v>0.39</v>
      </c>
      <c r="AN69" s="61">
        <v>57</v>
      </c>
      <c r="AO69" s="61">
        <v>7</v>
      </c>
      <c r="AP69" s="66">
        <v>0</v>
      </c>
      <c r="AQ69" s="66">
        <v>0.15</v>
      </c>
      <c r="AR69" s="66">
        <v>0.75</v>
      </c>
      <c r="AS69" s="66">
        <v>0.1</v>
      </c>
      <c r="AT69" s="66">
        <v>0.42</v>
      </c>
      <c r="AU69" s="66">
        <v>0.31</v>
      </c>
      <c r="AV69" s="66">
        <v>0.37</v>
      </c>
      <c r="AW69" s="349">
        <v>56</v>
      </c>
      <c r="AX69" s="348" t="s">
        <v>910</v>
      </c>
      <c r="AY69" s="349">
        <v>9</v>
      </c>
      <c r="AZ69" s="348" t="s">
        <v>910</v>
      </c>
      <c r="BA69" s="371">
        <v>0.01</v>
      </c>
      <c r="BB69" s="371">
        <v>0.33</v>
      </c>
      <c r="BC69" s="371">
        <v>0.46</v>
      </c>
      <c r="BD69" s="371">
        <v>0.19</v>
      </c>
      <c r="BE69" s="371">
        <v>0.41</v>
      </c>
      <c r="BF69" s="371">
        <v>0.34</v>
      </c>
      <c r="BG69" s="371">
        <v>0.49</v>
      </c>
      <c r="BH69" s="469">
        <v>56</v>
      </c>
      <c r="BI69" s="471" t="s">
        <v>910</v>
      </c>
      <c r="BJ69" s="469">
        <v>8</v>
      </c>
      <c r="BK69" s="471" t="s">
        <v>910</v>
      </c>
      <c r="BL69" s="501">
        <v>0.02</v>
      </c>
      <c r="BM69" s="501">
        <v>0.21</v>
      </c>
      <c r="BN69" s="501">
        <v>0.65</v>
      </c>
      <c r="BO69" s="501">
        <v>0.12</v>
      </c>
      <c r="BP69" s="501">
        <v>0.44</v>
      </c>
      <c r="BQ69" s="501">
        <v>0.28999999999999998</v>
      </c>
      <c r="BR69" s="501">
        <v>0.43</v>
      </c>
      <c r="BS69" s="630">
        <v>56</v>
      </c>
      <c r="BT69" s="640" t="s">
        <v>910</v>
      </c>
      <c r="BU69" s="630">
        <v>9</v>
      </c>
      <c r="BV69" s="640" t="s">
        <v>910</v>
      </c>
      <c r="BW69" s="644">
        <v>0.01</v>
      </c>
      <c r="BX69" s="644">
        <v>0.24</v>
      </c>
      <c r="BY69" s="644">
        <v>0.63</v>
      </c>
      <c r="BZ69" s="644">
        <v>0.12</v>
      </c>
      <c r="CA69" s="644">
        <v>0.32</v>
      </c>
      <c r="CB69" s="644">
        <v>0.45</v>
      </c>
      <c r="CC69" s="644">
        <v>0.44</v>
      </c>
    </row>
    <row r="70" spans="1:81" ht="24.9" customHeight="1" x14ac:dyDescent="0.25">
      <c r="A70" s="188" t="s">
        <v>75</v>
      </c>
      <c r="B70" s="1" t="s">
        <v>222</v>
      </c>
      <c r="C70" s="2">
        <v>1</v>
      </c>
      <c r="D70" s="16">
        <v>51</v>
      </c>
      <c r="E70" s="16">
        <v>6</v>
      </c>
      <c r="F70" s="96">
        <v>0.03</v>
      </c>
      <c r="G70" s="96">
        <v>0.49</v>
      </c>
      <c r="H70" s="96">
        <v>0.49</v>
      </c>
      <c r="I70" s="96">
        <v>0</v>
      </c>
      <c r="J70" s="96">
        <v>0.44</v>
      </c>
      <c r="K70" s="96">
        <v>0.51</v>
      </c>
      <c r="L70" s="96">
        <v>0.63</v>
      </c>
      <c r="M70" s="34">
        <v>53</v>
      </c>
      <c r="N70" s="34">
        <v>7</v>
      </c>
      <c r="O70" s="92">
        <v>0</v>
      </c>
      <c r="P70" s="92">
        <v>0.33</v>
      </c>
      <c r="Q70" s="92">
        <v>0.64</v>
      </c>
      <c r="R70" s="92">
        <v>0.03</v>
      </c>
      <c r="S70" s="92">
        <v>0.44</v>
      </c>
      <c r="T70" s="92">
        <v>0.5</v>
      </c>
      <c r="U70" s="92">
        <v>0.47</v>
      </c>
      <c r="V70" s="34">
        <v>54</v>
      </c>
      <c r="W70" s="34">
        <v>10</v>
      </c>
      <c r="X70" s="99">
        <v>0.04</v>
      </c>
      <c r="Y70" s="99">
        <v>0.28999999999999998</v>
      </c>
      <c r="Z70" s="99">
        <v>0.54</v>
      </c>
      <c r="AA70" s="99">
        <v>0.14000000000000001</v>
      </c>
      <c r="AB70" s="99">
        <v>0.42</v>
      </c>
      <c r="AC70" s="99">
        <v>0.46</v>
      </c>
      <c r="AD70" s="99">
        <v>0.51</v>
      </c>
      <c r="AE70" s="16">
        <v>51</v>
      </c>
      <c r="AF70" s="16">
        <v>8</v>
      </c>
      <c r="AG70" s="96">
        <v>0.03</v>
      </c>
      <c r="AH70" s="96">
        <v>0.5</v>
      </c>
      <c r="AI70" s="96">
        <v>0.44</v>
      </c>
      <c r="AJ70" s="96">
        <v>0.03</v>
      </c>
      <c r="AK70" s="96">
        <v>0.47</v>
      </c>
      <c r="AL70" s="96">
        <v>0.46</v>
      </c>
      <c r="AM70" s="96">
        <v>0.44</v>
      </c>
      <c r="AN70" s="61">
        <v>53</v>
      </c>
      <c r="AO70" s="61">
        <v>7</v>
      </c>
      <c r="AP70" s="66">
        <v>0.03</v>
      </c>
      <c r="AQ70" s="66">
        <v>0.33</v>
      </c>
      <c r="AR70" s="66">
        <v>0.57999999999999996</v>
      </c>
      <c r="AS70" s="66">
        <v>0.06</v>
      </c>
      <c r="AT70" s="66">
        <v>0.48</v>
      </c>
      <c r="AU70" s="66">
        <v>0.39</v>
      </c>
      <c r="AV70" s="66">
        <v>0.4</v>
      </c>
      <c r="AW70" s="349">
        <v>56</v>
      </c>
      <c r="AX70" s="348" t="s">
        <v>910</v>
      </c>
      <c r="AY70" s="349">
        <v>8</v>
      </c>
      <c r="AZ70" s="348" t="s">
        <v>910</v>
      </c>
      <c r="BA70" s="371">
        <v>0</v>
      </c>
      <c r="BB70" s="371">
        <v>0.31</v>
      </c>
      <c r="BC70" s="371">
        <v>0.5</v>
      </c>
      <c r="BD70" s="371">
        <v>0.19</v>
      </c>
      <c r="BE70" s="371">
        <v>0.4</v>
      </c>
      <c r="BF70" s="371">
        <v>0.27</v>
      </c>
      <c r="BG70" s="371">
        <v>0.53</v>
      </c>
      <c r="BH70" s="469">
        <v>52</v>
      </c>
      <c r="BI70" s="471" t="s">
        <v>910</v>
      </c>
      <c r="BJ70" s="469">
        <v>9</v>
      </c>
      <c r="BK70" s="471" t="s">
        <v>910</v>
      </c>
      <c r="BL70" s="501">
        <v>0.06</v>
      </c>
      <c r="BM70" s="501">
        <v>0.36</v>
      </c>
      <c r="BN70" s="501">
        <v>0.55000000000000004</v>
      </c>
      <c r="BO70" s="501">
        <v>0.03</v>
      </c>
      <c r="BP70" s="501">
        <v>0.48</v>
      </c>
      <c r="BQ70" s="501">
        <v>0.4</v>
      </c>
      <c r="BR70" s="501">
        <v>0.5</v>
      </c>
      <c r="BS70" s="630">
        <v>52</v>
      </c>
      <c r="BT70" s="640" t="s">
        <v>910</v>
      </c>
      <c r="BU70" s="630">
        <v>9</v>
      </c>
      <c r="BV70" s="640" t="s">
        <v>910</v>
      </c>
      <c r="BW70" s="644">
        <v>0.03</v>
      </c>
      <c r="BX70" s="644">
        <v>0.38</v>
      </c>
      <c r="BY70" s="644">
        <v>0.48</v>
      </c>
      <c r="BZ70" s="644">
        <v>0.1</v>
      </c>
      <c r="CA70" s="644">
        <v>0.37</v>
      </c>
      <c r="CB70" s="644">
        <v>0.49</v>
      </c>
      <c r="CC70" s="644">
        <v>0.57999999999999996</v>
      </c>
    </row>
    <row r="71" spans="1:81" ht="24.9" customHeight="1" x14ac:dyDescent="0.25">
      <c r="A71" s="188" t="s">
        <v>25</v>
      </c>
      <c r="B71" s="1" t="s">
        <v>222</v>
      </c>
      <c r="C71" s="2">
        <v>3</v>
      </c>
      <c r="D71" s="16">
        <v>56</v>
      </c>
      <c r="E71" s="16">
        <v>8</v>
      </c>
      <c r="F71" s="96">
        <v>0</v>
      </c>
      <c r="G71" s="96">
        <v>0.27</v>
      </c>
      <c r="H71" s="96">
        <v>0.67</v>
      </c>
      <c r="I71" s="96">
        <v>0.06</v>
      </c>
      <c r="J71" s="96">
        <v>0.36</v>
      </c>
      <c r="K71" s="96">
        <v>0.44</v>
      </c>
      <c r="L71" s="96">
        <v>0.46</v>
      </c>
      <c r="M71" s="34">
        <v>58</v>
      </c>
      <c r="N71" s="34">
        <v>7</v>
      </c>
      <c r="O71" s="92">
        <v>0</v>
      </c>
      <c r="P71" s="92">
        <v>0.13</v>
      </c>
      <c r="Q71" s="92">
        <v>0.75</v>
      </c>
      <c r="R71" s="92">
        <v>0.13</v>
      </c>
      <c r="S71" s="92">
        <v>0.4</v>
      </c>
      <c r="T71" s="92">
        <v>0.4</v>
      </c>
      <c r="U71" s="92">
        <v>0.37</v>
      </c>
      <c r="V71" s="34">
        <v>53</v>
      </c>
      <c r="W71" s="34">
        <v>8</v>
      </c>
      <c r="X71" s="99">
        <v>0</v>
      </c>
      <c r="Y71" s="99">
        <v>0.47</v>
      </c>
      <c r="Z71" s="99">
        <v>0.47</v>
      </c>
      <c r="AA71" s="99">
        <v>7.0000000000000007E-2</v>
      </c>
      <c r="AB71" s="99">
        <v>0.46</v>
      </c>
      <c r="AC71" s="99">
        <v>0.48</v>
      </c>
      <c r="AD71" s="99">
        <v>0.51</v>
      </c>
      <c r="AE71" s="16">
        <v>57</v>
      </c>
      <c r="AF71" s="16">
        <v>9</v>
      </c>
      <c r="AG71" s="96">
        <v>0</v>
      </c>
      <c r="AH71" s="96">
        <v>0.26</v>
      </c>
      <c r="AI71" s="96">
        <v>0.53</v>
      </c>
      <c r="AJ71" s="96">
        <v>0.21</v>
      </c>
      <c r="AK71" s="96">
        <v>0.43</v>
      </c>
      <c r="AL71" s="96">
        <v>0.28000000000000003</v>
      </c>
      <c r="AM71" s="96">
        <v>0.34</v>
      </c>
      <c r="AN71" s="61">
        <v>56</v>
      </c>
      <c r="AO71" s="61">
        <v>9</v>
      </c>
      <c r="AP71" s="66">
        <v>0.02</v>
      </c>
      <c r="AQ71" s="66">
        <v>0.24</v>
      </c>
      <c r="AR71" s="66">
        <v>0.64</v>
      </c>
      <c r="AS71" s="66">
        <v>0.1</v>
      </c>
      <c r="AT71" s="66">
        <v>0.44</v>
      </c>
      <c r="AU71" s="66">
        <v>0.33</v>
      </c>
      <c r="AV71" s="66">
        <v>0.4</v>
      </c>
      <c r="AW71" s="349">
        <v>57</v>
      </c>
      <c r="AX71" s="348" t="s">
        <v>910</v>
      </c>
      <c r="AY71" s="349">
        <v>8</v>
      </c>
      <c r="AZ71" s="348" t="s">
        <v>910</v>
      </c>
      <c r="BA71" s="371">
        <v>0</v>
      </c>
      <c r="BB71" s="371">
        <v>0.22</v>
      </c>
      <c r="BC71" s="371">
        <v>0.61</v>
      </c>
      <c r="BD71" s="371">
        <v>0.17</v>
      </c>
      <c r="BE71" s="371">
        <v>0.41</v>
      </c>
      <c r="BF71" s="371">
        <v>0.28000000000000003</v>
      </c>
      <c r="BG71" s="371">
        <v>0.49</v>
      </c>
      <c r="BH71" s="469">
        <v>58</v>
      </c>
      <c r="BI71" s="471" t="s">
        <v>910</v>
      </c>
      <c r="BJ71" s="469">
        <v>7</v>
      </c>
      <c r="BK71" s="471" t="s">
        <v>910</v>
      </c>
      <c r="BL71" s="501">
        <v>0.02</v>
      </c>
      <c r="BM71" s="501">
        <v>0.11</v>
      </c>
      <c r="BN71" s="501">
        <v>0.79</v>
      </c>
      <c r="BO71" s="501">
        <v>0.09</v>
      </c>
      <c r="BP71" s="501">
        <v>0.43</v>
      </c>
      <c r="BQ71" s="501">
        <v>0.27</v>
      </c>
      <c r="BR71" s="501">
        <v>0.36</v>
      </c>
      <c r="BS71" s="630">
        <v>57</v>
      </c>
      <c r="BT71" s="640" t="s">
        <v>910</v>
      </c>
      <c r="BU71" s="630">
        <v>7</v>
      </c>
      <c r="BV71" s="640" t="s">
        <v>910</v>
      </c>
      <c r="BW71" s="644">
        <v>0</v>
      </c>
      <c r="BX71" s="644">
        <v>0.15</v>
      </c>
      <c r="BY71" s="644">
        <v>0.75</v>
      </c>
      <c r="BZ71" s="644">
        <v>0.1</v>
      </c>
      <c r="CA71" s="644">
        <v>0.31</v>
      </c>
      <c r="CB71" s="644">
        <v>0.44</v>
      </c>
      <c r="CC71" s="644">
        <v>0.42</v>
      </c>
    </row>
    <row r="72" spans="1:81" s="336" customFormat="1" ht="24.9" customHeight="1" x14ac:dyDescent="0.25">
      <c r="A72" s="361" t="s">
        <v>914</v>
      </c>
      <c r="B72" s="1" t="s">
        <v>222</v>
      </c>
      <c r="C72" s="354">
        <v>6</v>
      </c>
      <c r="D72" s="362"/>
      <c r="E72" s="362"/>
      <c r="F72" s="363"/>
      <c r="G72" s="363"/>
      <c r="H72" s="363"/>
      <c r="I72" s="363"/>
      <c r="J72" s="363"/>
      <c r="K72" s="363"/>
      <c r="L72" s="363"/>
      <c r="M72" s="364"/>
      <c r="N72" s="364"/>
      <c r="O72" s="365"/>
      <c r="P72" s="365"/>
      <c r="Q72" s="365"/>
      <c r="R72" s="365"/>
      <c r="S72" s="365"/>
      <c r="T72" s="365"/>
      <c r="U72" s="365"/>
      <c r="V72" s="364"/>
      <c r="W72" s="364"/>
      <c r="X72" s="366"/>
      <c r="Y72" s="366"/>
      <c r="Z72" s="366"/>
      <c r="AA72" s="366"/>
      <c r="AB72" s="366"/>
      <c r="AC72" s="366"/>
      <c r="AD72" s="366"/>
      <c r="AE72" s="362"/>
      <c r="AF72" s="362"/>
      <c r="AG72" s="363"/>
      <c r="AH72" s="363"/>
      <c r="AI72" s="363"/>
      <c r="AJ72" s="363"/>
      <c r="AK72" s="363"/>
      <c r="AL72" s="363"/>
      <c r="AM72" s="363"/>
      <c r="AN72" s="356"/>
      <c r="AO72" s="356"/>
      <c r="AP72" s="367"/>
      <c r="AQ72" s="367"/>
      <c r="AR72" s="367"/>
      <c r="AS72" s="367"/>
      <c r="AT72" s="367"/>
      <c r="AU72" s="367"/>
      <c r="AV72" s="367"/>
      <c r="AW72" s="349">
        <v>56</v>
      </c>
      <c r="AX72" s="348" t="s">
        <v>910</v>
      </c>
      <c r="AY72" s="349">
        <v>9</v>
      </c>
      <c r="AZ72" s="348" t="s">
        <v>910</v>
      </c>
      <c r="BA72" s="371">
        <v>0</v>
      </c>
      <c r="BB72" s="371">
        <v>0.28000000000000003</v>
      </c>
      <c r="BC72" s="371">
        <v>0.56000000000000005</v>
      </c>
      <c r="BD72" s="371">
        <v>0.17</v>
      </c>
      <c r="BE72" s="371">
        <v>0.39</v>
      </c>
      <c r="BF72" s="371">
        <v>0.36</v>
      </c>
      <c r="BG72" s="371">
        <v>0.48</v>
      </c>
      <c r="BH72" s="469">
        <v>52</v>
      </c>
      <c r="BI72" s="471" t="s">
        <v>910</v>
      </c>
      <c r="BJ72" s="469">
        <v>9</v>
      </c>
      <c r="BK72" s="471" t="s">
        <v>910</v>
      </c>
      <c r="BL72" s="501">
        <v>0.06</v>
      </c>
      <c r="BM72" s="501">
        <v>0.28999999999999998</v>
      </c>
      <c r="BN72" s="501">
        <v>0.57999999999999996</v>
      </c>
      <c r="BO72" s="501">
        <v>0.06</v>
      </c>
      <c r="BP72" s="501">
        <v>0.48</v>
      </c>
      <c r="BQ72" s="501">
        <v>0.4</v>
      </c>
      <c r="BR72" s="501">
        <v>0.49</v>
      </c>
      <c r="BS72" s="630">
        <v>56</v>
      </c>
      <c r="BT72" s="640" t="s">
        <v>910</v>
      </c>
      <c r="BU72" s="630">
        <v>10</v>
      </c>
      <c r="BV72" s="640" t="s">
        <v>910</v>
      </c>
      <c r="BW72" s="644">
        <v>0.03</v>
      </c>
      <c r="BX72" s="644">
        <v>0.17</v>
      </c>
      <c r="BY72" s="644">
        <v>0.69</v>
      </c>
      <c r="BZ72" s="644">
        <v>0.1</v>
      </c>
      <c r="CA72" s="644">
        <v>0.33</v>
      </c>
      <c r="CB72" s="644">
        <v>0.44</v>
      </c>
      <c r="CC72" s="644">
        <v>0.45</v>
      </c>
    </row>
    <row r="73" spans="1:81" ht="24.9" customHeight="1" x14ac:dyDescent="0.25">
      <c r="A73" s="188" t="s">
        <v>94</v>
      </c>
      <c r="B73" s="1" t="s">
        <v>222</v>
      </c>
      <c r="C73" s="2">
        <v>6</v>
      </c>
      <c r="D73" s="16">
        <v>50</v>
      </c>
      <c r="E73" s="16">
        <v>2</v>
      </c>
      <c r="F73" s="96">
        <v>0</v>
      </c>
      <c r="G73" s="96">
        <v>0.75</v>
      </c>
      <c r="H73" s="96">
        <v>0.25</v>
      </c>
      <c r="I73" s="96">
        <v>0</v>
      </c>
      <c r="J73" s="96">
        <v>0.46</v>
      </c>
      <c r="K73" s="96">
        <v>0.67</v>
      </c>
      <c r="L73" s="96">
        <v>0.57999999999999996</v>
      </c>
      <c r="M73" s="34">
        <v>50</v>
      </c>
      <c r="N73" s="34">
        <v>9</v>
      </c>
      <c r="O73" s="92">
        <v>0</v>
      </c>
      <c r="P73" s="92">
        <v>0.5</v>
      </c>
      <c r="Q73" s="92">
        <v>0.5</v>
      </c>
      <c r="R73" s="92">
        <v>0</v>
      </c>
      <c r="S73" s="92">
        <v>0.46</v>
      </c>
      <c r="T73" s="92">
        <v>0.5</v>
      </c>
      <c r="U73" s="92">
        <v>0.57999999999999996</v>
      </c>
      <c r="V73" s="13" t="s">
        <v>226</v>
      </c>
      <c r="W73" s="13" t="s">
        <v>228</v>
      </c>
      <c r="X73" s="13"/>
      <c r="Y73" s="13"/>
      <c r="Z73" s="13"/>
      <c r="AA73" s="13"/>
      <c r="AB73" s="13"/>
      <c r="AC73" s="13"/>
      <c r="AD73" s="13"/>
      <c r="AE73" s="16">
        <v>49</v>
      </c>
      <c r="AF73" s="16">
        <v>7</v>
      </c>
      <c r="AG73" s="96">
        <v>0</v>
      </c>
      <c r="AH73" s="96">
        <v>0.5</v>
      </c>
      <c r="AI73" s="96">
        <v>0.5</v>
      </c>
      <c r="AJ73" s="96">
        <v>0</v>
      </c>
      <c r="AK73" s="96">
        <v>0.44</v>
      </c>
      <c r="AL73" s="96">
        <v>0.5</v>
      </c>
      <c r="AM73" s="96">
        <v>0.5</v>
      </c>
      <c r="AN73" s="61">
        <v>47</v>
      </c>
      <c r="AO73" s="61">
        <v>9</v>
      </c>
      <c r="AP73" s="66">
        <v>0</v>
      </c>
      <c r="AQ73" s="66">
        <v>0.75</v>
      </c>
      <c r="AR73" s="66">
        <v>0.25</v>
      </c>
      <c r="AS73" s="66">
        <v>0</v>
      </c>
      <c r="AT73" s="66">
        <v>0.57999999999999996</v>
      </c>
      <c r="AU73" s="66">
        <v>0.55000000000000004</v>
      </c>
      <c r="AV73" s="66">
        <v>0.45</v>
      </c>
      <c r="BS73" s="630">
        <v>58</v>
      </c>
      <c r="BT73" s="640" t="s">
        <v>910</v>
      </c>
      <c r="BU73" s="630">
        <v>14</v>
      </c>
      <c r="BV73" s="640" t="s">
        <v>911</v>
      </c>
      <c r="BW73" s="644">
        <v>0</v>
      </c>
      <c r="BX73" s="644">
        <v>0.2</v>
      </c>
      <c r="BY73" s="644">
        <v>0.4</v>
      </c>
      <c r="BZ73" s="644">
        <v>0.4</v>
      </c>
      <c r="CA73" s="644">
        <v>0.23</v>
      </c>
      <c r="CB73" s="644">
        <v>0.47</v>
      </c>
      <c r="CC73" s="644">
        <v>0.42</v>
      </c>
    </row>
    <row r="74" spans="1:81" ht="24.9" customHeight="1" x14ac:dyDescent="0.25">
      <c r="A74" s="188" t="s">
        <v>167</v>
      </c>
      <c r="B74" s="1" t="s">
        <v>222</v>
      </c>
      <c r="C74" s="2">
        <v>3</v>
      </c>
      <c r="D74" s="16">
        <v>50</v>
      </c>
      <c r="E74" s="16">
        <v>7</v>
      </c>
      <c r="F74" s="96">
        <v>0.11</v>
      </c>
      <c r="G74" s="96">
        <v>0.56000000000000005</v>
      </c>
      <c r="H74" s="96">
        <v>0.33</v>
      </c>
      <c r="I74" s="96">
        <v>0</v>
      </c>
      <c r="J74" s="96">
        <v>0.47</v>
      </c>
      <c r="K74" s="96">
        <v>0.51</v>
      </c>
      <c r="L74" s="96">
        <v>0.57999999999999996</v>
      </c>
      <c r="M74" s="34">
        <v>54</v>
      </c>
      <c r="N74" s="34">
        <v>10</v>
      </c>
      <c r="O74" s="92">
        <v>0.04</v>
      </c>
      <c r="P74" s="92">
        <v>0.2</v>
      </c>
      <c r="Q74" s="92">
        <v>0.72</v>
      </c>
      <c r="R74" s="92">
        <v>0.04</v>
      </c>
      <c r="S74" s="92">
        <v>0.46</v>
      </c>
      <c r="T74" s="92">
        <v>0.48</v>
      </c>
      <c r="U74" s="92">
        <v>0.44</v>
      </c>
      <c r="V74" s="34">
        <v>58</v>
      </c>
      <c r="W74" s="34">
        <v>10</v>
      </c>
      <c r="X74" s="99">
        <v>0.04</v>
      </c>
      <c r="Y74" s="99">
        <v>0.22</v>
      </c>
      <c r="Z74" s="99">
        <v>0.56999999999999995</v>
      </c>
      <c r="AA74" s="99">
        <v>0.17</v>
      </c>
      <c r="AB74" s="99">
        <v>0.37</v>
      </c>
      <c r="AC74" s="99">
        <v>0.36</v>
      </c>
      <c r="AD74" s="99">
        <v>0.45</v>
      </c>
      <c r="AE74" s="16">
        <v>58</v>
      </c>
      <c r="AF74" s="16">
        <v>10</v>
      </c>
      <c r="AG74" s="96">
        <v>0</v>
      </c>
      <c r="AH74" s="96">
        <v>0.22</v>
      </c>
      <c r="AI74" s="96">
        <v>0.5</v>
      </c>
      <c r="AJ74" s="96">
        <v>0.28000000000000003</v>
      </c>
      <c r="AK74" s="96">
        <v>0.38</v>
      </c>
      <c r="AL74" s="96">
        <v>0.3</v>
      </c>
      <c r="AM74" s="96">
        <v>0.3</v>
      </c>
      <c r="AN74" s="61">
        <v>55</v>
      </c>
      <c r="AO74" s="61">
        <v>6</v>
      </c>
      <c r="AP74" s="66">
        <v>0</v>
      </c>
      <c r="AQ74" s="66">
        <v>0.23</v>
      </c>
      <c r="AR74" s="66">
        <v>0.73</v>
      </c>
      <c r="AS74" s="66">
        <v>0.04</v>
      </c>
      <c r="AT74" s="66">
        <v>0.45</v>
      </c>
      <c r="AU74" s="66">
        <v>0.3</v>
      </c>
      <c r="AV74" s="66">
        <v>0.4</v>
      </c>
      <c r="AW74" s="349">
        <v>50</v>
      </c>
      <c r="AX74" s="348" t="s">
        <v>910</v>
      </c>
      <c r="AY74" s="349">
        <v>8</v>
      </c>
      <c r="AZ74" s="348" t="s">
        <v>910</v>
      </c>
      <c r="BA74" s="371">
        <v>0</v>
      </c>
      <c r="BB74" s="371">
        <v>0.53</v>
      </c>
      <c r="BC74" s="371">
        <v>0.47</v>
      </c>
      <c r="BD74" s="371">
        <v>0</v>
      </c>
      <c r="BE74" s="371">
        <v>0.46</v>
      </c>
      <c r="BF74" s="371">
        <v>0.41</v>
      </c>
      <c r="BG74" s="371">
        <v>0.59</v>
      </c>
      <c r="BH74" s="469">
        <v>58</v>
      </c>
      <c r="BI74" s="471" t="s">
        <v>910</v>
      </c>
      <c r="BJ74" s="469">
        <v>7</v>
      </c>
      <c r="BK74" s="471" t="s">
        <v>910</v>
      </c>
      <c r="BL74" s="501">
        <v>0</v>
      </c>
      <c r="BM74" s="501">
        <v>0.17</v>
      </c>
      <c r="BN74" s="501">
        <v>0.67</v>
      </c>
      <c r="BO74" s="501">
        <v>0.17</v>
      </c>
      <c r="BP74" s="501">
        <v>0.41</v>
      </c>
      <c r="BQ74" s="501">
        <v>0.33</v>
      </c>
      <c r="BR74" s="501">
        <v>0.34</v>
      </c>
      <c r="BS74" s="630">
        <v>61</v>
      </c>
      <c r="BT74" s="640" t="s">
        <v>910</v>
      </c>
      <c r="BU74" s="630">
        <v>7</v>
      </c>
      <c r="BV74" s="640" t="s">
        <v>910</v>
      </c>
      <c r="BW74" s="644">
        <v>0</v>
      </c>
      <c r="BX74" s="644">
        <v>0.04</v>
      </c>
      <c r="BY74" s="644">
        <v>0.71</v>
      </c>
      <c r="BZ74" s="644">
        <v>0.25</v>
      </c>
      <c r="CA74" s="644">
        <v>0.28000000000000003</v>
      </c>
      <c r="CB74" s="644">
        <v>0.34</v>
      </c>
      <c r="CC74" s="644">
        <v>0.37</v>
      </c>
    </row>
    <row r="75" spans="1:81" ht="24.9" customHeight="1" x14ac:dyDescent="0.25">
      <c r="A75" s="188" t="s">
        <v>204</v>
      </c>
      <c r="B75" s="1" t="s">
        <v>222</v>
      </c>
      <c r="C75" s="2">
        <v>1</v>
      </c>
      <c r="D75" s="16">
        <v>53</v>
      </c>
      <c r="E75" s="16">
        <v>8</v>
      </c>
      <c r="F75" s="96">
        <v>0.06</v>
      </c>
      <c r="G75" s="96">
        <v>0.24</v>
      </c>
      <c r="H75" s="96">
        <v>0.71</v>
      </c>
      <c r="I75" s="96">
        <v>0</v>
      </c>
      <c r="J75" s="96">
        <v>0.51</v>
      </c>
      <c r="K75" s="96">
        <v>0.48</v>
      </c>
      <c r="L75" s="96">
        <v>0.53</v>
      </c>
      <c r="M75" s="34">
        <v>48</v>
      </c>
      <c r="N75" s="34">
        <v>8</v>
      </c>
      <c r="O75" s="92">
        <v>0</v>
      </c>
      <c r="P75" s="92">
        <v>0.56000000000000005</v>
      </c>
      <c r="Q75" s="92">
        <v>0.44</v>
      </c>
      <c r="R75" s="92">
        <v>0</v>
      </c>
      <c r="S75" s="92">
        <v>0.56000000000000005</v>
      </c>
      <c r="T75" s="92">
        <v>0.56000000000000005</v>
      </c>
      <c r="U75" s="92">
        <v>0.56000000000000005</v>
      </c>
      <c r="V75" s="34">
        <v>51</v>
      </c>
      <c r="W75" s="34">
        <v>8</v>
      </c>
      <c r="X75" s="99">
        <v>0</v>
      </c>
      <c r="Y75" s="99">
        <v>0.38</v>
      </c>
      <c r="Z75" s="99">
        <v>0.63</v>
      </c>
      <c r="AA75" s="99">
        <v>0</v>
      </c>
      <c r="AB75" s="99">
        <v>0.5</v>
      </c>
      <c r="AC75" s="99">
        <v>0.59</v>
      </c>
      <c r="AD75" s="99">
        <v>0.51</v>
      </c>
      <c r="AE75" s="16">
        <v>55</v>
      </c>
      <c r="AF75" s="16">
        <v>9</v>
      </c>
      <c r="AG75" s="96">
        <v>0</v>
      </c>
      <c r="AH75" s="96">
        <v>0.33</v>
      </c>
      <c r="AI75" s="96">
        <v>0.56000000000000005</v>
      </c>
      <c r="AJ75" s="96">
        <v>0.11</v>
      </c>
      <c r="AK75" s="96">
        <v>0.39</v>
      </c>
      <c r="AL75" s="96">
        <v>0.34</v>
      </c>
      <c r="AM75" s="96">
        <v>0.41</v>
      </c>
      <c r="AN75" s="61">
        <v>49</v>
      </c>
      <c r="AO75" s="61">
        <v>10</v>
      </c>
      <c r="AP75" s="66">
        <v>0.13</v>
      </c>
      <c r="AQ75" s="66">
        <v>0.38</v>
      </c>
      <c r="AR75" s="66">
        <v>0.5</v>
      </c>
      <c r="AS75" s="66">
        <v>0</v>
      </c>
      <c r="AT75" s="66">
        <v>0.54</v>
      </c>
      <c r="AU75" s="66">
        <v>0.43</v>
      </c>
      <c r="AV75" s="66">
        <v>0.51</v>
      </c>
      <c r="AW75" s="349">
        <v>55</v>
      </c>
      <c r="AX75" s="348" t="s">
        <v>910</v>
      </c>
      <c r="AY75" s="349">
        <v>7</v>
      </c>
      <c r="AZ75" s="348" t="s">
        <v>910</v>
      </c>
      <c r="BA75" s="371">
        <v>0</v>
      </c>
      <c r="BB75" s="371">
        <v>0.27</v>
      </c>
      <c r="BC75" s="371">
        <v>0.73</v>
      </c>
      <c r="BD75" s="371">
        <v>0</v>
      </c>
      <c r="BE75" s="371">
        <v>0.48</v>
      </c>
      <c r="BF75" s="371">
        <v>0.22</v>
      </c>
      <c r="BG75" s="371">
        <v>0.49</v>
      </c>
      <c r="BH75" s="469">
        <v>52</v>
      </c>
      <c r="BI75" s="471" t="s">
        <v>910</v>
      </c>
      <c r="BJ75" s="469">
        <v>9</v>
      </c>
      <c r="BK75" s="471" t="s">
        <v>910</v>
      </c>
      <c r="BL75" s="501">
        <v>0.04</v>
      </c>
      <c r="BM75" s="501">
        <v>0.35</v>
      </c>
      <c r="BN75" s="501">
        <v>0.56999999999999995</v>
      </c>
      <c r="BO75" s="501">
        <v>0.04</v>
      </c>
      <c r="BP75" s="501">
        <v>0.51</v>
      </c>
      <c r="BQ75" s="501">
        <v>0.38</v>
      </c>
      <c r="BR75" s="501">
        <v>0.49</v>
      </c>
      <c r="BS75" s="630">
        <v>54</v>
      </c>
      <c r="BT75" s="640" t="s">
        <v>910</v>
      </c>
      <c r="BU75" s="630">
        <v>8</v>
      </c>
      <c r="BV75" s="640" t="s">
        <v>910</v>
      </c>
      <c r="BW75" s="644">
        <v>0</v>
      </c>
      <c r="BX75" s="644">
        <v>0.32</v>
      </c>
      <c r="BY75" s="644">
        <v>0.59</v>
      </c>
      <c r="BZ75" s="644">
        <v>0.09</v>
      </c>
      <c r="CA75" s="644">
        <v>0.39</v>
      </c>
      <c r="CB75" s="644">
        <v>0.47</v>
      </c>
      <c r="CC75" s="644">
        <v>0.5</v>
      </c>
    </row>
    <row r="76" spans="1:81" s="461" customFormat="1" ht="24.9" customHeight="1" x14ac:dyDescent="0.25">
      <c r="A76" s="470" t="s">
        <v>958</v>
      </c>
      <c r="B76" s="15" t="s">
        <v>222</v>
      </c>
      <c r="C76" s="471">
        <v>2</v>
      </c>
      <c r="D76" s="502"/>
      <c r="E76" s="502"/>
      <c r="F76" s="501"/>
      <c r="G76" s="501"/>
      <c r="H76" s="501"/>
      <c r="I76" s="501"/>
      <c r="J76" s="501"/>
      <c r="K76" s="501"/>
      <c r="L76" s="501"/>
      <c r="M76" s="503"/>
      <c r="N76" s="503"/>
      <c r="O76" s="504"/>
      <c r="P76" s="504"/>
      <c r="Q76" s="504"/>
      <c r="R76" s="504"/>
      <c r="S76" s="504"/>
      <c r="T76" s="504"/>
      <c r="U76" s="504"/>
      <c r="V76" s="503"/>
      <c r="W76" s="503"/>
      <c r="X76" s="508"/>
      <c r="Y76" s="508"/>
      <c r="Z76" s="508"/>
      <c r="AA76" s="508"/>
      <c r="AB76" s="508"/>
      <c r="AC76" s="508"/>
      <c r="AD76" s="508"/>
      <c r="AE76" s="502"/>
      <c r="AF76" s="502"/>
      <c r="AG76" s="501"/>
      <c r="AH76" s="501"/>
      <c r="AI76" s="501"/>
      <c r="AJ76" s="501"/>
      <c r="AK76" s="501"/>
      <c r="AL76" s="501"/>
      <c r="AM76" s="501"/>
      <c r="AN76" s="73"/>
      <c r="AO76" s="73"/>
      <c r="AP76" s="74"/>
      <c r="AQ76" s="74"/>
      <c r="AR76" s="74"/>
      <c r="AS76" s="74"/>
      <c r="AT76" s="74"/>
      <c r="AU76" s="74"/>
      <c r="AV76" s="74"/>
      <c r="AW76" s="475"/>
      <c r="AX76" s="493"/>
      <c r="AY76" s="475"/>
      <c r="AZ76" s="493"/>
      <c r="BA76" s="507"/>
      <c r="BB76" s="507"/>
      <c r="BC76" s="507"/>
      <c r="BD76" s="507"/>
      <c r="BE76" s="507"/>
      <c r="BF76" s="507"/>
      <c r="BG76" s="507"/>
      <c r="BH76" s="469">
        <v>54</v>
      </c>
      <c r="BI76" s="471" t="s">
        <v>910</v>
      </c>
      <c r="BJ76" s="469">
        <v>7</v>
      </c>
      <c r="BK76" s="471" t="s">
        <v>910</v>
      </c>
      <c r="BL76" s="501">
        <v>0</v>
      </c>
      <c r="BM76" s="501">
        <v>0.4</v>
      </c>
      <c r="BN76" s="501">
        <v>0.53</v>
      </c>
      <c r="BO76" s="501">
        <v>7.0000000000000007E-2</v>
      </c>
      <c r="BP76" s="501">
        <v>0.52</v>
      </c>
      <c r="BQ76" s="501">
        <v>0.31</v>
      </c>
      <c r="BR76" s="501">
        <v>0.47</v>
      </c>
      <c r="BS76" s="630">
        <v>53</v>
      </c>
      <c r="BT76" s="640" t="s">
        <v>910</v>
      </c>
      <c r="BU76" s="630">
        <v>9</v>
      </c>
      <c r="BV76" s="640" t="s">
        <v>910</v>
      </c>
      <c r="BW76" s="644">
        <v>0</v>
      </c>
      <c r="BX76" s="644">
        <v>0.38</v>
      </c>
      <c r="BY76" s="644">
        <v>0.52</v>
      </c>
      <c r="BZ76" s="644">
        <v>0.1</v>
      </c>
      <c r="CA76" s="644">
        <v>0.34</v>
      </c>
      <c r="CB76" s="644">
        <v>0.53</v>
      </c>
      <c r="CC76" s="644">
        <v>0.54</v>
      </c>
    </row>
    <row r="77" spans="1:81" ht="24.9" customHeight="1" x14ac:dyDescent="0.25">
      <c r="A77" s="188" t="s">
        <v>81</v>
      </c>
      <c r="B77" s="1" t="s">
        <v>222</v>
      </c>
      <c r="C77" s="2">
        <v>4</v>
      </c>
      <c r="D77" s="16">
        <v>48</v>
      </c>
      <c r="E77" s="16">
        <v>8</v>
      </c>
      <c r="F77" s="96">
        <v>0.08</v>
      </c>
      <c r="G77" s="96">
        <v>0.49</v>
      </c>
      <c r="H77" s="96">
        <v>0.43</v>
      </c>
      <c r="I77" s="96">
        <v>0</v>
      </c>
      <c r="J77" s="96">
        <v>0.52</v>
      </c>
      <c r="K77" s="96">
        <v>0.55000000000000004</v>
      </c>
      <c r="L77" s="96">
        <v>0.64</v>
      </c>
      <c r="M77" s="34">
        <v>52</v>
      </c>
      <c r="N77" s="34">
        <v>8</v>
      </c>
      <c r="O77" s="92">
        <v>0</v>
      </c>
      <c r="P77" s="92">
        <v>0.39</v>
      </c>
      <c r="Q77" s="92">
        <v>0.56999999999999995</v>
      </c>
      <c r="R77" s="92">
        <v>0.04</v>
      </c>
      <c r="S77" s="92">
        <v>0.49</v>
      </c>
      <c r="T77" s="92">
        <v>0.48</v>
      </c>
      <c r="U77" s="92">
        <v>0.48</v>
      </c>
      <c r="V77" s="34">
        <v>54</v>
      </c>
      <c r="W77" s="34">
        <v>9</v>
      </c>
      <c r="X77" s="99">
        <v>0</v>
      </c>
      <c r="Y77" s="99">
        <v>0.25</v>
      </c>
      <c r="Z77" s="99">
        <v>0.67</v>
      </c>
      <c r="AA77" s="99">
        <v>0.08</v>
      </c>
      <c r="AB77" s="99">
        <v>0.42</v>
      </c>
      <c r="AC77" s="99">
        <v>0.46</v>
      </c>
      <c r="AD77" s="99">
        <v>0.53</v>
      </c>
      <c r="AE77" s="16">
        <v>49</v>
      </c>
      <c r="AF77" s="16">
        <v>10</v>
      </c>
      <c r="AG77" s="96">
        <v>0.11</v>
      </c>
      <c r="AH77" s="96">
        <v>0.39</v>
      </c>
      <c r="AI77" s="96">
        <v>0.48</v>
      </c>
      <c r="AJ77" s="96">
        <v>0.02</v>
      </c>
      <c r="AK77" s="96">
        <v>0.48</v>
      </c>
      <c r="AL77" s="96">
        <v>0.47</v>
      </c>
      <c r="AM77" s="96">
        <v>0.48</v>
      </c>
      <c r="AW77" s="349">
        <v>56</v>
      </c>
      <c r="AX77" s="348" t="s">
        <v>910</v>
      </c>
      <c r="AY77" s="349">
        <v>0</v>
      </c>
      <c r="AZ77" s="348" t="s">
        <v>912</v>
      </c>
      <c r="BA77" s="371">
        <v>0</v>
      </c>
      <c r="BB77" s="371">
        <v>0</v>
      </c>
      <c r="BC77" s="371">
        <v>1</v>
      </c>
      <c r="BD77" s="371">
        <v>0</v>
      </c>
      <c r="BE77" s="371">
        <v>0.4</v>
      </c>
      <c r="BF77" s="371">
        <v>0.33</v>
      </c>
      <c r="BG77" s="371">
        <v>0.57999999999999996</v>
      </c>
    </row>
    <row r="78" spans="1:81" ht="24.9" customHeight="1" x14ac:dyDescent="0.25">
      <c r="A78" s="188" t="s">
        <v>169</v>
      </c>
      <c r="B78" s="1" t="s">
        <v>222</v>
      </c>
      <c r="C78" s="2">
        <v>6</v>
      </c>
      <c r="D78" s="16">
        <v>50</v>
      </c>
      <c r="E78" s="16">
        <v>8</v>
      </c>
      <c r="F78" s="96">
        <v>7.0000000000000007E-2</v>
      </c>
      <c r="G78" s="96">
        <v>0.47</v>
      </c>
      <c r="H78" s="96">
        <v>0.47</v>
      </c>
      <c r="I78" s="96">
        <v>0</v>
      </c>
      <c r="J78" s="96">
        <v>0.47</v>
      </c>
      <c r="K78" s="96">
        <v>0.56000000000000005</v>
      </c>
      <c r="L78" s="96">
        <v>0.63</v>
      </c>
      <c r="M78" s="34">
        <v>51</v>
      </c>
      <c r="N78" s="34">
        <v>6</v>
      </c>
      <c r="O78" s="92">
        <v>0</v>
      </c>
      <c r="P78" s="92">
        <v>0.43</v>
      </c>
      <c r="Q78" s="92">
        <v>0.56999999999999995</v>
      </c>
      <c r="R78" s="92">
        <v>0</v>
      </c>
      <c r="S78" s="92">
        <v>0.51</v>
      </c>
      <c r="T78" s="92">
        <v>0.52</v>
      </c>
      <c r="U78" s="92">
        <v>0.51</v>
      </c>
      <c r="V78" s="34">
        <v>48</v>
      </c>
      <c r="W78" s="34">
        <v>7</v>
      </c>
      <c r="X78" s="99">
        <v>0</v>
      </c>
      <c r="Y78" s="99">
        <v>0.88</v>
      </c>
      <c r="Z78" s="99">
        <v>0.13</v>
      </c>
      <c r="AA78" s="99">
        <v>0</v>
      </c>
      <c r="AB78" s="99">
        <v>0.55000000000000004</v>
      </c>
      <c r="AC78" s="99">
        <v>0.51</v>
      </c>
      <c r="AD78" s="99">
        <v>0.64</v>
      </c>
      <c r="AE78" s="16">
        <v>55</v>
      </c>
      <c r="AF78" s="16">
        <v>9</v>
      </c>
      <c r="AG78" s="96">
        <v>0</v>
      </c>
      <c r="AH78" s="96">
        <v>0.36</v>
      </c>
      <c r="AI78" s="96">
        <v>0.45</v>
      </c>
      <c r="AJ78" s="96">
        <v>0.18</v>
      </c>
      <c r="AK78" s="96">
        <v>0.4</v>
      </c>
      <c r="AL78" s="96">
        <v>0.35</v>
      </c>
      <c r="AM78" s="96">
        <v>0.42</v>
      </c>
      <c r="AN78" s="61">
        <v>52</v>
      </c>
      <c r="AO78" s="61">
        <v>4</v>
      </c>
      <c r="AP78" s="66">
        <v>0</v>
      </c>
      <c r="AQ78" s="66">
        <v>0.36</v>
      </c>
      <c r="AR78" s="66">
        <v>0.64</v>
      </c>
      <c r="AS78" s="66">
        <v>0</v>
      </c>
      <c r="AT78" s="66">
        <v>0.5</v>
      </c>
      <c r="AU78" s="66">
        <v>0.43</v>
      </c>
      <c r="AV78" s="66">
        <v>0.4</v>
      </c>
      <c r="AW78" s="349">
        <v>52</v>
      </c>
      <c r="AX78" s="348" t="s">
        <v>910</v>
      </c>
      <c r="AY78" s="349">
        <v>11</v>
      </c>
      <c r="AZ78" s="348" t="s">
        <v>910</v>
      </c>
      <c r="BA78" s="371">
        <v>7.0000000000000007E-2</v>
      </c>
      <c r="BB78" s="371">
        <v>0.33</v>
      </c>
      <c r="BC78" s="371">
        <v>0.53</v>
      </c>
      <c r="BD78" s="371">
        <v>7.0000000000000007E-2</v>
      </c>
      <c r="BE78" s="371">
        <v>0.41</v>
      </c>
      <c r="BF78" s="371">
        <v>0.36</v>
      </c>
      <c r="BG78" s="371">
        <v>0.56999999999999995</v>
      </c>
      <c r="BH78" s="469">
        <v>52</v>
      </c>
      <c r="BI78" s="471" t="s">
        <v>910</v>
      </c>
      <c r="BJ78" s="469">
        <v>10</v>
      </c>
      <c r="BK78" s="471" t="s">
        <v>910</v>
      </c>
      <c r="BL78" s="501">
        <v>0.05</v>
      </c>
      <c r="BM78" s="501">
        <v>0.4</v>
      </c>
      <c r="BN78" s="501">
        <v>0.45</v>
      </c>
      <c r="BO78" s="501">
        <v>0.1</v>
      </c>
      <c r="BP78" s="501">
        <v>0.47</v>
      </c>
      <c r="BQ78" s="501">
        <v>0.42</v>
      </c>
      <c r="BR78" s="501">
        <v>0.52</v>
      </c>
      <c r="BS78" s="630">
        <v>50</v>
      </c>
      <c r="BT78" s="640" t="s">
        <v>910</v>
      </c>
      <c r="BU78" s="630">
        <v>7</v>
      </c>
      <c r="BV78" s="640" t="s">
        <v>910</v>
      </c>
      <c r="BW78" s="644">
        <v>0</v>
      </c>
      <c r="BX78" s="644">
        <v>0.4</v>
      </c>
      <c r="BY78" s="644">
        <v>0.6</v>
      </c>
      <c r="BZ78" s="644">
        <v>0</v>
      </c>
      <c r="CA78" s="644">
        <v>0.4</v>
      </c>
      <c r="CB78" s="644">
        <v>0.56000000000000005</v>
      </c>
      <c r="CC78" s="644">
        <v>0.63</v>
      </c>
    </row>
    <row r="79" spans="1:81" ht="24.9" customHeight="1" x14ac:dyDescent="0.25">
      <c r="A79" s="188" t="s">
        <v>232</v>
      </c>
      <c r="B79" s="1" t="s">
        <v>222</v>
      </c>
      <c r="C79" s="2">
        <v>2</v>
      </c>
      <c r="D79" s="13" t="s">
        <v>226</v>
      </c>
      <c r="E79" s="13" t="s">
        <v>226</v>
      </c>
      <c r="F79" s="13"/>
      <c r="G79" s="13"/>
      <c r="H79" s="13"/>
      <c r="I79" s="13"/>
      <c r="J79" s="13"/>
      <c r="K79" s="13"/>
      <c r="L79" s="13"/>
      <c r="M79" s="34">
        <v>61</v>
      </c>
      <c r="N79" s="34">
        <v>8</v>
      </c>
      <c r="O79" s="92">
        <v>0</v>
      </c>
      <c r="P79" s="92">
        <v>0.13</v>
      </c>
      <c r="Q79" s="92">
        <v>0.63</v>
      </c>
      <c r="R79" s="92">
        <v>0.25</v>
      </c>
      <c r="S79" s="92">
        <v>0.31</v>
      </c>
      <c r="T79" s="92">
        <v>0.39</v>
      </c>
      <c r="U79" s="92">
        <v>0.32</v>
      </c>
      <c r="V79" s="34">
        <v>59</v>
      </c>
      <c r="W79" s="34">
        <v>10</v>
      </c>
      <c r="X79" s="99">
        <v>0</v>
      </c>
      <c r="Y79" s="99">
        <v>0.21</v>
      </c>
      <c r="Z79" s="99">
        <v>0.56999999999999995</v>
      </c>
      <c r="AA79" s="99">
        <v>0.21</v>
      </c>
      <c r="AB79" s="99">
        <v>0.34</v>
      </c>
      <c r="AC79" s="99">
        <v>0.48</v>
      </c>
      <c r="AD79" s="99">
        <v>0.38</v>
      </c>
      <c r="AE79" s="16">
        <v>57</v>
      </c>
      <c r="AF79" s="16">
        <v>8</v>
      </c>
      <c r="AG79" s="96">
        <v>0</v>
      </c>
      <c r="AH79" s="96">
        <v>0.19</v>
      </c>
      <c r="AI79" s="96">
        <v>0.56000000000000005</v>
      </c>
      <c r="AJ79" s="96">
        <v>0.25</v>
      </c>
      <c r="AK79" s="96">
        <v>0.33</v>
      </c>
      <c r="AL79" s="96">
        <v>0.3</v>
      </c>
      <c r="AM79" s="96">
        <v>0.35</v>
      </c>
      <c r="AN79" s="61">
        <v>64</v>
      </c>
      <c r="AO79" s="61">
        <v>8</v>
      </c>
      <c r="AP79" s="66">
        <v>0</v>
      </c>
      <c r="AQ79" s="66">
        <v>0.06</v>
      </c>
      <c r="AR79" s="66">
        <v>0.56000000000000005</v>
      </c>
      <c r="AS79" s="66">
        <v>0.38</v>
      </c>
      <c r="AT79" s="66">
        <v>0.28999999999999998</v>
      </c>
      <c r="AU79" s="66">
        <v>0.15</v>
      </c>
      <c r="AV79" s="66">
        <v>0.23</v>
      </c>
      <c r="AW79" s="349">
        <v>65</v>
      </c>
      <c r="AX79" s="348" t="s">
        <v>911</v>
      </c>
      <c r="AY79" s="349">
        <v>8</v>
      </c>
      <c r="AZ79" s="348" t="s">
        <v>910</v>
      </c>
      <c r="BA79" s="371">
        <v>0</v>
      </c>
      <c r="BB79" s="371">
        <v>0</v>
      </c>
      <c r="BC79" s="371">
        <v>0.6</v>
      </c>
      <c r="BD79" s="371">
        <v>0.4</v>
      </c>
      <c r="BE79" s="371">
        <v>0.25</v>
      </c>
      <c r="BF79" s="371">
        <v>0.16</v>
      </c>
      <c r="BG79" s="371">
        <v>0.33</v>
      </c>
      <c r="BH79" s="469">
        <v>62</v>
      </c>
      <c r="BI79" s="471" t="s">
        <v>910</v>
      </c>
      <c r="BJ79" s="469">
        <v>6</v>
      </c>
      <c r="BK79" s="471" t="s">
        <v>910</v>
      </c>
      <c r="BL79" s="501">
        <v>0</v>
      </c>
      <c r="BM79" s="501">
        <v>0.04</v>
      </c>
      <c r="BN79" s="501">
        <v>0.73</v>
      </c>
      <c r="BO79" s="501">
        <v>0.23</v>
      </c>
      <c r="BP79" s="501">
        <v>0.35</v>
      </c>
      <c r="BQ79" s="501">
        <v>0.21</v>
      </c>
      <c r="BR79" s="501">
        <v>0.28000000000000003</v>
      </c>
      <c r="BS79" s="630">
        <v>62</v>
      </c>
      <c r="BT79" s="640" t="s">
        <v>910</v>
      </c>
      <c r="BU79" s="630">
        <v>6</v>
      </c>
      <c r="BV79" s="640" t="s">
        <v>910</v>
      </c>
      <c r="BW79" s="644">
        <v>0</v>
      </c>
      <c r="BX79" s="644">
        <v>0.03</v>
      </c>
      <c r="BY79" s="644">
        <v>0.62</v>
      </c>
      <c r="BZ79" s="644">
        <v>0.34</v>
      </c>
      <c r="CA79" s="644">
        <v>0.23</v>
      </c>
      <c r="CB79" s="644">
        <v>0.34</v>
      </c>
      <c r="CC79" s="644">
        <v>0.35</v>
      </c>
    </row>
    <row r="80" spans="1:81" ht="24.9" customHeight="1" x14ac:dyDescent="0.25">
      <c r="A80" s="188" t="s">
        <v>42</v>
      </c>
      <c r="B80" s="1" t="s">
        <v>222</v>
      </c>
      <c r="C80" s="2">
        <v>6</v>
      </c>
      <c r="D80" s="16">
        <v>59</v>
      </c>
      <c r="E80" s="16">
        <v>7</v>
      </c>
      <c r="F80" s="96">
        <v>0</v>
      </c>
      <c r="G80" s="96">
        <v>0.18</v>
      </c>
      <c r="H80" s="96">
        <v>0.73</v>
      </c>
      <c r="I80" s="96">
        <v>0.09</v>
      </c>
      <c r="J80" s="96">
        <v>0.47</v>
      </c>
      <c r="K80" s="96">
        <v>0.36</v>
      </c>
      <c r="L80" s="96">
        <v>0.43</v>
      </c>
      <c r="M80" s="34">
        <v>58</v>
      </c>
      <c r="N80" s="34">
        <v>10</v>
      </c>
      <c r="O80" s="92">
        <v>0.04</v>
      </c>
      <c r="P80" s="92">
        <v>0.13</v>
      </c>
      <c r="Q80" s="92">
        <v>0.67</v>
      </c>
      <c r="R80" s="92">
        <v>0.17</v>
      </c>
      <c r="S80" s="92">
        <v>0.37</v>
      </c>
      <c r="T80" s="92">
        <v>0.44</v>
      </c>
      <c r="U80" s="92">
        <v>0.39</v>
      </c>
      <c r="V80" s="34">
        <v>58</v>
      </c>
      <c r="W80" s="34">
        <v>10</v>
      </c>
      <c r="X80" s="99">
        <v>0</v>
      </c>
      <c r="Y80" s="99">
        <v>0.28000000000000003</v>
      </c>
      <c r="Z80" s="99">
        <v>0.5</v>
      </c>
      <c r="AA80" s="99">
        <v>0.22</v>
      </c>
      <c r="AB80" s="99">
        <v>0.37</v>
      </c>
      <c r="AC80" s="99">
        <v>0.37</v>
      </c>
      <c r="AD80" s="99">
        <v>0.45</v>
      </c>
      <c r="AE80" s="16">
        <v>59</v>
      </c>
      <c r="AF80" s="16">
        <v>8</v>
      </c>
      <c r="AG80" s="96">
        <v>0</v>
      </c>
      <c r="AH80" s="96">
        <v>0.17</v>
      </c>
      <c r="AI80" s="96">
        <v>0.67</v>
      </c>
      <c r="AJ80" s="96">
        <v>0.17</v>
      </c>
      <c r="AK80" s="96">
        <v>0.34</v>
      </c>
      <c r="AL80" s="96">
        <v>0.28999999999999998</v>
      </c>
      <c r="AM80" s="96">
        <v>0.34</v>
      </c>
      <c r="AN80" s="61">
        <v>59</v>
      </c>
      <c r="AO80" s="61">
        <v>8</v>
      </c>
      <c r="AP80" s="66">
        <v>0</v>
      </c>
      <c r="AQ80" s="66">
        <v>0.08</v>
      </c>
      <c r="AR80" s="66">
        <v>0.69</v>
      </c>
      <c r="AS80" s="66">
        <v>0.23</v>
      </c>
      <c r="AT80" s="66">
        <v>0.37</v>
      </c>
      <c r="AU80" s="66">
        <v>0.24</v>
      </c>
      <c r="AV80" s="66">
        <v>0.37</v>
      </c>
      <c r="AW80" s="349">
        <v>56</v>
      </c>
      <c r="AX80" s="348" t="s">
        <v>910</v>
      </c>
      <c r="AY80" s="349">
        <v>7</v>
      </c>
      <c r="AZ80" s="348" t="s">
        <v>910</v>
      </c>
      <c r="BA80" s="371">
        <v>0</v>
      </c>
      <c r="BB80" s="371">
        <v>0.16</v>
      </c>
      <c r="BC80" s="371">
        <v>0.73</v>
      </c>
      <c r="BD80" s="371">
        <v>0.11</v>
      </c>
      <c r="BE80" s="371">
        <v>0.42</v>
      </c>
      <c r="BF80" s="371">
        <v>0.31</v>
      </c>
      <c r="BG80" s="371">
        <v>0.5</v>
      </c>
      <c r="BH80" s="469">
        <v>61</v>
      </c>
      <c r="BI80" s="471" t="s">
        <v>910</v>
      </c>
      <c r="BJ80" s="469">
        <v>7</v>
      </c>
      <c r="BK80" s="471" t="s">
        <v>910</v>
      </c>
      <c r="BL80" s="501">
        <v>0</v>
      </c>
      <c r="BM80" s="501">
        <v>0.03</v>
      </c>
      <c r="BN80" s="501">
        <v>0.69</v>
      </c>
      <c r="BO80" s="501">
        <v>0.28000000000000003</v>
      </c>
      <c r="BP80" s="501">
        <v>0.36</v>
      </c>
      <c r="BQ80" s="501">
        <v>0.26</v>
      </c>
      <c r="BR80" s="501">
        <v>0.32</v>
      </c>
      <c r="BS80" s="630">
        <v>60</v>
      </c>
      <c r="BT80" s="640" t="s">
        <v>910</v>
      </c>
      <c r="BU80" s="630">
        <v>7</v>
      </c>
      <c r="BV80" s="640" t="s">
        <v>910</v>
      </c>
      <c r="BW80" s="644">
        <v>0</v>
      </c>
      <c r="BX80" s="644">
        <v>0.11</v>
      </c>
      <c r="BY80" s="644">
        <v>0.64</v>
      </c>
      <c r="BZ80" s="644">
        <v>0.25</v>
      </c>
      <c r="CA80" s="644">
        <v>0.28999999999999998</v>
      </c>
      <c r="CB80" s="644">
        <v>0.37</v>
      </c>
      <c r="CC80" s="644">
        <v>0.37</v>
      </c>
    </row>
    <row r="81" spans="1:81" s="461" customFormat="1" ht="24.9" customHeight="1" x14ac:dyDescent="0.25">
      <c r="A81" s="470" t="s">
        <v>960</v>
      </c>
      <c r="B81" s="15" t="s">
        <v>222</v>
      </c>
      <c r="C81" s="471">
        <v>3</v>
      </c>
      <c r="D81" s="502"/>
      <c r="E81" s="502"/>
      <c r="F81" s="501"/>
      <c r="G81" s="501"/>
      <c r="H81" s="501"/>
      <c r="I81" s="501"/>
      <c r="J81" s="501"/>
      <c r="K81" s="501"/>
      <c r="L81" s="501"/>
      <c r="M81" s="503"/>
      <c r="N81" s="503"/>
      <c r="O81" s="504"/>
      <c r="P81" s="504"/>
      <c r="Q81" s="504"/>
      <c r="R81" s="504"/>
      <c r="S81" s="504"/>
      <c r="T81" s="504"/>
      <c r="U81" s="504"/>
      <c r="V81" s="503"/>
      <c r="W81" s="503"/>
      <c r="X81" s="508"/>
      <c r="Y81" s="508"/>
      <c r="Z81" s="508"/>
      <c r="AA81" s="508"/>
      <c r="AB81" s="508"/>
      <c r="AC81" s="508"/>
      <c r="AD81" s="508"/>
      <c r="AE81" s="502"/>
      <c r="AF81" s="502"/>
      <c r="AG81" s="501"/>
      <c r="AH81" s="501"/>
      <c r="AI81" s="501"/>
      <c r="AJ81" s="501"/>
      <c r="AK81" s="501"/>
      <c r="AL81" s="501"/>
      <c r="AM81" s="501"/>
      <c r="AN81" s="472"/>
      <c r="AO81" s="472"/>
      <c r="AP81" s="506"/>
      <c r="AQ81" s="506"/>
      <c r="AR81" s="506"/>
      <c r="AS81" s="506"/>
      <c r="AT81" s="506"/>
      <c r="AU81" s="506"/>
      <c r="AV81" s="506"/>
      <c r="AW81" s="475"/>
      <c r="AX81" s="493"/>
      <c r="AY81" s="475"/>
      <c r="AZ81" s="493"/>
      <c r="BA81" s="507"/>
      <c r="BB81" s="507"/>
      <c r="BC81" s="507"/>
      <c r="BD81" s="507"/>
      <c r="BE81" s="507"/>
      <c r="BF81" s="507"/>
      <c r="BG81" s="507"/>
      <c r="BH81" s="469">
        <v>57</v>
      </c>
      <c r="BI81" s="471" t="s">
        <v>910</v>
      </c>
      <c r="BJ81" s="469">
        <v>9</v>
      </c>
      <c r="BK81" s="471" t="s">
        <v>910</v>
      </c>
      <c r="BL81" s="501">
        <v>0</v>
      </c>
      <c r="BM81" s="501">
        <v>0.21</v>
      </c>
      <c r="BN81" s="501">
        <v>0.64</v>
      </c>
      <c r="BO81" s="501">
        <v>0.14000000000000001</v>
      </c>
      <c r="BP81" s="501">
        <v>0.38</v>
      </c>
      <c r="BQ81" s="501">
        <v>0.36</v>
      </c>
      <c r="BR81" s="501">
        <v>0.34</v>
      </c>
      <c r="BS81" s="630">
        <v>50</v>
      </c>
      <c r="BT81" s="640" t="s">
        <v>910</v>
      </c>
      <c r="BU81" s="630">
        <v>9</v>
      </c>
      <c r="BV81" s="640" t="s">
        <v>910</v>
      </c>
      <c r="BW81" s="644">
        <v>0</v>
      </c>
      <c r="BX81" s="644">
        <v>0.55000000000000004</v>
      </c>
      <c r="BY81" s="644">
        <v>0.4</v>
      </c>
      <c r="BZ81" s="644">
        <v>0.05</v>
      </c>
      <c r="CA81" s="644">
        <v>0.48</v>
      </c>
      <c r="CB81" s="644">
        <v>0.57999999999999996</v>
      </c>
      <c r="CC81" s="644">
        <v>0.52</v>
      </c>
    </row>
    <row r="82" spans="1:81" ht="24.9" customHeight="1" x14ac:dyDescent="0.25">
      <c r="A82" s="188" t="s">
        <v>108</v>
      </c>
      <c r="B82" s="1" t="s">
        <v>222</v>
      </c>
      <c r="C82" s="2">
        <v>6</v>
      </c>
      <c r="D82" s="16">
        <v>56</v>
      </c>
      <c r="E82" s="16">
        <v>7</v>
      </c>
      <c r="F82" s="96">
        <v>0</v>
      </c>
      <c r="G82" s="96">
        <v>0.13</v>
      </c>
      <c r="H82" s="96">
        <v>0.8</v>
      </c>
      <c r="I82" s="96">
        <v>7.0000000000000007E-2</v>
      </c>
      <c r="J82" s="96">
        <v>0.42</v>
      </c>
      <c r="K82" s="96">
        <v>0.43</v>
      </c>
      <c r="L82" s="96">
        <v>0.52</v>
      </c>
      <c r="M82" s="34">
        <v>54</v>
      </c>
      <c r="N82" s="34">
        <v>8</v>
      </c>
      <c r="O82" s="92">
        <v>0.06</v>
      </c>
      <c r="P82" s="92">
        <v>0.24</v>
      </c>
      <c r="Q82" s="92">
        <v>0.65</v>
      </c>
      <c r="R82" s="92">
        <v>0.06</v>
      </c>
      <c r="S82" s="92">
        <v>0.4</v>
      </c>
      <c r="T82" s="92">
        <v>0.54</v>
      </c>
      <c r="U82" s="92">
        <v>0.45</v>
      </c>
      <c r="V82" s="34">
        <v>56</v>
      </c>
      <c r="W82" s="34">
        <v>6</v>
      </c>
      <c r="X82" s="99">
        <v>0</v>
      </c>
      <c r="Y82" s="99">
        <v>0.18</v>
      </c>
      <c r="Z82" s="99">
        <v>0.82</v>
      </c>
      <c r="AA82" s="99">
        <v>0</v>
      </c>
      <c r="AB82" s="99">
        <v>0.37</v>
      </c>
      <c r="AC82" s="99">
        <v>0.44</v>
      </c>
      <c r="AD82" s="99">
        <v>0.51</v>
      </c>
      <c r="AE82" s="16">
        <v>56</v>
      </c>
      <c r="AF82" s="16">
        <v>9</v>
      </c>
      <c r="AG82" s="96">
        <v>0</v>
      </c>
      <c r="AH82" s="96">
        <v>0.31</v>
      </c>
      <c r="AI82" s="96">
        <v>0.56000000000000005</v>
      </c>
      <c r="AJ82" s="96">
        <v>0.13</v>
      </c>
      <c r="AK82" s="96">
        <v>0.38</v>
      </c>
      <c r="AL82" s="96">
        <v>0.32</v>
      </c>
      <c r="AM82" s="96">
        <v>0.4</v>
      </c>
      <c r="AN82" s="61">
        <v>54</v>
      </c>
      <c r="AO82" s="61">
        <v>9</v>
      </c>
      <c r="AP82" s="66">
        <v>0</v>
      </c>
      <c r="AQ82" s="66">
        <v>0.32</v>
      </c>
      <c r="AR82" s="66">
        <v>0.63</v>
      </c>
      <c r="AS82" s="66">
        <v>0.05</v>
      </c>
      <c r="AT82" s="66">
        <v>0.47</v>
      </c>
      <c r="AU82" s="66">
        <v>0.3</v>
      </c>
      <c r="AV82" s="66">
        <v>0.44</v>
      </c>
      <c r="AW82" s="349">
        <v>56</v>
      </c>
      <c r="AX82" s="348" t="s">
        <v>910</v>
      </c>
      <c r="AY82" s="349">
        <v>10</v>
      </c>
      <c r="AZ82" s="348" t="s">
        <v>910</v>
      </c>
      <c r="BA82" s="371">
        <v>0</v>
      </c>
      <c r="BB82" s="371">
        <v>0.38</v>
      </c>
      <c r="BC82" s="371">
        <v>0.46</v>
      </c>
      <c r="BD82" s="371">
        <v>0.15</v>
      </c>
      <c r="BE82" s="371">
        <v>0.43</v>
      </c>
      <c r="BF82" s="371">
        <v>0.34</v>
      </c>
      <c r="BG82" s="371">
        <v>0.52</v>
      </c>
      <c r="BH82" s="469">
        <v>52</v>
      </c>
      <c r="BI82" s="471" t="s">
        <v>910</v>
      </c>
      <c r="BJ82" s="469">
        <v>11</v>
      </c>
      <c r="BK82" s="471" t="s">
        <v>910</v>
      </c>
      <c r="BL82" s="501">
        <v>0</v>
      </c>
      <c r="BM82" s="501">
        <v>0.6</v>
      </c>
      <c r="BN82" s="501">
        <v>0.3</v>
      </c>
      <c r="BO82" s="501">
        <v>0.1</v>
      </c>
      <c r="BP82" s="501">
        <v>0.52</v>
      </c>
      <c r="BQ82" s="501">
        <v>0.34</v>
      </c>
      <c r="BR82" s="501">
        <v>0.56000000000000005</v>
      </c>
      <c r="BS82" s="630">
        <v>61</v>
      </c>
      <c r="BT82" s="640" t="s">
        <v>910</v>
      </c>
      <c r="BU82" s="630">
        <v>8</v>
      </c>
      <c r="BV82" s="640" t="s">
        <v>910</v>
      </c>
      <c r="BW82" s="644">
        <v>0</v>
      </c>
      <c r="BX82" s="644">
        <v>0.11</v>
      </c>
      <c r="BY82" s="644">
        <v>0.44</v>
      </c>
      <c r="BZ82" s="644">
        <v>0.44</v>
      </c>
      <c r="CA82" s="644">
        <v>0.24</v>
      </c>
      <c r="CB82" s="644">
        <v>0.35</v>
      </c>
      <c r="CC82" s="644">
        <v>0.36</v>
      </c>
    </row>
    <row r="83" spans="1:81" ht="24.9" customHeight="1" x14ac:dyDescent="0.25">
      <c r="A83" s="188" t="s">
        <v>38</v>
      </c>
      <c r="B83" s="1" t="s">
        <v>222</v>
      </c>
      <c r="C83" s="2">
        <v>6</v>
      </c>
      <c r="D83" s="16">
        <v>58</v>
      </c>
      <c r="E83" s="16">
        <v>7</v>
      </c>
      <c r="F83" s="96">
        <v>0</v>
      </c>
      <c r="G83" s="96">
        <v>0.14000000000000001</v>
      </c>
      <c r="H83" s="96">
        <v>0.78</v>
      </c>
      <c r="I83" s="96">
        <v>0.08</v>
      </c>
      <c r="J83" s="96">
        <v>0.35</v>
      </c>
      <c r="K83" s="96">
        <v>0.4</v>
      </c>
      <c r="L83" s="96">
        <v>0.47</v>
      </c>
      <c r="M83" s="34">
        <v>52</v>
      </c>
      <c r="N83" s="34">
        <v>10</v>
      </c>
      <c r="O83" s="92">
        <v>0</v>
      </c>
      <c r="P83" s="92">
        <v>0.45</v>
      </c>
      <c r="Q83" s="92">
        <v>0.39</v>
      </c>
      <c r="R83" s="92">
        <v>0.16</v>
      </c>
      <c r="S83" s="92">
        <v>0.46</v>
      </c>
      <c r="T83" s="92">
        <v>0.51</v>
      </c>
      <c r="U83" s="92">
        <v>0.49</v>
      </c>
      <c r="V83" s="34">
        <v>55</v>
      </c>
      <c r="W83" s="34">
        <v>9</v>
      </c>
      <c r="X83" s="99">
        <v>0.04</v>
      </c>
      <c r="Y83" s="99">
        <v>0.28000000000000003</v>
      </c>
      <c r="Z83" s="99">
        <v>0.6</v>
      </c>
      <c r="AA83" s="99">
        <v>0.09</v>
      </c>
      <c r="AB83" s="99">
        <v>0.42</v>
      </c>
      <c r="AC83" s="99">
        <v>0.46</v>
      </c>
      <c r="AD83" s="99">
        <v>0.5</v>
      </c>
      <c r="AE83" s="16">
        <v>56</v>
      </c>
      <c r="AF83" s="16">
        <v>9</v>
      </c>
      <c r="AG83" s="96">
        <v>0.05</v>
      </c>
      <c r="AH83" s="96">
        <v>0.16</v>
      </c>
      <c r="AI83" s="96">
        <v>0.66</v>
      </c>
      <c r="AJ83" s="96">
        <v>0.13</v>
      </c>
      <c r="AK83" s="96">
        <v>0.38</v>
      </c>
      <c r="AL83" s="96">
        <v>0.33</v>
      </c>
      <c r="AM83" s="96">
        <v>0.4</v>
      </c>
      <c r="AN83" s="61">
        <v>54</v>
      </c>
      <c r="AO83" s="61">
        <v>9</v>
      </c>
      <c r="AP83" s="66">
        <v>0</v>
      </c>
      <c r="AQ83" s="66">
        <v>0.33</v>
      </c>
      <c r="AR83" s="66">
        <v>0.56999999999999995</v>
      </c>
      <c r="AS83" s="66">
        <v>0.09</v>
      </c>
      <c r="AT83" s="66">
        <v>0.47</v>
      </c>
      <c r="AU83" s="66">
        <v>0.36</v>
      </c>
      <c r="AV83" s="66">
        <v>0.41</v>
      </c>
      <c r="AW83" s="349">
        <v>53</v>
      </c>
      <c r="AX83" s="348" t="s">
        <v>910</v>
      </c>
      <c r="AY83" s="349">
        <v>10</v>
      </c>
      <c r="AZ83" s="348" t="s">
        <v>910</v>
      </c>
      <c r="BA83" s="371">
        <v>0.04</v>
      </c>
      <c r="BB83" s="371">
        <v>0.33</v>
      </c>
      <c r="BC83" s="371">
        <v>0.49</v>
      </c>
      <c r="BD83" s="371">
        <v>0.14000000000000001</v>
      </c>
      <c r="BE83" s="371">
        <v>0.47</v>
      </c>
      <c r="BF83" s="371">
        <v>0.33</v>
      </c>
      <c r="BG83" s="371">
        <v>0.53</v>
      </c>
      <c r="BH83" s="469">
        <v>55</v>
      </c>
      <c r="BI83" s="471" t="s">
        <v>910</v>
      </c>
      <c r="BJ83" s="469">
        <v>8</v>
      </c>
      <c r="BK83" s="471" t="s">
        <v>910</v>
      </c>
      <c r="BL83" s="501">
        <v>0</v>
      </c>
      <c r="BM83" s="501">
        <v>0.28999999999999998</v>
      </c>
      <c r="BN83" s="501">
        <v>0.6</v>
      </c>
      <c r="BO83" s="501">
        <v>0.1</v>
      </c>
      <c r="BP83" s="501">
        <v>0.44</v>
      </c>
      <c r="BQ83" s="501">
        <v>0.33</v>
      </c>
      <c r="BR83" s="501">
        <v>0.45</v>
      </c>
      <c r="BS83" s="630">
        <v>55</v>
      </c>
      <c r="BT83" s="640" t="s">
        <v>910</v>
      </c>
      <c r="BU83" s="630">
        <v>9</v>
      </c>
      <c r="BV83" s="640" t="s">
        <v>910</v>
      </c>
      <c r="BW83" s="644">
        <v>0.01</v>
      </c>
      <c r="BX83" s="644">
        <v>0.3</v>
      </c>
      <c r="BY83" s="644">
        <v>0.55000000000000004</v>
      </c>
      <c r="BZ83" s="644">
        <v>0.14000000000000001</v>
      </c>
      <c r="CA83" s="644">
        <v>0.35</v>
      </c>
      <c r="CB83" s="644">
        <v>0.46</v>
      </c>
      <c r="CC83" s="644">
        <v>0.48</v>
      </c>
    </row>
    <row r="84" spans="1:81" ht="24.9" customHeight="1" x14ac:dyDescent="0.25">
      <c r="A84" s="188" t="s">
        <v>184</v>
      </c>
      <c r="B84" s="1" t="s">
        <v>222</v>
      </c>
      <c r="C84" s="2">
        <v>3</v>
      </c>
      <c r="D84" s="16">
        <v>54</v>
      </c>
      <c r="E84" s="16">
        <v>9</v>
      </c>
      <c r="F84" s="96">
        <v>0.04</v>
      </c>
      <c r="G84" s="96">
        <v>0.35</v>
      </c>
      <c r="H84" s="96">
        <v>0.56999999999999995</v>
      </c>
      <c r="I84" s="96">
        <v>0.04</v>
      </c>
      <c r="J84" s="96">
        <v>0.39</v>
      </c>
      <c r="K84" s="96">
        <v>0.52</v>
      </c>
      <c r="L84" s="96">
        <v>0.49</v>
      </c>
      <c r="M84" s="34">
        <v>53</v>
      </c>
      <c r="N84" s="34">
        <v>10</v>
      </c>
      <c r="O84" s="92">
        <v>0.04</v>
      </c>
      <c r="P84" s="92">
        <v>0.42</v>
      </c>
      <c r="Q84" s="92">
        <v>0.38</v>
      </c>
      <c r="R84" s="92">
        <v>0.17</v>
      </c>
      <c r="S84" s="92">
        <v>0.45</v>
      </c>
      <c r="T84" s="92">
        <v>0.48</v>
      </c>
      <c r="U84" s="92">
        <v>0.45</v>
      </c>
      <c r="V84" s="34">
        <v>55</v>
      </c>
      <c r="W84" s="34">
        <v>9</v>
      </c>
      <c r="X84" s="99">
        <v>0</v>
      </c>
      <c r="Y84" s="99">
        <v>0.33</v>
      </c>
      <c r="Z84" s="99">
        <v>0.61</v>
      </c>
      <c r="AA84" s="99">
        <v>0.06</v>
      </c>
      <c r="AB84" s="99">
        <v>0.43</v>
      </c>
      <c r="AC84" s="99">
        <v>0.48</v>
      </c>
      <c r="AD84" s="99">
        <v>0.48</v>
      </c>
      <c r="AE84" s="16">
        <v>53</v>
      </c>
      <c r="AF84" s="16">
        <v>9</v>
      </c>
      <c r="AG84" s="96">
        <v>0.06</v>
      </c>
      <c r="AH84" s="96">
        <v>0.22</v>
      </c>
      <c r="AI84" s="96">
        <v>0.67</v>
      </c>
      <c r="AJ84" s="96">
        <v>0.06</v>
      </c>
      <c r="AK84" s="96">
        <v>0.43</v>
      </c>
      <c r="AL84" s="96">
        <v>0.43</v>
      </c>
      <c r="AM84" s="96">
        <v>0.42</v>
      </c>
      <c r="AN84" s="61">
        <v>57</v>
      </c>
      <c r="AO84" s="61">
        <v>6</v>
      </c>
      <c r="AP84" s="66">
        <v>0</v>
      </c>
      <c r="AQ84" s="66">
        <v>0.2</v>
      </c>
      <c r="AR84" s="66">
        <v>0.75</v>
      </c>
      <c r="AS84" s="66">
        <v>0.05</v>
      </c>
      <c r="AT84" s="66">
        <v>0.39</v>
      </c>
      <c r="AU84" s="66">
        <v>0.36</v>
      </c>
      <c r="AV84" s="66">
        <v>0.34</v>
      </c>
      <c r="AW84" s="349">
        <v>53</v>
      </c>
      <c r="AX84" s="348" t="s">
        <v>910</v>
      </c>
      <c r="AY84" s="349">
        <v>9</v>
      </c>
      <c r="AZ84" s="348" t="s">
        <v>910</v>
      </c>
      <c r="BA84" s="371">
        <v>0</v>
      </c>
      <c r="BB84" s="371">
        <v>0.38</v>
      </c>
      <c r="BC84" s="371">
        <v>0.53</v>
      </c>
      <c r="BD84" s="371">
        <v>0.09</v>
      </c>
      <c r="BE84" s="371">
        <v>0.47</v>
      </c>
      <c r="BF84" s="371">
        <v>0.37</v>
      </c>
      <c r="BG84" s="371">
        <v>0.54</v>
      </c>
      <c r="BH84" s="469">
        <v>54</v>
      </c>
      <c r="BI84" s="471" t="s">
        <v>910</v>
      </c>
      <c r="BJ84" s="469">
        <v>9</v>
      </c>
      <c r="BK84" s="471" t="s">
        <v>910</v>
      </c>
      <c r="BL84" s="501">
        <v>0.06</v>
      </c>
      <c r="BM84" s="501">
        <v>0.13</v>
      </c>
      <c r="BN84" s="501">
        <v>0.81</v>
      </c>
      <c r="BO84" s="501">
        <v>0</v>
      </c>
      <c r="BP84" s="501">
        <v>0.46</v>
      </c>
      <c r="BQ84" s="501">
        <v>0.38</v>
      </c>
      <c r="BR84" s="501">
        <v>0.47</v>
      </c>
      <c r="BS84" s="630">
        <v>52</v>
      </c>
      <c r="BT84" s="640" t="s">
        <v>910</v>
      </c>
      <c r="BU84" s="630">
        <v>10</v>
      </c>
      <c r="BV84" s="640" t="s">
        <v>910</v>
      </c>
      <c r="BW84" s="644">
        <v>0.08</v>
      </c>
      <c r="BX84" s="644">
        <v>0.23</v>
      </c>
      <c r="BY84" s="644">
        <v>0.62</v>
      </c>
      <c r="BZ84" s="644">
        <v>0.08</v>
      </c>
      <c r="CA84" s="644">
        <v>0.41</v>
      </c>
      <c r="CB84" s="644">
        <v>0.49</v>
      </c>
      <c r="CC84" s="644">
        <v>0.51</v>
      </c>
    </row>
    <row r="85" spans="1:81" ht="24.9" customHeight="1" x14ac:dyDescent="0.25">
      <c r="A85" s="188" t="s">
        <v>110</v>
      </c>
      <c r="B85" s="1" t="s">
        <v>222</v>
      </c>
      <c r="C85" s="2">
        <v>2</v>
      </c>
      <c r="D85" s="16">
        <v>60</v>
      </c>
      <c r="E85" s="16">
        <v>7</v>
      </c>
      <c r="F85" s="96">
        <v>0</v>
      </c>
      <c r="G85" s="96">
        <v>0.1</v>
      </c>
      <c r="H85" s="96">
        <v>0.68</v>
      </c>
      <c r="I85" s="96">
        <v>0.22</v>
      </c>
      <c r="J85" s="96">
        <v>0.34</v>
      </c>
      <c r="K85" s="96">
        <v>0.38</v>
      </c>
      <c r="L85" s="96">
        <v>0.41</v>
      </c>
      <c r="M85" s="34">
        <v>60</v>
      </c>
      <c r="N85" s="34">
        <v>7</v>
      </c>
      <c r="O85" s="92">
        <v>0</v>
      </c>
      <c r="P85" s="92">
        <v>0.06</v>
      </c>
      <c r="Q85" s="92">
        <v>0.71</v>
      </c>
      <c r="R85" s="92">
        <v>0.22</v>
      </c>
      <c r="S85" s="92">
        <v>0.31</v>
      </c>
      <c r="T85" s="92">
        <v>0.36</v>
      </c>
      <c r="U85" s="92">
        <v>0.38</v>
      </c>
      <c r="V85" s="34">
        <v>60</v>
      </c>
      <c r="W85" s="34">
        <v>7</v>
      </c>
      <c r="X85" s="99">
        <v>0</v>
      </c>
      <c r="Y85" s="99">
        <v>0.06</v>
      </c>
      <c r="Z85" s="99">
        <v>0.73</v>
      </c>
      <c r="AA85" s="99">
        <v>0.2</v>
      </c>
      <c r="AB85" s="99">
        <v>0.3</v>
      </c>
      <c r="AC85" s="99">
        <v>0.36</v>
      </c>
      <c r="AD85" s="99">
        <v>0.41</v>
      </c>
      <c r="AE85" s="16">
        <v>61</v>
      </c>
      <c r="AF85" s="16">
        <v>7</v>
      </c>
      <c r="AG85" s="96">
        <v>0</v>
      </c>
      <c r="AH85" s="96">
        <v>0.08</v>
      </c>
      <c r="AI85" s="96">
        <v>0.65</v>
      </c>
      <c r="AJ85" s="96">
        <v>0.28000000000000003</v>
      </c>
      <c r="AK85" s="96">
        <v>0.27</v>
      </c>
      <c r="AL85" s="96">
        <v>0.25</v>
      </c>
      <c r="AM85" s="96">
        <v>0.35</v>
      </c>
      <c r="AN85" s="61">
        <v>62</v>
      </c>
      <c r="AO85" s="61">
        <v>7</v>
      </c>
      <c r="AP85" s="66">
        <v>0</v>
      </c>
      <c r="AQ85" s="66">
        <v>0.05</v>
      </c>
      <c r="AR85" s="66">
        <v>0.64</v>
      </c>
      <c r="AS85" s="66">
        <v>0.31</v>
      </c>
      <c r="AT85" s="66">
        <v>0.3</v>
      </c>
      <c r="AU85" s="66">
        <v>0.24</v>
      </c>
      <c r="AV85" s="66">
        <v>0.28999999999999998</v>
      </c>
      <c r="AW85" s="349">
        <v>62</v>
      </c>
      <c r="AX85" s="348" t="s">
        <v>910</v>
      </c>
      <c r="AY85" s="349">
        <v>9</v>
      </c>
      <c r="AZ85" s="348" t="s">
        <v>910</v>
      </c>
      <c r="BA85" s="371">
        <v>0</v>
      </c>
      <c r="BB85" s="371">
        <v>0.18</v>
      </c>
      <c r="BC85" s="371">
        <v>0.5</v>
      </c>
      <c r="BD85" s="371">
        <v>0.32</v>
      </c>
      <c r="BE85" s="371">
        <v>0.33</v>
      </c>
      <c r="BF85" s="371">
        <v>0.23</v>
      </c>
      <c r="BG85" s="371">
        <v>0.4</v>
      </c>
      <c r="BH85" s="469">
        <v>64</v>
      </c>
      <c r="BI85" s="471" t="s">
        <v>911</v>
      </c>
      <c r="BJ85" s="469">
        <v>7</v>
      </c>
      <c r="BK85" s="471" t="s">
        <v>910</v>
      </c>
      <c r="BL85" s="501">
        <v>0</v>
      </c>
      <c r="BM85" s="501">
        <v>0.04</v>
      </c>
      <c r="BN85" s="501">
        <v>0.48</v>
      </c>
      <c r="BO85" s="501">
        <v>0.48</v>
      </c>
      <c r="BP85" s="501">
        <v>0.28999999999999998</v>
      </c>
      <c r="BQ85" s="501">
        <v>0.22</v>
      </c>
      <c r="BR85" s="501">
        <v>0.24</v>
      </c>
      <c r="BS85" s="630">
        <v>65</v>
      </c>
      <c r="BT85" s="640" t="s">
        <v>911</v>
      </c>
      <c r="BU85" s="630">
        <v>6</v>
      </c>
      <c r="BV85" s="640" t="s">
        <v>910</v>
      </c>
      <c r="BW85" s="644">
        <v>0</v>
      </c>
      <c r="BX85" s="644">
        <v>0</v>
      </c>
      <c r="BY85" s="644">
        <v>0.53</v>
      </c>
      <c r="BZ85" s="644">
        <v>0.47</v>
      </c>
      <c r="CA85" s="644">
        <v>0.2</v>
      </c>
      <c r="CB85" s="644">
        <v>0.27</v>
      </c>
      <c r="CC85" s="644">
        <v>0.3</v>
      </c>
    </row>
    <row r="86" spans="1:81" s="461" customFormat="1" ht="24.9" customHeight="1" x14ac:dyDescent="0.25">
      <c r="A86" s="470" t="s">
        <v>962</v>
      </c>
      <c r="B86" s="15" t="s">
        <v>222</v>
      </c>
      <c r="C86" s="471">
        <v>6</v>
      </c>
      <c r="D86" s="502"/>
      <c r="E86" s="502"/>
      <c r="F86" s="501"/>
      <c r="G86" s="501"/>
      <c r="H86" s="501"/>
      <c r="I86" s="501"/>
      <c r="J86" s="501"/>
      <c r="K86" s="501"/>
      <c r="L86" s="501"/>
      <c r="M86" s="503"/>
      <c r="N86" s="503"/>
      <c r="O86" s="504"/>
      <c r="P86" s="504"/>
      <c r="Q86" s="504"/>
      <c r="R86" s="504"/>
      <c r="S86" s="504"/>
      <c r="T86" s="504"/>
      <c r="U86" s="504"/>
      <c r="V86" s="503"/>
      <c r="W86" s="503"/>
      <c r="X86" s="508"/>
      <c r="Y86" s="508"/>
      <c r="Z86" s="508"/>
      <c r="AA86" s="508"/>
      <c r="AB86" s="508"/>
      <c r="AC86" s="508"/>
      <c r="AD86" s="508"/>
      <c r="AE86" s="502"/>
      <c r="AF86" s="502"/>
      <c r="AG86" s="501"/>
      <c r="AH86" s="501"/>
      <c r="AI86" s="501"/>
      <c r="AJ86" s="501"/>
      <c r="AK86" s="501"/>
      <c r="AL86" s="501"/>
      <c r="AM86" s="501"/>
      <c r="AN86" s="472"/>
      <c r="AO86" s="472"/>
      <c r="AP86" s="506"/>
      <c r="AQ86" s="506"/>
      <c r="AR86" s="506"/>
      <c r="AS86" s="506"/>
      <c r="AT86" s="506"/>
      <c r="AU86" s="506"/>
      <c r="AV86" s="506"/>
      <c r="AW86" s="475"/>
      <c r="AX86" s="493"/>
      <c r="AY86" s="475"/>
      <c r="AZ86" s="493"/>
      <c r="BA86" s="507"/>
      <c r="BB86" s="507"/>
      <c r="BC86" s="507"/>
      <c r="BD86" s="507"/>
      <c r="BE86" s="507"/>
      <c r="BF86" s="507"/>
      <c r="BG86" s="507"/>
      <c r="BH86" s="469">
        <v>48</v>
      </c>
      <c r="BI86" s="471" t="s">
        <v>910</v>
      </c>
      <c r="BJ86" s="469">
        <v>10</v>
      </c>
      <c r="BK86" s="471" t="s">
        <v>910</v>
      </c>
      <c r="BL86" s="501">
        <v>0.06</v>
      </c>
      <c r="BM86" s="501">
        <v>0.59</v>
      </c>
      <c r="BN86" s="501">
        <v>0.28999999999999998</v>
      </c>
      <c r="BO86" s="501">
        <v>0.06</v>
      </c>
      <c r="BP86" s="501">
        <v>0.56000000000000005</v>
      </c>
      <c r="BQ86" s="501">
        <v>0.45</v>
      </c>
      <c r="BR86" s="501">
        <v>0.57999999999999996</v>
      </c>
      <c r="BS86" s="630">
        <v>53</v>
      </c>
      <c r="BT86" s="640" t="s">
        <v>910</v>
      </c>
      <c r="BU86" s="630">
        <v>0</v>
      </c>
      <c r="BV86" s="640" t="s">
        <v>912</v>
      </c>
      <c r="BW86" s="644">
        <v>0</v>
      </c>
      <c r="BX86" s="644">
        <v>0</v>
      </c>
      <c r="BY86" s="644">
        <v>1</v>
      </c>
      <c r="BZ86" s="644">
        <v>0</v>
      </c>
      <c r="CA86" s="644">
        <v>0.56000000000000005</v>
      </c>
      <c r="CB86" s="644">
        <v>0.36</v>
      </c>
      <c r="CC86" s="644">
        <v>0.42</v>
      </c>
    </row>
    <row r="87" spans="1:81" s="53" customFormat="1" ht="24.9" customHeight="1" x14ac:dyDescent="0.25">
      <c r="A87" s="189" t="s">
        <v>268</v>
      </c>
      <c r="B87" s="1" t="s">
        <v>222</v>
      </c>
      <c r="C87" s="2">
        <v>3</v>
      </c>
      <c r="D87" s="16"/>
      <c r="E87" s="16"/>
      <c r="F87" s="16"/>
      <c r="G87" s="16"/>
      <c r="H87" s="16"/>
      <c r="I87" s="16"/>
      <c r="J87" s="16"/>
      <c r="K87" s="16"/>
      <c r="L87" s="16"/>
      <c r="M87" s="34"/>
      <c r="N87" s="34"/>
      <c r="O87" s="92"/>
      <c r="P87" s="92"/>
      <c r="Q87" s="92"/>
      <c r="R87" s="92"/>
      <c r="S87" s="92"/>
      <c r="T87" s="92"/>
      <c r="U87" s="92"/>
      <c r="V87" s="34"/>
      <c r="W87" s="34"/>
      <c r="X87" s="13"/>
      <c r="Y87" s="13"/>
      <c r="Z87" s="13"/>
      <c r="AA87" s="13"/>
      <c r="AB87" s="13"/>
      <c r="AC87" s="13"/>
      <c r="AD87" s="13"/>
      <c r="AE87" s="16"/>
      <c r="AF87" s="16"/>
      <c r="AG87" s="2"/>
      <c r="AH87" s="2"/>
      <c r="AI87" s="2"/>
      <c r="AJ87" s="2"/>
      <c r="AK87" s="2"/>
      <c r="AL87" s="2"/>
      <c r="AM87" s="2"/>
      <c r="AN87" s="61">
        <v>59</v>
      </c>
      <c r="AO87" s="61">
        <v>5</v>
      </c>
      <c r="AP87" s="66">
        <v>0</v>
      </c>
      <c r="AQ87" s="66">
        <v>0</v>
      </c>
      <c r="AR87" s="66">
        <v>1</v>
      </c>
      <c r="AS87" s="66">
        <v>0</v>
      </c>
      <c r="AT87" s="66">
        <v>0.36</v>
      </c>
      <c r="AU87" s="66">
        <v>0.24</v>
      </c>
      <c r="AV87" s="66">
        <v>0.36</v>
      </c>
      <c r="AW87" s="349">
        <v>62</v>
      </c>
      <c r="AX87" s="348" t="s">
        <v>910</v>
      </c>
      <c r="AY87" s="349">
        <v>6</v>
      </c>
      <c r="AZ87" s="348" t="s">
        <v>910</v>
      </c>
      <c r="BA87" s="371">
        <v>0</v>
      </c>
      <c r="BB87" s="371">
        <v>0</v>
      </c>
      <c r="BC87" s="371">
        <v>0.56000000000000005</v>
      </c>
      <c r="BD87" s="371">
        <v>0.44</v>
      </c>
      <c r="BE87" s="371">
        <v>0.27</v>
      </c>
      <c r="BF87" s="371">
        <v>0.23</v>
      </c>
      <c r="BG87" s="371">
        <v>0.41</v>
      </c>
      <c r="BH87" s="469">
        <v>64</v>
      </c>
      <c r="BI87" s="471" t="s">
        <v>911</v>
      </c>
      <c r="BJ87" s="469">
        <v>8</v>
      </c>
      <c r="BK87" s="471" t="s">
        <v>910</v>
      </c>
      <c r="BL87" s="501">
        <v>0</v>
      </c>
      <c r="BM87" s="501">
        <v>0.06</v>
      </c>
      <c r="BN87" s="501">
        <v>0.5</v>
      </c>
      <c r="BO87" s="501">
        <v>0.44</v>
      </c>
      <c r="BP87" s="501">
        <v>0.31</v>
      </c>
      <c r="BQ87" s="501">
        <v>0.23</v>
      </c>
      <c r="BR87" s="501">
        <v>0.25</v>
      </c>
      <c r="BS87" s="630">
        <v>62</v>
      </c>
      <c r="BT87" s="640" t="s">
        <v>910</v>
      </c>
      <c r="BU87" s="630">
        <v>5</v>
      </c>
      <c r="BV87" s="640" t="s">
        <v>912</v>
      </c>
      <c r="BW87" s="644">
        <v>0</v>
      </c>
      <c r="BX87" s="644">
        <v>0</v>
      </c>
      <c r="BY87" s="644">
        <v>0.9</v>
      </c>
      <c r="BZ87" s="644">
        <v>0.1</v>
      </c>
      <c r="CA87" s="644">
        <v>0.27</v>
      </c>
      <c r="CB87" s="644">
        <v>0.31</v>
      </c>
      <c r="CC87" s="644">
        <v>0.35</v>
      </c>
    </row>
    <row r="88" spans="1:81" ht="24.9" customHeight="1" x14ac:dyDescent="0.25">
      <c r="A88" s="188" t="s">
        <v>234</v>
      </c>
      <c r="B88" s="1" t="s">
        <v>222</v>
      </c>
      <c r="C88" s="2">
        <v>5</v>
      </c>
      <c r="D88" s="13" t="s">
        <v>226</v>
      </c>
      <c r="E88" s="13" t="s">
        <v>226</v>
      </c>
      <c r="F88" s="13"/>
      <c r="G88" s="13"/>
      <c r="H88" s="13"/>
      <c r="I88" s="13"/>
      <c r="J88" s="13"/>
      <c r="K88" s="13"/>
      <c r="L88" s="13"/>
      <c r="M88" s="13" t="s">
        <v>226</v>
      </c>
      <c r="N88" s="13" t="s">
        <v>226</v>
      </c>
      <c r="O88" s="92"/>
      <c r="P88" s="92"/>
      <c r="Q88" s="92"/>
      <c r="R88" s="92"/>
      <c r="S88" s="92"/>
      <c r="T88" s="92"/>
      <c r="U88" s="92"/>
      <c r="V88" s="13" t="s">
        <v>226</v>
      </c>
      <c r="W88" s="13" t="s">
        <v>226</v>
      </c>
      <c r="X88" s="13"/>
      <c r="Y88" s="13"/>
      <c r="Z88" s="13"/>
      <c r="AA88" s="13"/>
      <c r="AB88" s="13"/>
      <c r="AC88" s="13"/>
      <c r="AD88" s="13"/>
      <c r="AE88" s="16">
        <v>54</v>
      </c>
      <c r="AF88" s="16">
        <v>7</v>
      </c>
      <c r="AG88" s="96">
        <v>0</v>
      </c>
      <c r="AH88" s="96">
        <v>0.33</v>
      </c>
      <c r="AI88" s="96">
        <v>0.67</v>
      </c>
      <c r="AJ88" s="96">
        <v>0</v>
      </c>
      <c r="AK88" s="96">
        <v>0.47</v>
      </c>
      <c r="AL88" s="96">
        <v>0.36</v>
      </c>
      <c r="AM88" s="96">
        <v>0.39</v>
      </c>
    </row>
    <row r="89" spans="1:81" ht="24.9" customHeight="1" x14ac:dyDescent="0.25">
      <c r="A89" s="189" t="s">
        <v>153</v>
      </c>
      <c r="B89" s="1" t="s">
        <v>222</v>
      </c>
      <c r="C89" s="2">
        <v>2</v>
      </c>
      <c r="D89" s="16">
        <v>56</v>
      </c>
      <c r="E89" s="16">
        <v>7</v>
      </c>
      <c r="F89" s="96">
        <v>0</v>
      </c>
      <c r="G89" s="96">
        <v>0.28000000000000003</v>
      </c>
      <c r="H89" s="96">
        <v>0.62</v>
      </c>
      <c r="I89" s="96">
        <v>0.1</v>
      </c>
      <c r="J89" s="96">
        <v>0.39</v>
      </c>
      <c r="K89" s="96">
        <v>0.42</v>
      </c>
      <c r="L89" s="96">
        <v>0.51</v>
      </c>
      <c r="M89" s="34">
        <v>56</v>
      </c>
      <c r="N89" s="34">
        <v>7</v>
      </c>
      <c r="O89" s="92">
        <v>0</v>
      </c>
      <c r="P89" s="92">
        <v>0.2</v>
      </c>
      <c r="Q89" s="92">
        <v>0.7</v>
      </c>
      <c r="R89" s="92">
        <v>0.1</v>
      </c>
      <c r="S89" s="92">
        <v>0.39</v>
      </c>
      <c r="T89" s="92">
        <v>0.43</v>
      </c>
      <c r="U89" s="92">
        <v>0.44</v>
      </c>
      <c r="V89" s="34">
        <v>57</v>
      </c>
      <c r="W89" s="34">
        <v>10</v>
      </c>
      <c r="X89" s="99">
        <v>0.06</v>
      </c>
      <c r="Y89" s="99">
        <v>0.12</v>
      </c>
      <c r="Z89" s="99">
        <v>0.65</v>
      </c>
      <c r="AA89" s="99">
        <v>0.18</v>
      </c>
      <c r="AB89" s="99">
        <v>0.37</v>
      </c>
      <c r="AC89" s="99">
        <v>0.47</v>
      </c>
      <c r="AD89" s="99">
        <v>0.43</v>
      </c>
      <c r="AE89" s="16">
        <v>57</v>
      </c>
      <c r="AF89" s="16">
        <v>8</v>
      </c>
      <c r="AG89" s="96">
        <v>0.04</v>
      </c>
      <c r="AH89" s="96">
        <v>0.11</v>
      </c>
      <c r="AI89" s="96">
        <v>0.67</v>
      </c>
      <c r="AJ89" s="96">
        <v>0.19</v>
      </c>
      <c r="AK89" s="96">
        <v>0.41</v>
      </c>
      <c r="AL89" s="96">
        <v>0.31</v>
      </c>
      <c r="AM89" s="96">
        <v>0.34</v>
      </c>
      <c r="AN89" s="61">
        <v>56</v>
      </c>
      <c r="AO89" s="61">
        <v>8</v>
      </c>
      <c r="AP89" s="66">
        <v>0</v>
      </c>
      <c r="AQ89" s="66">
        <v>0.26</v>
      </c>
      <c r="AR89" s="66">
        <v>0.66</v>
      </c>
      <c r="AS89" s="66">
        <v>0.09</v>
      </c>
      <c r="AT89" s="66">
        <v>0.44</v>
      </c>
      <c r="AU89" s="66">
        <v>0.3</v>
      </c>
      <c r="AV89" s="66">
        <v>0.4</v>
      </c>
      <c r="AW89" s="349">
        <v>56</v>
      </c>
      <c r="AX89" s="348" t="s">
        <v>910</v>
      </c>
      <c r="AY89" s="349">
        <v>8</v>
      </c>
      <c r="AZ89" s="348" t="s">
        <v>910</v>
      </c>
      <c r="BA89" s="371">
        <v>0</v>
      </c>
      <c r="BB89" s="371">
        <v>0.23</v>
      </c>
      <c r="BC89" s="371">
        <v>0.62</v>
      </c>
      <c r="BD89" s="371">
        <v>0.15</v>
      </c>
      <c r="BE89" s="371">
        <v>0.39</v>
      </c>
      <c r="BF89" s="371">
        <v>0.3</v>
      </c>
      <c r="BG89" s="371">
        <v>0.49</v>
      </c>
      <c r="BH89" s="469">
        <v>56</v>
      </c>
      <c r="BI89" s="471" t="s">
        <v>910</v>
      </c>
      <c r="BJ89" s="469">
        <v>8</v>
      </c>
      <c r="BK89" s="471" t="s">
        <v>910</v>
      </c>
      <c r="BL89" s="501">
        <v>0.02</v>
      </c>
      <c r="BM89" s="501">
        <v>0.19</v>
      </c>
      <c r="BN89" s="501">
        <v>0.69</v>
      </c>
      <c r="BO89" s="501">
        <v>0.1</v>
      </c>
      <c r="BP89" s="501">
        <v>0.44</v>
      </c>
      <c r="BQ89" s="501">
        <v>0.31</v>
      </c>
      <c r="BR89" s="501">
        <v>0.41</v>
      </c>
      <c r="BS89" s="630">
        <v>57</v>
      </c>
      <c r="BT89" s="640" t="s">
        <v>910</v>
      </c>
      <c r="BU89" s="630">
        <v>8</v>
      </c>
      <c r="BV89" s="640" t="s">
        <v>910</v>
      </c>
      <c r="BW89" s="644">
        <v>0</v>
      </c>
      <c r="BX89" s="644">
        <v>0.15</v>
      </c>
      <c r="BY89" s="644">
        <v>0.7</v>
      </c>
      <c r="BZ89" s="644">
        <v>0.15</v>
      </c>
      <c r="CA89" s="644">
        <v>0.28000000000000003</v>
      </c>
      <c r="CB89" s="644">
        <v>0.45</v>
      </c>
      <c r="CC89" s="644">
        <v>0.43</v>
      </c>
    </row>
    <row r="90" spans="1:81" ht="24.9" customHeight="1" x14ac:dyDescent="0.25">
      <c r="A90" s="188" t="s">
        <v>136</v>
      </c>
      <c r="B90" s="1" t="s">
        <v>222</v>
      </c>
      <c r="C90" s="2">
        <v>4</v>
      </c>
      <c r="D90" s="16">
        <v>51</v>
      </c>
      <c r="E90" s="16">
        <v>6</v>
      </c>
      <c r="F90" s="96">
        <v>0</v>
      </c>
      <c r="G90" s="96">
        <v>0.38</v>
      </c>
      <c r="H90" s="96">
        <v>0.62</v>
      </c>
      <c r="I90" s="96">
        <v>0</v>
      </c>
      <c r="J90" s="96">
        <v>0.46</v>
      </c>
      <c r="K90" s="96">
        <v>0.54</v>
      </c>
      <c r="L90" s="96">
        <v>0.57999999999999996</v>
      </c>
      <c r="M90" s="34">
        <v>56</v>
      </c>
      <c r="N90" s="34">
        <v>9</v>
      </c>
      <c r="O90" s="92">
        <v>0.03</v>
      </c>
      <c r="P90" s="92">
        <v>0.14000000000000001</v>
      </c>
      <c r="Q90" s="92">
        <v>0.75</v>
      </c>
      <c r="R90" s="92">
        <v>0.08</v>
      </c>
      <c r="S90" s="92">
        <v>0.37</v>
      </c>
      <c r="T90" s="92">
        <v>0.44</v>
      </c>
      <c r="U90" s="92">
        <v>0.45</v>
      </c>
      <c r="V90" s="34">
        <v>54</v>
      </c>
      <c r="W90" s="34">
        <v>7</v>
      </c>
      <c r="X90" s="99">
        <v>0</v>
      </c>
      <c r="Y90" s="99">
        <v>0.28000000000000003</v>
      </c>
      <c r="Z90" s="99">
        <v>0.67</v>
      </c>
      <c r="AA90" s="99">
        <v>0.06</v>
      </c>
      <c r="AB90" s="99">
        <v>0.43</v>
      </c>
      <c r="AC90" s="99">
        <v>0.48</v>
      </c>
      <c r="AD90" s="99">
        <v>0.52</v>
      </c>
      <c r="AE90" s="16">
        <v>54</v>
      </c>
      <c r="AF90" s="16">
        <v>9</v>
      </c>
      <c r="AG90" s="96">
        <v>0.04</v>
      </c>
      <c r="AH90" s="96">
        <v>0.26</v>
      </c>
      <c r="AI90" s="96">
        <v>0.62</v>
      </c>
      <c r="AJ90" s="96">
        <v>0.08</v>
      </c>
      <c r="AK90" s="96">
        <v>0.41</v>
      </c>
      <c r="AL90" s="96">
        <v>0.37</v>
      </c>
      <c r="AM90" s="96">
        <v>0.42</v>
      </c>
      <c r="AN90" s="61">
        <v>56</v>
      </c>
      <c r="AO90" s="61">
        <v>10</v>
      </c>
      <c r="AP90" s="66">
        <v>0.05</v>
      </c>
      <c r="AQ90" s="66">
        <v>0.26</v>
      </c>
      <c r="AR90" s="66">
        <v>0.54</v>
      </c>
      <c r="AS90" s="66">
        <v>0.15</v>
      </c>
      <c r="AT90" s="66">
        <v>0.43</v>
      </c>
      <c r="AU90" s="66">
        <v>0.34</v>
      </c>
      <c r="AV90" s="66">
        <v>0.38</v>
      </c>
      <c r="AW90" s="349">
        <v>54</v>
      </c>
      <c r="AX90" s="348" t="s">
        <v>910</v>
      </c>
      <c r="AY90" s="349">
        <v>9</v>
      </c>
      <c r="AZ90" s="348" t="s">
        <v>910</v>
      </c>
      <c r="BA90" s="371">
        <v>0</v>
      </c>
      <c r="BB90" s="371">
        <v>0.36</v>
      </c>
      <c r="BC90" s="371">
        <v>0.53</v>
      </c>
      <c r="BD90" s="371">
        <v>0.11</v>
      </c>
      <c r="BE90" s="371">
        <v>0.41</v>
      </c>
      <c r="BF90" s="371">
        <v>0.36</v>
      </c>
      <c r="BG90" s="371">
        <v>0.54</v>
      </c>
      <c r="BH90" s="469">
        <v>57</v>
      </c>
      <c r="BI90" s="471" t="s">
        <v>910</v>
      </c>
      <c r="BJ90" s="469">
        <v>9</v>
      </c>
      <c r="BK90" s="471" t="s">
        <v>910</v>
      </c>
      <c r="BL90" s="501">
        <v>0</v>
      </c>
      <c r="BM90" s="501">
        <v>0.25</v>
      </c>
      <c r="BN90" s="501">
        <v>0.52</v>
      </c>
      <c r="BO90" s="501">
        <v>0.23</v>
      </c>
      <c r="BP90" s="501">
        <v>0.39</v>
      </c>
      <c r="BQ90" s="501">
        <v>0.28999999999999998</v>
      </c>
      <c r="BR90" s="501">
        <v>0.43</v>
      </c>
      <c r="BS90" s="630">
        <v>53</v>
      </c>
      <c r="BT90" s="640" t="s">
        <v>910</v>
      </c>
      <c r="BU90" s="630">
        <v>10</v>
      </c>
      <c r="BV90" s="640" t="s">
        <v>910</v>
      </c>
      <c r="BW90" s="644">
        <v>0.04</v>
      </c>
      <c r="BX90" s="644">
        <v>0.37</v>
      </c>
      <c r="BY90" s="644">
        <v>0.49</v>
      </c>
      <c r="BZ90" s="644">
        <v>0.09</v>
      </c>
      <c r="CA90" s="644">
        <v>0.38</v>
      </c>
      <c r="CB90" s="644">
        <v>0.49</v>
      </c>
      <c r="CC90" s="644">
        <v>0.5</v>
      </c>
    </row>
    <row r="91" spans="1:81" ht="24.9" customHeight="1" x14ac:dyDescent="0.25">
      <c r="A91" s="188" t="s">
        <v>97</v>
      </c>
      <c r="B91" s="1" t="s">
        <v>222</v>
      </c>
      <c r="C91" s="2">
        <v>2</v>
      </c>
      <c r="D91" s="16">
        <v>63</v>
      </c>
      <c r="E91" s="16">
        <v>8</v>
      </c>
      <c r="F91" s="96">
        <v>0</v>
      </c>
      <c r="G91" s="96">
        <v>0</v>
      </c>
      <c r="H91" s="96">
        <v>0.56999999999999995</v>
      </c>
      <c r="I91" s="96">
        <v>0.43</v>
      </c>
      <c r="J91" s="96">
        <v>0.33</v>
      </c>
      <c r="K91" s="96">
        <v>0.31</v>
      </c>
      <c r="L91" s="96">
        <v>0.3</v>
      </c>
      <c r="M91" s="34">
        <v>48</v>
      </c>
      <c r="N91" s="34">
        <v>5</v>
      </c>
      <c r="O91" s="92">
        <v>0</v>
      </c>
      <c r="P91" s="92">
        <v>0.78</v>
      </c>
      <c r="Q91" s="92">
        <v>0.22</v>
      </c>
      <c r="R91" s="92">
        <v>0</v>
      </c>
      <c r="S91" s="92">
        <v>0.53</v>
      </c>
      <c r="T91" s="92">
        <v>0.52</v>
      </c>
      <c r="U91" s="92">
        <v>0.6</v>
      </c>
      <c r="V91" s="34">
        <v>44</v>
      </c>
      <c r="W91" s="34">
        <v>8</v>
      </c>
      <c r="X91" s="99">
        <v>0</v>
      </c>
      <c r="Y91" s="99">
        <v>0.83</v>
      </c>
      <c r="Z91" s="99">
        <v>0.17</v>
      </c>
      <c r="AA91" s="99">
        <v>0</v>
      </c>
      <c r="AB91" s="99">
        <v>0.62</v>
      </c>
      <c r="AC91" s="99">
        <v>0.56999999999999995</v>
      </c>
      <c r="AD91" s="99">
        <v>0.65</v>
      </c>
      <c r="AE91" s="16">
        <v>51</v>
      </c>
      <c r="AF91" s="16">
        <v>8</v>
      </c>
      <c r="AG91" s="96">
        <v>0</v>
      </c>
      <c r="AH91" s="96">
        <v>0.56000000000000005</v>
      </c>
      <c r="AI91" s="96">
        <v>0.33</v>
      </c>
      <c r="AJ91" s="96">
        <v>0.11</v>
      </c>
      <c r="AK91" s="96">
        <v>0.45</v>
      </c>
      <c r="AL91" s="96">
        <v>0.43</v>
      </c>
      <c r="AM91" s="96">
        <v>0.56999999999999995</v>
      </c>
      <c r="AN91" s="61">
        <v>49</v>
      </c>
      <c r="AO91" s="61">
        <v>6</v>
      </c>
      <c r="AP91" s="66">
        <v>0.09</v>
      </c>
      <c r="AQ91" s="66">
        <v>0.36</v>
      </c>
      <c r="AR91" s="66">
        <v>0.55000000000000004</v>
      </c>
      <c r="AS91" s="66">
        <v>0</v>
      </c>
      <c r="AT91" s="66">
        <v>0.53</v>
      </c>
      <c r="AU91" s="66">
        <v>0.43</v>
      </c>
      <c r="AV91" s="66">
        <v>0.56000000000000005</v>
      </c>
      <c r="AW91" s="349">
        <v>50</v>
      </c>
      <c r="AX91" s="348" t="s">
        <v>910</v>
      </c>
      <c r="AY91" s="349">
        <v>8</v>
      </c>
      <c r="AZ91" s="348" t="s">
        <v>910</v>
      </c>
      <c r="BA91" s="371">
        <v>0</v>
      </c>
      <c r="BB91" s="371">
        <v>0.5</v>
      </c>
      <c r="BC91" s="371">
        <v>0.5</v>
      </c>
      <c r="BD91" s="371">
        <v>0</v>
      </c>
      <c r="BE91" s="371">
        <v>0.55000000000000004</v>
      </c>
      <c r="BF91" s="371">
        <v>0.39</v>
      </c>
      <c r="BG91" s="371">
        <v>0.64</v>
      </c>
      <c r="BH91" s="469">
        <v>52</v>
      </c>
      <c r="BI91" s="471" t="s">
        <v>910</v>
      </c>
      <c r="BJ91" s="469">
        <v>13</v>
      </c>
      <c r="BK91" s="471" t="s">
        <v>911</v>
      </c>
      <c r="BL91" s="501">
        <v>0</v>
      </c>
      <c r="BM91" s="501">
        <v>0.33</v>
      </c>
      <c r="BN91" s="501">
        <v>0.67</v>
      </c>
      <c r="BO91" s="501">
        <v>0</v>
      </c>
      <c r="BP91" s="501">
        <v>0.53</v>
      </c>
      <c r="BQ91" s="501">
        <v>0.35</v>
      </c>
      <c r="BR91" s="501">
        <v>0.45</v>
      </c>
      <c r="BS91" s="630">
        <v>55</v>
      </c>
      <c r="BT91" s="640" t="s">
        <v>910</v>
      </c>
      <c r="BU91" s="630">
        <v>11</v>
      </c>
      <c r="BV91" s="640" t="s">
        <v>910</v>
      </c>
      <c r="BW91" s="644">
        <v>0.13</v>
      </c>
      <c r="BX91" s="644">
        <v>0.13</v>
      </c>
      <c r="BY91" s="644">
        <v>0.63</v>
      </c>
      <c r="BZ91" s="644">
        <v>0.13</v>
      </c>
      <c r="CA91" s="644">
        <v>0.36</v>
      </c>
      <c r="CB91" s="644">
        <v>0.44</v>
      </c>
      <c r="CC91" s="644">
        <v>0.42</v>
      </c>
    </row>
    <row r="92" spans="1:81" ht="24.9" customHeight="1" x14ac:dyDescent="0.25">
      <c r="A92" s="188" t="s">
        <v>181</v>
      </c>
      <c r="B92" s="1" t="s">
        <v>222</v>
      </c>
      <c r="C92" s="2">
        <v>3</v>
      </c>
      <c r="D92" s="16">
        <v>58</v>
      </c>
      <c r="E92" s="16">
        <v>6</v>
      </c>
      <c r="F92" s="96">
        <v>0</v>
      </c>
      <c r="G92" s="96">
        <v>0.13</v>
      </c>
      <c r="H92" s="96">
        <v>0.77</v>
      </c>
      <c r="I92" s="96">
        <v>0.1</v>
      </c>
      <c r="J92" s="96">
        <v>0.34</v>
      </c>
      <c r="K92" s="96">
        <v>0.36</v>
      </c>
      <c r="L92" s="96">
        <v>0.49</v>
      </c>
      <c r="M92" s="34">
        <v>60</v>
      </c>
      <c r="N92" s="34">
        <v>7</v>
      </c>
      <c r="O92" s="92">
        <v>0</v>
      </c>
      <c r="P92" s="92">
        <v>0.09</v>
      </c>
      <c r="Q92" s="92">
        <v>0.69</v>
      </c>
      <c r="R92" s="92">
        <v>0.22</v>
      </c>
      <c r="S92" s="92">
        <v>0.3</v>
      </c>
      <c r="T92" s="92">
        <v>0.36</v>
      </c>
      <c r="U92" s="92">
        <v>0.39</v>
      </c>
      <c r="V92" s="34">
        <v>57</v>
      </c>
      <c r="W92" s="34">
        <v>8</v>
      </c>
      <c r="X92" s="99">
        <v>0</v>
      </c>
      <c r="Y92" s="99">
        <v>0.22</v>
      </c>
      <c r="Z92" s="99">
        <v>0.56000000000000005</v>
      </c>
      <c r="AA92" s="99">
        <v>0.22</v>
      </c>
      <c r="AB92" s="99">
        <v>0.36</v>
      </c>
      <c r="AC92" s="99">
        <v>0.42</v>
      </c>
      <c r="AD92" s="99">
        <v>0.46</v>
      </c>
      <c r="AE92" s="16">
        <v>56</v>
      </c>
      <c r="AF92" s="16">
        <v>9</v>
      </c>
      <c r="AG92" s="96">
        <v>0.02</v>
      </c>
      <c r="AH92" s="96">
        <v>0.25</v>
      </c>
      <c r="AI92" s="96">
        <v>0.63</v>
      </c>
      <c r="AJ92" s="96">
        <v>0.1</v>
      </c>
      <c r="AK92" s="96">
        <v>0.4</v>
      </c>
      <c r="AL92" s="96">
        <v>0.33</v>
      </c>
      <c r="AM92" s="96">
        <v>0.39</v>
      </c>
      <c r="AN92" s="61">
        <v>56</v>
      </c>
      <c r="AO92" s="61">
        <v>9</v>
      </c>
      <c r="AP92" s="66">
        <v>0.06</v>
      </c>
      <c r="AQ92" s="66">
        <v>0.14000000000000001</v>
      </c>
      <c r="AR92" s="66">
        <v>0.68</v>
      </c>
      <c r="AS92" s="66">
        <v>0.11</v>
      </c>
      <c r="AT92" s="66">
        <v>0.45</v>
      </c>
      <c r="AU92" s="66">
        <v>0.31</v>
      </c>
      <c r="AV92" s="66">
        <v>0.37</v>
      </c>
      <c r="AW92" s="349">
        <v>59</v>
      </c>
      <c r="AX92" s="348" t="s">
        <v>910</v>
      </c>
      <c r="AY92" s="349">
        <v>7</v>
      </c>
      <c r="AZ92" s="348" t="s">
        <v>910</v>
      </c>
      <c r="BA92" s="371">
        <v>0</v>
      </c>
      <c r="BB92" s="371">
        <v>0.12</v>
      </c>
      <c r="BC92" s="371">
        <v>0.7</v>
      </c>
      <c r="BD92" s="371">
        <v>0.18</v>
      </c>
      <c r="BE92" s="371">
        <v>0.35</v>
      </c>
      <c r="BF92" s="371">
        <v>0.26</v>
      </c>
      <c r="BG92" s="371">
        <v>0.48</v>
      </c>
      <c r="BH92" s="469">
        <v>58</v>
      </c>
      <c r="BI92" s="471" t="s">
        <v>910</v>
      </c>
      <c r="BJ92" s="469">
        <v>8</v>
      </c>
      <c r="BK92" s="471" t="s">
        <v>910</v>
      </c>
      <c r="BL92" s="501">
        <v>0</v>
      </c>
      <c r="BM92" s="501">
        <v>0.15</v>
      </c>
      <c r="BN92" s="501">
        <v>0.73</v>
      </c>
      <c r="BO92" s="501">
        <v>0.12</v>
      </c>
      <c r="BP92" s="501">
        <v>0.41</v>
      </c>
      <c r="BQ92" s="501">
        <v>0.28000000000000003</v>
      </c>
      <c r="BR92" s="501">
        <v>0.36</v>
      </c>
      <c r="BS92" s="630">
        <v>58</v>
      </c>
      <c r="BT92" s="640" t="s">
        <v>910</v>
      </c>
      <c r="BU92" s="630">
        <v>8</v>
      </c>
      <c r="BV92" s="640" t="s">
        <v>910</v>
      </c>
      <c r="BW92" s="644">
        <v>0</v>
      </c>
      <c r="BX92" s="644">
        <v>0.2</v>
      </c>
      <c r="BY92" s="644">
        <v>0.61</v>
      </c>
      <c r="BZ92" s="644">
        <v>0.19</v>
      </c>
      <c r="CA92" s="644">
        <v>0.3</v>
      </c>
      <c r="CB92" s="644">
        <v>0.38</v>
      </c>
      <c r="CC92" s="644">
        <v>0.43</v>
      </c>
    </row>
    <row r="93" spans="1:81" ht="24.9" customHeight="1" x14ac:dyDescent="0.25">
      <c r="A93" s="188" t="s">
        <v>171</v>
      </c>
      <c r="B93" s="1" t="s">
        <v>222</v>
      </c>
      <c r="C93" s="2">
        <v>2</v>
      </c>
      <c r="D93" s="16">
        <v>56</v>
      </c>
      <c r="E93" s="16">
        <v>6</v>
      </c>
      <c r="F93" s="96">
        <v>0</v>
      </c>
      <c r="G93" s="96">
        <v>0.24</v>
      </c>
      <c r="H93" s="96">
        <v>0.68</v>
      </c>
      <c r="I93" s="96">
        <v>7.0000000000000007E-2</v>
      </c>
      <c r="J93" s="96">
        <v>0.41</v>
      </c>
      <c r="K93" s="96">
        <v>0.41</v>
      </c>
      <c r="L93" s="96">
        <v>0.54</v>
      </c>
      <c r="M93" s="34">
        <v>57</v>
      </c>
      <c r="N93" s="34">
        <v>9</v>
      </c>
      <c r="O93" s="92">
        <v>0</v>
      </c>
      <c r="P93" s="92">
        <v>0.25</v>
      </c>
      <c r="Q93" s="92">
        <v>0.56000000000000005</v>
      </c>
      <c r="R93" s="92">
        <v>0.19</v>
      </c>
      <c r="S93" s="92">
        <v>0.33</v>
      </c>
      <c r="T93" s="92">
        <v>0.46</v>
      </c>
      <c r="U93" s="92">
        <v>0.43</v>
      </c>
      <c r="V93" s="34">
        <v>54</v>
      </c>
      <c r="W93" s="34">
        <v>7</v>
      </c>
      <c r="X93" s="99">
        <v>0</v>
      </c>
      <c r="Y93" s="99">
        <v>0.3</v>
      </c>
      <c r="Z93" s="99">
        <v>0.7</v>
      </c>
      <c r="AA93" s="99">
        <v>0</v>
      </c>
      <c r="AB93" s="99">
        <v>0.44</v>
      </c>
      <c r="AC93" s="99">
        <v>0.46</v>
      </c>
      <c r="AD93" s="99">
        <v>0.47</v>
      </c>
      <c r="AE93" s="16">
        <v>54</v>
      </c>
      <c r="AF93" s="16">
        <v>9</v>
      </c>
      <c r="AG93" s="96">
        <v>0.05</v>
      </c>
      <c r="AH93" s="96">
        <v>0.24</v>
      </c>
      <c r="AI93" s="96">
        <v>0.68</v>
      </c>
      <c r="AJ93" s="96">
        <v>0.03</v>
      </c>
      <c r="AK93" s="96">
        <v>0.42</v>
      </c>
      <c r="AL93" s="96">
        <v>0.37</v>
      </c>
      <c r="AM93" s="96">
        <v>0.4</v>
      </c>
      <c r="AN93" s="61">
        <v>56</v>
      </c>
      <c r="AO93" s="61">
        <v>7</v>
      </c>
      <c r="AP93" s="66">
        <v>0</v>
      </c>
      <c r="AQ93" s="66">
        <v>0.2</v>
      </c>
      <c r="AR93" s="66">
        <v>0.71</v>
      </c>
      <c r="AS93" s="66">
        <v>0.08</v>
      </c>
      <c r="AT93" s="66">
        <v>0.42</v>
      </c>
      <c r="AU93" s="66">
        <v>0.33</v>
      </c>
      <c r="AV93" s="66">
        <v>0.37</v>
      </c>
      <c r="AW93" s="349">
        <v>58</v>
      </c>
      <c r="AX93" s="348" t="s">
        <v>910</v>
      </c>
      <c r="AY93" s="349">
        <v>11</v>
      </c>
      <c r="AZ93" s="348" t="s">
        <v>910</v>
      </c>
      <c r="BA93" s="371">
        <v>0.04</v>
      </c>
      <c r="BB93" s="371">
        <v>0.19</v>
      </c>
      <c r="BC93" s="371">
        <v>0.55000000000000004</v>
      </c>
      <c r="BD93" s="371">
        <v>0.23</v>
      </c>
      <c r="BE93" s="371">
        <v>0.38</v>
      </c>
      <c r="BF93" s="371">
        <v>0.3</v>
      </c>
      <c r="BG93" s="371">
        <v>0.45</v>
      </c>
      <c r="BH93" s="469">
        <v>60</v>
      </c>
      <c r="BI93" s="471" t="s">
        <v>910</v>
      </c>
      <c r="BJ93" s="469">
        <v>7</v>
      </c>
      <c r="BK93" s="471" t="s">
        <v>910</v>
      </c>
      <c r="BL93" s="501">
        <v>0</v>
      </c>
      <c r="BM93" s="501">
        <v>0.11</v>
      </c>
      <c r="BN93" s="501">
        <v>0.7</v>
      </c>
      <c r="BO93" s="501">
        <v>0.19</v>
      </c>
      <c r="BP93" s="501">
        <v>0.39</v>
      </c>
      <c r="BQ93" s="501">
        <v>0.26</v>
      </c>
      <c r="BR93" s="501">
        <v>0.34</v>
      </c>
      <c r="BS93" s="630">
        <v>58</v>
      </c>
      <c r="BT93" s="640" t="s">
        <v>910</v>
      </c>
      <c r="BU93" s="630">
        <v>8</v>
      </c>
      <c r="BV93" s="640" t="s">
        <v>910</v>
      </c>
      <c r="BW93" s="644">
        <v>0</v>
      </c>
      <c r="BX93" s="644">
        <v>0.26</v>
      </c>
      <c r="BY93" s="644">
        <v>0.56000000000000005</v>
      </c>
      <c r="BZ93" s="644">
        <v>0.18</v>
      </c>
      <c r="CA93" s="644">
        <v>0.31</v>
      </c>
      <c r="CB93" s="644">
        <v>0.39</v>
      </c>
      <c r="CC93" s="644">
        <v>0.45</v>
      </c>
    </row>
    <row r="94" spans="1:81" ht="24.9" customHeight="1" x14ac:dyDescent="0.25">
      <c r="A94" s="188" t="s">
        <v>77</v>
      </c>
      <c r="B94" s="1" t="s">
        <v>222</v>
      </c>
      <c r="C94" s="2">
        <v>2</v>
      </c>
      <c r="D94" s="16">
        <v>54</v>
      </c>
      <c r="E94" s="16">
        <v>10</v>
      </c>
      <c r="F94" s="96">
        <v>0.06</v>
      </c>
      <c r="G94" s="96">
        <v>0.24</v>
      </c>
      <c r="H94" s="96">
        <v>0.53</v>
      </c>
      <c r="I94" s="96">
        <v>0.18</v>
      </c>
      <c r="J94" s="96">
        <v>0.43</v>
      </c>
      <c r="K94" s="96">
        <v>0.52</v>
      </c>
      <c r="L94" s="96">
        <v>0.52</v>
      </c>
      <c r="M94" s="34">
        <v>49</v>
      </c>
      <c r="N94" s="34">
        <v>8</v>
      </c>
      <c r="O94" s="92">
        <v>0.06</v>
      </c>
      <c r="P94" s="92">
        <v>0.41</v>
      </c>
      <c r="Q94" s="92">
        <v>0.53</v>
      </c>
      <c r="R94" s="92">
        <v>0</v>
      </c>
      <c r="S94" s="92">
        <v>0.55000000000000004</v>
      </c>
      <c r="T94" s="92">
        <v>0.56000000000000005</v>
      </c>
      <c r="U94" s="92">
        <v>0.55000000000000004</v>
      </c>
      <c r="V94" s="34">
        <v>53</v>
      </c>
      <c r="W94" s="34">
        <v>9</v>
      </c>
      <c r="X94" s="99">
        <v>0</v>
      </c>
      <c r="Y94" s="99">
        <v>0.47</v>
      </c>
      <c r="Z94" s="99">
        <v>0.53</v>
      </c>
      <c r="AA94" s="99">
        <v>0</v>
      </c>
      <c r="AB94" s="99">
        <v>0.45</v>
      </c>
      <c r="AC94" s="99">
        <v>0.55000000000000004</v>
      </c>
      <c r="AD94" s="99">
        <v>0.5</v>
      </c>
      <c r="AE94" s="16">
        <v>53</v>
      </c>
      <c r="AF94" s="16">
        <v>10</v>
      </c>
      <c r="AG94" s="96">
        <v>0</v>
      </c>
      <c r="AH94" s="96">
        <v>0.36</v>
      </c>
      <c r="AI94" s="96">
        <v>0.55000000000000004</v>
      </c>
      <c r="AJ94" s="96">
        <v>0.09</v>
      </c>
      <c r="AK94" s="96">
        <v>0.45</v>
      </c>
      <c r="AL94" s="96">
        <v>0.31</v>
      </c>
      <c r="AM94" s="96">
        <v>0.39</v>
      </c>
      <c r="AN94" s="61">
        <v>56</v>
      </c>
      <c r="AO94" s="61">
        <v>8</v>
      </c>
      <c r="AP94" s="66">
        <v>0</v>
      </c>
      <c r="AQ94" s="66">
        <v>0.36</v>
      </c>
      <c r="AR94" s="66">
        <v>0.43</v>
      </c>
      <c r="AS94" s="66">
        <v>0.21</v>
      </c>
      <c r="AT94" s="66">
        <v>0.43</v>
      </c>
      <c r="AU94" s="66">
        <v>0.33</v>
      </c>
      <c r="AV94" s="66">
        <v>0.39</v>
      </c>
      <c r="AW94" s="349">
        <v>50</v>
      </c>
      <c r="AX94" s="348" t="s">
        <v>910</v>
      </c>
      <c r="AY94" s="349">
        <v>9</v>
      </c>
      <c r="AZ94" s="348" t="s">
        <v>910</v>
      </c>
      <c r="BA94" s="371">
        <v>0.14000000000000001</v>
      </c>
      <c r="BB94" s="371">
        <v>0.28999999999999998</v>
      </c>
      <c r="BC94" s="371">
        <v>0.56999999999999995</v>
      </c>
      <c r="BD94" s="371">
        <v>0</v>
      </c>
      <c r="BE94" s="371">
        <v>0.51</v>
      </c>
      <c r="BF94" s="371">
        <v>0.35</v>
      </c>
      <c r="BG94" s="371">
        <v>0.65</v>
      </c>
      <c r="BH94" s="469">
        <v>59</v>
      </c>
      <c r="BI94" s="471" t="s">
        <v>910</v>
      </c>
      <c r="BJ94" s="469">
        <v>8</v>
      </c>
      <c r="BK94" s="471" t="s">
        <v>910</v>
      </c>
      <c r="BL94" s="501">
        <v>0</v>
      </c>
      <c r="BM94" s="501">
        <v>0.1</v>
      </c>
      <c r="BN94" s="501">
        <v>0.7</v>
      </c>
      <c r="BO94" s="501">
        <v>0.2</v>
      </c>
      <c r="BP94" s="501">
        <v>0.4</v>
      </c>
      <c r="BQ94" s="501">
        <v>0.28000000000000003</v>
      </c>
      <c r="BR94" s="501">
        <v>0.28999999999999998</v>
      </c>
      <c r="BS94" s="630">
        <v>57</v>
      </c>
      <c r="BT94" s="640" t="s">
        <v>910</v>
      </c>
      <c r="BU94" s="630">
        <v>8</v>
      </c>
      <c r="BV94" s="640" t="s">
        <v>910</v>
      </c>
      <c r="BW94" s="644">
        <v>0</v>
      </c>
      <c r="BX94" s="644">
        <v>0.17</v>
      </c>
      <c r="BY94" s="644">
        <v>0.5</v>
      </c>
      <c r="BZ94" s="644">
        <v>0.33</v>
      </c>
      <c r="CA94" s="644">
        <v>0.3</v>
      </c>
      <c r="CB94" s="644">
        <v>0.45</v>
      </c>
      <c r="CC94" s="644">
        <v>0.41</v>
      </c>
    </row>
    <row r="95" spans="1:81" ht="24.9" customHeight="1" x14ac:dyDescent="0.25">
      <c r="A95" s="188" t="s">
        <v>36</v>
      </c>
      <c r="B95" s="1" t="s">
        <v>220</v>
      </c>
      <c r="C95" s="2" t="s">
        <v>221</v>
      </c>
      <c r="D95" s="16">
        <v>53</v>
      </c>
      <c r="E95" s="16">
        <v>8</v>
      </c>
      <c r="F95" s="96">
        <v>0.02</v>
      </c>
      <c r="G95" s="96">
        <v>0.32</v>
      </c>
      <c r="H95" s="96">
        <v>0.66</v>
      </c>
      <c r="I95" s="96">
        <v>0</v>
      </c>
      <c r="J95" s="96">
        <v>0.47</v>
      </c>
      <c r="K95" s="96">
        <v>0.53</v>
      </c>
      <c r="L95" s="96">
        <v>0.56999999999999995</v>
      </c>
      <c r="M95" s="34">
        <v>51</v>
      </c>
      <c r="N95" s="34">
        <v>8</v>
      </c>
      <c r="O95" s="92">
        <v>0.02</v>
      </c>
      <c r="P95" s="92">
        <v>0.43</v>
      </c>
      <c r="Q95" s="92">
        <v>0.5</v>
      </c>
      <c r="R95" s="92">
        <v>0.05</v>
      </c>
      <c r="S95" s="92">
        <v>0.47</v>
      </c>
      <c r="T95" s="92">
        <v>0.53</v>
      </c>
      <c r="U95" s="92">
        <v>0.56999999999999995</v>
      </c>
      <c r="V95" s="34">
        <v>51</v>
      </c>
      <c r="W95" s="34">
        <v>9</v>
      </c>
      <c r="X95" s="99">
        <v>0.09</v>
      </c>
      <c r="Y95" s="99">
        <v>0.41</v>
      </c>
      <c r="Z95" s="99">
        <v>0.44</v>
      </c>
      <c r="AA95" s="99">
        <v>0.06</v>
      </c>
      <c r="AB95" s="99">
        <v>0.52</v>
      </c>
      <c r="AC95" s="99">
        <v>0.49</v>
      </c>
      <c r="AD95" s="99">
        <v>0.54</v>
      </c>
      <c r="AE95" s="16">
        <v>52</v>
      </c>
      <c r="AF95" s="16">
        <v>10</v>
      </c>
      <c r="AG95" s="96">
        <v>0.02</v>
      </c>
      <c r="AH95" s="96">
        <v>0.47</v>
      </c>
      <c r="AI95" s="96">
        <v>0.45</v>
      </c>
      <c r="AJ95" s="96">
        <v>0.06</v>
      </c>
      <c r="AK95" s="96">
        <v>0.49</v>
      </c>
      <c r="AL95" s="96">
        <v>0.37</v>
      </c>
      <c r="AM95" s="96">
        <v>0.45</v>
      </c>
      <c r="AN95" s="61">
        <v>52</v>
      </c>
      <c r="AO95" s="61">
        <v>9</v>
      </c>
      <c r="AP95" s="66">
        <v>0</v>
      </c>
      <c r="AQ95" s="66">
        <v>0.39</v>
      </c>
      <c r="AR95" s="66">
        <v>0.55000000000000004</v>
      </c>
      <c r="AS95" s="66">
        <v>0.05</v>
      </c>
      <c r="AT95" s="66">
        <v>0.5</v>
      </c>
      <c r="AU95" s="66">
        <v>0.38</v>
      </c>
      <c r="AV95" s="66">
        <v>0.47</v>
      </c>
      <c r="AW95" s="349">
        <v>52</v>
      </c>
      <c r="AX95" s="348" t="s">
        <v>910</v>
      </c>
      <c r="AY95" s="349">
        <v>8</v>
      </c>
      <c r="AZ95" s="348" t="s">
        <v>910</v>
      </c>
      <c r="BA95" s="371">
        <v>0.02</v>
      </c>
      <c r="BB95" s="371">
        <v>0.43</v>
      </c>
      <c r="BC95" s="371">
        <v>0.5</v>
      </c>
      <c r="BD95" s="371">
        <v>0.05</v>
      </c>
      <c r="BE95" s="371">
        <v>0.48</v>
      </c>
      <c r="BF95" s="371">
        <v>0.38</v>
      </c>
      <c r="BG95" s="371">
        <v>0.57999999999999996</v>
      </c>
      <c r="BH95" s="469">
        <v>52</v>
      </c>
      <c r="BI95" s="471" t="s">
        <v>910</v>
      </c>
      <c r="BJ95" s="469">
        <v>10</v>
      </c>
      <c r="BK95" s="471" t="s">
        <v>910</v>
      </c>
      <c r="BL95" s="501">
        <v>0.03</v>
      </c>
      <c r="BM95" s="501">
        <v>0.4</v>
      </c>
      <c r="BN95" s="501">
        <v>0.45</v>
      </c>
      <c r="BO95" s="501">
        <v>0.13</v>
      </c>
      <c r="BP95" s="501">
        <v>0.49</v>
      </c>
      <c r="BQ95" s="501">
        <v>0.37</v>
      </c>
      <c r="BR95" s="501">
        <v>0.52</v>
      </c>
      <c r="BS95" s="630">
        <v>51</v>
      </c>
      <c r="BT95" s="640" t="s">
        <v>910</v>
      </c>
      <c r="BU95" s="630">
        <v>9</v>
      </c>
      <c r="BV95" s="640" t="s">
        <v>910</v>
      </c>
      <c r="BW95" s="644">
        <v>0</v>
      </c>
      <c r="BX95" s="644">
        <v>0.44</v>
      </c>
      <c r="BY95" s="644">
        <v>0.54</v>
      </c>
      <c r="BZ95" s="644">
        <v>0.02</v>
      </c>
      <c r="CA95" s="644">
        <v>0.43</v>
      </c>
      <c r="CB95" s="644">
        <v>0.56000000000000005</v>
      </c>
      <c r="CC95" s="644">
        <v>0.5</v>
      </c>
    </row>
    <row r="96" spans="1:81" ht="24.9" customHeight="1" x14ac:dyDescent="0.25">
      <c r="A96" s="188" t="s">
        <v>227</v>
      </c>
      <c r="B96" s="1" t="s">
        <v>222</v>
      </c>
      <c r="C96" s="2">
        <v>4</v>
      </c>
      <c r="D96" s="13" t="s">
        <v>226</v>
      </c>
      <c r="E96" s="13" t="s">
        <v>226</v>
      </c>
      <c r="F96" s="13"/>
      <c r="G96" s="13"/>
      <c r="H96" s="13"/>
      <c r="I96" s="13"/>
      <c r="J96" s="13"/>
      <c r="K96" s="13"/>
      <c r="L96" s="13"/>
      <c r="M96" s="34">
        <v>62</v>
      </c>
      <c r="N96" s="34">
        <v>0</v>
      </c>
      <c r="O96" s="92">
        <v>0</v>
      </c>
      <c r="P96" s="92">
        <v>0</v>
      </c>
      <c r="Q96" s="92">
        <v>1</v>
      </c>
      <c r="R96" s="92">
        <v>0</v>
      </c>
      <c r="S96" s="92">
        <v>0.38</v>
      </c>
      <c r="T96" s="92">
        <v>0.4</v>
      </c>
      <c r="U96" s="92">
        <v>0.38</v>
      </c>
      <c r="V96" s="13" t="s">
        <v>226</v>
      </c>
      <c r="W96" s="13" t="s">
        <v>226</v>
      </c>
      <c r="X96" s="13"/>
      <c r="Y96" s="13"/>
      <c r="Z96" s="13"/>
      <c r="AA96" s="13"/>
      <c r="AB96" s="13"/>
      <c r="AC96" s="13"/>
      <c r="AD96" s="13"/>
      <c r="AE96" s="13" t="s">
        <v>226</v>
      </c>
      <c r="AF96" s="13" t="s">
        <v>226</v>
      </c>
      <c r="AG96" s="2"/>
      <c r="AH96" s="2"/>
      <c r="AI96" s="2"/>
      <c r="AJ96" s="2"/>
      <c r="AK96" s="2"/>
      <c r="AL96" s="2"/>
      <c r="AM96" s="2"/>
      <c r="AN96" s="67"/>
      <c r="AO96" s="67"/>
      <c r="AP96" s="67"/>
      <c r="AQ96" s="67"/>
      <c r="AR96" s="67"/>
      <c r="AS96" s="67"/>
      <c r="AT96" s="67"/>
      <c r="AU96" s="67"/>
      <c r="AV96" s="67"/>
    </row>
    <row r="97" spans="1:81" ht="24.9" customHeight="1" x14ac:dyDescent="0.25">
      <c r="A97" s="188" t="s">
        <v>92</v>
      </c>
      <c r="B97" s="1" t="s">
        <v>220</v>
      </c>
      <c r="C97" s="2">
        <v>1</v>
      </c>
      <c r="D97" s="16">
        <v>51</v>
      </c>
      <c r="E97" s="16">
        <v>8</v>
      </c>
      <c r="F97" s="96">
        <v>0.02</v>
      </c>
      <c r="G97" s="96">
        <v>0.44</v>
      </c>
      <c r="H97" s="96">
        <v>0.5</v>
      </c>
      <c r="I97" s="96">
        <v>0.04</v>
      </c>
      <c r="J97" s="96">
        <v>0.45</v>
      </c>
      <c r="K97" s="96">
        <v>0.49</v>
      </c>
      <c r="L97" s="96">
        <v>0.56000000000000005</v>
      </c>
      <c r="M97" s="34">
        <v>55</v>
      </c>
      <c r="N97" s="34">
        <v>8</v>
      </c>
      <c r="O97" s="92">
        <v>0</v>
      </c>
      <c r="P97" s="92">
        <v>0.35</v>
      </c>
      <c r="Q97" s="92">
        <v>0.53</v>
      </c>
      <c r="R97" s="92">
        <v>0.12</v>
      </c>
      <c r="S97" s="92">
        <v>0.39</v>
      </c>
      <c r="T97" s="92">
        <v>0.45</v>
      </c>
      <c r="U97" s="92">
        <v>0.45</v>
      </c>
      <c r="V97" s="16">
        <v>54</v>
      </c>
      <c r="W97" s="16">
        <v>8</v>
      </c>
      <c r="X97" s="99">
        <v>0.01</v>
      </c>
      <c r="Y97" s="99">
        <v>0.35</v>
      </c>
      <c r="Z97" s="99">
        <v>0.55000000000000004</v>
      </c>
      <c r="AA97" s="99">
        <v>0.09</v>
      </c>
      <c r="AB97" s="99">
        <v>0.44</v>
      </c>
      <c r="AC97" s="99">
        <v>0.49</v>
      </c>
      <c r="AD97" s="99">
        <v>0.51</v>
      </c>
      <c r="AE97" s="16">
        <v>55</v>
      </c>
      <c r="AF97" s="16">
        <v>9</v>
      </c>
      <c r="AG97" s="96">
        <v>0.01</v>
      </c>
      <c r="AH97" s="96">
        <v>0.3</v>
      </c>
      <c r="AI97" s="96">
        <v>0.56999999999999995</v>
      </c>
      <c r="AJ97" s="96">
        <v>0.11</v>
      </c>
      <c r="AK97" s="96">
        <v>0.41</v>
      </c>
      <c r="AL97" s="96">
        <v>0.36</v>
      </c>
      <c r="AM97" s="96">
        <v>0.39</v>
      </c>
      <c r="AN97" s="61">
        <v>53</v>
      </c>
      <c r="AO97" s="61">
        <v>8</v>
      </c>
      <c r="AP97" s="66">
        <v>0.03</v>
      </c>
      <c r="AQ97" s="66">
        <v>0.34</v>
      </c>
      <c r="AR97" s="66">
        <v>0.59</v>
      </c>
      <c r="AS97" s="66">
        <v>0.04</v>
      </c>
      <c r="AT97" s="66">
        <v>0.48</v>
      </c>
      <c r="AU97" s="66">
        <v>0.38</v>
      </c>
      <c r="AV97" s="66">
        <v>0.43</v>
      </c>
      <c r="AW97" s="349">
        <v>55</v>
      </c>
      <c r="AX97" s="348" t="s">
        <v>910</v>
      </c>
      <c r="AY97" s="349">
        <v>9</v>
      </c>
      <c r="AZ97" s="348" t="s">
        <v>910</v>
      </c>
      <c r="BA97" s="371">
        <v>0.01</v>
      </c>
      <c r="BB97" s="371">
        <v>0.32</v>
      </c>
      <c r="BC97" s="371">
        <v>0.56000000000000005</v>
      </c>
      <c r="BD97" s="371">
        <v>0.11</v>
      </c>
      <c r="BE97" s="371">
        <v>0.43</v>
      </c>
      <c r="BF97" s="371">
        <v>0.34</v>
      </c>
      <c r="BG97" s="371">
        <v>0.52</v>
      </c>
      <c r="BH97" s="469">
        <v>53</v>
      </c>
      <c r="BI97" s="471" t="s">
        <v>910</v>
      </c>
      <c r="BJ97" s="469">
        <v>9</v>
      </c>
      <c r="BK97" s="471" t="s">
        <v>910</v>
      </c>
      <c r="BL97" s="501">
        <v>0.04</v>
      </c>
      <c r="BM97" s="501">
        <v>0.34</v>
      </c>
      <c r="BN97" s="501">
        <v>0.56000000000000005</v>
      </c>
      <c r="BO97" s="501">
        <v>0.06</v>
      </c>
      <c r="BP97" s="501">
        <v>0.49</v>
      </c>
      <c r="BQ97" s="501">
        <v>0.39</v>
      </c>
      <c r="BR97" s="501">
        <v>0.47</v>
      </c>
      <c r="BS97" s="630">
        <v>52</v>
      </c>
      <c r="BT97" s="640" t="s">
        <v>910</v>
      </c>
      <c r="BU97" s="630">
        <v>8</v>
      </c>
      <c r="BV97" s="640" t="s">
        <v>910</v>
      </c>
      <c r="BW97" s="644">
        <v>0.01</v>
      </c>
      <c r="BX97" s="644">
        <v>0.44</v>
      </c>
      <c r="BY97" s="644">
        <v>0.49</v>
      </c>
      <c r="BZ97" s="644">
        <v>0.06</v>
      </c>
      <c r="CA97" s="644">
        <v>0.4</v>
      </c>
      <c r="CB97" s="644">
        <v>0.51</v>
      </c>
      <c r="CC97" s="644">
        <v>0.54</v>
      </c>
    </row>
    <row r="98" spans="1:81" ht="24.9" customHeight="1" x14ac:dyDescent="0.25">
      <c r="A98" s="188" t="s">
        <v>27</v>
      </c>
      <c r="B98" s="1" t="s">
        <v>220</v>
      </c>
      <c r="C98" s="2">
        <v>6</v>
      </c>
      <c r="D98" s="16">
        <v>52</v>
      </c>
      <c r="E98" s="16">
        <v>8</v>
      </c>
      <c r="F98" s="96">
        <v>0.01</v>
      </c>
      <c r="G98" s="96">
        <v>0.42</v>
      </c>
      <c r="H98" s="96">
        <v>0.52</v>
      </c>
      <c r="I98" s="96">
        <v>0.05</v>
      </c>
      <c r="J98" s="96">
        <v>0.44</v>
      </c>
      <c r="K98" s="96">
        <v>0.51</v>
      </c>
      <c r="L98" s="96">
        <v>0.56999999999999995</v>
      </c>
      <c r="M98" s="34">
        <v>52</v>
      </c>
      <c r="N98" s="34">
        <v>8</v>
      </c>
      <c r="O98" s="92">
        <v>0.01</v>
      </c>
      <c r="P98" s="92">
        <v>0.47</v>
      </c>
      <c r="Q98" s="92">
        <v>0.47</v>
      </c>
      <c r="R98" s="92">
        <v>0.05</v>
      </c>
      <c r="S98" s="92">
        <v>0.47</v>
      </c>
      <c r="T98" s="92">
        <v>0.51</v>
      </c>
      <c r="U98" s="92">
        <v>0.51</v>
      </c>
      <c r="V98" s="16">
        <v>51</v>
      </c>
      <c r="W98" s="16">
        <v>9</v>
      </c>
      <c r="X98" s="99">
        <v>0.06</v>
      </c>
      <c r="Y98" s="99">
        <v>0.45</v>
      </c>
      <c r="Z98" s="99">
        <v>0.43</v>
      </c>
      <c r="AA98" s="99">
        <v>0.06</v>
      </c>
      <c r="AB98" s="99">
        <v>0.48</v>
      </c>
      <c r="AC98" s="99">
        <v>0.52</v>
      </c>
      <c r="AD98" s="99">
        <v>0.54</v>
      </c>
      <c r="AE98" s="16">
        <v>52</v>
      </c>
      <c r="AF98" s="16">
        <v>9</v>
      </c>
      <c r="AG98" s="96">
        <v>0.02</v>
      </c>
      <c r="AH98" s="96">
        <v>0.35</v>
      </c>
      <c r="AI98" s="96">
        <v>0.56999999999999995</v>
      </c>
      <c r="AJ98" s="96">
        <v>0.06</v>
      </c>
      <c r="AK98" s="96">
        <v>0.44</v>
      </c>
      <c r="AL98" s="96">
        <v>0.41</v>
      </c>
      <c r="AM98" s="96">
        <v>0.43</v>
      </c>
      <c r="AN98" s="61">
        <v>52</v>
      </c>
      <c r="AO98" s="61">
        <v>8</v>
      </c>
      <c r="AP98" s="66">
        <v>0.01</v>
      </c>
      <c r="AQ98" s="66">
        <v>0.4</v>
      </c>
      <c r="AR98" s="66">
        <v>0.54</v>
      </c>
      <c r="AS98" s="66">
        <v>0.05</v>
      </c>
      <c r="AT98" s="66">
        <v>0.48</v>
      </c>
      <c r="AU98" s="66">
        <v>0.4</v>
      </c>
      <c r="AV98" s="66">
        <v>0.46</v>
      </c>
      <c r="AW98" s="349">
        <v>52</v>
      </c>
      <c r="AX98" s="348" t="s">
        <v>910</v>
      </c>
      <c r="AY98" s="349">
        <v>9</v>
      </c>
      <c r="AZ98" s="348" t="s">
        <v>910</v>
      </c>
      <c r="BA98" s="371">
        <v>0.04</v>
      </c>
      <c r="BB98" s="371">
        <v>0.42</v>
      </c>
      <c r="BC98" s="371">
        <v>0.48</v>
      </c>
      <c r="BD98" s="371">
        <v>0.06</v>
      </c>
      <c r="BE98" s="371">
        <v>0.47</v>
      </c>
      <c r="BF98" s="371">
        <v>0.37</v>
      </c>
      <c r="BG98" s="371">
        <v>0.57999999999999996</v>
      </c>
      <c r="BH98" s="469">
        <v>52</v>
      </c>
      <c r="BI98" s="471" t="s">
        <v>910</v>
      </c>
      <c r="BJ98" s="469">
        <v>8</v>
      </c>
      <c r="BK98" s="471" t="s">
        <v>910</v>
      </c>
      <c r="BL98" s="501">
        <v>0.02</v>
      </c>
      <c r="BM98" s="501">
        <v>0.39</v>
      </c>
      <c r="BN98" s="501">
        <v>0.54</v>
      </c>
      <c r="BO98" s="501">
        <v>0.05</v>
      </c>
      <c r="BP98" s="501">
        <v>0.51</v>
      </c>
      <c r="BQ98" s="501">
        <v>0.4</v>
      </c>
      <c r="BR98" s="501">
        <v>0.48</v>
      </c>
      <c r="BS98" s="630">
        <v>52</v>
      </c>
      <c r="BT98" s="640" t="s">
        <v>910</v>
      </c>
      <c r="BU98" s="630">
        <v>8</v>
      </c>
      <c r="BV98" s="640" t="s">
        <v>910</v>
      </c>
      <c r="BW98" s="644">
        <v>0.02</v>
      </c>
      <c r="BX98" s="644">
        <v>0.39</v>
      </c>
      <c r="BY98" s="644">
        <v>0.54</v>
      </c>
      <c r="BZ98" s="644">
        <v>0.04</v>
      </c>
      <c r="CA98" s="644">
        <v>0.4</v>
      </c>
      <c r="CB98" s="644">
        <v>0.51</v>
      </c>
      <c r="CC98" s="644">
        <v>0.53</v>
      </c>
    </row>
    <row r="99" spans="1:81" s="53" customFormat="1" ht="24.6" customHeight="1" x14ac:dyDescent="0.25">
      <c r="A99" s="188" t="s">
        <v>147</v>
      </c>
      <c r="B99" s="1" t="s">
        <v>220</v>
      </c>
      <c r="C99" s="2">
        <v>5</v>
      </c>
      <c r="D99" s="16">
        <v>55</v>
      </c>
      <c r="E99" s="16">
        <v>8</v>
      </c>
      <c r="F99" s="96">
        <v>0.01</v>
      </c>
      <c r="G99" s="96">
        <v>0.3</v>
      </c>
      <c r="H99" s="96">
        <v>0.6</v>
      </c>
      <c r="I99" s="96">
        <v>0.09</v>
      </c>
      <c r="J99" s="96">
        <v>0.42</v>
      </c>
      <c r="K99" s="96">
        <v>0.46</v>
      </c>
      <c r="L99" s="96">
        <v>0.52</v>
      </c>
      <c r="M99" s="34">
        <v>55</v>
      </c>
      <c r="N99" s="34">
        <v>9</v>
      </c>
      <c r="O99" s="92">
        <v>0.02</v>
      </c>
      <c r="P99" s="92">
        <v>0.28999999999999998</v>
      </c>
      <c r="Q99" s="92">
        <v>0.57999999999999996</v>
      </c>
      <c r="R99" s="92">
        <v>0.11</v>
      </c>
      <c r="S99" s="92">
        <v>0.41</v>
      </c>
      <c r="T99" s="92">
        <v>0.45</v>
      </c>
      <c r="U99" s="92">
        <v>0.47</v>
      </c>
      <c r="V99" s="16">
        <v>54</v>
      </c>
      <c r="W99" s="16">
        <v>8</v>
      </c>
      <c r="X99" s="99">
        <v>0.01</v>
      </c>
      <c r="Y99" s="99">
        <v>0.32</v>
      </c>
      <c r="Z99" s="99">
        <v>0.57999999999999996</v>
      </c>
      <c r="AA99" s="99">
        <v>0.09</v>
      </c>
      <c r="AB99" s="99">
        <v>0.43</v>
      </c>
      <c r="AC99" s="99">
        <v>0.47</v>
      </c>
      <c r="AD99" s="99">
        <v>0.51</v>
      </c>
      <c r="AE99" s="16">
        <v>54</v>
      </c>
      <c r="AF99" s="16">
        <v>8</v>
      </c>
      <c r="AG99" s="96">
        <v>0.02</v>
      </c>
      <c r="AH99" s="96">
        <v>0.28000000000000003</v>
      </c>
      <c r="AI99" s="96">
        <v>0.62</v>
      </c>
      <c r="AJ99" s="96">
        <v>7.0000000000000007E-2</v>
      </c>
      <c r="AK99" s="96">
        <v>0.41</v>
      </c>
      <c r="AL99" s="96">
        <v>0.36</v>
      </c>
      <c r="AM99" s="96">
        <v>0.42</v>
      </c>
      <c r="AN99" s="61">
        <v>54</v>
      </c>
      <c r="AO99" s="61">
        <v>8</v>
      </c>
      <c r="AP99" s="66">
        <v>0.01</v>
      </c>
      <c r="AQ99" s="66">
        <v>0.31</v>
      </c>
      <c r="AR99" s="66">
        <v>0.6</v>
      </c>
      <c r="AS99" s="66">
        <v>0.08</v>
      </c>
      <c r="AT99" s="66">
        <v>0.47</v>
      </c>
      <c r="AU99" s="66">
        <v>0.35</v>
      </c>
      <c r="AV99" s="66">
        <v>0.43</v>
      </c>
      <c r="AW99" s="349">
        <v>54</v>
      </c>
      <c r="AX99" s="348" t="s">
        <v>910</v>
      </c>
      <c r="AY99" s="349">
        <v>9</v>
      </c>
      <c r="AZ99" s="348" t="s">
        <v>910</v>
      </c>
      <c r="BA99" s="371">
        <v>0.01</v>
      </c>
      <c r="BB99" s="371">
        <v>0.36</v>
      </c>
      <c r="BC99" s="371">
        <v>0.49</v>
      </c>
      <c r="BD99" s="371">
        <v>0.13</v>
      </c>
      <c r="BE99" s="371">
        <v>0.44</v>
      </c>
      <c r="BF99" s="371">
        <v>0.35</v>
      </c>
      <c r="BG99" s="371">
        <v>0.54</v>
      </c>
      <c r="BH99" s="469">
        <v>55</v>
      </c>
      <c r="BI99" s="471" t="s">
        <v>910</v>
      </c>
      <c r="BJ99" s="469">
        <v>8</v>
      </c>
      <c r="BK99" s="471" t="s">
        <v>910</v>
      </c>
      <c r="BL99" s="501">
        <v>0.01</v>
      </c>
      <c r="BM99" s="501">
        <v>0.27</v>
      </c>
      <c r="BN99" s="501">
        <v>0.63</v>
      </c>
      <c r="BO99" s="501">
        <v>0.09</v>
      </c>
      <c r="BP99" s="501">
        <v>0.46</v>
      </c>
      <c r="BQ99" s="501">
        <v>0.34</v>
      </c>
      <c r="BR99" s="501">
        <v>0.45</v>
      </c>
      <c r="BS99" s="630">
        <v>55</v>
      </c>
      <c r="BT99" s="640" t="s">
        <v>910</v>
      </c>
      <c r="BU99" s="630">
        <v>10</v>
      </c>
      <c r="BV99" s="640" t="s">
        <v>910</v>
      </c>
      <c r="BW99" s="644">
        <v>0.03</v>
      </c>
      <c r="BX99" s="644">
        <v>0.28999999999999998</v>
      </c>
      <c r="BY99" s="644">
        <v>0.56000000000000005</v>
      </c>
      <c r="BZ99" s="644">
        <v>0.13</v>
      </c>
      <c r="CA99" s="644">
        <v>0.35</v>
      </c>
      <c r="CB99" s="644">
        <v>0.45</v>
      </c>
      <c r="CC99" s="644">
        <v>0.48</v>
      </c>
    </row>
    <row r="100" spans="1:81" ht="24.9" customHeight="1" x14ac:dyDescent="0.25">
      <c r="A100" s="188" t="s">
        <v>112</v>
      </c>
      <c r="B100" s="1" t="s">
        <v>220</v>
      </c>
      <c r="C100" s="2">
        <v>4</v>
      </c>
      <c r="D100" s="16">
        <v>49</v>
      </c>
      <c r="E100" s="16">
        <v>8</v>
      </c>
      <c r="F100" s="96">
        <v>0.03</v>
      </c>
      <c r="G100" s="96">
        <v>0.56999999999999995</v>
      </c>
      <c r="H100" s="96">
        <v>0.38</v>
      </c>
      <c r="I100" s="96">
        <v>0.02</v>
      </c>
      <c r="J100" s="96">
        <v>0.5</v>
      </c>
      <c r="K100" s="96">
        <v>0.57999999999999996</v>
      </c>
      <c r="L100" s="96">
        <v>0.65</v>
      </c>
      <c r="M100" s="34">
        <v>51</v>
      </c>
      <c r="N100" s="34">
        <v>9</v>
      </c>
      <c r="O100" s="92">
        <v>0.03</v>
      </c>
      <c r="P100" s="92">
        <v>0.46</v>
      </c>
      <c r="Q100" s="92">
        <v>0.45</v>
      </c>
      <c r="R100" s="92">
        <v>0.06</v>
      </c>
      <c r="S100" s="92">
        <v>0.47</v>
      </c>
      <c r="T100" s="92">
        <v>0.51</v>
      </c>
      <c r="U100" s="92">
        <v>0.52</v>
      </c>
      <c r="V100" s="16">
        <v>49</v>
      </c>
      <c r="W100" s="16">
        <v>9</v>
      </c>
      <c r="X100" s="99">
        <v>0.06</v>
      </c>
      <c r="Y100" s="99">
        <v>0.53</v>
      </c>
      <c r="Z100" s="99">
        <v>0.37</v>
      </c>
      <c r="AA100" s="99">
        <v>0.04</v>
      </c>
      <c r="AB100" s="99">
        <v>0.54</v>
      </c>
      <c r="AC100" s="99">
        <v>0.56000000000000005</v>
      </c>
      <c r="AD100" s="99">
        <v>0.56999999999999995</v>
      </c>
      <c r="AE100" s="16">
        <v>47</v>
      </c>
      <c r="AF100" s="16">
        <v>9</v>
      </c>
      <c r="AG100" s="96">
        <v>0.11</v>
      </c>
      <c r="AH100" s="96">
        <v>0.56999999999999995</v>
      </c>
      <c r="AI100" s="96">
        <v>0.28999999999999998</v>
      </c>
      <c r="AJ100" s="96">
        <v>0.03</v>
      </c>
      <c r="AK100" s="96">
        <v>0.55000000000000004</v>
      </c>
      <c r="AL100" s="96">
        <v>0.5</v>
      </c>
      <c r="AM100" s="96">
        <v>0.52</v>
      </c>
      <c r="AN100" s="61">
        <v>49</v>
      </c>
      <c r="AO100" s="61">
        <v>9</v>
      </c>
      <c r="AP100" s="66">
        <v>7.0000000000000007E-2</v>
      </c>
      <c r="AQ100" s="66">
        <v>0.47</v>
      </c>
      <c r="AR100" s="66">
        <v>0.44</v>
      </c>
      <c r="AS100" s="66">
        <v>0.03</v>
      </c>
      <c r="AT100" s="66">
        <v>0.53</v>
      </c>
      <c r="AU100" s="66">
        <v>0.45</v>
      </c>
      <c r="AV100" s="66">
        <v>0.5</v>
      </c>
      <c r="AW100" s="349">
        <v>50</v>
      </c>
      <c r="AX100" s="348" t="s">
        <v>910</v>
      </c>
      <c r="AY100" s="349">
        <v>8</v>
      </c>
      <c r="AZ100" s="348" t="s">
        <v>910</v>
      </c>
      <c r="BA100" s="371">
        <v>0.03</v>
      </c>
      <c r="BB100" s="371">
        <v>0.55000000000000004</v>
      </c>
      <c r="BC100" s="371">
        <v>0.36</v>
      </c>
      <c r="BD100" s="371">
        <v>0.06</v>
      </c>
      <c r="BE100" s="371">
        <v>0.5</v>
      </c>
      <c r="BF100" s="371">
        <v>0.41</v>
      </c>
      <c r="BG100" s="371">
        <v>0.6</v>
      </c>
      <c r="BH100" s="469">
        <v>51</v>
      </c>
      <c r="BI100" s="471" t="s">
        <v>910</v>
      </c>
      <c r="BJ100" s="469">
        <v>9</v>
      </c>
      <c r="BK100" s="471" t="s">
        <v>910</v>
      </c>
      <c r="BL100" s="501">
        <v>0.03</v>
      </c>
      <c r="BM100" s="501">
        <v>0.44</v>
      </c>
      <c r="BN100" s="501">
        <v>0.48</v>
      </c>
      <c r="BO100" s="501">
        <v>0.05</v>
      </c>
      <c r="BP100" s="501">
        <v>0.53</v>
      </c>
      <c r="BQ100" s="501">
        <v>0.4</v>
      </c>
      <c r="BR100" s="501">
        <v>0.52</v>
      </c>
      <c r="BS100" s="630">
        <v>48</v>
      </c>
      <c r="BT100" s="640" t="s">
        <v>910</v>
      </c>
      <c r="BU100" s="630">
        <v>7</v>
      </c>
      <c r="BV100" s="640" t="s">
        <v>910</v>
      </c>
      <c r="BW100" s="644">
        <v>7.0000000000000007E-2</v>
      </c>
      <c r="BX100" s="644">
        <v>0.52</v>
      </c>
      <c r="BY100" s="644">
        <v>0.41</v>
      </c>
      <c r="BZ100" s="644">
        <v>0</v>
      </c>
      <c r="CA100" s="644">
        <v>0.46</v>
      </c>
      <c r="CB100" s="644">
        <v>0.59</v>
      </c>
      <c r="CC100" s="644">
        <v>0.6</v>
      </c>
    </row>
    <row r="101" spans="1:81" ht="24.9" customHeight="1" x14ac:dyDescent="0.25">
      <c r="A101" s="188" t="s">
        <v>48</v>
      </c>
      <c r="B101" s="1" t="s">
        <v>220</v>
      </c>
      <c r="C101" s="2">
        <v>4</v>
      </c>
      <c r="D101" s="16">
        <v>50</v>
      </c>
      <c r="E101" s="16">
        <v>6</v>
      </c>
      <c r="F101" s="96">
        <v>0</v>
      </c>
      <c r="G101" s="96">
        <v>0.54</v>
      </c>
      <c r="H101" s="96">
        <v>0.46</v>
      </c>
      <c r="I101" s="96">
        <v>0</v>
      </c>
      <c r="J101" s="96">
        <v>0.51</v>
      </c>
      <c r="K101" s="96">
        <v>0.53</v>
      </c>
      <c r="L101" s="96">
        <v>0.65</v>
      </c>
      <c r="M101" s="34">
        <v>50</v>
      </c>
      <c r="N101" s="34">
        <v>8</v>
      </c>
      <c r="O101" s="92">
        <v>0.03</v>
      </c>
      <c r="P101" s="92">
        <v>0.52</v>
      </c>
      <c r="Q101" s="92">
        <v>0.41</v>
      </c>
      <c r="R101" s="92">
        <v>0.03</v>
      </c>
      <c r="S101" s="92">
        <v>0.51</v>
      </c>
      <c r="T101" s="92">
        <v>0.55000000000000004</v>
      </c>
      <c r="U101" s="92">
        <v>0.51</v>
      </c>
      <c r="V101" s="16">
        <v>52</v>
      </c>
      <c r="W101" s="16">
        <v>10</v>
      </c>
      <c r="X101" s="99">
        <v>0.03</v>
      </c>
      <c r="Y101" s="99">
        <v>0.41</v>
      </c>
      <c r="Z101" s="99">
        <v>0.48</v>
      </c>
      <c r="AA101" s="99">
        <v>7.0000000000000007E-2</v>
      </c>
      <c r="AB101" s="99">
        <v>0.48</v>
      </c>
      <c r="AC101" s="99">
        <v>0.49</v>
      </c>
      <c r="AD101" s="99">
        <v>0.53</v>
      </c>
      <c r="AE101" s="16">
        <v>51</v>
      </c>
      <c r="AF101" s="16">
        <v>7</v>
      </c>
      <c r="AG101" s="96">
        <v>0</v>
      </c>
      <c r="AH101" s="96">
        <v>0.48</v>
      </c>
      <c r="AI101" s="96">
        <v>0.52</v>
      </c>
      <c r="AJ101" s="96">
        <v>0</v>
      </c>
      <c r="AK101" s="96">
        <v>0.49</v>
      </c>
      <c r="AL101" s="96">
        <v>0.41</v>
      </c>
      <c r="AM101" s="96">
        <v>0.43</v>
      </c>
      <c r="AN101" s="73">
        <v>49</v>
      </c>
      <c r="AO101" s="73">
        <v>7</v>
      </c>
      <c r="AP101" s="74">
        <v>0.03</v>
      </c>
      <c r="AQ101" s="74">
        <v>0.52</v>
      </c>
      <c r="AR101" s="74">
        <v>0.45</v>
      </c>
      <c r="AS101" s="74">
        <v>0</v>
      </c>
      <c r="AT101" s="74">
        <v>0.54</v>
      </c>
      <c r="AU101" s="74">
        <v>0.42</v>
      </c>
      <c r="AV101" s="74">
        <v>0.52</v>
      </c>
      <c r="AW101" s="349">
        <v>50</v>
      </c>
      <c r="AX101" s="348" t="s">
        <v>910</v>
      </c>
      <c r="AY101" s="349">
        <v>7</v>
      </c>
      <c r="AZ101" s="348" t="s">
        <v>910</v>
      </c>
      <c r="BA101" s="371">
        <v>0.03</v>
      </c>
      <c r="BB101" s="371">
        <v>0.44</v>
      </c>
      <c r="BC101" s="371">
        <v>0.53</v>
      </c>
      <c r="BD101" s="371">
        <v>0</v>
      </c>
      <c r="BE101" s="371">
        <v>0.45</v>
      </c>
      <c r="BF101" s="371">
        <v>0.42</v>
      </c>
      <c r="BG101" s="371">
        <v>0.62</v>
      </c>
      <c r="BH101" s="469">
        <v>54</v>
      </c>
      <c r="BI101" s="471" t="s">
        <v>910</v>
      </c>
      <c r="BJ101" s="469">
        <v>7</v>
      </c>
      <c r="BK101" s="471" t="s">
        <v>910</v>
      </c>
      <c r="BL101" s="501">
        <v>0</v>
      </c>
      <c r="BM101" s="501">
        <v>0.39</v>
      </c>
      <c r="BN101" s="501">
        <v>0.48</v>
      </c>
      <c r="BO101" s="501">
        <v>0.12</v>
      </c>
      <c r="BP101" s="501">
        <v>0.46</v>
      </c>
      <c r="BQ101" s="501">
        <v>0.39</v>
      </c>
      <c r="BR101" s="501">
        <v>0.47</v>
      </c>
      <c r="BS101" s="630">
        <v>51</v>
      </c>
      <c r="BT101" s="640" t="s">
        <v>910</v>
      </c>
      <c r="BU101" s="630">
        <v>9</v>
      </c>
      <c r="BV101" s="640" t="s">
        <v>910</v>
      </c>
      <c r="BW101" s="644">
        <v>7.0000000000000007E-2</v>
      </c>
      <c r="BX101" s="644">
        <v>0.36</v>
      </c>
      <c r="BY101" s="644">
        <v>0.5</v>
      </c>
      <c r="BZ101" s="644">
        <v>7.0000000000000007E-2</v>
      </c>
      <c r="CA101" s="644">
        <v>0.41</v>
      </c>
      <c r="CB101" s="644">
        <v>0.55000000000000004</v>
      </c>
      <c r="CC101" s="644">
        <v>0.56000000000000005</v>
      </c>
    </row>
    <row r="102" spans="1:81" s="134" customFormat="1" ht="24.9" customHeight="1" x14ac:dyDescent="0.25">
      <c r="A102" s="188" t="s">
        <v>926</v>
      </c>
      <c r="B102" s="1" t="s">
        <v>220</v>
      </c>
      <c r="C102" s="2">
        <v>3</v>
      </c>
      <c r="D102" s="16">
        <v>54</v>
      </c>
      <c r="E102" s="16">
        <v>8</v>
      </c>
      <c r="F102" s="96">
        <v>0.02</v>
      </c>
      <c r="G102" s="96">
        <v>0.33</v>
      </c>
      <c r="H102" s="96">
        <v>0.6</v>
      </c>
      <c r="I102" s="96">
        <v>0.05</v>
      </c>
      <c r="J102" s="96">
        <v>0.49</v>
      </c>
      <c r="K102" s="96">
        <v>0.49</v>
      </c>
      <c r="L102" s="96">
        <v>0.53</v>
      </c>
      <c r="M102" s="34">
        <v>56</v>
      </c>
      <c r="N102" s="34">
        <v>9</v>
      </c>
      <c r="O102" s="92">
        <v>0.01</v>
      </c>
      <c r="P102" s="92">
        <v>0.23</v>
      </c>
      <c r="Q102" s="92">
        <v>0.63</v>
      </c>
      <c r="R102" s="92">
        <v>0.12</v>
      </c>
      <c r="S102" s="92">
        <v>0.42</v>
      </c>
      <c r="T102" s="92">
        <v>0.47</v>
      </c>
      <c r="U102" s="92">
        <v>0.46</v>
      </c>
      <c r="V102" s="16">
        <v>54</v>
      </c>
      <c r="W102" s="16">
        <v>8</v>
      </c>
      <c r="X102" s="99">
        <v>0.01</v>
      </c>
      <c r="Y102" s="99">
        <v>0.28000000000000003</v>
      </c>
      <c r="Z102" s="99">
        <v>0.63</v>
      </c>
      <c r="AA102" s="99">
        <v>0.08</v>
      </c>
      <c r="AB102" s="99">
        <v>0.42</v>
      </c>
      <c r="AC102" s="99">
        <v>0.49</v>
      </c>
      <c r="AD102" s="99">
        <v>0.51</v>
      </c>
      <c r="AE102" s="16">
        <v>54</v>
      </c>
      <c r="AF102" s="16">
        <v>9</v>
      </c>
      <c r="AG102" s="96">
        <v>0</v>
      </c>
      <c r="AH102" s="96">
        <v>0.4</v>
      </c>
      <c r="AI102" s="96">
        <v>0.5</v>
      </c>
      <c r="AJ102" s="96">
        <v>0.1</v>
      </c>
      <c r="AK102" s="96">
        <v>0.35</v>
      </c>
      <c r="AL102" s="96">
        <v>0.42</v>
      </c>
      <c r="AM102" s="96">
        <v>0.43</v>
      </c>
      <c r="AN102" s="73">
        <v>55</v>
      </c>
      <c r="AO102" s="73">
        <v>9</v>
      </c>
      <c r="AP102" s="74">
        <v>0.03</v>
      </c>
      <c r="AQ102" s="74">
        <v>0.25</v>
      </c>
      <c r="AR102" s="74">
        <v>0.63</v>
      </c>
      <c r="AS102" s="74">
        <v>0.1</v>
      </c>
      <c r="AT102" s="74">
        <v>0.46</v>
      </c>
      <c r="AU102" s="74">
        <v>0.37</v>
      </c>
      <c r="AV102" s="74">
        <v>0.43</v>
      </c>
      <c r="AW102" s="349">
        <v>54</v>
      </c>
      <c r="AX102" s="348" t="s">
        <v>910</v>
      </c>
      <c r="AY102" s="349">
        <v>9</v>
      </c>
      <c r="AZ102" s="348" t="s">
        <v>910</v>
      </c>
      <c r="BA102" s="371">
        <v>0.02</v>
      </c>
      <c r="BB102" s="371">
        <v>0.33</v>
      </c>
      <c r="BC102" s="371">
        <v>0.55000000000000004</v>
      </c>
      <c r="BD102" s="371">
        <v>0.11</v>
      </c>
      <c r="BE102" s="371">
        <v>0.44</v>
      </c>
      <c r="BF102" s="371">
        <v>0.36</v>
      </c>
      <c r="BG102" s="371">
        <v>0.54</v>
      </c>
      <c r="BH102" s="469">
        <v>55</v>
      </c>
      <c r="BI102" s="471" t="s">
        <v>910</v>
      </c>
      <c r="BJ102" s="469">
        <v>9</v>
      </c>
      <c r="BK102" s="471" t="s">
        <v>910</v>
      </c>
      <c r="BL102" s="501">
        <v>0</v>
      </c>
      <c r="BM102" s="501">
        <v>0.28999999999999998</v>
      </c>
      <c r="BN102" s="501">
        <v>0.57999999999999996</v>
      </c>
      <c r="BO102" s="501">
        <v>0.13</v>
      </c>
      <c r="BP102" s="501">
        <v>0.46</v>
      </c>
      <c r="BQ102" s="501">
        <v>0.33</v>
      </c>
      <c r="BR102" s="501">
        <v>0.41</v>
      </c>
      <c r="BS102" s="630">
        <v>56</v>
      </c>
      <c r="BT102" s="640" t="s">
        <v>910</v>
      </c>
      <c r="BU102" s="630">
        <v>9</v>
      </c>
      <c r="BV102" s="640" t="s">
        <v>910</v>
      </c>
      <c r="BW102" s="644">
        <v>0.01</v>
      </c>
      <c r="BX102" s="644">
        <v>0.24</v>
      </c>
      <c r="BY102" s="644">
        <v>0.6</v>
      </c>
      <c r="BZ102" s="644">
        <v>0.15</v>
      </c>
      <c r="CA102" s="644">
        <v>0.33</v>
      </c>
      <c r="CB102" s="644">
        <v>0.44</v>
      </c>
      <c r="CC102" s="644">
        <v>0.45</v>
      </c>
    </row>
    <row r="103" spans="1:81" ht="24.9" customHeight="1" x14ac:dyDescent="0.25">
      <c r="A103" s="188" t="s">
        <v>138</v>
      </c>
      <c r="B103" s="1" t="s">
        <v>220</v>
      </c>
      <c r="C103" s="2">
        <v>1</v>
      </c>
      <c r="D103" s="16">
        <v>53</v>
      </c>
      <c r="E103" s="16">
        <v>7</v>
      </c>
      <c r="F103" s="96">
        <v>0</v>
      </c>
      <c r="G103" s="96">
        <v>0.36</v>
      </c>
      <c r="H103" s="96">
        <v>0.61</v>
      </c>
      <c r="I103" s="96">
        <v>0.03</v>
      </c>
      <c r="J103" s="96">
        <v>0.48</v>
      </c>
      <c r="K103" s="96">
        <v>0.52</v>
      </c>
      <c r="L103" s="96">
        <v>0.56000000000000005</v>
      </c>
      <c r="M103" s="35">
        <v>55</v>
      </c>
      <c r="N103" s="35">
        <v>7</v>
      </c>
      <c r="O103" s="92">
        <v>0.02</v>
      </c>
      <c r="P103" s="92">
        <v>0.23</v>
      </c>
      <c r="Q103" s="92">
        <v>0.72</v>
      </c>
      <c r="R103" s="92">
        <v>0.03</v>
      </c>
      <c r="S103" s="92">
        <v>0.43</v>
      </c>
      <c r="T103" s="92">
        <v>0.46</v>
      </c>
      <c r="U103" s="92">
        <v>0.45</v>
      </c>
      <c r="V103" s="16">
        <v>52</v>
      </c>
      <c r="W103" s="16">
        <v>9</v>
      </c>
      <c r="X103" s="99">
        <v>0.03</v>
      </c>
      <c r="Y103" s="99">
        <v>0.43</v>
      </c>
      <c r="Z103" s="99">
        <v>0.48</v>
      </c>
      <c r="AA103" s="99">
        <v>0.06</v>
      </c>
      <c r="AB103" s="99">
        <v>0.45</v>
      </c>
      <c r="AC103" s="99">
        <v>0.52</v>
      </c>
      <c r="AD103" s="99">
        <v>0.53</v>
      </c>
      <c r="AE103" s="16">
        <v>53</v>
      </c>
      <c r="AF103" s="16">
        <v>9</v>
      </c>
      <c r="AG103" s="96">
        <v>0.05</v>
      </c>
      <c r="AH103" s="96">
        <v>0.34</v>
      </c>
      <c r="AI103" s="96">
        <v>0.53</v>
      </c>
      <c r="AJ103" s="96">
        <v>0.08</v>
      </c>
      <c r="AK103" s="96">
        <v>0.44</v>
      </c>
      <c r="AL103" s="96">
        <v>0.38</v>
      </c>
      <c r="AM103" s="96">
        <v>0.43</v>
      </c>
      <c r="AN103" s="61">
        <v>54</v>
      </c>
      <c r="AO103" s="61">
        <v>8</v>
      </c>
      <c r="AP103" s="66">
        <v>0.02</v>
      </c>
      <c r="AQ103" s="66">
        <v>0.28000000000000003</v>
      </c>
      <c r="AR103" s="66">
        <v>0.61</v>
      </c>
      <c r="AS103" s="66">
        <v>0.09</v>
      </c>
      <c r="AT103" s="66">
        <v>0.46</v>
      </c>
      <c r="AU103" s="66">
        <v>0.36</v>
      </c>
      <c r="AV103" s="66">
        <v>0.43</v>
      </c>
      <c r="AW103" s="349">
        <v>53</v>
      </c>
      <c r="AX103" s="348" t="s">
        <v>910</v>
      </c>
      <c r="AY103" s="349">
        <v>9</v>
      </c>
      <c r="AZ103" s="348" t="s">
        <v>910</v>
      </c>
      <c r="BA103" s="371">
        <v>0.03</v>
      </c>
      <c r="BB103" s="371">
        <v>0.38</v>
      </c>
      <c r="BC103" s="371">
        <v>0.51</v>
      </c>
      <c r="BD103" s="371">
        <v>0.08</v>
      </c>
      <c r="BE103" s="371">
        <v>0.47</v>
      </c>
      <c r="BF103" s="371">
        <v>0.33</v>
      </c>
      <c r="BG103" s="371">
        <v>0.56000000000000005</v>
      </c>
      <c r="BH103" s="469">
        <v>55</v>
      </c>
      <c r="BI103" s="471" t="s">
        <v>910</v>
      </c>
      <c r="BJ103" s="469">
        <v>9</v>
      </c>
      <c r="BK103" s="471" t="s">
        <v>910</v>
      </c>
      <c r="BL103" s="501">
        <v>0.01</v>
      </c>
      <c r="BM103" s="501">
        <v>0.31</v>
      </c>
      <c r="BN103" s="501">
        <v>0.55000000000000004</v>
      </c>
      <c r="BO103" s="501">
        <v>0.13</v>
      </c>
      <c r="BP103" s="501">
        <v>0.46</v>
      </c>
      <c r="BQ103" s="501">
        <v>0.33</v>
      </c>
      <c r="BR103" s="501">
        <v>0.44</v>
      </c>
      <c r="BS103" s="630">
        <v>52</v>
      </c>
      <c r="BT103" s="640" t="s">
        <v>910</v>
      </c>
      <c r="BU103" s="630">
        <v>9</v>
      </c>
      <c r="BV103" s="640" t="s">
        <v>910</v>
      </c>
      <c r="BW103" s="644">
        <v>0.03</v>
      </c>
      <c r="BX103" s="644">
        <v>0.39</v>
      </c>
      <c r="BY103" s="644">
        <v>0.55000000000000004</v>
      </c>
      <c r="BZ103" s="644">
        <v>0.04</v>
      </c>
      <c r="CA103" s="644">
        <v>0.39</v>
      </c>
      <c r="CB103" s="644">
        <v>0.51</v>
      </c>
      <c r="CC103" s="644">
        <v>0.51</v>
      </c>
    </row>
    <row r="104" spans="1:81" ht="24.9" customHeight="1" x14ac:dyDescent="0.25">
      <c r="A104" s="189" t="s">
        <v>291</v>
      </c>
      <c r="B104" s="69" t="s">
        <v>220</v>
      </c>
      <c r="C104" s="71">
        <v>3</v>
      </c>
      <c r="D104" s="16">
        <v>51</v>
      </c>
      <c r="E104" s="16">
        <v>9</v>
      </c>
      <c r="F104" s="99">
        <v>0.04</v>
      </c>
      <c r="G104" s="99">
        <v>0.46</v>
      </c>
      <c r="H104" s="99">
        <v>0.46</v>
      </c>
      <c r="I104" s="99">
        <v>0.04</v>
      </c>
      <c r="J104" s="96">
        <v>0.48</v>
      </c>
      <c r="K104" s="96">
        <v>0.5</v>
      </c>
      <c r="L104" s="96">
        <v>0.56000000000000005</v>
      </c>
      <c r="M104" s="34">
        <v>54</v>
      </c>
      <c r="N104" s="34">
        <v>8</v>
      </c>
      <c r="O104" s="92">
        <v>0.02</v>
      </c>
      <c r="P104" s="92">
        <v>0.32</v>
      </c>
      <c r="Q104" s="92">
        <v>0.62</v>
      </c>
      <c r="R104" s="92">
        <v>0.04</v>
      </c>
      <c r="S104" s="92">
        <v>0.44</v>
      </c>
      <c r="T104" s="92">
        <v>0.51</v>
      </c>
      <c r="U104" s="92">
        <v>0.48</v>
      </c>
      <c r="V104" s="34">
        <v>55</v>
      </c>
      <c r="W104" s="34">
        <v>9</v>
      </c>
      <c r="X104" s="99">
        <v>0.02</v>
      </c>
      <c r="Y104" s="99">
        <v>0.25</v>
      </c>
      <c r="Z104" s="99">
        <v>0.57999999999999996</v>
      </c>
      <c r="AA104" s="99">
        <v>0.14000000000000001</v>
      </c>
      <c r="AB104" s="99">
        <v>0.42</v>
      </c>
      <c r="AC104" s="99">
        <v>0.46</v>
      </c>
      <c r="AD104" s="99">
        <v>0.5</v>
      </c>
      <c r="AE104" s="16">
        <v>54</v>
      </c>
      <c r="AF104" s="16">
        <v>8</v>
      </c>
      <c r="AG104" s="96">
        <v>0.02</v>
      </c>
      <c r="AH104" s="96">
        <v>0.3</v>
      </c>
      <c r="AI104" s="96">
        <v>0.6</v>
      </c>
      <c r="AJ104" s="96">
        <v>0.08</v>
      </c>
      <c r="AK104" s="96">
        <v>0.44</v>
      </c>
      <c r="AL104" s="96">
        <v>0.37</v>
      </c>
      <c r="AM104" s="96">
        <v>0.42</v>
      </c>
      <c r="AN104" s="61">
        <v>56</v>
      </c>
      <c r="AO104" s="61">
        <v>8</v>
      </c>
      <c r="AP104" s="66">
        <v>0.02</v>
      </c>
      <c r="AQ104" s="66">
        <v>0.2</v>
      </c>
      <c r="AR104" s="66">
        <v>0.66</v>
      </c>
      <c r="AS104" s="66">
        <v>0.12</v>
      </c>
      <c r="AT104" s="66">
        <v>0.43</v>
      </c>
      <c r="AU104" s="66">
        <v>0.34</v>
      </c>
      <c r="AV104" s="66">
        <v>0.4</v>
      </c>
      <c r="AW104" s="349">
        <v>56</v>
      </c>
      <c r="AX104" s="348" t="s">
        <v>910</v>
      </c>
      <c r="AY104" s="349">
        <v>8</v>
      </c>
      <c r="AZ104" s="348" t="s">
        <v>910</v>
      </c>
      <c r="BA104" s="371">
        <v>0.01</v>
      </c>
      <c r="BB104" s="371">
        <v>0.25</v>
      </c>
      <c r="BC104" s="371">
        <v>0.62</v>
      </c>
      <c r="BD104" s="371">
        <v>0.12</v>
      </c>
      <c r="BE104" s="371">
        <v>0.42</v>
      </c>
      <c r="BF104" s="371">
        <v>0.31</v>
      </c>
      <c r="BG104" s="371">
        <v>0.52</v>
      </c>
      <c r="BH104" s="469">
        <v>56</v>
      </c>
      <c r="BI104" s="471" t="s">
        <v>910</v>
      </c>
      <c r="BJ104" s="469">
        <v>9</v>
      </c>
      <c r="BK104" s="471" t="s">
        <v>910</v>
      </c>
      <c r="BL104" s="501">
        <v>0.01</v>
      </c>
      <c r="BM104" s="501">
        <v>0.24</v>
      </c>
      <c r="BN104" s="501">
        <v>0.61</v>
      </c>
      <c r="BO104" s="501">
        <v>0.14000000000000001</v>
      </c>
      <c r="BP104" s="501">
        <v>0.44</v>
      </c>
      <c r="BQ104" s="501">
        <v>0.3</v>
      </c>
      <c r="BR104" s="501">
        <v>0.42</v>
      </c>
      <c r="BS104" s="630">
        <v>56</v>
      </c>
      <c r="BT104" s="640" t="s">
        <v>910</v>
      </c>
      <c r="BU104" s="630">
        <v>9</v>
      </c>
      <c r="BV104" s="640" t="s">
        <v>910</v>
      </c>
      <c r="BW104" s="644">
        <v>0.02</v>
      </c>
      <c r="BX104" s="644">
        <v>0.25</v>
      </c>
      <c r="BY104" s="644">
        <v>0.6</v>
      </c>
      <c r="BZ104" s="644">
        <v>0.14000000000000001</v>
      </c>
      <c r="CA104" s="644">
        <v>0.34</v>
      </c>
      <c r="CB104" s="644">
        <v>0.43</v>
      </c>
      <c r="CC104" s="644">
        <v>0.44</v>
      </c>
    </row>
    <row r="105" spans="1:81" ht="24.9" customHeight="1" x14ac:dyDescent="0.25">
      <c r="A105" s="188" t="s">
        <v>103</v>
      </c>
      <c r="B105" s="1" t="s">
        <v>220</v>
      </c>
      <c r="C105" s="2">
        <v>4</v>
      </c>
      <c r="D105" s="16">
        <v>50</v>
      </c>
      <c r="E105" s="16">
        <v>8</v>
      </c>
      <c r="F105" s="96">
        <v>0.02</v>
      </c>
      <c r="G105" s="96">
        <v>0.54</v>
      </c>
      <c r="H105" s="96">
        <v>0.43</v>
      </c>
      <c r="I105" s="96">
        <v>0.01</v>
      </c>
      <c r="J105" s="96">
        <v>0.47</v>
      </c>
      <c r="K105" s="96">
        <v>0.54</v>
      </c>
      <c r="L105" s="96">
        <v>0.6</v>
      </c>
      <c r="M105" s="34">
        <v>50</v>
      </c>
      <c r="N105" s="34">
        <v>8</v>
      </c>
      <c r="O105" s="92">
        <v>0.02</v>
      </c>
      <c r="P105" s="92">
        <v>0.54</v>
      </c>
      <c r="Q105" s="92">
        <v>0.41</v>
      </c>
      <c r="R105" s="92">
        <v>0.03</v>
      </c>
      <c r="S105" s="92">
        <v>0.49</v>
      </c>
      <c r="T105" s="92">
        <v>0.54</v>
      </c>
      <c r="U105" s="92">
        <v>0.53</v>
      </c>
      <c r="V105" s="16">
        <v>50</v>
      </c>
      <c r="W105" s="16">
        <v>9</v>
      </c>
      <c r="X105" s="99">
        <v>0.05</v>
      </c>
      <c r="Y105" s="99">
        <v>0.49</v>
      </c>
      <c r="Z105" s="99">
        <v>0.42</v>
      </c>
      <c r="AA105" s="99">
        <v>0.03</v>
      </c>
      <c r="AB105" s="99">
        <v>0.53</v>
      </c>
      <c r="AC105" s="99">
        <v>0.54</v>
      </c>
      <c r="AD105" s="99">
        <v>0.54</v>
      </c>
      <c r="AE105" s="16">
        <v>49</v>
      </c>
      <c r="AF105" s="16">
        <v>9</v>
      </c>
      <c r="AG105" s="96">
        <v>0.06</v>
      </c>
      <c r="AH105" s="96">
        <v>0.54</v>
      </c>
      <c r="AI105" s="96">
        <v>0.37</v>
      </c>
      <c r="AJ105" s="96">
        <v>0.04</v>
      </c>
      <c r="AK105" s="96">
        <v>0.5</v>
      </c>
      <c r="AL105" s="96">
        <v>0.46</v>
      </c>
      <c r="AM105" s="96">
        <v>0.5</v>
      </c>
      <c r="AN105" s="61">
        <v>51</v>
      </c>
      <c r="AO105" s="61">
        <v>9</v>
      </c>
      <c r="AP105" s="66">
        <v>0.01</v>
      </c>
      <c r="AQ105" s="66">
        <v>0.52</v>
      </c>
      <c r="AR105" s="66">
        <v>0.41</v>
      </c>
      <c r="AS105" s="66">
        <v>0.06</v>
      </c>
      <c r="AT105" s="66">
        <v>0.52</v>
      </c>
      <c r="AU105" s="66">
        <v>0.42</v>
      </c>
      <c r="AV105" s="66">
        <v>0.47</v>
      </c>
      <c r="AW105" s="349">
        <v>49</v>
      </c>
      <c r="AX105" s="348" t="s">
        <v>910</v>
      </c>
      <c r="AY105" s="349">
        <v>10</v>
      </c>
      <c r="AZ105" s="348" t="s">
        <v>910</v>
      </c>
      <c r="BA105" s="371">
        <v>0.09</v>
      </c>
      <c r="BB105" s="371">
        <v>0.48</v>
      </c>
      <c r="BC105" s="371">
        <v>0.4</v>
      </c>
      <c r="BD105" s="371">
        <v>0.03</v>
      </c>
      <c r="BE105" s="371">
        <v>0.54</v>
      </c>
      <c r="BF105" s="371">
        <v>0.43</v>
      </c>
      <c r="BG105" s="371">
        <v>0.61</v>
      </c>
      <c r="BH105" s="469">
        <v>50</v>
      </c>
      <c r="BI105" s="471" t="s">
        <v>910</v>
      </c>
      <c r="BJ105" s="469">
        <v>9</v>
      </c>
      <c r="BK105" s="471" t="s">
        <v>910</v>
      </c>
      <c r="BL105" s="501">
        <v>0.03</v>
      </c>
      <c r="BM105" s="501">
        <v>0.48</v>
      </c>
      <c r="BN105" s="501">
        <v>0.46</v>
      </c>
      <c r="BO105" s="501">
        <v>0.03</v>
      </c>
      <c r="BP105" s="501">
        <v>0.54</v>
      </c>
      <c r="BQ105" s="501">
        <v>0.39</v>
      </c>
      <c r="BR105" s="501">
        <v>0.53</v>
      </c>
      <c r="BS105" s="630">
        <v>49</v>
      </c>
      <c r="BT105" s="640" t="s">
        <v>910</v>
      </c>
      <c r="BU105" s="630">
        <v>10</v>
      </c>
      <c r="BV105" s="640" t="s">
        <v>910</v>
      </c>
      <c r="BW105" s="644">
        <v>0.08</v>
      </c>
      <c r="BX105" s="644">
        <v>0.5</v>
      </c>
      <c r="BY105" s="644">
        <v>0.36</v>
      </c>
      <c r="BZ105" s="644">
        <v>0.05</v>
      </c>
      <c r="CA105" s="644">
        <v>0.44</v>
      </c>
      <c r="CB105" s="644">
        <v>0.53</v>
      </c>
      <c r="CC105" s="644">
        <v>0.61</v>
      </c>
    </row>
    <row r="106" spans="1:81" ht="24.9" customHeight="1" x14ac:dyDescent="0.25">
      <c r="A106" s="188" t="s">
        <v>86</v>
      </c>
      <c r="B106" s="1" t="s">
        <v>220</v>
      </c>
      <c r="C106" s="2">
        <v>1</v>
      </c>
      <c r="D106" s="16">
        <v>53</v>
      </c>
      <c r="E106" s="16">
        <v>8</v>
      </c>
      <c r="F106" s="96">
        <v>0.01</v>
      </c>
      <c r="G106" s="96">
        <v>0.41</v>
      </c>
      <c r="H106" s="96">
        <v>0.52</v>
      </c>
      <c r="I106" s="96">
        <v>0.06</v>
      </c>
      <c r="J106" s="96">
        <v>0.41</v>
      </c>
      <c r="K106" s="96">
        <v>0.49</v>
      </c>
      <c r="L106" s="96">
        <v>0.55000000000000004</v>
      </c>
      <c r="M106" s="34">
        <v>52</v>
      </c>
      <c r="N106" s="34">
        <v>8</v>
      </c>
      <c r="O106" s="92">
        <v>0.02</v>
      </c>
      <c r="P106" s="92">
        <v>0.39</v>
      </c>
      <c r="Q106" s="92">
        <v>0.56000000000000005</v>
      </c>
      <c r="R106" s="92">
        <v>0.03</v>
      </c>
      <c r="S106" s="92">
        <v>0.48</v>
      </c>
      <c r="T106" s="92">
        <v>0.5</v>
      </c>
      <c r="U106" s="92">
        <v>0.5</v>
      </c>
      <c r="V106" s="16">
        <v>53</v>
      </c>
      <c r="W106" s="16">
        <v>9</v>
      </c>
      <c r="X106" s="99">
        <v>0.02</v>
      </c>
      <c r="Y106" s="99">
        <v>0.37</v>
      </c>
      <c r="Z106" s="99">
        <v>0.53</v>
      </c>
      <c r="AA106" s="99">
        <v>0.08</v>
      </c>
      <c r="AB106" s="99">
        <v>0.45</v>
      </c>
      <c r="AC106" s="99">
        <v>0.49</v>
      </c>
      <c r="AD106" s="99">
        <v>0.52</v>
      </c>
      <c r="AE106" s="16">
        <v>53</v>
      </c>
      <c r="AF106" s="16">
        <v>9</v>
      </c>
      <c r="AG106" s="96">
        <v>0.02</v>
      </c>
      <c r="AH106" s="96">
        <v>0.36</v>
      </c>
      <c r="AI106" s="96">
        <v>0.56999999999999995</v>
      </c>
      <c r="AJ106" s="96">
        <v>0.06</v>
      </c>
      <c r="AK106" s="96">
        <v>0.45</v>
      </c>
      <c r="AL106" s="96">
        <v>0.38</v>
      </c>
      <c r="AM106" s="96">
        <v>0.45</v>
      </c>
      <c r="AN106" s="61">
        <v>53</v>
      </c>
      <c r="AO106" s="61">
        <v>8</v>
      </c>
      <c r="AP106" s="66">
        <v>0.01</v>
      </c>
      <c r="AQ106" s="66">
        <v>0.42</v>
      </c>
      <c r="AR106" s="66">
        <v>0.51</v>
      </c>
      <c r="AS106" s="66">
        <v>0.05</v>
      </c>
      <c r="AT106" s="66">
        <v>0.5</v>
      </c>
      <c r="AU106" s="66">
        <v>0.37</v>
      </c>
      <c r="AV106" s="66">
        <v>0.44</v>
      </c>
      <c r="AW106" s="349">
        <v>52</v>
      </c>
      <c r="AX106" s="348" t="s">
        <v>910</v>
      </c>
      <c r="AY106" s="349">
        <v>10</v>
      </c>
      <c r="AZ106" s="348" t="s">
        <v>910</v>
      </c>
      <c r="BA106" s="371">
        <v>0.03</v>
      </c>
      <c r="BB106" s="371">
        <v>0.37</v>
      </c>
      <c r="BC106" s="371">
        <v>0.52</v>
      </c>
      <c r="BD106" s="371">
        <v>7.0000000000000007E-2</v>
      </c>
      <c r="BE106" s="371">
        <v>0.46</v>
      </c>
      <c r="BF106" s="371">
        <v>0.36</v>
      </c>
      <c r="BG106" s="371">
        <v>0.56999999999999995</v>
      </c>
      <c r="BH106" s="469">
        <v>54</v>
      </c>
      <c r="BI106" s="471" t="s">
        <v>910</v>
      </c>
      <c r="BJ106" s="469">
        <v>9</v>
      </c>
      <c r="BK106" s="471" t="s">
        <v>910</v>
      </c>
      <c r="BL106" s="501">
        <v>0.01</v>
      </c>
      <c r="BM106" s="501">
        <v>0.31</v>
      </c>
      <c r="BN106" s="501">
        <v>0.56000000000000005</v>
      </c>
      <c r="BO106" s="501">
        <v>0.11</v>
      </c>
      <c r="BP106" s="501">
        <v>0.48</v>
      </c>
      <c r="BQ106" s="501">
        <v>0.35</v>
      </c>
      <c r="BR106" s="501">
        <v>0.45</v>
      </c>
      <c r="BS106" s="630">
        <v>53</v>
      </c>
      <c r="BT106" s="640" t="s">
        <v>910</v>
      </c>
      <c r="BU106" s="630">
        <v>8</v>
      </c>
      <c r="BV106" s="640" t="s">
        <v>910</v>
      </c>
      <c r="BW106" s="644">
        <v>0.02</v>
      </c>
      <c r="BX106" s="644">
        <v>0.37</v>
      </c>
      <c r="BY106" s="644">
        <v>0.54</v>
      </c>
      <c r="BZ106" s="644">
        <v>0.08</v>
      </c>
      <c r="CA106" s="644">
        <v>0.37</v>
      </c>
      <c r="CB106" s="644">
        <v>0.5</v>
      </c>
      <c r="CC106" s="644">
        <v>0.52</v>
      </c>
    </row>
    <row r="107" spans="1:81" ht="24.9" customHeight="1" x14ac:dyDescent="0.25">
      <c r="A107" s="188" t="s">
        <v>46</v>
      </c>
      <c r="B107" s="1" t="s">
        <v>222</v>
      </c>
      <c r="C107" s="2">
        <v>5</v>
      </c>
      <c r="D107" s="16">
        <v>56</v>
      </c>
      <c r="E107" s="16">
        <v>8</v>
      </c>
      <c r="F107" s="96">
        <v>0.03</v>
      </c>
      <c r="G107" s="96">
        <v>0.25</v>
      </c>
      <c r="H107" s="96">
        <v>0.61</v>
      </c>
      <c r="I107" s="96">
        <v>0.11</v>
      </c>
      <c r="J107" s="96">
        <v>0.35</v>
      </c>
      <c r="K107" s="96">
        <v>0.44</v>
      </c>
      <c r="L107" s="96">
        <v>0.53</v>
      </c>
      <c r="M107" s="34">
        <v>55</v>
      </c>
      <c r="N107" s="34">
        <v>7</v>
      </c>
      <c r="O107" s="92">
        <v>0</v>
      </c>
      <c r="P107" s="92">
        <v>0.27</v>
      </c>
      <c r="Q107" s="92">
        <v>0.71</v>
      </c>
      <c r="R107" s="92">
        <v>0.02</v>
      </c>
      <c r="S107" s="92">
        <v>0.41</v>
      </c>
      <c r="T107" s="92">
        <v>0.47</v>
      </c>
      <c r="U107" s="92">
        <v>0.46</v>
      </c>
      <c r="V107" s="16">
        <v>53</v>
      </c>
      <c r="W107" s="16">
        <v>9</v>
      </c>
      <c r="X107" s="99">
        <v>0</v>
      </c>
      <c r="Y107" s="99">
        <v>0.48</v>
      </c>
      <c r="Z107" s="99">
        <v>0.43</v>
      </c>
      <c r="AA107" s="99">
        <v>0.1</v>
      </c>
      <c r="AB107" s="99">
        <v>0.42</v>
      </c>
      <c r="AC107" s="99">
        <v>0.53</v>
      </c>
      <c r="AD107" s="99">
        <v>0.5</v>
      </c>
      <c r="AE107" s="16">
        <v>57</v>
      </c>
      <c r="AF107" s="16">
        <v>8</v>
      </c>
      <c r="AG107" s="96">
        <v>0</v>
      </c>
      <c r="AH107" s="96">
        <v>0.14000000000000001</v>
      </c>
      <c r="AI107" s="96">
        <v>0.77</v>
      </c>
      <c r="AJ107" s="96">
        <v>0.09</v>
      </c>
      <c r="AK107" s="96">
        <v>0.34</v>
      </c>
      <c r="AL107" s="96">
        <v>0.33</v>
      </c>
      <c r="AM107" s="96">
        <v>0.39</v>
      </c>
      <c r="AN107" s="61">
        <v>53</v>
      </c>
      <c r="AO107" s="61">
        <v>8</v>
      </c>
      <c r="AP107" s="66">
        <v>0</v>
      </c>
      <c r="AQ107" s="66">
        <v>0.33</v>
      </c>
      <c r="AR107" s="66">
        <v>0.59</v>
      </c>
      <c r="AS107" s="66">
        <v>7.0000000000000007E-2</v>
      </c>
      <c r="AT107" s="66">
        <v>0.49</v>
      </c>
      <c r="AU107" s="66">
        <v>0.33</v>
      </c>
      <c r="AV107" s="66">
        <v>0.48</v>
      </c>
      <c r="AW107" s="349">
        <v>57</v>
      </c>
      <c r="AX107" s="348" t="s">
        <v>910</v>
      </c>
      <c r="AY107" s="349">
        <v>8</v>
      </c>
      <c r="AZ107" s="348" t="s">
        <v>910</v>
      </c>
      <c r="BA107" s="371">
        <v>0</v>
      </c>
      <c r="BB107" s="371">
        <v>0.22</v>
      </c>
      <c r="BC107" s="371">
        <v>0.61</v>
      </c>
      <c r="BD107" s="371">
        <v>0.17</v>
      </c>
      <c r="BE107" s="371">
        <v>0.41</v>
      </c>
      <c r="BF107" s="371">
        <v>0.21</v>
      </c>
      <c r="BG107" s="371">
        <v>0.48</v>
      </c>
    </row>
    <row r="108" spans="1:81" ht="24.9" customHeight="1" x14ac:dyDescent="0.25">
      <c r="A108" s="188" t="s">
        <v>61</v>
      </c>
      <c r="B108" s="1" t="s">
        <v>220</v>
      </c>
      <c r="C108" s="2">
        <v>6</v>
      </c>
      <c r="D108" s="16">
        <v>53</v>
      </c>
      <c r="E108" s="16">
        <v>8</v>
      </c>
      <c r="F108" s="96">
        <v>0.01</v>
      </c>
      <c r="G108" s="96">
        <v>0.4</v>
      </c>
      <c r="H108" s="96">
        <v>0.55000000000000004</v>
      </c>
      <c r="I108" s="96">
        <v>0.04</v>
      </c>
      <c r="J108" s="96">
        <v>0.51</v>
      </c>
      <c r="K108" s="96">
        <v>0.5</v>
      </c>
      <c r="L108" s="96">
        <v>0.5</v>
      </c>
      <c r="M108" s="34">
        <v>53</v>
      </c>
      <c r="N108" s="34">
        <v>7</v>
      </c>
      <c r="O108" s="92">
        <v>0</v>
      </c>
      <c r="P108" s="92">
        <v>0.37</v>
      </c>
      <c r="Q108" s="92">
        <v>0.59</v>
      </c>
      <c r="R108" s="92">
        <v>0.03</v>
      </c>
      <c r="S108" s="92">
        <v>0.43</v>
      </c>
      <c r="T108" s="92">
        <v>0.49</v>
      </c>
      <c r="U108" s="92">
        <v>0.47</v>
      </c>
      <c r="V108" s="16">
        <v>52</v>
      </c>
      <c r="W108" s="16">
        <v>9</v>
      </c>
      <c r="X108" s="99">
        <v>0.01</v>
      </c>
      <c r="Y108" s="99">
        <v>0.43</v>
      </c>
      <c r="Z108" s="99">
        <v>0.48</v>
      </c>
      <c r="AA108" s="99">
        <v>7.0000000000000007E-2</v>
      </c>
      <c r="AB108" s="99">
        <v>0.46</v>
      </c>
      <c r="AC108" s="99">
        <v>0.52</v>
      </c>
      <c r="AD108" s="99">
        <v>0.53</v>
      </c>
      <c r="AE108" s="16">
        <v>53</v>
      </c>
      <c r="AF108" s="16">
        <v>8</v>
      </c>
      <c r="AG108" s="96">
        <v>0.01</v>
      </c>
      <c r="AH108" s="96">
        <v>0.36</v>
      </c>
      <c r="AI108" s="96">
        <v>0.55000000000000004</v>
      </c>
      <c r="AJ108" s="96">
        <v>0.08</v>
      </c>
      <c r="AK108" s="96">
        <v>0.45</v>
      </c>
      <c r="AL108" s="96">
        <v>0.36</v>
      </c>
      <c r="AM108" s="96">
        <v>0.42</v>
      </c>
      <c r="AN108" s="61">
        <v>53</v>
      </c>
      <c r="AO108" s="61">
        <v>10</v>
      </c>
      <c r="AP108" s="66">
        <v>0.06</v>
      </c>
      <c r="AQ108" s="66">
        <v>0.35</v>
      </c>
      <c r="AR108" s="66">
        <v>0.48</v>
      </c>
      <c r="AS108" s="66">
        <v>0.11</v>
      </c>
      <c r="AT108" s="66">
        <v>0.47</v>
      </c>
      <c r="AU108" s="66">
        <v>0.38</v>
      </c>
      <c r="AV108" s="66">
        <v>0.45</v>
      </c>
      <c r="AW108" s="349">
        <v>53</v>
      </c>
      <c r="AX108" s="348" t="s">
        <v>910</v>
      </c>
      <c r="AY108" s="349">
        <v>9</v>
      </c>
      <c r="AZ108" s="348" t="s">
        <v>910</v>
      </c>
      <c r="BA108" s="371">
        <v>0.03</v>
      </c>
      <c r="BB108" s="371">
        <v>0.39</v>
      </c>
      <c r="BC108" s="371">
        <v>0.49</v>
      </c>
      <c r="BD108" s="371">
        <v>0.1</v>
      </c>
      <c r="BE108" s="371">
        <v>0.48</v>
      </c>
      <c r="BF108" s="371">
        <v>0.36</v>
      </c>
      <c r="BG108" s="371">
        <v>0.56000000000000005</v>
      </c>
      <c r="BH108" s="469">
        <v>54</v>
      </c>
      <c r="BI108" s="471" t="s">
        <v>910</v>
      </c>
      <c r="BJ108" s="469">
        <v>8</v>
      </c>
      <c r="BK108" s="471" t="s">
        <v>910</v>
      </c>
      <c r="BL108" s="501">
        <v>0.01</v>
      </c>
      <c r="BM108" s="501">
        <v>0.33</v>
      </c>
      <c r="BN108" s="501">
        <v>0.6</v>
      </c>
      <c r="BO108" s="501">
        <v>0.05</v>
      </c>
      <c r="BP108" s="501">
        <v>0.47</v>
      </c>
      <c r="BQ108" s="501">
        <v>0.34</v>
      </c>
      <c r="BR108" s="501">
        <v>0.45</v>
      </c>
      <c r="BS108" s="630">
        <v>53</v>
      </c>
      <c r="BT108" s="640" t="s">
        <v>910</v>
      </c>
      <c r="BU108" s="630">
        <v>8</v>
      </c>
      <c r="BV108" s="640" t="s">
        <v>910</v>
      </c>
      <c r="BW108" s="644">
        <v>0.02</v>
      </c>
      <c r="BX108" s="644">
        <v>0.39</v>
      </c>
      <c r="BY108" s="644">
        <v>0.54</v>
      </c>
      <c r="BZ108" s="644">
        <v>0.05</v>
      </c>
      <c r="CA108" s="644">
        <v>0.37</v>
      </c>
      <c r="CB108" s="644">
        <v>0.51</v>
      </c>
      <c r="CC108" s="644">
        <v>0.51</v>
      </c>
    </row>
    <row r="109" spans="1:81" ht="24.9" customHeight="1" x14ac:dyDescent="0.25">
      <c r="A109" s="188" t="s">
        <v>21</v>
      </c>
      <c r="B109" s="1" t="s">
        <v>220</v>
      </c>
      <c r="C109" s="2">
        <v>5</v>
      </c>
      <c r="D109" s="16">
        <v>52</v>
      </c>
      <c r="E109" s="16">
        <v>7</v>
      </c>
      <c r="F109" s="96">
        <v>0.01</v>
      </c>
      <c r="G109" s="96">
        <v>0.41</v>
      </c>
      <c r="H109" s="96">
        <v>0.55000000000000004</v>
      </c>
      <c r="I109" s="96">
        <v>0.03</v>
      </c>
      <c r="J109" s="96">
        <v>0.44</v>
      </c>
      <c r="K109" s="96">
        <v>0.47</v>
      </c>
      <c r="L109" s="96">
        <v>0.55000000000000004</v>
      </c>
      <c r="M109" s="34">
        <v>53</v>
      </c>
      <c r="N109" s="34">
        <v>8</v>
      </c>
      <c r="O109" s="92">
        <v>0.01</v>
      </c>
      <c r="P109" s="92">
        <v>0.38</v>
      </c>
      <c r="Q109" s="92">
        <v>0.55000000000000004</v>
      </c>
      <c r="R109" s="92">
        <v>0.05</v>
      </c>
      <c r="S109" s="92">
        <v>0.46</v>
      </c>
      <c r="T109" s="92">
        <v>0.48</v>
      </c>
      <c r="U109" s="92">
        <v>0.5</v>
      </c>
      <c r="V109" s="16">
        <v>51</v>
      </c>
      <c r="W109" s="16">
        <v>8</v>
      </c>
      <c r="X109" s="99">
        <v>0.01</v>
      </c>
      <c r="Y109" s="99">
        <v>0.48</v>
      </c>
      <c r="Z109" s="99">
        <v>0.48</v>
      </c>
      <c r="AA109" s="99">
        <v>0.04</v>
      </c>
      <c r="AB109" s="99">
        <v>0.48</v>
      </c>
      <c r="AC109" s="99">
        <v>0.52</v>
      </c>
      <c r="AD109" s="99">
        <v>0.54</v>
      </c>
      <c r="AE109" s="16">
        <v>53</v>
      </c>
      <c r="AF109" s="16">
        <v>8</v>
      </c>
      <c r="AG109" s="96">
        <v>0.02</v>
      </c>
      <c r="AH109" s="96">
        <v>0.33</v>
      </c>
      <c r="AI109" s="96">
        <v>0.57999999999999996</v>
      </c>
      <c r="AJ109" s="96">
        <v>7.0000000000000007E-2</v>
      </c>
      <c r="AK109" s="96">
        <v>0.44</v>
      </c>
      <c r="AL109" s="96">
        <v>0.37</v>
      </c>
      <c r="AM109" s="96">
        <v>0.44</v>
      </c>
      <c r="AN109" s="61">
        <v>53</v>
      </c>
      <c r="AO109" s="61">
        <v>8</v>
      </c>
      <c r="AP109" s="66">
        <v>0.03</v>
      </c>
      <c r="AQ109" s="66">
        <v>0.36</v>
      </c>
      <c r="AR109" s="66">
        <v>0.54</v>
      </c>
      <c r="AS109" s="66">
        <v>7.0000000000000007E-2</v>
      </c>
      <c r="AT109" s="66">
        <v>0.47</v>
      </c>
      <c r="AU109" s="66">
        <v>0.38</v>
      </c>
      <c r="AV109" s="66">
        <v>0.46</v>
      </c>
      <c r="AW109" s="349">
        <v>54</v>
      </c>
      <c r="AX109" s="348" t="s">
        <v>910</v>
      </c>
      <c r="AY109" s="349">
        <v>9</v>
      </c>
      <c r="AZ109" s="348" t="s">
        <v>910</v>
      </c>
      <c r="BA109" s="371">
        <v>0.04</v>
      </c>
      <c r="BB109" s="371">
        <v>0.33</v>
      </c>
      <c r="BC109" s="371">
        <v>0.53</v>
      </c>
      <c r="BD109" s="371">
        <v>0.1</v>
      </c>
      <c r="BE109" s="371">
        <v>0.44</v>
      </c>
      <c r="BF109" s="371">
        <v>0.33</v>
      </c>
      <c r="BG109" s="371">
        <v>0.55000000000000004</v>
      </c>
      <c r="BH109" s="469">
        <v>55</v>
      </c>
      <c r="BI109" s="471" t="s">
        <v>910</v>
      </c>
      <c r="BJ109" s="469">
        <v>9</v>
      </c>
      <c r="BK109" s="471" t="s">
        <v>910</v>
      </c>
      <c r="BL109" s="501">
        <v>0.02</v>
      </c>
      <c r="BM109" s="501">
        <v>0.28000000000000003</v>
      </c>
      <c r="BN109" s="501">
        <v>0.59</v>
      </c>
      <c r="BO109" s="501">
        <v>0.11</v>
      </c>
      <c r="BP109" s="501">
        <v>0.46</v>
      </c>
      <c r="BQ109" s="501">
        <v>0.35</v>
      </c>
      <c r="BR109" s="501">
        <v>0.43</v>
      </c>
      <c r="BS109" s="630">
        <v>52</v>
      </c>
      <c r="BT109" s="640" t="s">
        <v>910</v>
      </c>
      <c r="BU109" s="630">
        <v>9</v>
      </c>
      <c r="BV109" s="640" t="s">
        <v>910</v>
      </c>
      <c r="BW109" s="644">
        <v>0.03</v>
      </c>
      <c r="BX109" s="644">
        <v>0.46</v>
      </c>
      <c r="BY109" s="644">
        <v>0.48</v>
      </c>
      <c r="BZ109" s="644">
        <v>0.04</v>
      </c>
      <c r="CA109" s="644">
        <v>0.41</v>
      </c>
      <c r="CB109" s="644">
        <v>0.52</v>
      </c>
      <c r="CC109" s="644">
        <v>0.52</v>
      </c>
    </row>
    <row r="110" spans="1:81" ht="24.9" customHeight="1" x14ac:dyDescent="0.25">
      <c r="A110" s="188" t="s">
        <v>124</v>
      </c>
      <c r="B110" s="1" t="s">
        <v>220</v>
      </c>
      <c r="C110" s="2">
        <v>4</v>
      </c>
      <c r="D110" s="16">
        <v>46</v>
      </c>
      <c r="E110" s="16">
        <v>7</v>
      </c>
      <c r="F110" s="96">
        <v>0.1</v>
      </c>
      <c r="G110" s="96">
        <v>0.65</v>
      </c>
      <c r="H110" s="96">
        <v>0.24</v>
      </c>
      <c r="I110" s="96">
        <v>0</v>
      </c>
      <c r="J110" s="96">
        <v>0.55000000000000004</v>
      </c>
      <c r="K110" s="96">
        <v>0.55000000000000004</v>
      </c>
      <c r="L110" s="96">
        <v>0.67</v>
      </c>
      <c r="M110" s="34">
        <v>48</v>
      </c>
      <c r="N110" s="34">
        <v>8</v>
      </c>
      <c r="O110" s="92">
        <v>0.02</v>
      </c>
      <c r="P110" s="92">
        <v>0.65</v>
      </c>
      <c r="Q110" s="92">
        <v>0.28999999999999998</v>
      </c>
      <c r="R110" s="92">
        <v>0.04</v>
      </c>
      <c r="S110" s="92">
        <v>0.52</v>
      </c>
      <c r="T110" s="92">
        <v>0.56000000000000005</v>
      </c>
      <c r="U110" s="92">
        <v>0.6</v>
      </c>
      <c r="V110" s="16">
        <v>48</v>
      </c>
      <c r="W110" s="16">
        <v>8</v>
      </c>
      <c r="X110" s="99">
        <v>0.02</v>
      </c>
      <c r="Y110" s="99">
        <v>0.62</v>
      </c>
      <c r="Z110" s="99">
        <v>0.34</v>
      </c>
      <c r="AA110" s="99">
        <v>0.02</v>
      </c>
      <c r="AB110" s="99">
        <v>0.53</v>
      </c>
      <c r="AC110" s="99">
        <v>0.59</v>
      </c>
      <c r="AD110" s="99">
        <v>0.59</v>
      </c>
      <c r="AE110" s="16">
        <v>49</v>
      </c>
      <c r="AF110" s="16">
        <v>10</v>
      </c>
      <c r="AG110" s="96">
        <v>7.0000000000000007E-2</v>
      </c>
      <c r="AH110" s="96">
        <v>0.49</v>
      </c>
      <c r="AI110" s="96">
        <v>0.39</v>
      </c>
      <c r="AJ110" s="96">
        <v>0.05</v>
      </c>
      <c r="AK110" s="96">
        <v>0.49</v>
      </c>
      <c r="AL110" s="96">
        <v>0.45</v>
      </c>
      <c r="AM110" s="96">
        <v>0.49</v>
      </c>
      <c r="AN110" s="61">
        <v>49</v>
      </c>
      <c r="AO110" s="61">
        <v>9</v>
      </c>
      <c r="AP110" s="66">
        <v>0.02</v>
      </c>
      <c r="AQ110" s="66">
        <v>0.55000000000000004</v>
      </c>
      <c r="AR110" s="66">
        <v>0.39</v>
      </c>
      <c r="AS110" s="66">
        <v>0.05</v>
      </c>
      <c r="AT110" s="66">
        <v>0.56000000000000005</v>
      </c>
      <c r="AU110" s="66">
        <v>0.49</v>
      </c>
      <c r="AV110" s="66">
        <v>0.51</v>
      </c>
      <c r="AW110" s="349">
        <v>50</v>
      </c>
      <c r="AX110" s="348" t="s">
        <v>910</v>
      </c>
      <c r="AY110" s="349">
        <v>8</v>
      </c>
      <c r="AZ110" s="348" t="s">
        <v>910</v>
      </c>
      <c r="BA110" s="371">
        <v>0.02</v>
      </c>
      <c r="BB110" s="371">
        <v>0.51</v>
      </c>
      <c r="BC110" s="371">
        <v>0.47</v>
      </c>
      <c r="BD110" s="371">
        <v>0</v>
      </c>
      <c r="BE110" s="371">
        <v>0.5</v>
      </c>
      <c r="BF110" s="371">
        <v>0.46</v>
      </c>
      <c r="BG110" s="371">
        <v>0.61</v>
      </c>
      <c r="BH110" s="469">
        <v>50</v>
      </c>
      <c r="BI110" s="471" t="s">
        <v>910</v>
      </c>
      <c r="BJ110" s="469">
        <v>9</v>
      </c>
      <c r="BK110" s="471" t="s">
        <v>910</v>
      </c>
      <c r="BL110" s="501">
        <v>0.08</v>
      </c>
      <c r="BM110" s="501">
        <v>0.43</v>
      </c>
      <c r="BN110" s="501">
        <v>0.47</v>
      </c>
      <c r="BO110" s="501">
        <v>0.02</v>
      </c>
      <c r="BP110" s="501">
        <v>0.54</v>
      </c>
      <c r="BQ110" s="501">
        <v>0.41</v>
      </c>
      <c r="BR110" s="501">
        <v>0.53</v>
      </c>
      <c r="BS110" s="630">
        <v>49</v>
      </c>
      <c r="BT110" s="640" t="s">
        <v>910</v>
      </c>
      <c r="BU110" s="630">
        <v>9</v>
      </c>
      <c r="BV110" s="640" t="s">
        <v>910</v>
      </c>
      <c r="BW110" s="644">
        <v>0.03</v>
      </c>
      <c r="BX110" s="644">
        <v>0.47</v>
      </c>
      <c r="BY110" s="644">
        <v>0.48</v>
      </c>
      <c r="BZ110" s="644">
        <v>0.02</v>
      </c>
      <c r="CA110" s="644">
        <v>0.46</v>
      </c>
      <c r="CB110" s="644">
        <v>0.56000000000000005</v>
      </c>
      <c r="CC110" s="644">
        <v>0.6</v>
      </c>
    </row>
    <row r="111" spans="1:81" ht="24.9" customHeight="1" x14ac:dyDescent="0.25">
      <c r="A111" s="188" t="s">
        <v>23</v>
      </c>
      <c r="B111" s="1" t="s">
        <v>220</v>
      </c>
      <c r="C111" s="2">
        <v>2</v>
      </c>
      <c r="D111" s="16">
        <v>54</v>
      </c>
      <c r="E111" s="16">
        <v>8</v>
      </c>
      <c r="F111" s="96">
        <v>0</v>
      </c>
      <c r="G111" s="96">
        <v>0.34</v>
      </c>
      <c r="H111" s="96">
        <v>0.56999999999999995</v>
      </c>
      <c r="I111" s="96">
        <v>0.08</v>
      </c>
      <c r="J111" s="96">
        <v>0.42</v>
      </c>
      <c r="K111" s="96">
        <v>0.46</v>
      </c>
      <c r="L111" s="96">
        <v>0.52</v>
      </c>
      <c r="M111" s="34">
        <v>55</v>
      </c>
      <c r="N111" s="34">
        <v>8</v>
      </c>
      <c r="O111" s="92">
        <v>0.02</v>
      </c>
      <c r="P111" s="92">
        <v>0.25</v>
      </c>
      <c r="Q111" s="92">
        <v>0.65</v>
      </c>
      <c r="R111" s="92">
        <v>7.0000000000000007E-2</v>
      </c>
      <c r="S111" s="92">
        <v>0.42</v>
      </c>
      <c r="T111" s="92">
        <v>0.46</v>
      </c>
      <c r="U111" s="92">
        <v>0.46</v>
      </c>
      <c r="V111" s="16">
        <v>54</v>
      </c>
      <c r="W111" s="16">
        <v>9</v>
      </c>
      <c r="X111" s="99">
        <v>0.01</v>
      </c>
      <c r="Y111" s="99">
        <v>0.3</v>
      </c>
      <c r="Z111" s="99">
        <v>0.56000000000000005</v>
      </c>
      <c r="AA111" s="99">
        <v>0.13</v>
      </c>
      <c r="AB111" s="99">
        <v>0.41</v>
      </c>
      <c r="AC111" s="99">
        <v>0.48</v>
      </c>
      <c r="AD111" s="99">
        <v>0.5</v>
      </c>
      <c r="AE111" s="16">
        <v>54</v>
      </c>
      <c r="AF111" s="16">
        <v>9</v>
      </c>
      <c r="AG111" s="96">
        <v>0.03</v>
      </c>
      <c r="AH111" s="96">
        <v>0.3</v>
      </c>
      <c r="AI111" s="96">
        <v>0.57999999999999996</v>
      </c>
      <c r="AJ111" s="96">
        <v>0.09</v>
      </c>
      <c r="AK111" s="96">
        <v>0.42</v>
      </c>
      <c r="AL111" s="96">
        <v>0.37</v>
      </c>
      <c r="AM111" s="96">
        <v>0.42</v>
      </c>
      <c r="AN111" s="61">
        <v>54</v>
      </c>
      <c r="AO111" s="61">
        <v>9</v>
      </c>
      <c r="AP111" s="66">
        <v>0.01</v>
      </c>
      <c r="AQ111" s="66">
        <v>0.34</v>
      </c>
      <c r="AR111" s="66">
        <v>0.55000000000000004</v>
      </c>
      <c r="AS111" s="66">
        <v>0.1</v>
      </c>
      <c r="AT111" s="66">
        <v>0.48</v>
      </c>
      <c r="AU111" s="66">
        <v>0.36</v>
      </c>
      <c r="AV111" s="66">
        <v>0.43</v>
      </c>
      <c r="AW111" s="349">
        <v>54</v>
      </c>
      <c r="AX111" s="348" t="s">
        <v>910</v>
      </c>
      <c r="AY111" s="349">
        <v>9</v>
      </c>
      <c r="AZ111" s="348" t="s">
        <v>910</v>
      </c>
      <c r="BA111" s="371">
        <v>0.02</v>
      </c>
      <c r="BB111" s="371">
        <v>0.37</v>
      </c>
      <c r="BC111" s="371">
        <v>0.49</v>
      </c>
      <c r="BD111" s="371">
        <v>0.12</v>
      </c>
      <c r="BE111" s="371">
        <v>0.45</v>
      </c>
      <c r="BF111" s="371">
        <v>0.36</v>
      </c>
      <c r="BG111" s="371">
        <v>0.54</v>
      </c>
      <c r="BH111" s="469">
        <v>54</v>
      </c>
      <c r="BI111" s="471" t="s">
        <v>910</v>
      </c>
      <c r="BJ111" s="469">
        <v>9</v>
      </c>
      <c r="BK111" s="471" t="s">
        <v>910</v>
      </c>
      <c r="BL111" s="501">
        <v>0.01</v>
      </c>
      <c r="BM111" s="501">
        <v>0.33</v>
      </c>
      <c r="BN111" s="501">
        <v>0.55000000000000004</v>
      </c>
      <c r="BO111" s="501">
        <v>0.11</v>
      </c>
      <c r="BP111" s="501">
        <v>0.47</v>
      </c>
      <c r="BQ111" s="501">
        <v>0.35</v>
      </c>
      <c r="BR111" s="501">
        <v>0.44</v>
      </c>
      <c r="BS111" s="630">
        <v>55</v>
      </c>
      <c r="BT111" s="640" t="s">
        <v>910</v>
      </c>
      <c r="BU111" s="630">
        <v>9</v>
      </c>
      <c r="BV111" s="640" t="s">
        <v>910</v>
      </c>
      <c r="BW111" s="644">
        <v>0.01</v>
      </c>
      <c r="BX111" s="644">
        <v>0.33</v>
      </c>
      <c r="BY111" s="644">
        <v>0.54</v>
      </c>
      <c r="BZ111" s="644">
        <v>0.12</v>
      </c>
      <c r="CA111" s="644">
        <v>0.37</v>
      </c>
      <c r="CB111" s="644">
        <v>0.47</v>
      </c>
      <c r="CC111" s="644">
        <v>0.47</v>
      </c>
    </row>
    <row r="112" spans="1:81" ht="24.9" customHeight="1" x14ac:dyDescent="0.25">
      <c r="A112" s="188" t="s">
        <v>224</v>
      </c>
      <c r="B112" s="1" t="s">
        <v>222</v>
      </c>
      <c r="C112" s="2">
        <v>1</v>
      </c>
      <c r="D112" s="16">
        <v>52</v>
      </c>
      <c r="E112" s="16">
        <v>7</v>
      </c>
      <c r="F112" s="99">
        <v>0</v>
      </c>
      <c r="G112" s="99">
        <v>0.52</v>
      </c>
      <c r="H112" s="99">
        <v>0.46</v>
      </c>
      <c r="I112" s="99">
        <v>0.02</v>
      </c>
      <c r="J112" s="99">
        <v>0.45</v>
      </c>
      <c r="K112" s="99">
        <v>0.53</v>
      </c>
      <c r="L112" s="99">
        <v>0.62</v>
      </c>
      <c r="M112" s="34">
        <v>57</v>
      </c>
      <c r="N112" s="34">
        <v>8</v>
      </c>
      <c r="O112" s="92">
        <v>0</v>
      </c>
      <c r="P112" s="92">
        <v>0.18</v>
      </c>
      <c r="Q112" s="92">
        <v>0.67</v>
      </c>
      <c r="R112" s="92">
        <v>0.15</v>
      </c>
      <c r="S112" s="92">
        <v>0.37</v>
      </c>
      <c r="T112" s="92">
        <v>0.44</v>
      </c>
      <c r="U112" s="92">
        <v>0.39</v>
      </c>
      <c r="V112" s="16">
        <v>56</v>
      </c>
      <c r="W112" s="16">
        <v>7</v>
      </c>
      <c r="X112" s="99">
        <v>0</v>
      </c>
      <c r="Y112" s="99">
        <v>0.24</v>
      </c>
      <c r="Z112" s="99">
        <v>0.71</v>
      </c>
      <c r="AA112" s="99">
        <v>0.05</v>
      </c>
      <c r="AB112" s="99">
        <v>0.43</v>
      </c>
      <c r="AC112" s="99">
        <v>0.44</v>
      </c>
      <c r="AD112" s="99">
        <v>0.45</v>
      </c>
      <c r="AE112" s="16">
        <v>57</v>
      </c>
      <c r="AF112" s="16">
        <v>9</v>
      </c>
      <c r="AG112" s="96">
        <v>0.03</v>
      </c>
      <c r="AH112" s="96">
        <v>0.22</v>
      </c>
      <c r="AI112" s="96">
        <v>0.56999999999999995</v>
      </c>
      <c r="AJ112" s="96">
        <v>0.19</v>
      </c>
      <c r="AK112" s="96">
        <v>0.35</v>
      </c>
      <c r="AL112" s="96">
        <v>0.34</v>
      </c>
      <c r="AM112" s="96">
        <v>0.38</v>
      </c>
      <c r="AN112" s="61">
        <v>57</v>
      </c>
      <c r="AO112" s="61">
        <v>8</v>
      </c>
      <c r="AP112" s="66">
        <v>0</v>
      </c>
      <c r="AQ112" s="66">
        <v>0.24</v>
      </c>
      <c r="AR112" s="66">
        <v>0.62</v>
      </c>
      <c r="AS112" s="66">
        <v>0.13</v>
      </c>
      <c r="AT112" s="66">
        <v>0.42</v>
      </c>
      <c r="AU112" s="66">
        <v>0.28000000000000003</v>
      </c>
      <c r="AV112" s="66">
        <v>0.36</v>
      </c>
      <c r="AW112" s="349">
        <v>59</v>
      </c>
      <c r="AX112" s="348" t="s">
        <v>910</v>
      </c>
      <c r="AY112" s="349">
        <v>8</v>
      </c>
      <c r="AZ112" s="348" t="s">
        <v>910</v>
      </c>
      <c r="BA112" s="371">
        <v>0.02</v>
      </c>
      <c r="BB112" s="371">
        <v>0.1</v>
      </c>
      <c r="BC112" s="371">
        <v>0.69</v>
      </c>
      <c r="BD112" s="371">
        <v>0.19</v>
      </c>
      <c r="BE112" s="371">
        <v>0.37</v>
      </c>
      <c r="BF112" s="371">
        <v>0.27</v>
      </c>
      <c r="BG112" s="371">
        <v>0.45</v>
      </c>
      <c r="BH112" s="469">
        <v>55</v>
      </c>
      <c r="BI112" s="471" t="s">
        <v>910</v>
      </c>
      <c r="BJ112" s="469">
        <v>9</v>
      </c>
      <c r="BK112" s="471" t="s">
        <v>910</v>
      </c>
      <c r="BL112" s="501">
        <v>0.04</v>
      </c>
      <c r="BM112" s="501">
        <v>0.28000000000000003</v>
      </c>
      <c r="BN112" s="501">
        <v>0.59</v>
      </c>
      <c r="BO112" s="501">
        <v>0.09</v>
      </c>
      <c r="BP112" s="501">
        <v>0.47</v>
      </c>
      <c r="BQ112" s="501">
        <v>0.34</v>
      </c>
      <c r="BR112" s="501">
        <v>0.44</v>
      </c>
      <c r="BS112" s="630">
        <v>57</v>
      </c>
      <c r="BT112" s="640" t="s">
        <v>910</v>
      </c>
      <c r="BU112" s="630">
        <v>9</v>
      </c>
      <c r="BV112" s="640" t="s">
        <v>910</v>
      </c>
      <c r="BW112" s="644">
        <v>0.02</v>
      </c>
      <c r="BX112" s="644">
        <v>0.22</v>
      </c>
      <c r="BY112" s="644">
        <v>0.61</v>
      </c>
      <c r="BZ112" s="644">
        <v>0.15</v>
      </c>
      <c r="CA112" s="644">
        <v>0.28999999999999998</v>
      </c>
      <c r="CB112" s="644">
        <v>0.39</v>
      </c>
      <c r="CC112" s="644">
        <v>0.45</v>
      </c>
    </row>
    <row r="113" spans="1:81" ht="24.9" customHeight="1" x14ac:dyDescent="0.25">
      <c r="A113" s="188" t="s">
        <v>88</v>
      </c>
      <c r="B113" s="1" t="s">
        <v>220</v>
      </c>
      <c r="C113" s="2">
        <v>2</v>
      </c>
      <c r="D113" s="16">
        <v>53</v>
      </c>
      <c r="E113" s="16">
        <v>7</v>
      </c>
      <c r="F113" s="96">
        <v>0.01</v>
      </c>
      <c r="G113" s="96">
        <v>0.38</v>
      </c>
      <c r="H113" s="96">
        <v>0.56000000000000005</v>
      </c>
      <c r="I113" s="96">
        <v>0.05</v>
      </c>
      <c r="J113" s="96">
        <v>0.44</v>
      </c>
      <c r="K113" s="96">
        <v>0.52</v>
      </c>
      <c r="L113" s="96">
        <v>0.56999999999999995</v>
      </c>
      <c r="M113" s="34">
        <v>54</v>
      </c>
      <c r="N113" s="34">
        <v>8</v>
      </c>
      <c r="O113" s="92">
        <v>0.01</v>
      </c>
      <c r="P113" s="92">
        <v>0.34</v>
      </c>
      <c r="Q113" s="92">
        <v>0.57999999999999996</v>
      </c>
      <c r="R113" s="92">
        <v>7.0000000000000007E-2</v>
      </c>
      <c r="S113" s="92">
        <v>0.44</v>
      </c>
      <c r="T113" s="92">
        <v>0.47</v>
      </c>
      <c r="U113" s="92">
        <v>0.49</v>
      </c>
      <c r="V113" s="16">
        <v>53</v>
      </c>
      <c r="W113" s="16">
        <v>9</v>
      </c>
      <c r="X113" s="99">
        <v>0.01</v>
      </c>
      <c r="Y113" s="99">
        <v>0.37</v>
      </c>
      <c r="Z113" s="99">
        <v>0.52</v>
      </c>
      <c r="AA113" s="99">
        <v>0.09</v>
      </c>
      <c r="AB113" s="99">
        <v>0.44</v>
      </c>
      <c r="AC113" s="99">
        <v>0.51</v>
      </c>
      <c r="AD113" s="99">
        <v>0.51</v>
      </c>
      <c r="AE113" s="16">
        <v>54</v>
      </c>
      <c r="AF113" s="16">
        <v>9</v>
      </c>
      <c r="AG113" s="96">
        <v>0.02</v>
      </c>
      <c r="AH113" s="96">
        <v>0.31</v>
      </c>
      <c r="AI113" s="96">
        <v>0.57999999999999996</v>
      </c>
      <c r="AJ113" s="96">
        <v>0.09</v>
      </c>
      <c r="AK113" s="96">
        <v>0.4</v>
      </c>
      <c r="AL113" s="96">
        <v>0.35</v>
      </c>
      <c r="AM113" s="96">
        <v>0.42</v>
      </c>
      <c r="AN113" s="61">
        <v>54</v>
      </c>
      <c r="AO113" s="61">
        <v>8</v>
      </c>
      <c r="AP113" s="66">
        <v>0</v>
      </c>
      <c r="AQ113" s="66">
        <v>0.32</v>
      </c>
      <c r="AR113" s="66">
        <v>0.6</v>
      </c>
      <c r="AS113" s="66">
        <v>7.0000000000000007E-2</v>
      </c>
      <c r="AT113" s="66">
        <v>0.47</v>
      </c>
      <c r="AU113" s="66">
        <v>0.36</v>
      </c>
      <c r="AV113" s="66">
        <v>0.42</v>
      </c>
      <c r="AW113" s="349">
        <v>53</v>
      </c>
      <c r="AX113" s="348" t="s">
        <v>910</v>
      </c>
      <c r="AY113" s="349">
        <v>9</v>
      </c>
      <c r="AZ113" s="348" t="s">
        <v>910</v>
      </c>
      <c r="BA113" s="371">
        <v>0.02</v>
      </c>
      <c r="BB113" s="371">
        <v>0.39</v>
      </c>
      <c r="BC113" s="371">
        <v>0.51</v>
      </c>
      <c r="BD113" s="371">
        <v>0.08</v>
      </c>
      <c r="BE113" s="371">
        <v>0.46</v>
      </c>
      <c r="BF113" s="371">
        <v>0.36</v>
      </c>
      <c r="BG113" s="371">
        <v>0.56000000000000005</v>
      </c>
      <c r="BH113" s="469">
        <v>53</v>
      </c>
      <c r="BI113" s="471" t="s">
        <v>910</v>
      </c>
      <c r="BJ113" s="469">
        <v>9</v>
      </c>
      <c r="BK113" s="471" t="s">
        <v>910</v>
      </c>
      <c r="BL113" s="501">
        <v>0.03</v>
      </c>
      <c r="BM113" s="501">
        <v>0.37</v>
      </c>
      <c r="BN113" s="501">
        <v>0.54</v>
      </c>
      <c r="BO113" s="501">
        <v>7.0000000000000007E-2</v>
      </c>
      <c r="BP113" s="501">
        <v>0.49</v>
      </c>
      <c r="BQ113" s="501">
        <v>0.37</v>
      </c>
      <c r="BR113" s="501">
        <v>0.48</v>
      </c>
      <c r="BS113" s="630">
        <v>54</v>
      </c>
      <c r="BT113" s="640" t="s">
        <v>910</v>
      </c>
      <c r="BU113" s="630">
        <v>8</v>
      </c>
      <c r="BV113" s="640" t="s">
        <v>910</v>
      </c>
      <c r="BW113" s="644">
        <v>0.01</v>
      </c>
      <c r="BX113" s="644">
        <v>0.31</v>
      </c>
      <c r="BY113" s="644">
        <v>0.62</v>
      </c>
      <c r="BZ113" s="644">
        <v>0.06</v>
      </c>
      <c r="CA113" s="644">
        <v>0.37</v>
      </c>
      <c r="CB113" s="644">
        <v>0.47</v>
      </c>
      <c r="CC113" s="644">
        <v>0.51</v>
      </c>
    </row>
    <row r="114" spans="1:81" ht="24.9" customHeight="1" x14ac:dyDescent="0.25">
      <c r="A114" s="188" t="s">
        <v>281</v>
      </c>
      <c r="B114" s="1" t="s">
        <v>220</v>
      </c>
      <c r="C114" s="2">
        <v>4</v>
      </c>
      <c r="D114" s="16">
        <v>54</v>
      </c>
      <c r="E114" s="16">
        <v>8</v>
      </c>
      <c r="F114" s="96">
        <v>0.01</v>
      </c>
      <c r="G114" s="96">
        <v>0.3</v>
      </c>
      <c r="H114" s="96">
        <v>0.63</v>
      </c>
      <c r="I114" s="96">
        <v>0.05</v>
      </c>
      <c r="J114" s="96">
        <v>0.41</v>
      </c>
      <c r="K114" s="96">
        <v>0.44</v>
      </c>
      <c r="L114" s="96">
        <v>0.51</v>
      </c>
      <c r="M114" s="34">
        <v>57</v>
      </c>
      <c r="N114" s="34">
        <v>9</v>
      </c>
      <c r="O114" s="92">
        <v>0</v>
      </c>
      <c r="P114" s="92">
        <v>0.24</v>
      </c>
      <c r="Q114" s="92">
        <v>0.59</v>
      </c>
      <c r="R114" s="92">
        <v>0.17</v>
      </c>
      <c r="S114" s="92">
        <v>0.41</v>
      </c>
      <c r="T114" s="92">
        <v>0.43</v>
      </c>
      <c r="U114" s="92">
        <v>0.44</v>
      </c>
      <c r="V114" s="34">
        <v>53</v>
      </c>
      <c r="W114" s="34">
        <v>8</v>
      </c>
      <c r="X114" s="99">
        <v>0</v>
      </c>
      <c r="Y114" s="99">
        <v>0.39</v>
      </c>
      <c r="Z114" s="99">
        <v>0.55000000000000004</v>
      </c>
      <c r="AA114" s="99">
        <v>0.06</v>
      </c>
      <c r="AB114" s="99">
        <v>0.43</v>
      </c>
      <c r="AC114" s="99">
        <v>0.48</v>
      </c>
      <c r="AD114" s="99">
        <v>0.53</v>
      </c>
      <c r="AE114" s="16">
        <v>53</v>
      </c>
      <c r="AF114" s="16">
        <v>9</v>
      </c>
      <c r="AG114" s="96">
        <v>0.03</v>
      </c>
      <c r="AH114" s="96">
        <v>0.34</v>
      </c>
      <c r="AI114" s="96">
        <v>0.51</v>
      </c>
      <c r="AJ114" s="96">
        <v>0.12</v>
      </c>
      <c r="AK114" s="96">
        <v>0.43</v>
      </c>
      <c r="AL114" s="96">
        <v>0.36</v>
      </c>
      <c r="AM114" s="96">
        <v>0.44</v>
      </c>
      <c r="AN114" s="61">
        <v>53</v>
      </c>
      <c r="AO114" s="61">
        <v>8</v>
      </c>
      <c r="AP114" s="66">
        <v>0.01</v>
      </c>
      <c r="AQ114" s="66">
        <v>0.32</v>
      </c>
      <c r="AR114" s="66">
        <v>0.57999999999999996</v>
      </c>
      <c r="AS114" s="66">
        <v>0.09</v>
      </c>
      <c r="AT114" s="66">
        <v>0.46</v>
      </c>
      <c r="AU114" s="66">
        <v>0.38</v>
      </c>
      <c r="AV114" s="66">
        <v>0.43</v>
      </c>
      <c r="AW114" s="349">
        <v>53</v>
      </c>
      <c r="AX114" s="348" t="s">
        <v>910</v>
      </c>
      <c r="AY114" s="349">
        <v>9</v>
      </c>
      <c r="AZ114" s="348" t="s">
        <v>910</v>
      </c>
      <c r="BA114" s="371">
        <v>0.02</v>
      </c>
      <c r="BB114" s="371">
        <v>0.33</v>
      </c>
      <c r="BC114" s="371">
        <v>0.56999999999999995</v>
      </c>
      <c r="BD114" s="371">
        <v>0.08</v>
      </c>
      <c r="BE114" s="371">
        <v>0.46</v>
      </c>
      <c r="BF114" s="371">
        <v>0.36</v>
      </c>
      <c r="BG114" s="371">
        <v>0.53</v>
      </c>
      <c r="BH114" s="469">
        <v>52</v>
      </c>
      <c r="BI114" s="471" t="s">
        <v>910</v>
      </c>
      <c r="BJ114" s="469">
        <v>9</v>
      </c>
      <c r="BK114" s="471" t="s">
        <v>910</v>
      </c>
      <c r="BL114" s="501">
        <v>0.01</v>
      </c>
      <c r="BM114" s="501">
        <v>0.4</v>
      </c>
      <c r="BN114" s="501">
        <v>0.51</v>
      </c>
      <c r="BO114" s="501">
        <v>0.08</v>
      </c>
      <c r="BP114" s="501">
        <v>0.5</v>
      </c>
      <c r="BQ114" s="501">
        <v>0.4</v>
      </c>
      <c r="BR114" s="501">
        <v>0.49</v>
      </c>
      <c r="BS114" s="630">
        <v>53</v>
      </c>
      <c r="BT114" s="640" t="s">
        <v>910</v>
      </c>
      <c r="BU114" s="630">
        <v>9</v>
      </c>
      <c r="BV114" s="640" t="s">
        <v>910</v>
      </c>
      <c r="BW114" s="644">
        <v>0.02</v>
      </c>
      <c r="BX114" s="644">
        <v>0.35</v>
      </c>
      <c r="BY114" s="644">
        <v>0.54</v>
      </c>
      <c r="BZ114" s="644">
        <v>0.08</v>
      </c>
      <c r="CA114" s="644">
        <v>0.38</v>
      </c>
      <c r="CB114" s="644">
        <v>0.5</v>
      </c>
      <c r="CC114" s="644">
        <v>0.51</v>
      </c>
    </row>
    <row r="115" spans="1:81" ht="24.9" customHeight="1" x14ac:dyDescent="0.25">
      <c r="A115" s="189" t="s">
        <v>292</v>
      </c>
      <c r="B115" s="1" t="s">
        <v>222</v>
      </c>
      <c r="C115" s="2">
        <v>1</v>
      </c>
      <c r="D115" s="16">
        <v>50</v>
      </c>
      <c r="E115" s="16">
        <v>9</v>
      </c>
      <c r="F115" s="96">
        <v>0</v>
      </c>
      <c r="G115" s="96">
        <v>0.6</v>
      </c>
      <c r="H115" s="96">
        <v>0.36</v>
      </c>
      <c r="I115" s="96">
        <v>0.05</v>
      </c>
      <c r="J115" s="96">
        <v>0.52</v>
      </c>
      <c r="K115" s="96">
        <v>0.47</v>
      </c>
      <c r="L115" s="96">
        <v>0.56999999999999995</v>
      </c>
      <c r="M115" s="34">
        <v>50</v>
      </c>
      <c r="N115" s="34">
        <v>9</v>
      </c>
      <c r="O115" s="92">
        <v>0.06</v>
      </c>
      <c r="P115" s="92">
        <v>0.41</v>
      </c>
      <c r="Q115" s="92">
        <v>0.53</v>
      </c>
      <c r="R115" s="92">
        <v>0</v>
      </c>
      <c r="S115" s="92">
        <v>0.55000000000000004</v>
      </c>
      <c r="T115" s="92">
        <v>0.51</v>
      </c>
      <c r="U115" s="92">
        <v>0.54</v>
      </c>
      <c r="V115" s="34">
        <v>48</v>
      </c>
      <c r="W115" s="34">
        <v>7</v>
      </c>
      <c r="X115" s="99">
        <v>7.0000000000000007E-2</v>
      </c>
      <c r="Y115" s="99">
        <v>0.64</v>
      </c>
      <c r="Z115" s="99">
        <v>0.28999999999999998</v>
      </c>
      <c r="AA115" s="99">
        <v>0</v>
      </c>
      <c r="AB115" s="99">
        <v>0.56999999999999995</v>
      </c>
      <c r="AC115" s="99">
        <v>0.51</v>
      </c>
      <c r="AD115" s="99">
        <v>0.59</v>
      </c>
      <c r="AE115" s="16">
        <v>51</v>
      </c>
      <c r="AF115" s="16">
        <v>8</v>
      </c>
      <c r="AG115" s="96">
        <v>0.04</v>
      </c>
      <c r="AH115" s="96">
        <v>0.43</v>
      </c>
      <c r="AI115" s="96">
        <v>0.52</v>
      </c>
      <c r="AJ115" s="96">
        <v>0</v>
      </c>
      <c r="AK115" s="96">
        <v>0.44</v>
      </c>
      <c r="AL115" s="96">
        <v>0.43</v>
      </c>
      <c r="AM115" s="96">
        <v>0.42</v>
      </c>
      <c r="AN115" s="61">
        <v>54</v>
      </c>
      <c r="AO115" s="61">
        <v>8</v>
      </c>
      <c r="AP115" s="66">
        <v>0</v>
      </c>
      <c r="AQ115" s="66">
        <v>0.38</v>
      </c>
      <c r="AR115" s="66">
        <v>0.57999999999999996</v>
      </c>
      <c r="AS115" s="66">
        <v>0.04</v>
      </c>
      <c r="AT115" s="66">
        <v>0.48</v>
      </c>
      <c r="AU115" s="66">
        <v>0.36</v>
      </c>
      <c r="AV115" s="66">
        <v>0.45</v>
      </c>
      <c r="AW115" s="349">
        <v>55</v>
      </c>
      <c r="AX115" s="348" t="s">
        <v>910</v>
      </c>
      <c r="AY115" s="349">
        <v>9</v>
      </c>
      <c r="AZ115" s="348" t="s">
        <v>910</v>
      </c>
      <c r="BA115" s="371">
        <v>0</v>
      </c>
      <c r="BB115" s="371">
        <v>0.33</v>
      </c>
      <c r="BC115" s="371">
        <v>0.52</v>
      </c>
      <c r="BD115" s="371">
        <v>0.14000000000000001</v>
      </c>
      <c r="BE115" s="371">
        <v>0.39</v>
      </c>
      <c r="BF115" s="371">
        <v>0.32</v>
      </c>
      <c r="BG115" s="371">
        <v>0.56000000000000005</v>
      </c>
      <c r="BH115" s="469">
        <v>54</v>
      </c>
      <c r="BI115" s="471" t="s">
        <v>910</v>
      </c>
      <c r="BJ115" s="469">
        <v>10</v>
      </c>
      <c r="BK115" s="471" t="s">
        <v>910</v>
      </c>
      <c r="BL115" s="501">
        <v>0.05</v>
      </c>
      <c r="BM115" s="501">
        <v>0.24</v>
      </c>
      <c r="BN115" s="501">
        <v>0.56999999999999995</v>
      </c>
      <c r="BO115" s="501">
        <v>0.14000000000000001</v>
      </c>
      <c r="BP115" s="501">
        <v>0.46</v>
      </c>
      <c r="BQ115" s="501">
        <v>0.31</v>
      </c>
      <c r="BR115" s="501">
        <v>0.48</v>
      </c>
      <c r="BS115" s="630">
        <v>54</v>
      </c>
      <c r="BT115" s="640" t="s">
        <v>910</v>
      </c>
      <c r="BU115" s="630">
        <v>9</v>
      </c>
      <c r="BV115" s="640" t="s">
        <v>910</v>
      </c>
      <c r="BW115" s="644">
        <v>0.04</v>
      </c>
      <c r="BX115" s="644">
        <v>0.28000000000000003</v>
      </c>
      <c r="BY115" s="644">
        <v>0.64</v>
      </c>
      <c r="BZ115" s="644">
        <v>0.04</v>
      </c>
      <c r="CA115" s="644">
        <v>0.39</v>
      </c>
      <c r="CB115" s="644">
        <v>0.48</v>
      </c>
      <c r="CC115" s="644">
        <v>0.47</v>
      </c>
    </row>
    <row r="116" spans="1:81" ht="24.9" customHeight="1" x14ac:dyDescent="0.25">
      <c r="A116" s="188" t="s">
        <v>173</v>
      </c>
      <c r="B116" s="1" t="s">
        <v>220</v>
      </c>
      <c r="C116" s="2">
        <v>3</v>
      </c>
      <c r="D116" s="16">
        <v>52</v>
      </c>
      <c r="E116" s="16">
        <v>9</v>
      </c>
      <c r="F116" s="96">
        <v>0.04</v>
      </c>
      <c r="G116" s="96">
        <v>0.45</v>
      </c>
      <c r="H116" s="96">
        <v>0.46</v>
      </c>
      <c r="I116" s="96">
        <v>0.05</v>
      </c>
      <c r="J116" s="96">
        <v>0.48</v>
      </c>
      <c r="K116" s="96">
        <v>0.5</v>
      </c>
      <c r="L116" s="96">
        <v>0.56000000000000005</v>
      </c>
      <c r="M116" s="34">
        <v>53</v>
      </c>
      <c r="N116" s="34">
        <v>8</v>
      </c>
      <c r="O116" s="92">
        <v>0.02</v>
      </c>
      <c r="P116" s="92">
        <v>0.36</v>
      </c>
      <c r="Q116" s="92">
        <v>0.59</v>
      </c>
      <c r="R116" s="92">
        <v>0.03</v>
      </c>
      <c r="S116" s="92">
        <v>0.44</v>
      </c>
      <c r="T116" s="92">
        <v>0.51</v>
      </c>
      <c r="U116" s="92">
        <v>0.48</v>
      </c>
      <c r="V116" s="16">
        <v>54</v>
      </c>
      <c r="W116" s="16">
        <v>9</v>
      </c>
      <c r="X116" s="99">
        <v>0.01</v>
      </c>
      <c r="Y116" s="99">
        <v>0.31</v>
      </c>
      <c r="Z116" s="99">
        <v>0.56000000000000005</v>
      </c>
      <c r="AA116" s="99">
        <v>0.12</v>
      </c>
      <c r="AB116" s="99">
        <v>0.42</v>
      </c>
      <c r="AC116" s="99">
        <v>0.46</v>
      </c>
      <c r="AD116" s="99">
        <v>0.5</v>
      </c>
      <c r="AE116" s="16">
        <v>54</v>
      </c>
      <c r="AF116" s="16">
        <v>8</v>
      </c>
      <c r="AG116" s="96">
        <v>0.01</v>
      </c>
      <c r="AH116" s="96">
        <v>0.33</v>
      </c>
      <c r="AI116" s="96">
        <v>0.59</v>
      </c>
      <c r="AJ116" s="96">
        <v>0.06</v>
      </c>
      <c r="AK116" s="96">
        <v>0.44</v>
      </c>
      <c r="AL116" s="96">
        <v>0.37</v>
      </c>
      <c r="AM116" s="96">
        <v>0.42</v>
      </c>
      <c r="AN116" s="61">
        <v>52</v>
      </c>
      <c r="AO116" s="61">
        <v>8</v>
      </c>
      <c r="AP116" s="66">
        <v>0.03</v>
      </c>
      <c r="AQ116" s="66">
        <v>0.38</v>
      </c>
      <c r="AR116" s="66">
        <v>0.56000000000000005</v>
      </c>
      <c r="AS116" s="66">
        <v>0.03</v>
      </c>
      <c r="AT116" s="66">
        <v>0.5</v>
      </c>
      <c r="AU116" s="66">
        <v>0.41</v>
      </c>
      <c r="AV116" s="66">
        <v>0.47</v>
      </c>
      <c r="AW116" s="349">
        <v>53</v>
      </c>
      <c r="AX116" s="348" t="s">
        <v>910</v>
      </c>
      <c r="AY116" s="349">
        <v>8</v>
      </c>
      <c r="AZ116" s="348" t="s">
        <v>910</v>
      </c>
      <c r="BA116" s="371">
        <v>0.01</v>
      </c>
      <c r="BB116" s="371">
        <v>0.4</v>
      </c>
      <c r="BC116" s="371">
        <v>0.51</v>
      </c>
      <c r="BD116" s="371">
        <v>0.08</v>
      </c>
      <c r="BE116" s="371">
        <v>0.47</v>
      </c>
      <c r="BF116" s="371">
        <v>0.36</v>
      </c>
      <c r="BG116" s="371">
        <v>0.56000000000000005</v>
      </c>
      <c r="BH116" s="469">
        <v>53</v>
      </c>
      <c r="BI116" s="471" t="s">
        <v>910</v>
      </c>
      <c r="BJ116" s="469">
        <v>8</v>
      </c>
      <c r="BK116" s="471" t="s">
        <v>910</v>
      </c>
      <c r="BL116" s="501">
        <v>0</v>
      </c>
      <c r="BM116" s="501">
        <v>0.36</v>
      </c>
      <c r="BN116" s="501">
        <v>0.56999999999999995</v>
      </c>
      <c r="BO116" s="501">
        <v>0.08</v>
      </c>
      <c r="BP116" s="501">
        <v>0.49</v>
      </c>
      <c r="BQ116" s="501">
        <v>0.38</v>
      </c>
      <c r="BR116" s="501">
        <v>0.46</v>
      </c>
      <c r="BS116" s="630">
        <v>52</v>
      </c>
      <c r="BT116" s="640" t="s">
        <v>910</v>
      </c>
      <c r="BU116" s="630">
        <v>8</v>
      </c>
      <c r="BV116" s="640" t="s">
        <v>910</v>
      </c>
      <c r="BW116" s="644">
        <v>0.02</v>
      </c>
      <c r="BX116" s="644">
        <v>0.38</v>
      </c>
      <c r="BY116" s="644">
        <v>0.55000000000000004</v>
      </c>
      <c r="BZ116" s="644">
        <v>0.05</v>
      </c>
      <c r="CA116" s="644">
        <v>0.39</v>
      </c>
      <c r="CB116" s="644">
        <v>0.51</v>
      </c>
      <c r="CC116" s="644">
        <v>0.54</v>
      </c>
    </row>
    <row r="117" spans="1:81" ht="24.9" customHeight="1" x14ac:dyDescent="0.25">
      <c r="A117" s="188" t="s">
        <v>33</v>
      </c>
      <c r="B117" s="1" t="s">
        <v>220</v>
      </c>
      <c r="C117" s="2">
        <v>6</v>
      </c>
      <c r="D117" s="16">
        <v>53</v>
      </c>
      <c r="E117" s="16">
        <v>8</v>
      </c>
      <c r="F117" s="96">
        <v>0</v>
      </c>
      <c r="G117" s="96">
        <v>0.41</v>
      </c>
      <c r="H117" s="96">
        <v>0.55000000000000004</v>
      </c>
      <c r="I117" s="96">
        <v>0.04</v>
      </c>
      <c r="J117" s="96">
        <v>0.45</v>
      </c>
      <c r="K117" s="96">
        <v>0.5</v>
      </c>
      <c r="L117" s="96">
        <v>0.56999999999999995</v>
      </c>
      <c r="M117" s="34">
        <v>53</v>
      </c>
      <c r="N117" s="34">
        <v>8</v>
      </c>
      <c r="O117" s="92">
        <v>0.01</v>
      </c>
      <c r="P117" s="92">
        <v>0.36</v>
      </c>
      <c r="Q117" s="92">
        <v>0.57999999999999996</v>
      </c>
      <c r="R117" s="92">
        <v>0.06</v>
      </c>
      <c r="S117" s="92">
        <v>0.44</v>
      </c>
      <c r="T117" s="92">
        <v>0.49</v>
      </c>
      <c r="U117" s="92">
        <v>0.51</v>
      </c>
      <c r="V117" s="16">
        <v>55</v>
      </c>
      <c r="W117" s="16">
        <v>9</v>
      </c>
      <c r="X117" s="99">
        <v>0.01</v>
      </c>
      <c r="Y117" s="99">
        <v>0.35</v>
      </c>
      <c r="Z117" s="99">
        <v>0.52</v>
      </c>
      <c r="AA117" s="99">
        <v>0.13</v>
      </c>
      <c r="AB117" s="99">
        <v>0.44</v>
      </c>
      <c r="AC117" s="99">
        <v>0.45</v>
      </c>
      <c r="AD117" s="99">
        <v>0.47</v>
      </c>
      <c r="AE117" s="16">
        <v>53</v>
      </c>
      <c r="AF117" s="16">
        <v>9</v>
      </c>
      <c r="AG117" s="96">
        <v>0.04</v>
      </c>
      <c r="AH117" s="96">
        <v>0.36</v>
      </c>
      <c r="AI117" s="96">
        <v>0.53</v>
      </c>
      <c r="AJ117" s="96">
        <v>0.08</v>
      </c>
      <c r="AK117" s="96">
        <v>0.43</v>
      </c>
      <c r="AL117" s="96">
        <v>0.38</v>
      </c>
      <c r="AM117" s="96">
        <v>0.44</v>
      </c>
      <c r="AN117" s="61">
        <v>54</v>
      </c>
      <c r="AO117" s="61">
        <v>8</v>
      </c>
      <c r="AP117" s="66">
        <v>0.02</v>
      </c>
      <c r="AQ117" s="66">
        <v>0.33</v>
      </c>
      <c r="AR117" s="66">
        <v>0.59</v>
      </c>
      <c r="AS117" s="66">
        <v>7.0000000000000007E-2</v>
      </c>
      <c r="AT117" s="66">
        <v>0.45</v>
      </c>
      <c r="AU117" s="66">
        <v>0.36</v>
      </c>
      <c r="AV117" s="66">
        <v>0.44</v>
      </c>
      <c r="AW117" s="349">
        <v>52</v>
      </c>
      <c r="AX117" s="348" t="s">
        <v>910</v>
      </c>
      <c r="AY117" s="349">
        <v>8</v>
      </c>
      <c r="AZ117" s="348" t="s">
        <v>910</v>
      </c>
      <c r="BA117" s="371">
        <v>0.03</v>
      </c>
      <c r="BB117" s="371">
        <v>0.38</v>
      </c>
      <c r="BC117" s="371">
        <v>0.54</v>
      </c>
      <c r="BD117" s="371">
        <v>0.06</v>
      </c>
      <c r="BE117" s="371">
        <v>0.48</v>
      </c>
      <c r="BF117" s="371">
        <v>0.38</v>
      </c>
      <c r="BG117" s="371">
        <v>0.56000000000000005</v>
      </c>
      <c r="BH117" s="469">
        <v>53</v>
      </c>
      <c r="BI117" s="471" t="s">
        <v>910</v>
      </c>
      <c r="BJ117" s="469">
        <v>9</v>
      </c>
      <c r="BK117" s="471" t="s">
        <v>910</v>
      </c>
      <c r="BL117" s="501">
        <v>0.04</v>
      </c>
      <c r="BM117" s="501">
        <v>0.35</v>
      </c>
      <c r="BN117" s="501">
        <v>0.48</v>
      </c>
      <c r="BO117" s="501">
        <v>0.12</v>
      </c>
      <c r="BP117" s="501">
        <v>0.5</v>
      </c>
      <c r="BQ117" s="501">
        <v>0.36</v>
      </c>
      <c r="BR117" s="501">
        <v>0.47</v>
      </c>
      <c r="BS117" s="630">
        <v>52</v>
      </c>
      <c r="BT117" s="640" t="s">
        <v>910</v>
      </c>
      <c r="BU117" s="630">
        <v>9</v>
      </c>
      <c r="BV117" s="640" t="s">
        <v>910</v>
      </c>
      <c r="BW117" s="644">
        <v>0.03</v>
      </c>
      <c r="BX117" s="644">
        <v>0.39</v>
      </c>
      <c r="BY117" s="644">
        <v>0.52</v>
      </c>
      <c r="BZ117" s="644">
        <v>0.06</v>
      </c>
      <c r="CA117" s="644">
        <v>0.39</v>
      </c>
      <c r="CB117" s="644">
        <v>0.51</v>
      </c>
      <c r="CC117" s="644">
        <v>0.53</v>
      </c>
    </row>
    <row r="118" spans="1:81" ht="24.9" customHeight="1" x14ac:dyDescent="0.25">
      <c r="A118" s="188" t="s">
        <v>65</v>
      </c>
      <c r="B118" s="1" t="s">
        <v>220</v>
      </c>
      <c r="C118" s="2">
        <v>3</v>
      </c>
      <c r="D118" s="16">
        <v>54</v>
      </c>
      <c r="E118" s="16">
        <v>8</v>
      </c>
      <c r="F118" s="96">
        <v>0.02</v>
      </c>
      <c r="G118" s="96">
        <v>0.33</v>
      </c>
      <c r="H118" s="96">
        <v>0.61</v>
      </c>
      <c r="I118" s="96">
        <v>0.05</v>
      </c>
      <c r="J118" s="96">
        <v>0.49</v>
      </c>
      <c r="K118" s="96">
        <v>0.49</v>
      </c>
      <c r="L118" s="96">
        <v>0.53</v>
      </c>
      <c r="M118" s="34">
        <v>54</v>
      </c>
      <c r="N118" s="34">
        <v>9</v>
      </c>
      <c r="O118" s="92">
        <v>0.02</v>
      </c>
      <c r="P118" s="92">
        <v>0.3</v>
      </c>
      <c r="Q118" s="92">
        <v>0.59</v>
      </c>
      <c r="R118" s="92">
        <v>0.09</v>
      </c>
      <c r="S118" s="92">
        <v>0.42</v>
      </c>
      <c r="T118" s="92">
        <v>0.47</v>
      </c>
      <c r="U118" s="92">
        <v>0.46</v>
      </c>
      <c r="V118" s="16">
        <v>54</v>
      </c>
      <c r="W118" s="16">
        <v>8</v>
      </c>
      <c r="X118" s="99">
        <v>0</v>
      </c>
      <c r="Y118" s="99">
        <v>0.31</v>
      </c>
      <c r="Z118" s="99">
        <v>0.61</v>
      </c>
      <c r="AA118" s="99">
        <v>0.08</v>
      </c>
      <c r="AB118" s="99">
        <v>0.42</v>
      </c>
      <c r="AC118" s="99">
        <v>0.49</v>
      </c>
      <c r="AD118" s="99">
        <v>0.51</v>
      </c>
      <c r="AE118" s="16">
        <v>54</v>
      </c>
      <c r="AF118" s="16">
        <v>9</v>
      </c>
      <c r="AG118" s="96">
        <v>0</v>
      </c>
      <c r="AH118" s="96">
        <v>0.33</v>
      </c>
      <c r="AI118" s="96">
        <v>0.56999999999999995</v>
      </c>
      <c r="AJ118" s="96">
        <v>0.09</v>
      </c>
      <c r="AK118" s="96">
        <v>0.42</v>
      </c>
      <c r="AL118" s="96">
        <v>0.35</v>
      </c>
      <c r="AM118" s="96">
        <v>0.43</v>
      </c>
      <c r="AN118" s="61">
        <v>54</v>
      </c>
      <c r="AO118" s="61">
        <v>8</v>
      </c>
      <c r="AP118" s="66">
        <v>0.02</v>
      </c>
      <c r="AQ118" s="66">
        <v>0.28000000000000003</v>
      </c>
      <c r="AR118" s="66">
        <v>0.62</v>
      </c>
      <c r="AS118" s="66">
        <v>0.08</v>
      </c>
      <c r="AT118" s="66">
        <v>0.46</v>
      </c>
      <c r="AU118" s="66">
        <v>0.37</v>
      </c>
      <c r="AV118" s="66">
        <v>0.43</v>
      </c>
      <c r="AW118" s="349">
        <v>53</v>
      </c>
      <c r="AX118" s="348" t="s">
        <v>910</v>
      </c>
      <c r="AY118" s="349">
        <v>9</v>
      </c>
      <c r="AZ118" s="348" t="s">
        <v>910</v>
      </c>
      <c r="BA118" s="371">
        <v>0.01</v>
      </c>
      <c r="BB118" s="371">
        <v>0.36</v>
      </c>
      <c r="BC118" s="371">
        <v>0.56000000000000005</v>
      </c>
      <c r="BD118" s="371">
        <v>7.0000000000000007E-2</v>
      </c>
      <c r="BE118" s="371">
        <v>0.45</v>
      </c>
      <c r="BF118" s="371">
        <v>0.35</v>
      </c>
      <c r="BG118" s="371">
        <v>0.56000000000000005</v>
      </c>
      <c r="BH118" s="469">
        <v>53</v>
      </c>
      <c r="BI118" s="471" t="s">
        <v>910</v>
      </c>
      <c r="BJ118" s="469">
        <v>9</v>
      </c>
      <c r="BK118" s="471" t="s">
        <v>910</v>
      </c>
      <c r="BL118" s="501">
        <v>0.02</v>
      </c>
      <c r="BM118" s="501">
        <v>0.35</v>
      </c>
      <c r="BN118" s="501">
        <v>0.56999999999999995</v>
      </c>
      <c r="BO118" s="501">
        <v>0.06</v>
      </c>
      <c r="BP118" s="501">
        <v>0.5</v>
      </c>
      <c r="BQ118" s="501">
        <v>0.38</v>
      </c>
      <c r="BR118" s="501">
        <v>0.47</v>
      </c>
      <c r="BS118" s="630">
        <v>52</v>
      </c>
      <c r="BT118" s="640" t="s">
        <v>910</v>
      </c>
      <c r="BU118" s="630">
        <v>9</v>
      </c>
      <c r="BV118" s="640" t="s">
        <v>910</v>
      </c>
      <c r="BW118" s="644">
        <v>0.03</v>
      </c>
      <c r="BX118" s="644">
        <v>0.36</v>
      </c>
      <c r="BY118" s="644">
        <v>0.54</v>
      </c>
      <c r="BZ118" s="644">
        <v>7.0000000000000007E-2</v>
      </c>
      <c r="CA118" s="644">
        <v>0.4</v>
      </c>
      <c r="CB118" s="644">
        <v>0.5</v>
      </c>
      <c r="CC118" s="644">
        <v>0.54</v>
      </c>
    </row>
    <row r="119" spans="1:81" ht="24.9" customHeight="1" x14ac:dyDescent="0.25">
      <c r="A119" s="188" t="s">
        <v>106</v>
      </c>
      <c r="B119" s="1" t="s">
        <v>222</v>
      </c>
      <c r="C119" s="2">
        <v>1</v>
      </c>
      <c r="D119" s="16">
        <v>57</v>
      </c>
      <c r="E119" s="16">
        <v>8</v>
      </c>
      <c r="F119" s="96">
        <v>0</v>
      </c>
      <c r="G119" s="96">
        <v>0.28999999999999998</v>
      </c>
      <c r="H119" s="96">
        <v>0.61</v>
      </c>
      <c r="I119" s="96">
        <v>0.1</v>
      </c>
      <c r="J119" s="96">
        <v>0.35</v>
      </c>
      <c r="K119" s="96">
        <v>0.45</v>
      </c>
      <c r="L119" s="96">
        <v>0.47</v>
      </c>
      <c r="M119" s="34">
        <v>57</v>
      </c>
      <c r="N119" s="34">
        <v>9</v>
      </c>
      <c r="O119" s="92">
        <v>0.03</v>
      </c>
      <c r="P119" s="92">
        <v>0.21</v>
      </c>
      <c r="Q119" s="92">
        <v>0.61</v>
      </c>
      <c r="R119" s="92">
        <v>0.16</v>
      </c>
      <c r="S119" s="92">
        <v>0.39</v>
      </c>
      <c r="T119" s="92">
        <v>0.41</v>
      </c>
      <c r="U119" s="92">
        <v>0.39</v>
      </c>
      <c r="V119" s="16">
        <v>55</v>
      </c>
      <c r="W119" s="16">
        <v>10</v>
      </c>
      <c r="X119" s="99">
        <v>0</v>
      </c>
      <c r="Y119" s="99">
        <v>0.39</v>
      </c>
      <c r="Z119" s="99">
        <v>0.37</v>
      </c>
      <c r="AA119" s="99">
        <v>0.24</v>
      </c>
      <c r="AB119" s="99">
        <v>0.41</v>
      </c>
      <c r="AC119" s="99">
        <v>0.47</v>
      </c>
      <c r="AD119" s="99">
        <v>0.47</v>
      </c>
      <c r="AE119" s="16">
        <v>53</v>
      </c>
      <c r="AF119" s="16">
        <v>10</v>
      </c>
      <c r="AG119" s="96">
        <v>0</v>
      </c>
      <c r="AH119" s="96">
        <v>0.35</v>
      </c>
      <c r="AI119" s="96">
        <v>0.54</v>
      </c>
      <c r="AJ119" s="96">
        <v>0.11</v>
      </c>
      <c r="AK119" s="96">
        <v>0.39</v>
      </c>
      <c r="AL119" s="96">
        <v>0.4</v>
      </c>
      <c r="AM119" s="96">
        <v>0.44</v>
      </c>
      <c r="AN119" s="61">
        <v>55</v>
      </c>
      <c r="AO119" s="61">
        <v>8</v>
      </c>
      <c r="AP119" s="66">
        <v>0.05</v>
      </c>
      <c r="AQ119" s="66">
        <v>0.14000000000000001</v>
      </c>
      <c r="AR119" s="66">
        <v>0.73</v>
      </c>
      <c r="AS119" s="66">
        <v>0.09</v>
      </c>
      <c r="AT119" s="66">
        <v>0.42</v>
      </c>
      <c r="AU119" s="66">
        <v>0.35</v>
      </c>
      <c r="AV119" s="66">
        <v>0.41</v>
      </c>
      <c r="AW119" s="349">
        <v>54</v>
      </c>
      <c r="AX119" s="348" t="s">
        <v>910</v>
      </c>
      <c r="AY119" s="349">
        <v>8</v>
      </c>
      <c r="AZ119" s="348" t="s">
        <v>910</v>
      </c>
      <c r="BA119" s="371">
        <v>0</v>
      </c>
      <c r="BB119" s="371">
        <v>0.38</v>
      </c>
      <c r="BC119" s="371">
        <v>0.56999999999999995</v>
      </c>
      <c r="BD119" s="371">
        <v>0.05</v>
      </c>
      <c r="BE119" s="371">
        <v>0.45</v>
      </c>
      <c r="BF119" s="371">
        <v>0.3</v>
      </c>
      <c r="BG119" s="371">
        <v>0.55000000000000004</v>
      </c>
      <c r="BH119" s="469">
        <v>58</v>
      </c>
      <c r="BI119" s="471" t="s">
        <v>910</v>
      </c>
      <c r="BJ119" s="469">
        <v>7</v>
      </c>
      <c r="BK119" s="471" t="s">
        <v>910</v>
      </c>
      <c r="BL119" s="501">
        <v>0</v>
      </c>
      <c r="BM119" s="501">
        <v>0.15</v>
      </c>
      <c r="BN119" s="501">
        <v>0.68</v>
      </c>
      <c r="BO119" s="501">
        <v>0.18</v>
      </c>
      <c r="BP119" s="501">
        <v>0.38</v>
      </c>
      <c r="BQ119" s="501">
        <v>0.3</v>
      </c>
      <c r="BR119" s="501">
        <v>0.37</v>
      </c>
      <c r="BS119" s="630">
        <v>59</v>
      </c>
      <c r="BT119" s="640" t="s">
        <v>910</v>
      </c>
      <c r="BU119" s="630">
        <v>8</v>
      </c>
      <c r="BV119" s="640" t="s">
        <v>910</v>
      </c>
      <c r="BW119" s="644">
        <v>0</v>
      </c>
      <c r="BX119" s="644">
        <v>0.12</v>
      </c>
      <c r="BY119" s="644">
        <v>0.66</v>
      </c>
      <c r="BZ119" s="644">
        <v>0.22</v>
      </c>
      <c r="CA119" s="644">
        <v>0.27</v>
      </c>
      <c r="CB119" s="644">
        <v>0.39</v>
      </c>
      <c r="CC119" s="644">
        <v>0.39</v>
      </c>
    </row>
    <row r="120" spans="1:81" ht="24.9" customHeight="1" x14ac:dyDescent="0.25">
      <c r="A120" s="188" t="s">
        <v>188</v>
      </c>
      <c r="B120" s="1" t="s">
        <v>220</v>
      </c>
      <c r="C120" s="2">
        <v>4</v>
      </c>
      <c r="D120" s="16">
        <v>49</v>
      </c>
      <c r="E120" s="16">
        <v>9</v>
      </c>
      <c r="F120" s="96">
        <v>0.03</v>
      </c>
      <c r="G120" s="96">
        <v>0.63</v>
      </c>
      <c r="H120" s="96">
        <v>0.31</v>
      </c>
      <c r="I120" s="96">
        <v>0.03</v>
      </c>
      <c r="J120" s="96">
        <v>0.49</v>
      </c>
      <c r="K120" s="96">
        <v>0.52</v>
      </c>
      <c r="L120" s="96">
        <v>0.63</v>
      </c>
      <c r="M120" s="34">
        <v>52</v>
      </c>
      <c r="N120" s="34">
        <v>7</v>
      </c>
      <c r="O120" s="92">
        <v>0</v>
      </c>
      <c r="P120" s="92">
        <v>0.41</v>
      </c>
      <c r="Q120" s="92">
        <v>0.59</v>
      </c>
      <c r="R120" s="92">
        <v>0</v>
      </c>
      <c r="S120" s="92">
        <v>0.47</v>
      </c>
      <c r="T120" s="92">
        <v>0.51</v>
      </c>
      <c r="U120" s="92">
        <v>0.53</v>
      </c>
      <c r="V120" s="16">
        <v>50</v>
      </c>
      <c r="W120" s="16">
        <v>8</v>
      </c>
      <c r="X120" s="99">
        <v>0</v>
      </c>
      <c r="Y120" s="99">
        <v>0.61</v>
      </c>
      <c r="Z120" s="99">
        <v>0.36</v>
      </c>
      <c r="AA120" s="99">
        <v>0.03</v>
      </c>
      <c r="AB120" s="99">
        <v>0.52</v>
      </c>
      <c r="AC120" s="99">
        <v>0.56999999999999995</v>
      </c>
      <c r="AD120" s="99">
        <v>0.56000000000000005</v>
      </c>
      <c r="AE120" s="16">
        <v>51</v>
      </c>
      <c r="AF120" s="16">
        <v>9</v>
      </c>
      <c r="AG120" s="96">
        <v>0.02</v>
      </c>
      <c r="AH120" s="96">
        <v>0.54</v>
      </c>
      <c r="AI120" s="96">
        <v>0.37</v>
      </c>
      <c r="AJ120" s="96">
        <v>7.0000000000000007E-2</v>
      </c>
      <c r="AK120" s="96">
        <v>0.47</v>
      </c>
      <c r="AL120" s="96">
        <v>0.43</v>
      </c>
      <c r="AM120" s="96">
        <v>0.47</v>
      </c>
      <c r="AN120" s="61">
        <v>49</v>
      </c>
      <c r="AO120" s="61">
        <v>9</v>
      </c>
      <c r="AP120" s="66">
        <v>0.09</v>
      </c>
      <c r="AQ120" s="66">
        <v>0.5</v>
      </c>
      <c r="AR120" s="66">
        <v>0.41</v>
      </c>
      <c r="AS120" s="66">
        <v>0</v>
      </c>
      <c r="AT120" s="66">
        <v>0.56000000000000005</v>
      </c>
      <c r="AU120" s="66">
        <v>0.43</v>
      </c>
      <c r="AV120" s="66">
        <v>0.5</v>
      </c>
      <c r="AW120" s="349">
        <v>50</v>
      </c>
      <c r="AX120" s="348" t="s">
        <v>910</v>
      </c>
      <c r="AY120" s="349">
        <v>9</v>
      </c>
      <c r="AZ120" s="348" t="s">
        <v>910</v>
      </c>
      <c r="BA120" s="371">
        <v>0.03</v>
      </c>
      <c r="BB120" s="371">
        <v>0.53</v>
      </c>
      <c r="BC120" s="371">
        <v>0.37</v>
      </c>
      <c r="BD120" s="371">
        <v>7.0000000000000007E-2</v>
      </c>
      <c r="BE120" s="371">
        <v>0.5</v>
      </c>
      <c r="BF120" s="371">
        <v>0.44</v>
      </c>
      <c r="BG120" s="371">
        <v>0.6</v>
      </c>
      <c r="BH120" s="469">
        <v>49</v>
      </c>
      <c r="BI120" s="471" t="s">
        <v>910</v>
      </c>
      <c r="BJ120" s="469">
        <v>9</v>
      </c>
      <c r="BK120" s="471" t="s">
        <v>910</v>
      </c>
      <c r="BL120" s="501">
        <v>0.08</v>
      </c>
      <c r="BM120" s="501">
        <v>0.47</v>
      </c>
      <c r="BN120" s="501">
        <v>0.44</v>
      </c>
      <c r="BO120" s="501">
        <v>0</v>
      </c>
      <c r="BP120" s="501">
        <v>0.56000000000000005</v>
      </c>
      <c r="BQ120" s="501">
        <v>0.43</v>
      </c>
      <c r="BR120" s="501">
        <v>0.57999999999999996</v>
      </c>
      <c r="BS120" s="630">
        <v>49</v>
      </c>
      <c r="BT120" s="640" t="s">
        <v>910</v>
      </c>
      <c r="BU120" s="630">
        <v>9</v>
      </c>
      <c r="BV120" s="640" t="s">
        <v>910</v>
      </c>
      <c r="BW120" s="644">
        <v>0.03</v>
      </c>
      <c r="BX120" s="644">
        <v>0.5</v>
      </c>
      <c r="BY120" s="644">
        <v>0.41</v>
      </c>
      <c r="BZ120" s="644">
        <v>0.06</v>
      </c>
      <c r="CA120" s="644">
        <v>0.44</v>
      </c>
      <c r="CB120" s="644">
        <v>0.54</v>
      </c>
      <c r="CC120" s="644">
        <v>0.57999999999999996</v>
      </c>
    </row>
    <row r="121" spans="1:81" s="461" customFormat="1" ht="24.9" customHeight="1" x14ac:dyDescent="0.25">
      <c r="A121" s="470" t="s">
        <v>964</v>
      </c>
      <c r="B121" s="1" t="s">
        <v>220</v>
      </c>
      <c r="C121" s="471">
        <v>2</v>
      </c>
      <c r="D121" s="502"/>
      <c r="E121" s="502"/>
      <c r="F121" s="501"/>
      <c r="G121" s="501"/>
      <c r="H121" s="501"/>
      <c r="I121" s="501"/>
      <c r="J121" s="501"/>
      <c r="K121" s="501"/>
      <c r="L121" s="501"/>
      <c r="M121" s="503"/>
      <c r="N121" s="503"/>
      <c r="O121" s="504"/>
      <c r="P121" s="504"/>
      <c r="Q121" s="504"/>
      <c r="R121" s="504"/>
      <c r="S121" s="504"/>
      <c r="T121" s="504"/>
      <c r="U121" s="504"/>
      <c r="V121" s="502"/>
      <c r="W121" s="502"/>
      <c r="X121" s="508"/>
      <c r="Y121" s="508"/>
      <c r="Z121" s="508"/>
      <c r="AA121" s="508"/>
      <c r="AB121" s="508"/>
      <c r="AC121" s="508"/>
      <c r="AD121" s="508"/>
      <c r="AE121" s="502"/>
      <c r="AF121" s="502"/>
      <c r="AG121" s="501"/>
      <c r="AH121" s="501"/>
      <c r="AI121" s="501"/>
      <c r="AJ121" s="501"/>
      <c r="AK121" s="501"/>
      <c r="AL121" s="501"/>
      <c r="AM121" s="501"/>
      <c r="AN121" s="472"/>
      <c r="AO121" s="472"/>
      <c r="AP121" s="506"/>
      <c r="AQ121" s="506"/>
      <c r="AR121" s="506"/>
      <c r="AS121" s="506"/>
      <c r="AT121" s="506"/>
      <c r="AU121" s="506"/>
      <c r="AV121" s="506"/>
      <c r="AW121" s="475"/>
      <c r="AX121" s="493"/>
      <c r="AY121" s="475"/>
      <c r="AZ121" s="493"/>
      <c r="BA121" s="507"/>
      <c r="BB121" s="507"/>
      <c r="BC121" s="507"/>
      <c r="BD121" s="507"/>
      <c r="BE121" s="507"/>
      <c r="BF121" s="507"/>
      <c r="BG121" s="507"/>
      <c r="BH121" s="469">
        <v>55</v>
      </c>
      <c r="BI121" s="471" t="s">
        <v>910</v>
      </c>
      <c r="BJ121" s="469">
        <v>9</v>
      </c>
      <c r="BK121" s="471" t="s">
        <v>910</v>
      </c>
      <c r="BL121" s="501">
        <v>0</v>
      </c>
      <c r="BM121" s="501">
        <v>0.28999999999999998</v>
      </c>
      <c r="BN121" s="501">
        <v>0.61</v>
      </c>
      <c r="BO121" s="501">
        <v>0.11</v>
      </c>
      <c r="BP121" s="501">
        <v>0.45</v>
      </c>
      <c r="BQ121" s="501">
        <v>0.33</v>
      </c>
      <c r="BR121" s="501">
        <v>0.44</v>
      </c>
      <c r="BS121" s="630">
        <v>54</v>
      </c>
      <c r="BT121" s="640" t="s">
        <v>910</v>
      </c>
      <c r="BU121" s="630">
        <v>9</v>
      </c>
      <c r="BV121" s="640" t="s">
        <v>910</v>
      </c>
      <c r="BW121" s="644">
        <v>0.06</v>
      </c>
      <c r="BX121" s="644">
        <v>0.23</v>
      </c>
      <c r="BY121" s="644">
        <v>0.62</v>
      </c>
      <c r="BZ121" s="644">
        <v>0.08</v>
      </c>
      <c r="CA121" s="644">
        <v>0.36</v>
      </c>
      <c r="CB121" s="644">
        <v>0.48</v>
      </c>
      <c r="CC121" s="644">
        <v>0.5</v>
      </c>
    </row>
    <row r="122" spans="1:81" ht="24.9" customHeight="1" x14ac:dyDescent="0.25">
      <c r="A122" s="188" t="s">
        <v>130</v>
      </c>
      <c r="B122" s="1" t="s">
        <v>220</v>
      </c>
      <c r="C122" s="2">
        <v>3</v>
      </c>
      <c r="D122" s="16">
        <v>54</v>
      </c>
      <c r="E122" s="16">
        <v>9</v>
      </c>
      <c r="F122" s="96">
        <v>0</v>
      </c>
      <c r="G122" s="96">
        <v>0.35</v>
      </c>
      <c r="H122" s="96">
        <v>0.55000000000000004</v>
      </c>
      <c r="I122" s="96">
        <v>0.11</v>
      </c>
      <c r="J122" s="96">
        <v>0.43</v>
      </c>
      <c r="K122" s="96">
        <v>0.44</v>
      </c>
      <c r="L122" s="96">
        <v>0.51</v>
      </c>
      <c r="M122" s="34">
        <v>55</v>
      </c>
      <c r="N122" s="34">
        <v>9</v>
      </c>
      <c r="O122" s="92">
        <v>0</v>
      </c>
      <c r="P122" s="92">
        <v>0.3</v>
      </c>
      <c r="Q122" s="92">
        <v>0.57999999999999996</v>
      </c>
      <c r="R122" s="92">
        <v>0.13</v>
      </c>
      <c r="S122" s="92">
        <v>0.41</v>
      </c>
      <c r="T122" s="92">
        <v>0.46</v>
      </c>
      <c r="U122" s="92">
        <v>0.45</v>
      </c>
      <c r="V122" s="16">
        <v>54</v>
      </c>
      <c r="W122" s="16">
        <v>9</v>
      </c>
      <c r="X122" s="99">
        <v>0.03</v>
      </c>
      <c r="Y122" s="99">
        <v>0.3</v>
      </c>
      <c r="Z122" s="99">
        <v>0.56999999999999995</v>
      </c>
      <c r="AA122" s="99">
        <v>0.1</v>
      </c>
      <c r="AB122" s="99">
        <v>0.44</v>
      </c>
      <c r="AC122" s="99">
        <v>0.48</v>
      </c>
      <c r="AD122" s="99">
        <v>0.5</v>
      </c>
      <c r="AE122" s="16">
        <v>52</v>
      </c>
      <c r="AF122" s="16">
        <v>8</v>
      </c>
      <c r="AG122" s="96">
        <v>0.02</v>
      </c>
      <c r="AH122" s="96">
        <v>0.39</v>
      </c>
      <c r="AI122" s="96">
        <v>0.53</v>
      </c>
      <c r="AJ122" s="96">
        <v>0.06</v>
      </c>
      <c r="AK122" s="96">
        <v>0.45</v>
      </c>
      <c r="AL122" s="96">
        <v>0.42</v>
      </c>
      <c r="AM122" s="96">
        <v>0.43</v>
      </c>
      <c r="AN122" s="61">
        <v>51</v>
      </c>
      <c r="AO122" s="61">
        <v>9</v>
      </c>
      <c r="AP122" s="66">
        <v>7.0000000000000007E-2</v>
      </c>
      <c r="AQ122" s="66">
        <v>0.41</v>
      </c>
      <c r="AR122" s="66">
        <v>0.5</v>
      </c>
      <c r="AS122" s="66">
        <v>0.03</v>
      </c>
      <c r="AT122" s="66">
        <v>0.53</v>
      </c>
      <c r="AU122" s="66">
        <v>0.4</v>
      </c>
      <c r="AV122" s="66">
        <v>0.45</v>
      </c>
      <c r="AW122" s="349">
        <v>53</v>
      </c>
      <c r="AX122" s="348" t="s">
        <v>910</v>
      </c>
      <c r="AY122" s="349">
        <v>9</v>
      </c>
      <c r="AZ122" s="348" t="s">
        <v>910</v>
      </c>
      <c r="BA122" s="371">
        <v>0.03</v>
      </c>
      <c r="BB122" s="371">
        <v>0.37</v>
      </c>
      <c r="BC122" s="371">
        <v>0.54</v>
      </c>
      <c r="BD122" s="371">
        <v>0.06</v>
      </c>
      <c r="BE122" s="371">
        <v>0.46</v>
      </c>
      <c r="BF122" s="371">
        <v>0.36</v>
      </c>
      <c r="BG122" s="371">
        <v>0.55000000000000004</v>
      </c>
      <c r="BH122" s="469">
        <v>55</v>
      </c>
      <c r="BI122" s="471" t="s">
        <v>910</v>
      </c>
      <c r="BJ122" s="469">
        <v>9</v>
      </c>
      <c r="BK122" s="471" t="s">
        <v>910</v>
      </c>
      <c r="BL122" s="501">
        <v>0.02</v>
      </c>
      <c r="BM122" s="501">
        <v>0.27</v>
      </c>
      <c r="BN122" s="501">
        <v>0.6</v>
      </c>
      <c r="BO122" s="501">
        <v>0.11</v>
      </c>
      <c r="BP122" s="501">
        <v>0.48</v>
      </c>
      <c r="BQ122" s="501">
        <v>0.33</v>
      </c>
      <c r="BR122" s="501">
        <v>0.43</v>
      </c>
      <c r="BS122" s="630">
        <v>54</v>
      </c>
      <c r="BT122" s="640" t="s">
        <v>910</v>
      </c>
      <c r="BU122" s="630">
        <v>8</v>
      </c>
      <c r="BV122" s="640" t="s">
        <v>910</v>
      </c>
      <c r="BW122" s="644">
        <v>0.02</v>
      </c>
      <c r="BX122" s="644">
        <v>0.28000000000000003</v>
      </c>
      <c r="BY122" s="644">
        <v>0.64</v>
      </c>
      <c r="BZ122" s="644">
        <v>0.06</v>
      </c>
      <c r="CA122" s="644">
        <v>0.37</v>
      </c>
      <c r="CB122" s="644">
        <v>0.47</v>
      </c>
      <c r="CC122" s="644">
        <v>0.5</v>
      </c>
    </row>
    <row r="123" spans="1:81" s="461" customFormat="1" ht="24.9" customHeight="1" x14ac:dyDescent="0.25">
      <c r="A123" s="470" t="s">
        <v>966</v>
      </c>
      <c r="B123" s="1" t="s">
        <v>220</v>
      </c>
      <c r="C123" s="471">
        <v>1</v>
      </c>
      <c r="D123" s="502"/>
      <c r="E123" s="502"/>
      <c r="F123" s="501"/>
      <c r="G123" s="501"/>
      <c r="H123" s="501"/>
      <c r="I123" s="501"/>
      <c r="J123" s="501"/>
      <c r="K123" s="501"/>
      <c r="L123" s="501"/>
      <c r="M123" s="503"/>
      <c r="N123" s="503"/>
      <c r="O123" s="504"/>
      <c r="P123" s="504"/>
      <c r="Q123" s="504"/>
      <c r="R123" s="504"/>
      <c r="S123" s="504"/>
      <c r="T123" s="504"/>
      <c r="U123" s="504"/>
      <c r="V123" s="502"/>
      <c r="W123" s="502"/>
      <c r="X123" s="508"/>
      <c r="Y123" s="508"/>
      <c r="Z123" s="508"/>
      <c r="AA123" s="508"/>
      <c r="AB123" s="508"/>
      <c r="AC123" s="508"/>
      <c r="AD123" s="508"/>
      <c r="AE123" s="502"/>
      <c r="AF123" s="502"/>
      <c r="AG123" s="501"/>
      <c r="AH123" s="501"/>
      <c r="AI123" s="501"/>
      <c r="AJ123" s="501"/>
      <c r="AK123" s="501"/>
      <c r="AL123" s="501"/>
      <c r="AM123" s="501"/>
      <c r="AN123" s="472"/>
      <c r="AO123" s="472"/>
      <c r="AP123" s="506"/>
      <c r="AQ123" s="506"/>
      <c r="AR123" s="506"/>
      <c r="AS123" s="506"/>
      <c r="AT123" s="506"/>
      <c r="AU123" s="506"/>
      <c r="AV123" s="506"/>
      <c r="AW123" s="475"/>
      <c r="AX123" s="493"/>
      <c r="AY123" s="475"/>
      <c r="AZ123" s="493"/>
      <c r="BA123" s="507"/>
      <c r="BB123" s="507"/>
      <c r="BC123" s="507"/>
      <c r="BD123" s="507"/>
      <c r="BE123" s="507"/>
      <c r="BF123" s="507"/>
      <c r="BG123" s="507"/>
      <c r="BH123" s="469">
        <v>54</v>
      </c>
      <c r="BI123" s="471" t="s">
        <v>910</v>
      </c>
      <c r="BJ123" s="469">
        <v>8</v>
      </c>
      <c r="BK123" s="471" t="s">
        <v>910</v>
      </c>
      <c r="BL123" s="501">
        <v>0</v>
      </c>
      <c r="BM123" s="501">
        <v>0.32</v>
      </c>
      <c r="BN123" s="501">
        <v>0.59</v>
      </c>
      <c r="BO123" s="501">
        <v>0.08</v>
      </c>
      <c r="BP123" s="501">
        <v>0.45</v>
      </c>
      <c r="BQ123" s="501">
        <v>0.36</v>
      </c>
      <c r="BR123" s="501">
        <v>0.45</v>
      </c>
      <c r="BS123" s="630">
        <v>54</v>
      </c>
      <c r="BT123" s="640" t="s">
        <v>910</v>
      </c>
      <c r="BU123" s="630">
        <v>8</v>
      </c>
      <c r="BV123" s="640" t="s">
        <v>910</v>
      </c>
      <c r="BW123" s="644">
        <v>0</v>
      </c>
      <c r="BX123" s="644">
        <v>0.26</v>
      </c>
      <c r="BY123" s="644">
        <v>0.67</v>
      </c>
      <c r="BZ123" s="644">
        <v>7.0000000000000007E-2</v>
      </c>
      <c r="CA123" s="644">
        <v>0.35</v>
      </c>
      <c r="CB123" s="644">
        <v>0.48</v>
      </c>
      <c r="CC123" s="644">
        <v>0.49</v>
      </c>
    </row>
    <row r="124" spans="1:81" ht="24.9" customHeight="1" x14ac:dyDescent="0.25">
      <c r="A124" s="188" t="s">
        <v>90</v>
      </c>
      <c r="B124" s="1" t="s">
        <v>220</v>
      </c>
      <c r="C124" s="2">
        <v>1</v>
      </c>
      <c r="D124" s="16">
        <v>55</v>
      </c>
      <c r="E124" s="16">
        <v>6</v>
      </c>
      <c r="F124" s="96">
        <v>0</v>
      </c>
      <c r="G124" s="96">
        <v>0.25</v>
      </c>
      <c r="H124" s="96">
        <v>0.72</v>
      </c>
      <c r="I124" s="96">
        <v>0.02</v>
      </c>
      <c r="J124" s="96">
        <v>0.4</v>
      </c>
      <c r="K124" s="96">
        <v>0.45</v>
      </c>
      <c r="L124" s="96">
        <v>0.53</v>
      </c>
      <c r="M124" s="34">
        <v>58</v>
      </c>
      <c r="N124" s="34">
        <v>6</v>
      </c>
      <c r="O124" s="92">
        <v>0</v>
      </c>
      <c r="P124" s="92">
        <v>0.13</v>
      </c>
      <c r="Q124" s="92">
        <v>0.78</v>
      </c>
      <c r="R124" s="92">
        <v>0.09</v>
      </c>
      <c r="S124" s="92">
        <v>0.38</v>
      </c>
      <c r="T124" s="92">
        <v>0.41</v>
      </c>
      <c r="U124" s="92">
        <v>0.41</v>
      </c>
      <c r="V124" s="16">
        <v>56</v>
      </c>
      <c r="W124" s="16">
        <v>8</v>
      </c>
      <c r="X124" s="99">
        <v>0</v>
      </c>
      <c r="Y124" s="99">
        <v>0.28000000000000003</v>
      </c>
      <c r="Z124" s="99">
        <v>0.59</v>
      </c>
      <c r="AA124" s="99">
        <v>0.13</v>
      </c>
      <c r="AB124" s="99">
        <v>0.39</v>
      </c>
      <c r="AC124" s="99">
        <v>0.44</v>
      </c>
      <c r="AD124" s="99">
        <v>0.46</v>
      </c>
      <c r="AE124" s="16">
        <v>56</v>
      </c>
      <c r="AF124" s="16">
        <v>8</v>
      </c>
      <c r="AG124" s="96">
        <v>0.03</v>
      </c>
      <c r="AH124" s="96">
        <v>0.23</v>
      </c>
      <c r="AI124" s="96">
        <v>0.61</v>
      </c>
      <c r="AJ124" s="96">
        <v>0.13</v>
      </c>
      <c r="AK124" s="96">
        <v>0.39</v>
      </c>
      <c r="AL124" s="96">
        <v>0.33</v>
      </c>
      <c r="AM124" s="96">
        <v>0.39</v>
      </c>
      <c r="AN124" s="61">
        <v>57</v>
      </c>
      <c r="AO124" s="61">
        <v>8</v>
      </c>
      <c r="AP124" s="66">
        <v>0.01</v>
      </c>
      <c r="AQ124" s="66">
        <v>0.23</v>
      </c>
      <c r="AR124" s="66">
        <v>0.61</v>
      </c>
      <c r="AS124" s="66">
        <v>0.15</v>
      </c>
      <c r="AT124" s="66">
        <v>0.41</v>
      </c>
      <c r="AU124" s="66">
        <v>0.31</v>
      </c>
      <c r="AV124" s="66">
        <v>0.37</v>
      </c>
      <c r="AW124" s="349">
        <v>55</v>
      </c>
      <c r="AX124" s="348" t="s">
        <v>910</v>
      </c>
      <c r="AY124" s="349">
        <v>10</v>
      </c>
      <c r="AZ124" s="348" t="s">
        <v>910</v>
      </c>
      <c r="BA124" s="371">
        <v>0.03</v>
      </c>
      <c r="BB124" s="371">
        <v>0.28000000000000003</v>
      </c>
      <c r="BC124" s="371">
        <v>0.53</v>
      </c>
      <c r="BD124" s="371">
        <v>0.16</v>
      </c>
      <c r="BE124" s="371">
        <v>0.43</v>
      </c>
      <c r="BF124" s="371">
        <v>0.33</v>
      </c>
      <c r="BG124" s="371">
        <v>0.54</v>
      </c>
      <c r="BH124" s="469">
        <v>54</v>
      </c>
      <c r="BI124" s="471" t="s">
        <v>910</v>
      </c>
      <c r="BJ124" s="469">
        <v>8</v>
      </c>
      <c r="BK124" s="471" t="s">
        <v>910</v>
      </c>
      <c r="BL124" s="501">
        <v>0.01</v>
      </c>
      <c r="BM124" s="501">
        <v>0.33</v>
      </c>
      <c r="BN124" s="501">
        <v>0.6</v>
      </c>
      <c r="BO124" s="501">
        <v>0.06</v>
      </c>
      <c r="BP124" s="501">
        <v>0.48</v>
      </c>
      <c r="BQ124" s="501">
        <v>0.33</v>
      </c>
      <c r="BR124" s="501">
        <v>0.47</v>
      </c>
      <c r="BS124" s="630">
        <v>53</v>
      </c>
      <c r="BT124" s="640" t="s">
        <v>910</v>
      </c>
      <c r="BU124" s="630">
        <v>8</v>
      </c>
      <c r="BV124" s="640" t="s">
        <v>910</v>
      </c>
      <c r="BW124" s="644">
        <v>0.02</v>
      </c>
      <c r="BX124" s="644">
        <v>0.35</v>
      </c>
      <c r="BY124" s="644">
        <v>0.59</v>
      </c>
      <c r="BZ124" s="644">
        <v>0.04</v>
      </c>
      <c r="CA124" s="644">
        <v>0.36</v>
      </c>
      <c r="CB124" s="644">
        <v>0.49</v>
      </c>
      <c r="CC124" s="644">
        <v>0.51</v>
      </c>
    </row>
    <row r="125" spans="1:81" ht="24.9" customHeight="1" x14ac:dyDescent="0.25">
      <c r="A125" s="188" t="s">
        <v>50</v>
      </c>
      <c r="B125" s="1" t="s">
        <v>222</v>
      </c>
      <c r="C125" s="2">
        <v>1</v>
      </c>
      <c r="D125" s="16">
        <v>55</v>
      </c>
      <c r="E125" s="16">
        <v>8</v>
      </c>
      <c r="F125" s="96">
        <v>0</v>
      </c>
      <c r="G125" s="96">
        <v>0.31</v>
      </c>
      <c r="H125" s="96">
        <v>0.6</v>
      </c>
      <c r="I125" s="96">
        <v>0.1</v>
      </c>
      <c r="J125" s="96">
        <v>0.41</v>
      </c>
      <c r="K125" s="96">
        <v>0.48</v>
      </c>
      <c r="L125" s="96">
        <v>0.51</v>
      </c>
      <c r="M125" s="34">
        <v>53</v>
      </c>
      <c r="N125" s="34">
        <v>8</v>
      </c>
      <c r="O125" s="92">
        <v>0.01</v>
      </c>
      <c r="P125" s="92">
        <v>0.36</v>
      </c>
      <c r="Q125" s="92">
        <v>0.57999999999999996</v>
      </c>
      <c r="R125" s="92">
        <v>0.05</v>
      </c>
      <c r="S125" s="92">
        <v>0.46</v>
      </c>
      <c r="T125" s="92">
        <v>0.5</v>
      </c>
      <c r="U125" s="92">
        <v>0.48</v>
      </c>
      <c r="V125" s="16">
        <v>55</v>
      </c>
      <c r="W125" s="16">
        <v>8</v>
      </c>
      <c r="X125" s="99">
        <v>0</v>
      </c>
      <c r="Y125" s="99">
        <v>0.3</v>
      </c>
      <c r="Z125" s="99">
        <v>0.56999999999999995</v>
      </c>
      <c r="AA125" s="99">
        <v>0.13</v>
      </c>
      <c r="AB125" s="99">
        <v>0.42</v>
      </c>
      <c r="AC125" s="99">
        <v>0.48</v>
      </c>
      <c r="AD125" s="99">
        <v>0.5</v>
      </c>
      <c r="AE125" s="16">
        <v>54</v>
      </c>
      <c r="AF125" s="16">
        <v>7</v>
      </c>
      <c r="AG125" s="96">
        <v>0</v>
      </c>
      <c r="AH125" s="96">
        <v>0.33</v>
      </c>
      <c r="AI125" s="96">
        <v>0.61</v>
      </c>
      <c r="AJ125" s="96">
        <v>0.05</v>
      </c>
      <c r="AK125" s="96">
        <v>0.44</v>
      </c>
      <c r="AL125" s="96">
        <v>0.37</v>
      </c>
      <c r="AM125" s="96">
        <v>0.4</v>
      </c>
      <c r="AN125" s="61">
        <v>55</v>
      </c>
      <c r="AO125" s="61">
        <v>8</v>
      </c>
      <c r="AP125" s="66">
        <v>0</v>
      </c>
      <c r="AQ125" s="66">
        <v>0.25</v>
      </c>
      <c r="AR125" s="66">
        <v>0.65</v>
      </c>
      <c r="AS125" s="66">
        <v>0.1</v>
      </c>
      <c r="AT125" s="66">
        <v>0.46</v>
      </c>
      <c r="AU125" s="66">
        <v>0.35</v>
      </c>
      <c r="AV125" s="66">
        <v>0.44</v>
      </c>
      <c r="AW125" s="349">
        <v>53</v>
      </c>
      <c r="AX125" s="348" t="s">
        <v>910</v>
      </c>
      <c r="AY125" s="349">
        <v>10</v>
      </c>
      <c r="AZ125" s="348" t="s">
        <v>910</v>
      </c>
      <c r="BA125" s="371">
        <v>0.03</v>
      </c>
      <c r="BB125" s="371">
        <v>0.38</v>
      </c>
      <c r="BC125" s="371">
        <v>0.49</v>
      </c>
      <c r="BD125" s="371">
        <v>0.1</v>
      </c>
      <c r="BE125" s="371">
        <v>0.47</v>
      </c>
      <c r="BF125" s="371">
        <v>0.37</v>
      </c>
      <c r="BG125" s="371">
        <v>0.54</v>
      </c>
      <c r="BH125" s="469">
        <v>57</v>
      </c>
      <c r="BI125" s="471" t="s">
        <v>910</v>
      </c>
      <c r="BJ125" s="469">
        <v>9</v>
      </c>
      <c r="BK125" s="471" t="s">
        <v>910</v>
      </c>
      <c r="BL125" s="501">
        <v>0.02</v>
      </c>
      <c r="BM125" s="501">
        <v>0.21</v>
      </c>
      <c r="BN125" s="501">
        <v>0.64</v>
      </c>
      <c r="BO125" s="501">
        <v>0.14000000000000001</v>
      </c>
      <c r="BP125" s="501">
        <v>0.44</v>
      </c>
      <c r="BQ125" s="501">
        <v>0.28999999999999998</v>
      </c>
      <c r="BR125" s="501">
        <v>0.37</v>
      </c>
    </row>
    <row r="126" spans="1:81" s="461" customFormat="1" ht="24.9" customHeight="1" x14ac:dyDescent="0.25">
      <c r="A126" s="470" t="s">
        <v>968</v>
      </c>
      <c r="B126" s="1" t="s">
        <v>220</v>
      </c>
      <c r="C126" s="471">
        <v>3</v>
      </c>
      <c r="D126" s="502"/>
      <c r="E126" s="502"/>
      <c r="F126" s="501"/>
      <c r="G126" s="501"/>
      <c r="H126" s="501"/>
      <c r="I126" s="501"/>
      <c r="J126" s="501"/>
      <c r="K126" s="501"/>
      <c r="L126" s="501"/>
      <c r="M126" s="503"/>
      <c r="N126" s="503"/>
      <c r="O126" s="504"/>
      <c r="P126" s="504"/>
      <c r="Q126" s="504"/>
      <c r="R126" s="504"/>
      <c r="S126" s="504"/>
      <c r="T126" s="504"/>
      <c r="U126" s="504"/>
      <c r="V126" s="502"/>
      <c r="W126" s="502"/>
      <c r="X126" s="508"/>
      <c r="Y126" s="508"/>
      <c r="Z126" s="508"/>
      <c r="AA126" s="508"/>
      <c r="AB126" s="508"/>
      <c r="AC126" s="508"/>
      <c r="AD126" s="508"/>
      <c r="AE126" s="502"/>
      <c r="AF126" s="502"/>
      <c r="AG126" s="501"/>
      <c r="AH126" s="501"/>
      <c r="AI126" s="501"/>
      <c r="AJ126" s="501"/>
      <c r="AK126" s="501"/>
      <c r="AL126" s="501"/>
      <c r="AM126" s="501"/>
      <c r="AN126" s="472"/>
      <c r="AO126" s="472"/>
      <c r="AP126" s="506"/>
      <c r="AQ126" s="506"/>
      <c r="AR126" s="506"/>
      <c r="AS126" s="506"/>
      <c r="AT126" s="506"/>
      <c r="AU126" s="506"/>
      <c r="AV126" s="506"/>
      <c r="AW126" s="475"/>
      <c r="AX126" s="493"/>
      <c r="AY126" s="475"/>
      <c r="AZ126" s="493"/>
      <c r="BA126" s="507"/>
      <c r="BB126" s="507"/>
      <c r="BC126" s="507"/>
      <c r="BD126" s="507"/>
      <c r="BE126" s="507"/>
      <c r="BF126" s="507"/>
      <c r="BG126" s="507"/>
      <c r="BH126" s="469">
        <v>54</v>
      </c>
      <c r="BI126" s="471" t="s">
        <v>910</v>
      </c>
      <c r="BJ126" s="469">
        <v>9</v>
      </c>
      <c r="BK126" s="471" t="s">
        <v>910</v>
      </c>
      <c r="BL126" s="501">
        <v>0.01</v>
      </c>
      <c r="BM126" s="501">
        <v>0.35</v>
      </c>
      <c r="BN126" s="501">
        <v>0.57999999999999996</v>
      </c>
      <c r="BO126" s="501">
        <v>0.06</v>
      </c>
      <c r="BP126" s="501">
        <v>0.49</v>
      </c>
      <c r="BQ126" s="501">
        <v>0.36</v>
      </c>
      <c r="BR126" s="501">
        <v>0.45</v>
      </c>
      <c r="BS126" s="630">
        <v>54</v>
      </c>
      <c r="BT126" s="640" t="s">
        <v>910</v>
      </c>
      <c r="BU126" s="630">
        <v>9</v>
      </c>
      <c r="BV126" s="640" t="s">
        <v>910</v>
      </c>
      <c r="BW126" s="644">
        <v>0.04</v>
      </c>
      <c r="BX126" s="644">
        <v>0.31</v>
      </c>
      <c r="BY126" s="644">
        <v>0.56000000000000005</v>
      </c>
      <c r="BZ126" s="644">
        <v>0.08</v>
      </c>
      <c r="CA126" s="644">
        <v>0.37</v>
      </c>
      <c r="CB126" s="644">
        <v>0.46</v>
      </c>
      <c r="CC126" s="644">
        <v>0.48</v>
      </c>
    </row>
    <row r="127" spans="1:81" ht="24.9" customHeight="1" x14ac:dyDescent="0.25">
      <c r="A127" s="188" t="s">
        <v>290</v>
      </c>
      <c r="B127" s="1" t="s">
        <v>222</v>
      </c>
      <c r="C127" s="2">
        <v>6</v>
      </c>
      <c r="D127" s="16">
        <v>54</v>
      </c>
      <c r="E127" s="16">
        <v>8</v>
      </c>
      <c r="F127" s="96">
        <v>0.02</v>
      </c>
      <c r="G127" s="96">
        <v>0.32</v>
      </c>
      <c r="H127" s="96">
        <v>0.61</v>
      </c>
      <c r="I127" s="96">
        <v>0.05</v>
      </c>
      <c r="J127" s="96">
        <v>0.44</v>
      </c>
      <c r="K127" s="96">
        <v>0.45</v>
      </c>
      <c r="L127" s="96">
        <v>0.56000000000000005</v>
      </c>
      <c r="M127" s="34">
        <v>53</v>
      </c>
      <c r="N127" s="34">
        <v>9</v>
      </c>
      <c r="O127" s="92">
        <v>0.04</v>
      </c>
      <c r="P127" s="92">
        <v>0.34</v>
      </c>
      <c r="Q127" s="92">
        <v>0.54</v>
      </c>
      <c r="R127" s="92">
        <v>0.08</v>
      </c>
      <c r="S127" s="92">
        <v>0.45</v>
      </c>
      <c r="T127" s="92">
        <v>0.49</v>
      </c>
      <c r="U127" s="92">
        <v>0.49</v>
      </c>
      <c r="V127" s="34">
        <v>53</v>
      </c>
      <c r="W127" s="34">
        <v>7</v>
      </c>
      <c r="X127" s="99">
        <v>0.01</v>
      </c>
      <c r="Y127" s="99">
        <v>0.35</v>
      </c>
      <c r="Z127" s="99">
        <v>0.59</v>
      </c>
      <c r="AA127" s="99">
        <v>0.06</v>
      </c>
      <c r="AB127" s="99">
        <v>0.44</v>
      </c>
      <c r="AC127" s="99">
        <v>0.51</v>
      </c>
      <c r="AD127" s="99">
        <v>0.52</v>
      </c>
      <c r="AE127" s="16">
        <v>53</v>
      </c>
      <c r="AF127" s="16">
        <v>7</v>
      </c>
      <c r="AG127" s="96">
        <v>0.01</v>
      </c>
      <c r="AH127" s="96">
        <v>0.37</v>
      </c>
      <c r="AI127" s="96">
        <v>0.59</v>
      </c>
      <c r="AJ127" s="96">
        <v>0.03</v>
      </c>
      <c r="AK127" s="96">
        <v>0.44</v>
      </c>
      <c r="AL127" s="96">
        <v>0.39</v>
      </c>
      <c r="AM127" s="96">
        <v>0.47</v>
      </c>
      <c r="AN127" s="61">
        <v>53</v>
      </c>
      <c r="AO127" s="61">
        <v>8</v>
      </c>
      <c r="AP127" s="66">
        <v>0</v>
      </c>
      <c r="AQ127" s="66">
        <v>0.34</v>
      </c>
      <c r="AR127" s="66">
        <v>0.59</v>
      </c>
      <c r="AS127" s="66">
        <v>7.0000000000000007E-2</v>
      </c>
      <c r="AT127" s="66">
        <v>0.47</v>
      </c>
      <c r="AU127" s="66">
        <v>0.39</v>
      </c>
      <c r="AV127" s="66">
        <v>0.45</v>
      </c>
      <c r="AW127" s="349">
        <v>53</v>
      </c>
      <c r="AX127" s="348" t="s">
        <v>910</v>
      </c>
      <c r="AY127" s="349">
        <v>9</v>
      </c>
      <c r="AZ127" s="348" t="s">
        <v>910</v>
      </c>
      <c r="BA127" s="371">
        <v>0.03</v>
      </c>
      <c r="BB127" s="371">
        <v>0.35</v>
      </c>
      <c r="BC127" s="371">
        <v>0.54</v>
      </c>
      <c r="BD127" s="371">
        <v>0.09</v>
      </c>
      <c r="BE127" s="371">
        <v>0.47</v>
      </c>
      <c r="BF127" s="371">
        <v>0.36</v>
      </c>
      <c r="BG127" s="371">
        <v>0.55000000000000004</v>
      </c>
      <c r="BH127" s="469">
        <v>52</v>
      </c>
      <c r="BI127" s="471" t="s">
        <v>910</v>
      </c>
      <c r="BJ127" s="469">
        <v>9</v>
      </c>
      <c r="BK127" s="471" t="s">
        <v>910</v>
      </c>
      <c r="BL127" s="501">
        <v>0.04</v>
      </c>
      <c r="BM127" s="501">
        <v>0.41</v>
      </c>
      <c r="BN127" s="501">
        <v>0.53</v>
      </c>
      <c r="BO127" s="501">
        <v>0.03</v>
      </c>
      <c r="BP127" s="501">
        <v>0.54</v>
      </c>
      <c r="BQ127" s="501">
        <v>0.39</v>
      </c>
      <c r="BR127" s="501">
        <v>0.49</v>
      </c>
      <c r="BS127" s="630">
        <v>53</v>
      </c>
      <c r="BT127" s="640" t="s">
        <v>910</v>
      </c>
      <c r="BU127" s="630">
        <v>9</v>
      </c>
      <c r="BV127" s="640" t="s">
        <v>910</v>
      </c>
      <c r="BW127" s="644">
        <v>0.03</v>
      </c>
      <c r="BX127" s="644">
        <v>0.38</v>
      </c>
      <c r="BY127" s="644">
        <v>0.55000000000000004</v>
      </c>
      <c r="BZ127" s="644">
        <v>0.05</v>
      </c>
      <c r="CA127" s="644">
        <v>0.4</v>
      </c>
      <c r="CB127" s="644">
        <v>0.49</v>
      </c>
      <c r="CC127" s="644">
        <v>0.51</v>
      </c>
    </row>
    <row r="128" spans="1:81" s="461" customFormat="1" ht="24.9" customHeight="1" x14ac:dyDescent="0.25">
      <c r="A128" s="470" t="s">
        <v>970</v>
      </c>
      <c r="B128" s="1" t="s">
        <v>220</v>
      </c>
      <c r="C128" s="471">
        <v>2</v>
      </c>
      <c r="D128" s="502"/>
      <c r="E128" s="502"/>
      <c r="F128" s="501"/>
      <c r="G128" s="501"/>
      <c r="H128" s="501"/>
      <c r="I128" s="501"/>
      <c r="J128" s="501"/>
      <c r="K128" s="501"/>
      <c r="L128" s="501"/>
      <c r="M128" s="503"/>
      <c r="N128" s="503"/>
      <c r="O128" s="504"/>
      <c r="P128" s="504"/>
      <c r="Q128" s="504"/>
      <c r="R128" s="504"/>
      <c r="S128" s="504"/>
      <c r="T128" s="504"/>
      <c r="U128" s="504"/>
      <c r="V128" s="503"/>
      <c r="W128" s="503"/>
      <c r="X128" s="508"/>
      <c r="Y128" s="508"/>
      <c r="Z128" s="508"/>
      <c r="AA128" s="508"/>
      <c r="AB128" s="508"/>
      <c r="AC128" s="508"/>
      <c r="AD128" s="508"/>
      <c r="AE128" s="502"/>
      <c r="AF128" s="502"/>
      <c r="AG128" s="501"/>
      <c r="AH128" s="501"/>
      <c r="AI128" s="501"/>
      <c r="AJ128" s="501"/>
      <c r="AK128" s="501"/>
      <c r="AL128" s="501"/>
      <c r="AM128" s="501"/>
      <c r="AN128" s="472"/>
      <c r="AO128" s="472"/>
      <c r="AP128" s="506"/>
      <c r="AQ128" s="506"/>
      <c r="AR128" s="506"/>
      <c r="AS128" s="506"/>
      <c r="AT128" s="506"/>
      <c r="AU128" s="506"/>
      <c r="AV128" s="506"/>
      <c r="AW128" s="475"/>
      <c r="AX128" s="493"/>
      <c r="AY128" s="475"/>
      <c r="AZ128" s="493"/>
      <c r="BA128" s="507"/>
      <c r="BB128" s="507"/>
      <c r="BC128" s="507"/>
      <c r="BD128" s="507"/>
      <c r="BE128" s="507"/>
      <c r="BF128" s="507"/>
      <c r="BG128" s="507"/>
      <c r="BH128" s="469">
        <v>53</v>
      </c>
      <c r="BI128" s="471" t="s">
        <v>910</v>
      </c>
      <c r="BJ128" s="469">
        <v>8</v>
      </c>
      <c r="BK128" s="471" t="s">
        <v>910</v>
      </c>
      <c r="BL128" s="501">
        <v>0.02</v>
      </c>
      <c r="BM128" s="501">
        <v>0.28999999999999998</v>
      </c>
      <c r="BN128" s="501">
        <v>0.59</v>
      </c>
      <c r="BO128" s="501">
        <v>0.1</v>
      </c>
      <c r="BP128" s="501">
        <v>0.46</v>
      </c>
      <c r="BQ128" s="501">
        <v>0.39</v>
      </c>
      <c r="BR128" s="501">
        <v>0.46</v>
      </c>
      <c r="BS128" s="630">
        <v>54</v>
      </c>
      <c r="BT128" s="640" t="s">
        <v>910</v>
      </c>
      <c r="BU128" s="630">
        <v>8</v>
      </c>
      <c r="BV128" s="640" t="s">
        <v>910</v>
      </c>
      <c r="BW128" s="644">
        <v>0</v>
      </c>
      <c r="BX128" s="644">
        <v>0.33</v>
      </c>
      <c r="BY128" s="644">
        <v>0.61</v>
      </c>
      <c r="BZ128" s="644">
        <v>0.06</v>
      </c>
      <c r="CA128" s="644">
        <v>0.38</v>
      </c>
      <c r="CB128" s="644">
        <v>0.47</v>
      </c>
      <c r="CC128" s="644">
        <v>0.51</v>
      </c>
    </row>
    <row r="129" spans="1:81" ht="24.6" customHeight="1" x14ac:dyDescent="0.25">
      <c r="A129" s="188" t="s">
        <v>193</v>
      </c>
      <c r="B129" s="1" t="s">
        <v>222</v>
      </c>
      <c r="C129" s="2">
        <v>2</v>
      </c>
      <c r="D129" s="16">
        <v>49</v>
      </c>
      <c r="E129" s="16">
        <v>4</v>
      </c>
      <c r="F129" s="96">
        <v>0</v>
      </c>
      <c r="G129" s="96">
        <v>1</v>
      </c>
      <c r="H129" s="96">
        <v>0</v>
      </c>
      <c r="I129" s="96">
        <v>0</v>
      </c>
      <c r="J129" s="96">
        <v>0.42</v>
      </c>
      <c r="K129" s="96">
        <v>0.46</v>
      </c>
      <c r="L129" s="96">
        <v>0.69</v>
      </c>
      <c r="M129" s="13" t="s">
        <v>226</v>
      </c>
      <c r="N129" s="13" t="s">
        <v>226</v>
      </c>
      <c r="O129" s="92"/>
      <c r="P129" s="92"/>
      <c r="Q129" s="92"/>
      <c r="R129" s="92"/>
      <c r="S129" s="92"/>
      <c r="T129" s="92"/>
      <c r="U129" s="92"/>
      <c r="V129" s="13" t="s">
        <v>226</v>
      </c>
      <c r="W129" s="13" t="s">
        <v>226</v>
      </c>
      <c r="X129" s="13"/>
      <c r="Y129" s="13"/>
      <c r="Z129" s="13"/>
      <c r="AA129" s="13"/>
      <c r="AB129" s="13"/>
      <c r="AC129" s="13"/>
      <c r="AD129" s="13"/>
      <c r="AE129" s="13" t="s">
        <v>226</v>
      </c>
      <c r="AF129" s="13" t="s">
        <v>226</v>
      </c>
      <c r="AG129" s="2"/>
      <c r="AH129" s="2"/>
      <c r="AI129" s="2"/>
      <c r="AJ129" s="2"/>
      <c r="AK129" s="2"/>
      <c r="AL129" s="2"/>
      <c r="AM129" s="2"/>
      <c r="AN129" s="61">
        <v>50</v>
      </c>
      <c r="AO129" s="61">
        <v>8</v>
      </c>
      <c r="AP129" s="66">
        <v>0.03</v>
      </c>
      <c r="AQ129" s="66">
        <v>0.48</v>
      </c>
      <c r="AR129" s="66">
        <v>0.45</v>
      </c>
      <c r="AS129" s="66">
        <v>0.04</v>
      </c>
      <c r="AT129" s="66">
        <v>0.53</v>
      </c>
      <c r="AU129" s="66">
        <v>0.42</v>
      </c>
      <c r="AV129" s="66">
        <v>0.47</v>
      </c>
      <c r="AW129" s="349">
        <v>39</v>
      </c>
      <c r="AX129" s="348" t="s">
        <v>912</v>
      </c>
      <c r="AY129" s="349">
        <v>6</v>
      </c>
      <c r="AZ129" s="348" t="s">
        <v>910</v>
      </c>
      <c r="BA129" s="371">
        <v>0.22</v>
      </c>
      <c r="BB129" s="371">
        <v>0.67</v>
      </c>
      <c r="BC129" s="371">
        <v>0.11</v>
      </c>
      <c r="BD129" s="371">
        <v>0</v>
      </c>
      <c r="BE129" s="371">
        <v>0.67</v>
      </c>
      <c r="BF129" s="371">
        <v>0.57999999999999996</v>
      </c>
      <c r="BG129" s="371">
        <v>0.79</v>
      </c>
    </row>
    <row r="130" spans="1:81" ht="24.9" customHeight="1" x14ac:dyDescent="0.25">
      <c r="A130" s="188" t="s">
        <v>233</v>
      </c>
      <c r="B130" s="1" t="s">
        <v>222</v>
      </c>
      <c r="C130" s="2">
        <v>4</v>
      </c>
      <c r="D130" s="13" t="s">
        <v>226</v>
      </c>
      <c r="E130" s="13" t="s">
        <v>226</v>
      </c>
      <c r="F130" s="13"/>
      <c r="G130" s="13"/>
      <c r="H130" s="13"/>
      <c r="I130" s="13"/>
      <c r="J130" s="13"/>
      <c r="K130" s="13"/>
      <c r="L130" s="13"/>
      <c r="M130" s="13" t="s">
        <v>226</v>
      </c>
      <c r="N130" s="13" t="s">
        <v>226</v>
      </c>
      <c r="O130" s="92"/>
      <c r="P130" s="92"/>
      <c r="Q130" s="92"/>
      <c r="R130" s="92"/>
      <c r="S130" s="92"/>
      <c r="T130" s="92"/>
      <c r="U130" s="92"/>
      <c r="V130" s="16">
        <v>61</v>
      </c>
      <c r="W130" s="16">
        <v>6</v>
      </c>
      <c r="X130" s="99">
        <v>0</v>
      </c>
      <c r="Y130" s="99">
        <v>0</v>
      </c>
      <c r="Z130" s="99">
        <v>1</v>
      </c>
      <c r="AA130" s="99">
        <v>0</v>
      </c>
      <c r="AB130" s="99">
        <v>0.31</v>
      </c>
      <c r="AC130" s="99">
        <v>0.5</v>
      </c>
      <c r="AD130" s="99">
        <v>0.28000000000000003</v>
      </c>
      <c r="AE130" s="13" t="s">
        <v>226</v>
      </c>
      <c r="AF130" s="13" t="s">
        <v>226</v>
      </c>
      <c r="AG130" s="2"/>
      <c r="AH130" s="2"/>
      <c r="AI130" s="2"/>
      <c r="AJ130" s="2"/>
      <c r="AK130" s="2"/>
      <c r="AL130" s="2"/>
      <c r="AM130" s="2"/>
      <c r="AN130" s="67"/>
      <c r="AO130" s="67"/>
      <c r="AP130" s="67"/>
      <c r="AQ130" s="67"/>
      <c r="AR130" s="67"/>
      <c r="AS130" s="67"/>
      <c r="AT130" s="67"/>
      <c r="AU130" s="67"/>
      <c r="AV130" s="67"/>
    </row>
    <row r="131" spans="1:81" ht="24.9" customHeight="1" x14ac:dyDescent="0.25">
      <c r="A131" s="188" t="s">
        <v>158</v>
      </c>
      <c r="B131" s="1" t="s">
        <v>222</v>
      </c>
      <c r="C131" s="2">
        <v>5</v>
      </c>
      <c r="D131" s="16">
        <v>56</v>
      </c>
      <c r="E131" s="16">
        <v>7</v>
      </c>
      <c r="F131" s="96">
        <v>0</v>
      </c>
      <c r="G131" s="96">
        <v>0.3</v>
      </c>
      <c r="H131" s="96">
        <v>0.63</v>
      </c>
      <c r="I131" s="96">
        <v>7.0000000000000007E-2</v>
      </c>
      <c r="J131" s="96">
        <v>0.37</v>
      </c>
      <c r="K131" s="96">
        <v>0.42</v>
      </c>
      <c r="L131" s="96">
        <v>0.52</v>
      </c>
      <c r="M131" s="13">
        <v>57</v>
      </c>
      <c r="N131" s="13">
        <v>8</v>
      </c>
      <c r="O131" s="92">
        <v>0.02</v>
      </c>
      <c r="P131" s="92">
        <v>0.09</v>
      </c>
      <c r="Q131" s="92">
        <v>0.74</v>
      </c>
      <c r="R131" s="92">
        <v>0.14000000000000001</v>
      </c>
      <c r="S131" s="92">
        <v>0.37</v>
      </c>
      <c r="T131" s="92">
        <v>0.43</v>
      </c>
      <c r="U131" s="92">
        <v>0.41</v>
      </c>
      <c r="V131" s="16">
        <v>54</v>
      </c>
      <c r="W131" s="16">
        <v>8</v>
      </c>
      <c r="X131" s="99">
        <v>0.02</v>
      </c>
      <c r="Y131" s="99">
        <v>0.28999999999999998</v>
      </c>
      <c r="Z131" s="99">
        <v>0.64</v>
      </c>
      <c r="AA131" s="99">
        <v>0.05</v>
      </c>
      <c r="AB131" s="99">
        <v>0.43</v>
      </c>
      <c r="AC131" s="99">
        <v>0.48</v>
      </c>
      <c r="AD131" s="99">
        <v>0.49</v>
      </c>
      <c r="AE131" s="13">
        <v>54</v>
      </c>
      <c r="AF131" s="13">
        <v>8</v>
      </c>
      <c r="AG131" s="96">
        <v>0.03</v>
      </c>
      <c r="AH131" s="96">
        <v>0.22</v>
      </c>
      <c r="AI131" s="96">
        <v>0.67</v>
      </c>
      <c r="AJ131" s="96">
        <v>7.0000000000000007E-2</v>
      </c>
      <c r="AK131" s="96">
        <v>0.4</v>
      </c>
      <c r="AL131" s="96">
        <v>0.37</v>
      </c>
      <c r="AM131" s="96">
        <v>0.4</v>
      </c>
      <c r="AN131" s="73">
        <v>57</v>
      </c>
      <c r="AO131" s="73">
        <v>8</v>
      </c>
      <c r="AP131" s="74">
        <v>0</v>
      </c>
      <c r="AQ131" s="74">
        <v>0.2</v>
      </c>
      <c r="AR131" s="74">
        <v>0.64</v>
      </c>
      <c r="AS131" s="74">
        <v>0.16</v>
      </c>
      <c r="AT131" s="74">
        <v>0.42</v>
      </c>
      <c r="AU131" s="74">
        <v>0.28000000000000003</v>
      </c>
      <c r="AV131" s="74">
        <v>0.37</v>
      </c>
      <c r="AW131" s="349">
        <v>56</v>
      </c>
      <c r="AX131" s="348" t="s">
        <v>910</v>
      </c>
      <c r="AY131" s="349">
        <v>9</v>
      </c>
      <c r="AZ131" s="348" t="s">
        <v>910</v>
      </c>
      <c r="BA131" s="371">
        <v>0.02</v>
      </c>
      <c r="BB131" s="371">
        <v>0.26</v>
      </c>
      <c r="BC131" s="371">
        <v>0.57999999999999996</v>
      </c>
      <c r="BD131" s="371">
        <v>0.14000000000000001</v>
      </c>
      <c r="BE131" s="371">
        <v>0.41</v>
      </c>
      <c r="BF131" s="371">
        <v>0.31</v>
      </c>
      <c r="BG131" s="371">
        <v>0.49</v>
      </c>
      <c r="BH131" s="469">
        <v>55</v>
      </c>
      <c r="BI131" s="471" t="s">
        <v>910</v>
      </c>
      <c r="BJ131" s="469">
        <v>9</v>
      </c>
      <c r="BK131" s="471" t="s">
        <v>910</v>
      </c>
      <c r="BL131" s="501">
        <v>0.06</v>
      </c>
      <c r="BM131" s="501">
        <v>0.2</v>
      </c>
      <c r="BN131" s="501">
        <v>0.63</v>
      </c>
      <c r="BO131" s="501">
        <v>0.12</v>
      </c>
      <c r="BP131" s="501">
        <v>0.45</v>
      </c>
      <c r="BQ131" s="501">
        <v>0.36</v>
      </c>
      <c r="BR131" s="501">
        <v>0.45</v>
      </c>
      <c r="BS131" s="630">
        <v>58</v>
      </c>
      <c r="BT131" s="640" t="s">
        <v>910</v>
      </c>
      <c r="BU131" s="630">
        <v>8</v>
      </c>
      <c r="BV131" s="640" t="s">
        <v>910</v>
      </c>
      <c r="BW131" s="644">
        <v>0.02</v>
      </c>
      <c r="BX131" s="644">
        <v>0.15</v>
      </c>
      <c r="BY131" s="644">
        <v>0.59</v>
      </c>
      <c r="BZ131" s="644">
        <v>0.24</v>
      </c>
      <c r="CA131" s="644">
        <v>0.27</v>
      </c>
      <c r="CB131" s="644">
        <v>0.42</v>
      </c>
      <c r="CC131" s="644">
        <v>0.43</v>
      </c>
    </row>
    <row r="132" spans="1:81" ht="24.9" customHeight="1" x14ac:dyDescent="0.25">
      <c r="A132" s="188" t="s">
        <v>216</v>
      </c>
      <c r="B132" s="1" t="s">
        <v>222</v>
      </c>
      <c r="C132" s="2">
        <v>6</v>
      </c>
      <c r="D132" s="16">
        <v>48</v>
      </c>
      <c r="E132" s="16">
        <v>0</v>
      </c>
      <c r="F132" s="96">
        <v>0</v>
      </c>
      <c r="G132" s="96">
        <v>1</v>
      </c>
      <c r="H132" s="96">
        <v>0</v>
      </c>
      <c r="I132" s="96">
        <v>0</v>
      </c>
      <c r="J132" s="96">
        <v>0.5</v>
      </c>
      <c r="K132" s="96">
        <v>0.67</v>
      </c>
      <c r="L132" s="96">
        <v>0.54</v>
      </c>
      <c r="M132" s="13" t="s">
        <v>228</v>
      </c>
      <c r="N132" s="13" t="s">
        <v>228</v>
      </c>
      <c r="O132" s="92"/>
      <c r="P132" s="92"/>
      <c r="Q132" s="92"/>
      <c r="R132" s="92"/>
      <c r="S132" s="92"/>
      <c r="T132" s="92"/>
      <c r="U132" s="92"/>
      <c r="V132" s="13" t="s">
        <v>226</v>
      </c>
      <c r="W132" s="13" t="s">
        <v>226</v>
      </c>
      <c r="X132" s="13"/>
      <c r="Y132" s="13"/>
      <c r="Z132" s="13"/>
      <c r="AA132" s="13"/>
      <c r="AB132" s="13"/>
      <c r="AC132" s="13"/>
      <c r="AD132" s="13"/>
      <c r="AE132" s="13" t="s">
        <v>226</v>
      </c>
      <c r="AF132" s="13" t="s">
        <v>226</v>
      </c>
      <c r="AG132" s="2"/>
      <c r="AH132" s="2"/>
      <c r="AI132" s="2"/>
      <c r="AJ132" s="2"/>
      <c r="AK132" s="2"/>
      <c r="AL132" s="2"/>
      <c r="AM132" s="2"/>
      <c r="AN132" s="67"/>
      <c r="AO132" s="67"/>
      <c r="AP132" s="67"/>
      <c r="AQ132" s="67"/>
      <c r="AR132" s="67"/>
      <c r="AS132" s="67"/>
      <c r="AT132" s="67"/>
      <c r="AU132" s="67"/>
      <c r="AV132" s="67"/>
      <c r="AW132" s="349">
        <v>48</v>
      </c>
      <c r="AX132" s="348" t="s">
        <v>910</v>
      </c>
      <c r="AY132" s="349">
        <v>0</v>
      </c>
      <c r="AZ132" s="348" t="s">
        <v>912</v>
      </c>
      <c r="BA132" s="371">
        <v>0</v>
      </c>
      <c r="BB132" s="371">
        <v>1</v>
      </c>
      <c r="BC132" s="371">
        <v>0</v>
      </c>
      <c r="BD132" s="371">
        <v>0</v>
      </c>
      <c r="BE132" s="371">
        <v>0.69</v>
      </c>
      <c r="BF132" s="371">
        <v>0.56000000000000005</v>
      </c>
      <c r="BG132" s="371">
        <v>0.55000000000000004</v>
      </c>
    </row>
    <row r="133" spans="1:81" ht="24.9" customHeight="1" x14ac:dyDescent="0.25">
      <c r="A133" s="188" t="s">
        <v>120</v>
      </c>
      <c r="B133" s="1" t="s">
        <v>222</v>
      </c>
      <c r="C133" s="2">
        <v>4</v>
      </c>
      <c r="D133" s="16">
        <v>56</v>
      </c>
      <c r="E133" s="16">
        <v>7</v>
      </c>
      <c r="F133" s="96">
        <v>0.06</v>
      </c>
      <c r="G133" s="96">
        <v>0.13</v>
      </c>
      <c r="H133" s="96">
        <v>0.81</v>
      </c>
      <c r="I133" s="96">
        <v>0</v>
      </c>
      <c r="J133" s="96">
        <v>0.4</v>
      </c>
      <c r="K133" s="96">
        <v>0.41</v>
      </c>
      <c r="L133" s="96">
        <v>0.51</v>
      </c>
      <c r="M133" s="34">
        <v>56</v>
      </c>
      <c r="N133" s="34">
        <v>7</v>
      </c>
      <c r="O133" s="92">
        <v>0</v>
      </c>
      <c r="P133" s="92">
        <v>0.15</v>
      </c>
      <c r="Q133" s="92">
        <v>0.75</v>
      </c>
      <c r="R133" s="92">
        <v>0.1</v>
      </c>
      <c r="S133" s="92">
        <v>0.36</v>
      </c>
      <c r="T133" s="92">
        <v>0.47</v>
      </c>
      <c r="U133" s="92">
        <v>0.44</v>
      </c>
      <c r="V133" s="16">
        <v>59</v>
      </c>
      <c r="W133" s="16">
        <v>6</v>
      </c>
      <c r="X133" s="99">
        <v>0</v>
      </c>
      <c r="Y133" s="99">
        <v>0.09</v>
      </c>
      <c r="Z133" s="99">
        <v>0.91</v>
      </c>
      <c r="AA133" s="99">
        <v>0</v>
      </c>
      <c r="AB133" s="99">
        <v>0.35</v>
      </c>
      <c r="AC133" s="99">
        <v>0.4</v>
      </c>
      <c r="AD133" s="99">
        <v>0.41</v>
      </c>
      <c r="AE133" s="16">
        <v>58</v>
      </c>
      <c r="AF133" s="16">
        <v>7</v>
      </c>
      <c r="AG133" s="96">
        <v>0</v>
      </c>
      <c r="AH133" s="96">
        <v>0.15</v>
      </c>
      <c r="AI133" s="96">
        <v>0.77</v>
      </c>
      <c r="AJ133" s="96">
        <v>0.08</v>
      </c>
      <c r="AK133" s="96">
        <v>0.34</v>
      </c>
      <c r="AL133" s="96">
        <v>0.26</v>
      </c>
      <c r="AM133" s="96">
        <v>0.28999999999999998</v>
      </c>
      <c r="AN133" s="73">
        <v>57</v>
      </c>
      <c r="AO133" s="73">
        <v>6</v>
      </c>
      <c r="AP133" s="74">
        <v>0</v>
      </c>
      <c r="AQ133" s="74">
        <v>0.08</v>
      </c>
      <c r="AR133" s="74">
        <v>0.83</v>
      </c>
      <c r="AS133" s="74">
        <v>0.08</v>
      </c>
      <c r="AT133" s="74">
        <v>0.41</v>
      </c>
      <c r="AU133" s="74">
        <v>0.37</v>
      </c>
      <c r="AV133" s="74">
        <v>0.26</v>
      </c>
      <c r="AW133" s="349">
        <v>53</v>
      </c>
      <c r="AX133" s="348" t="s">
        <v>910</v>
      </c>
      <c r="AY133" s="349">
        <v>9</v>
      </c>
      <c r="AZ133" s="348" t="s">
        <v>910</v>
      </c>
      <c r="BA133" s="371">
        <v>0</v>
      </c>
      <c r="BB133" s="371">
        <v>0.32</v>
      </c>
      <c r="BC133" s="371">
        <v>0.64</v>
      </c>
      <c r="BD133" s="371">
        <v>0.05</v>
      </c>
      <c r="BE133" s="371">
        <v>0.45</v>
      </c>
      <c r="BF133" s="371">
        <v>0.38</v>
      </c>
      <c r="BG133" s="371">
        <v>0.56999999999999995</v>
      </c>
      <c r="BH133" s="469">
        <v>62</v>
      </c>
      <c r="BI133" s="471" t="s">
        <v>910</v>
      </c>
      <c r="BJ133" s="469">
        <v>7</v>
      </c>
      <c r="BK133" s="471" t="s">
        <v>910</v>
      </c>
      <c r="BL133" s="501">
        <v>0</v>
      </c>
      <c r="BM133" s="501">
        <v>0.12</v>
      </c>
      <c r="BN133" s="501">
        <v>0.53</v>
      </c>
      <c r="BO133" s="501">
        <v>0.35</v>
      </c>
      <c r="BP133" s="501">
        <v>0.33</v>
      </c>
      <c r="BQ133" s="501">
        <v>0.25</v>
      </c>
      <c r="BR133" s="501">
        <v>0.28000000000000003</v>
      </c>
      <c r="BS133" s="630">
        <v>52</v>
      </c>
      <c r="BT133" s="640" t="s">
        <v>910</v>
      </c>
      <c r="BU133" s="630">
        <v>7</v>
      </c>
      <c r="BV133" s="640" t="s">
        <v>910</v>
      </c>
      <c r="BW133" s="644">
        <v>0</v>
      </c>
      <c r="BX133" s="644">
        <v>0.41</v>
      </c>
      <c r="BY133" s="644">
        <v>0.59</v>
      </c>
      <c r="BZ133" s="644">
        <v>0</v>
      </c>
      <c r="CA133" s="644">
        <v>0.48</v>
      </c>
      <c r="CB133" s="644">
        <v>0.48</v>
      </c>
      <c r="CC133" s="644">
        <v>0.53</v>
      </c>
    </row>
    <row r="134" spans="1:81" ht="24.9" customHeight="1" x14ac:dyDescent="0.25">
      <c r="A134" s="188" t="s">
        <v>52</v>
      </c>
      <c r="B134" s="1" t="s">
        <v>222</v>
      </c>
      <c r="C134" s="2">
        <v>6</v>
      </c>
      <c r="D134" s="16">
        <v>55</v>
      </c>
      <c r="E134" s="16">
        <v>8</v>
      </c>
      <c r="F134" s="96">
        <v>0</v>
      </c>
      <c r="G134" s="96">
        <v>0.32</v>
      </c>
      <c r="H134" s="96">
        <v>0.59</v>
      </c>
      <c r="I134" s="96">
        <v>0.09</v>
      </c>
      <c r="J134" s="96">
        <v>0.44</v>
      </c>
      <c r="K134" s="96">
        <v>0.47</v>
      </c>
      <c r="L134" s="96">
        <v>0.56000000000000005</v>
      </c>
      <c r="M134" s="34">
        <v>56</v>
      </c>
      <c r="N134" s="34">
        <v>8</v>
      </c>
      <c r="O134" s="92">
        <v>0.01</v>
      </c>
      <c r="P134" s="92">
        <v>0.28000000000000003</v>
      </c>
      <c r="Q134" s="92">
        <v>0.64</v>
      </c>
      <c r="R134" s="92">
        <v>7.0000000000000007E-2</v>
      </c>
      <c r="S134" s="92">
        <v>0.39</v>
      </c>
      <c r="T134" s="92">
        <v>0.46</v>
      </c>
      <c r="U134" s="92">
        <v>0.42</v>
      </c>
      <c r="V134" s="16">
        <v>56</v>
      </c>
      <c r="W134" s="16">
        <v>8</v>
      </c>
      <c r="X134" s="99">
        <v>0</v>
      </c>
      <c r="Y134" s="99">
        <v>0.28999999999999998</v>
      </c>
      <c r="Z134" s="99">
        <v>0.63</v>
      </c>
      <c r="AA134" s="99">
        <v>0.08</v>
      </c>
      <c r="AB134" s="99">
        <v>0.39</v>
      </c>
      <c r="AC134" s="99">
        <v>0.47</v>
      </c>
      <c r="AD134" s="99">
        <v>0.46</v>
      </c>
      <c r="AE134" s="16">
        <v>56</v>
      </c>
      <c r="AF134" s="16">
        <v>11</v>
      </c>
      <c r="AG134" s="96">
        <v>0.03</v>
      </c>
      <c r="AH134" s="96">
        <v>0.27</v>
      </c>
      <c r="AI134" s="96">
        <v>0.47</v>
      </c>
      <c r="AJ134" s="96">
        <v>0.23</v>
      </c>
      <c r="AK134" s="96">
        <v>0.38</v>
      </c>
      <c r="AL134" s="96">
        <v>0.31</v>
      </c>
      <c r="AM134" s="96">
        <v>0.38</v>
      </c>
      <c r="AN134" s="61">
        <v>55</v>
      </c>
      <c r="AO134" s="61">
        <v>8</v>
      </c>
      <c r="AP134" s="66">
        <v>0.01</v>
      </c>
      <c r="AQ134" s="66">
        <v>0.28000000000000003</v>
      </c>
      <c r="AR134" s="66">
        <v>0.61</v>
      </c>
      <c r="AS134" s="66">
        <v>0.1</v>
      </c>
      <c r="AT134" s="66">
        <v>0.45</v>
      </c>
      <c r="AU134" s="66">
        <v>0.33</v>
      </c>
      <c r="AV134" s="66">
        <v>0.41</v>
      </c>
      <c r="AW134" s="349">
        <v>56</v>
      </c>
      <c r="AX134" s="348" t="s">
        <v>910</v>
      </c>
      <c r="AY134" s="349">
        <v>9</v>
      </c>
      <c r="AZ134" s="348" t="s">
        <v>910</v>
      </c>
      <c r="BA134" s="371">
        <v>0</v>
      </c>
      <c r="BB134" s="371">
        <v>0.38</v>
      </c>
      <c r="BC134" s="371">
        <v>0.44</v>
      </c>
      <c r="BD134" s="371">
        <v>0.19</v>
      </c>
      <c r="BE134" s="371">
        <v>0.41</v>
      </c>
      <c r="BF134" s="371">
        <v>0.34</v>
      </c>
      <c r="BG134" s="371">
        <v>0.5</v>
      </c>
      <c r="BH134" s="469">
        <v>58</v>
      </c>
      <c r="BI134" s="471" t="s">
        <v>910</v>
      </c>
      <c r="BJ134" s="469">
        <v>8</v>
      </c>
      <c r="BK134" s="471" t="s">
        <v>910</v>
      </c>
      <c r="BL134" s="501">
        <v>0</v>
      </c>
      <c r="BM134" s="501">
        <v>0.2</v>
      </c>
      <c r="BN134" s="501">
        <v>0.62</v>
      </c>
      <c r="BO134" s="501">
        <v>0.18</v>
      </c>
      <c r="BP134" s="501">
        <v>0.41</v>
      </c>
      <c r="BQ134" s="501">
        <v>0.27</v>
      </c>
      <c r="BR134" s="501">
        <v>0.4</v>
      </c>
      <c r="BS134" s="630">
        <v>55</v>
      </c>
      <c r="BT134" s="640" t="s">
        <v>910</v>
      </c>
      <c r="BU134" s="630">
        <v>8</v>
      </c>
      <c r="BV134" s="640" t="s">
        <v>910</v>
      </c>
      <c r="BW134" s="644">
        <v>0</v>
      </c>
      <c r="BX134" s="644">
        <v>0.34</v>
      </c>
      <c r="BY134" s="644">
        <v>0.56000000000000005</v>
      </c>
      <c r="BZ134" s="644">
        <v>0.1</v>
      </c>
      <c r="CA134" s="644">
        <v>0.34</v>
      </c>
      <c r="CB134" s="644">
        <v>0.47</v>
      </c>
      <c r="CC134" s="644">
        <v>0.47</v>
      </c>
    </row>
    <row r="135" spans="1:81" ht="24.9" customHeight="1" x14ac:dyDescent="0.25">
      <c r="A135" s="188" t="s">
        <v>40</v>
      </c>
      <c r="B135" s="1" t="s">
        <v>222</v>
      </c>
      <c r="C135" s="2">
        <v>2</v>
      </c>
      <c r="D135" s="16">
        <v>53</v>
      </c>
      <c r="E135" s="16">
        <v>7</v>
      </c>
      <c r="F135" s="96">
        <v>0</v>
      </c>
      <c r="G135" s="96">
        <v>0.38</v>
      </c>
      <c r="H135" s="96">
        <v>0.62</v>
      </c>
      <c r="I135" s="96">
        <v>0</v>
      </c>
      <c r="J135" s="96">
        <v>0.43</v>
      </c>
      <c r="K135" s="96">
        <v>0.49</v>
      </c>
      <c r="L135" s="96">
        <v>0.55000000000000004</v>
      </c>
      <c r="M135" s="34">
        <v>54</v>
      </c>
      <c r="N135" s="34">
        <v>8</v>
      </c>
      <c r="O135" s="92">
        <v>0.02</v>
      </c>
      <c r="P135" s="92">
        <v>0.3</v>
      </c>
      <c r="Q135" s="92">
        <v>0.61</v>
      </c>
      <c r="R135" s="92">
        <v>0.08</v>
      </c>
      <c r="S135" s="92">
        <v>0.44</v>
      </c>
      <c r="T135" s="92">
        <v>0.46</v>
      </c>
      <c r="U135" s="92">
        <v>0.48</v>
      </c>
      <c r="V135" s="16">
        <v>53</v>
      </c>
      <c r="W135" s="16">
        <v>7</v>
      </c>
      <c r="X135" s="99">
        <v>0</v>
      </c>
      <c r="Y135" s="99">
        <v>0.39</v>
      </c>
      <c r="Z135" s="99">
        <v>0.56999999999999995</v>
      </c>
      <c r="AA135" s="99">
        <v>0.03</v>
      </c>
      <c r="AB135" s="99">
        <v>0.46</v>
      </c>
      <c r="AC135" s="99">
        <v>0.49</v>
      </c>
      <c r="AD135" s="99">
        <v>0.49</v>
      </c>
      <c r="AE135" s="16">
        <v>55</v>
      </c>
      <c r="AF135" s="16">
        <v>9</v>
      </c>
      <c r="AG135" s="96">
        <v>0</v>
      </c>
      <c r="AH135" s="96">
        <v>0.3</v>
      </c>
      <c r="AI135" s="96">
        <v>0.55000000000000004</v>
      </c>
      <c r="AJ135" s="96">
        <v>0.15</v>
      </c>
      <c r="AK135" s="96">
        <v>0.38</v>
      </c>
      <c r="AL135" s="96">
        <v>0.34</v>
      </c>
      <c r="AM135" s="96">
        <v>0.41</v>
      </c>
      <c r="AN135" s="61">
        <v>55</v>
      </c>
      <c r="AO135" s="61">
        <v>8</v>
      </c>
      <c r="AP135" s="66">
        <v>0</v>
      </c>
      <c r="AQ135" s="66">
        <v>0.31</v>
      </c>
      <c r="AR135" s="66">
        <v>0.59</v>
      </c>
      <c r="AS135" s="66">
        <v>0.1</v>
      </c>
      <c r="AT135" s="66">
        <v>0.45</v>
      </c>
      <c r="AU135" s="66">
        <v>0.38</v>
      </c>
      <c r="AV135" s="66">
        <v>0.41</v>
      </c>
      <c r="AW135" s="349">
        <v>54</v>
      </c>
      <c r="AX135" s="348" t="s">
        <v>910</v>
      </c>
      <c r="AY135" s="349">
        <v>8</v>
      </c>
      <c r="AZ135" s="348" t="s">
        <v>910</v>
      </c>
      <c r="BA135" s="371">
        <v>0</v>
      </c>
      <c r="BB135" s="371">
        <v>0.39</v>
      </c>
      <c r="BC135" s="371">
        <v>0.51</v>
      </c>
      <c r="BD135" s="371">
        <v>0.1</v>
      </c>
      <c r="BE135" s="371">
        <v>0.43</v>
      </c>
      <c r="BF135" s="371">
        <v>0.33</v>
      </c>
      <c r="BG135" s="371">
        <v>0.55000000000000004</v>
      </c>
      <c r="BH135" s="469">
        <v>53</v>
      </c>
      <c r="BI135" s="471" t="s">
        <v>910</v>
      </c>
      <c r="BJ135" s="469">
        <v>9</v>
      </c>
      <c r="BK135" s="471" t="s">
        <v>910</v>
      </c>
      <c r="BL135" s="501">
        <v>0.04</v>
      </c>
      <c r="BM135" s="501">
        <v>0.26</v>
      </c>
      <c r="BN135" s="501">
        <v>0.61</v>
      </c>
      <c r="BO135" s="501">
        <v>0.08</v>
      </c>
      <c r="BP135" s="501">
        <v>0.49</v>
      </c>
      <c r="BQ135" s="501">
        <v>0.39</v>
      </c>
      <c r="BR135" s="501">
        <v>0.45</v>
      </c>
      <c r="BS135" s="630">
        <v>55</v>
      </c>
      <c r="BT135" s="640" t="s">
        <v>910</v>
      </c>
      <c r="BU135" s="630">
        <v>9</v>
      </c>
      <c r="BV135" s="640" t="s">
        <v>910</v>
      </c>
      <c r="BW135" s="644">
        <v>0</v>
      </c>
      <c r="BX135" s="644">
        <v>0.36</v>
      </c>
      <c r="BY135" s="644">
        <v>0.48</v>
      </c>
      <c r="BZ135" s="644">
        <v>0.16</v>
      </c>
      <c r="CA135" s="644">
        <v>0.37</v>
      </c>
      <c r="CB135" s="644">
        <v>0.46</v>
      </c>
      <c r="CC135" s="644">
        <v>0.46</v>
      </c>
    </row>
    <row r="136" spans="1:81" ht="24.9" customHeight="1" x14ac:dyDescent="0.25">
      <c r="A136" s="188" t="s">
        <v>229</v>
      </c>
      <c r="B136" s="1" t="s">
        <v>222</v>
      </c>
      <c r="C136" s="2">
        <v>2</v>
      </c>
      <c r="D136" s="13" t="s">
        <v>226</v>
      </c>
      <c r="E136" s="13" t="s">
        <v>226</v>
      </c>
      <c r="F136" s="13"/>
      <c r="G136" s="13"/>
      <c r="H136" s="13"/>
      <c r="I136" s="13"/>
      <c r="J136" s="13"/>
      <c r="K136" s="13"/>
      <c r="L136" s="13"/>
      <c r="M136" s="34">
        <v>47</v>
      </c>
      <c r="N136" s="34">
        <v>11</v>
      </c>
      <c r="O136" s="92">
        <v>0.17</v>
      </c>
      <c r="P136" s="92">
        <v>0.5</v>
      </c>
      <c r="Q136" s="92">
        <v>0.22</v>
      </c>
      <c r="R136" s="92">
        <v>0.11</v>
      </c>
      <c r="S136" s="92">
        <v>0.52</v>
      </c>
      <c r="T136" s="92">
        <v>0.61</v>
      </c>
      <c r="U136" s="92">
        <v>0.59</v>
      </c>
      <c r="V136" s="13" t="s">
        <v>226</v>
      </c>
      <c r="W136" s="13" t="s">
        <v>226</v>
      </c>
      <c r="X136" s="13"/>
      <c r="Y136" s="13"/>
      <c r="Z136" s="13"/>
      <c r="AA136" s="13"/>
      <c r="AB136" s="13"/>
      <c r="AC136" s="13"/>
      <c r="AD136" s="13"/>
      <c r="AE136" s="13" t="s">
        <v>226</v>
      </c>
      <c r="AF136" s="13" t="s">
        <v>226</v>
      </c>
      <c r="AG136" s="2"/>
      <c r="AH136" s="2"/>
      <c r="AI136" s="2"/>
      <c r="AJ136" s="2"/>
      <c r="AK136" s="2"/>
      <c r="AL136" s="2"/>
      <c r="AM136" s="2"/>
      <c r="AN136" s="67"/>
      <c r="AO136" s="67"/>
      <c r="AP136" s="67"/>
      <c r="AQ136" s="67"/>
      <c r="AR136" s="67"/>
      <c r="AS136" s="67"/>
      <c r="AT136" s="67"/>
      <c r="AU136" s="67"/>
      <c r="AV136" s="67"/>
      <c r="BH136" s="469">
        <v>60</v>
      </c>
      <c r="BI136" s="471" t="s">
        <v>910</v>
      </c>
      <c r="BJ136" s="469">
        <v>0</v>
      </c>
      <c r="BK136" s="471" t="s">
        <v>912</v>
      </c>
      <c r="BL136" s="501">
        <v>0</v>
      </c>
      <c r="BM136" s="501">
        <v>0</v>
      </c>
      <c r="BN136" s="501">
        <v>1</v>
      </c>
      <c r="BO136" s="501">
        <v>0</v>
      </c>
      <c r="BP136" s="501">
        <v>0.41</v>
      </c>
      <c r="BQ136" s="501">
        <v>0.13</v>
      </c>
      <c r="BR136" s="501">
        <v>0.33</v>
      </c>
      <c r="BS136" s="630">
        <v>47</v>
      </c>
      <c r="BT136" s="640" t="s">
        <v>912</v>
      </c>
      <c r="BU136" s="630">
        <v>9</v>
      </c>
      <c r="BV136" s="640" t="s">
        <v>910</v>
      </c>
      <c r="BW136" s="644">
        <v>0</v>
      </c>
      <c r="BX136" s="644">
        <v>0.69</v>
      </c>
      <c r="BY136" s="644">
        <v>0.23</v>
      </c>
      <c r="BZ136" s="644">
        <v>0.08</v>
      </c>
      <c r="CA136" s="644">
        <v>0.4</v>
      </c>
      <c r="CB136" s="644">
        <v>0.63</v>
      </c>
      <c r="CC136" s="644">
        <v>0.62</v>
      </c>
    </row>
    <row r="137" spans="1:81" s="461" customFormat="1" ht="24.9" customHeight="1" x14ac:dyDescent="0.25">
      <c r="A137" s="470" t="s">
        <v>972</v>
      </c>
      <c r="B137" s="1" t="s">
        <v>222</v>
      </c>
      <c r="C137" s="471">
        <v>4</v>
      </c>
      <c r="D137" s="505"/>
      <c r="E137" s="505"/>
      <c r="F137" s="505"/>
      <c r="G137" s="505"/>
      <c r="H137" s="505"/>
      <c r="I137" s="505"/>
      <c r="J137" s="505"/>
      <c r="K137" s="505"/>
      <c r="L137" s="505"/>
      <c r="M137" s="503"/>
      <c r="N137" s="503"/>
      <c r="O137" s="504"/>
      <c r="P137" s="504"/>
      <c r="Q137" s="504"/>
      <c r="R137" s="504"/>
      <c r="S137" s="504"/>
      <c r="T137" s="504"/>
      <c r="U137" s="504"/>
      <c r="V137" s="505"/>
      <c r="W137" s="505"/>
      <c r="X137" s="505"/>
      <c r="Y137" s="505"/>
      <c r="Z137" s="505"/>
      <c r="AA137" s="505"/>
      <c r="AB137" s="505"/>
      <c r="AC137" s="505"/>
      <c r="AD137" s="505"/>
      <c r="AE137" s="505"/>
      <c r="AF137" s="505"/>
      <c r="AG137" s="471"/>
      <c r="AH137" s="471"/>
      <c r="AI137" s="471"/>
      <c r="AJ137" s="471"/>
      <c r="AK137" s="471"/>
      <c r="AL137" s="471"/>
      <c r="AM137" s="471"/>
      <c r="AN137" s="509"/>
      <c r="AO137" s="509"/>
      <c r="AP137" s="509"/>
      <c r="AQ137" s="509"/>
      <c r="AR137" s="509"/>
      <c r="AS137" s="509"/>
      <c r="AT137" s="509"/>
      <c r="AU137" s="509"/>
      <c r="AV137" s="509"/>
      <c r="BH137" s="469">
        <v>51</v>
      </c>
      <c r="BI137" s="471" t="s">
        <v>910</v>
      </c>
      <c r="BJ137" s="469">
        <v>8</v>
      </c>
      <c r="BK137" s="471" t="s">
        <v>910</v>
      </c>
      <c r="BL137" s="501">
        <v>0</v>
      </c>
      <c r="BM137" s="501">
        <v>0.4</v>
      </c>
      <c r="BN137" s="501">
        <v>0.6</v>
      </c>
      <c r="BO137" s="501">
        <v>0</v>
      </c>
      <c r="BP137" s="501">
        <v>0.46</v>
      </c>
      <c r="BQ137" s="501">
        <v>0.37</v>
      </c>
      <c r="BR137" s="501">
        <v>0.56000000000000005</v>
      </c>
      <c r="BS137" s="630">
        <v>45</v>
      </c>
      <c r="BT137" s="640" t="s">
        <v>912</v>
      </c>
      <c r="BU137" s="630">
        <v>7</v>
      </c>
      <c r="BV137" s="640" t="s">
        <v>910</v>
      </c>
      <c r="BW137" s="644">
        <v>0.08</v>
      </c>
      <c r="BX137" s="644">
        <v>0.77</v>
      </c>
      <c r="BY137" s="644">
        <v>0.15</v>
      </c>
      <c r="BZ137" s="644">
        <v>0</v>
      </c>
      <c r="CA137" s="644">
        <v>0.51</v>
      </c>
      <c r="CB137" s="644">
        <v>0.66</v>
      </c>
      <c r="CC137" s="644">
        <v>0.66</v>
      </c>
    </row>
    <row r="138" spans="1:81" ht="24.9" customHeight="1" x14ac:dyDescent="0.25">
      <c r="A138" s="188" t="s">
        <v>155</v>
      </c>
      <c r="B138" s="1" t="s">
        <v>222</v>
      </c>
      <c r="C138" s="2">
        <v>5</v>
      </c>
      <c r="D138" s="16">
        <v>53</v>
      </c>
      <c r="E138" s="16">
        <v>11</v>
      </c>
      <c r="F138" s="96">
        <v>0</v>
      </c>
      <c r="G138" s="96">
        <v>0.33</v>
      </c>
      <c r="H138" s="96">
        <v>0.67</v>
      </c>
      <c r="I138" s="96">
        <v>0</v>
      </c>
      <c r="J138" s="96">
        <v>0.56000000000000005</v>
      </c>
      <c r="K138" s="96">
        <v>0.36</v>
      </c>
      <c r="L138" s="96">
        <v>0.62</v>
      </c>
      <c r="M138" s="34">
        <v>56</v>
      </c>
      <c r="N138" s="34">
        <v>9</v>
      </c>
      <c r="O138" s="92">
        <v>0</v>
      </c>
      <c r="P138" s="92">
        <v>0.33</v>
      </c>
      <c r="Q138" s="92">
        <v>0.57999999999999996</v>
      </c>
      <c r="R138" s="92">
        <v>0.08</v>
      </c>
      <c r="S138" s="92">
        <v>0.38</v>
      </c>
      <c r="T138" s="92">
        <v>0.43</v>
      </c>
      <c r="U138" s="92">
        <v>0.48</v>
      </c>
      <c r="V138" s="13">
        <v>52</v>
      </c>
      <c r="W138" s="13">
        <v>4</v>
      </c>
      <c r="X138" s="99">
        <v>0</v>
      </c>
      <c r="Y138" s="99">
        <v>0.5</v>
      </c>
      <c r="Z138" s="99">
        <v>0.5</v>
      </c>
      <c r="AA138" s="99">
        <v>0</v>
      </c>
      <c r="AB138" s="99">
        <v>0.45</v>
      </c>
      <c r="AC138" s="99">
        <v>0.56000000000000005</v>
      </c>
      <c r="AD138" s="99">
        <v>0.52</v>
      </c>
      <c r="AE138" s="16">
        <v>49</v>
      </c>
      <c r="AF138" s="16">
        <v>8</v>
      </c>
      <c r="AG138" s="96">
        <v>0</v>
      </c>
      <c r="AH138" s="96">
        <v>0.8</v>
      </c>
      <c r="AI138" s="96">
        <v>0.2</v>
      </c>
      <c r="AJ138" s="96">
        <v>0</v>
      </c>
      <c r="AK138" s="96">
        <v>0.53</v>
      </c>
      <c r="AL138" s="96">
        <v>0.4</v>
      </c>
      <c r="AM138" s="96">
        <v>0.5</v>
      </c>
      <c r="AN138" s="73">
        <v>55</v>
      </c>
      <c r="AO138" s="73">
        <v>9</v>
      </c>
      <c r="AP138" s="74">
        <v>0</v>
      </c>
      <c r="AQ138" s="74">
        <v>0.33</v>
      </c>
      <c r="AR138" s="74">
        <v>0.67</v>
      </c>
      <c r="AS138" s="74">
        <v>0</v>
      </c>
      <c r="AT138" s="74">
        <v>0.5</v>
      </c>
      <c r="AU138" s="74">
        <v>0.2</v>
      </c>
      <c r="AV138" s="74">
        <v>0.55000000000000004</v>
      </c>
      <c r="AW138" s="349">
        <v>56</v>
      </c>
      <c r="AX138" s="348" t="s">
        <v>910</v>
      </c>
      <c r="AY138" s="349">
        <v>6</v>
      </c>
      <c r="AZ138" s="348" t="s">
        <v>910</v>
      </c>
      <c r="BA138" s="371">
        <v>0</v>
      </c>
      <c r="BB138" s="371">
        <v>0.17</v>
      </c>
      <c r="BC138" s="371">
        <v>0.83</v>
      </c>
      <c r="BD138" s="371">
        <v>0</v>
      </c>
      <c r="BE138" s="371">
        <v>0.42</v>
      </c>
      <c r="BF138" s="371">
        <v>0.36</v>
      </c>
      <c r="BG138" s="371">
        <v>0.41</v>
      </c>
      <c r="BH138" s="469">
        <v>52</v>
      </c>
      <c r="BI138" s="471" t="s">
        <v>910</v>
      </c>
      <c r="BJ138" s="469">
        <v>4</v>
      </c>
      <c r="BK138" s="471" t="s">
        <v>912</v>
      </c>
      <c r="BL138" s="501">
        <v>0</v>
      </c>
      <c r="BM138" s="501">
        <v>0.5</v>
      </c>
      <c r="BN138" s="501">
        <v>0.5</v>
      </c>
      <c r="BO138" s="501">
        <v>0</v>
      </c>
      <c r="BP138" s="501">
        <v>0.56000000000000005</v>
      </c>
      <c r="BQ138" s="501">
        <v>0.31</v>
      </c>
      <c r="BR138" s="501">
        <v>0.5</v>
      </c>
      <c r="BS138" s="630">
        <v>57</v>
      </c>
      <c r="BT138" s="640" t="s">
        <v>910</v>
      </c>
      <c r="BU138" s="630">
        <v>8</v>
      </c>
      <c r="BV138" s="640" t="s">
        <v>910</v>
      </c>
      <c r="BW138" s="644">
        <v>0</v>
      </c>
      <c r="BX138" s="644">
        <v>0.25</v>
      </c>
      <c r="BY138" s="644">
        <v>0.5</v>
      </c>
      <c r="BZ138" s="644">
        <v>0.25</v>
      </c>
      <c r="CA138" s="644">
        <v>0.35</v>
      </c>
      <c r="CB138" s="644">
        <v>0.54</v>
      </c>
      <c r="CC138" s="644">
        <v>0.31</v>
      </c>
    </row>
    <row r="139" spans="1:81" ht="24.9" customHeight="1" x14ac:dyDescent="0.25">
      <c r="A139" s="188" t="s">
        <v>235</v>
      </c>
      <c r="B139" s="1" t="s">
        <v>222</v>
      </c>
      <c r="C139" s="2">
        <v>2</v>
      </c>
      <c r="D139" s="13" t="s">
        <v>226</v>
      </c>
      <c r="E139" s="13" t="s">
        <v>226</v>
      </c>
      <c r="F139" s="13"/>
      <c r="G139" s="13"/>
      <c r="H139" s="13"/>
      <c r="I139" s="13"/>
      <c r="J139" s="13"/>
      <c r="K139" s="13"/>
      <c r="L139" s="13"/>
      <c r="M139" s="13" t="s">
        <v>226</v>
      </c>
      <c r="N139" s="13" t="s">
        <v>226</v>
      </c>
      <c r="O139" s="92"/>
      <c r="P139" s="92"/>
      <c r="Q139" s="92"/>
      <c r="R139" s="92"/>
      <c r="S139" s="92"/>
      <c r="T139" s="92"/>
      <c r="U139" s="92"/>
      <c r="V139" s="13" t="s">
        <v>226</v>
      </c>
      <c r="W139" s="13" t="s">
        <v>226</v>
      </c>
      <c r="X139" s="13"/>
      <c r="Y139" s="13"/>
      <c r="Z139" s="13"/>
      <c r="AA139" s="13"/>
      <c r="AB139" s="13"/>
      <c r="AC139" s="13"/>
      <c r="AD139" s="13"/>
      <c r="AE139" s="16">
        <v>55</v>
      </c>
      <c r="AF139" s="16">
        <v>10</v>
      </c>
      <c r="AG139" s="96">
        <v>0</v>
      </c>
      <c r="AH139" s="96">
        <v>0.17</v>
      </c>
      <c r="AI139" s="96">
        <v>0.83</v>
      </c>
      <c r="AJ139" s="96">
        <v>0</v>
      </c>
      <c r="AK139" s="96">
        <v>0.44</v>
      </c>
      <c r="AL139" s="96">
        <v>0.28000000000000003</v>
      </c>
      <c r="AM139" s="96">
        <v>0.36</v>
      </c>
      <c r="AN139" s="61">
        <v>54</v>
      </c>
      <c r="AO139" s="61">
        <v>3</v>
      </c>
      <c r="AP139" s="66">
        <v>0</v>
      </c>
      <c r="AQ139" s="66">
        <v>0</v>
      </c>
      <c r="AR139" s="66">
        <v>1</v>
      </c>
      <c r="AS139" s="66">
        <v>0</v>
      </c>
      <c r="AT139" s="66">
        <v>0.42</v>
      </c>
      <c r="AU139" s="66">
        <v>0.35</v>
      </c>
      <c r="AV139" s="66">
        <v>0.55000000000000004</v>
      </c>
      <c r="AW139" s="349">
        <v>53</v>
      </c>
      <c r="AX139" s="348" t="s">
        <v>910</v>
      </c>
      <c r="AY139" s="349">
        <v>12</v>
      </c>
      <c r="AZ139" s="348" t="s">
        <v>910</v>
      </c>
      <c r="BA139" s="371">
        <v>7.0000000000000007E-2</v>
      </c>
      <c r="BB139" s="371">
        <v>0.43</v>
      </c>
      <c r="BC139" s="371">
        <v>0.36</v>
      </c>
      <c r="BD139" s="371">
        <v>0.14000000000000001</v>
      </c>
      <c r="BE139" s="371">
        <v>0.48</v>
      </c>
      <c r="BF139" s="371">
        <v>0.36</v>
      </c>
      <c r="BG139" s="371">
        <v>0.55000000000000004</v>
      </c>
      <c r="BH139" s="469">
        <v>53</v>
      </c>
      <c r="BI139" s="471" t="s">
        <v>910</v>
      </c>
      <c r="BJ139" s="469">
        <v>7</v>
      </c>
      <c r="BK139" s="471" t="s">
        <v>910</v>
      </c>
      <c r="BL139" s="501">
        <v>0.05</v>
      </c>
      <c r="BM139" s="501">
        <v>0.33</v>
      </c>
      <c r="BN139" s="501">
        <v>0.62</v>
      </c>
      <c r="BO139" s="501">
        <v>0</v>
      </c>
      <c r="BP139" s="501">
        <v>0.5</v>
      </c>
      <c r="BQ139" s="501">
        <v>0.38</v>
      </c>
      <c r="BR139" s="501">
        <v>0.51</v>
      </c>
      <c r="BS139" s="630">
        <v>51</v>
      </c>
      <c r="BT139" s="640" t="s">
        <v>910</v>
      </c>
      <c r="BU139" s="630">
        <v>9</v>
      </c>
      <c r="BV139" s="640" t="s">
        <v>910</v>
      </c>
      <c r="BW139" s="644">
        <v>0.05</v>
      </c>
      <c r="BX139" s="644">
        <v>0.47</v>
      </c>
      <c r="BY139" s="644">
        <v>0.47</v>
      </c>
      <c r="BZ139" s="644">
        <v>0</v>
      </c>
      <c r="CA139" s="644">
        <v>0.45</v>
      </c>
      <c r="CB139" s="644">
        <v>0.52</v>
      </c>
      <c r="CC139" s="644">
        <v>0.5</v>
      </c>
    </row>
    <row r="140" spans="1:81" ht="24.9" customHeight="1" x14ac:dyDescent="0.25">
      <c r="A140" s="188" t="s">
        <v>144</v>
      </c>
      <c r="B140" s="1" t="s">
        <v>222</v>
      </c>
      <c r="C140" s="2">
        <v>2</v>
      </c>
      <c r="D140" s="16">
        <v>53</v>
      </c>
      <c r="E140" s="16">
        <v>9</v>
      </c>
      <c r="F140" s="96">
        <v>7.0000000000000007E-2</v>
      </c>
      <c r="G140" s="96">
        <v>0.38</v>
      </c>
      <c r="H140" s="96">
        <v>0.48</v>
      </c>
      <c r="I140" s="96">
        <v>7.0000000000000007E-2</v>
      </c>
      <c r="J140" s="96">
        <v>0.49</v>
      </c>
      <c r="K140" s="96">
        <v>0.48</v>
      </c>
      <c r="L140" s="96">
        <v>0.52</v>
      </c>
      <c r="M140" s="34">
        <v>58</v>
      </c>
      <c r="N140" s="34">
        <v>7</v>
      </c>
      <c r="O140" s="92">
        <v>0</v>
      </c>
      <c r="P140" s="92">
        <v>0.15</v>
      </c>
      <c r="Q140" s="92">
        <v>0.77</v>
      </c>
      <c r="R140" s="92">
        <v>0.08</v>
      </c>
      <c r="S140" s="92">
        <v>0.41</v>
      </c>
      <c r="T140" s="92">
        <v>0.42</v>
      </c>
      <c r="U140" s="92">
        <v>0.38</v>
      </c>
      <c r="V140" s="16">
        <v>56</v>
      </c>
      <c r="W140" s="16">
        <v>9</v>
      </c>
      <c r="X140" s="99">
        <v>0</v>
      </c>
      <c r="Y140" s="99">
        <v>0.37</v>
      </c>
      <c r="Z140" s="99">
        <v>0.41</v>
      </c>
      <c r="AA140" s="99">
        <v>0.22</v>
      </c>
      <c r="AB140" s="99">
        <v>0.39</v>
      </c>
      <c r="AC140" s="99">
        <v>0.44</v>
      </c>
      <c r="AD140" s="99">
        <v>0.48</v>
      </c>
      <c r="AE140" s="16">
        <v>57</v>
      </c>
      <c r="AF140" s="16">
        <v>7</v>
      </c>
      <c r="AG140" s="96">
        <v>0</v>
      </c>
      <c r="AH140" s="96">
        <v>0.18</v>
      </c>
      <c r="AI140" s="96">
        <v>0.66</v>
      </c>
      <c r="AJ140" s="96">
        <v>0.16</v>
      </c>
      <c r="AK140" s="96">
        <v>0.37</v>
      </c>
      <c r="AL140" s="96">
        <v>0.3</v>
      </c>
      <c r="AM140" s="96">
        <v>0.37</v>
      </c>
      <c r="AN140" s="61">
        <v>58</v>
      </c>
      <c r="AO140" s="61">
        <v>9</v>
      </c>
      <c r="AP140" s="66">
        <v>0.02</v>
      </c>
      <c r="AQ140" s="66">
        <v>0.27</v>
      </c>
      <c r="AR140" s="66">
        <v>0.46</v>
      </c>
      <c r="AS140" s="66">
        <v>0.25</v>
      </c>
      <c r="AT140" s="66">
        <v>0.38</v>
      </c>
      <c r="AU140" s="66">
        <v>0.3</v>
      </c>
      <c r="AV140" s="66">
        <v>0.34</v>
      </c>
      <c r="AW140" s="349">
        <v>57</v>
      </c>
      <c r="AX140" s="348" t="s">
        <v>910</v>
      </c>
      <c r="AY140" s="349">
        <v>8</v>
      </c>
      <c r="AZ140" s="348" t="s">
        <v>910</v>
      </c>
      <c r="BA140" s="371">
        <v>0</v>
      </c>
      <c r="BB140" s="371">
        <v>0.22</v>
      </c>
      <c r="BC140" s="371">
        <v>0.61</v>
      </c>
      <c r="BD140" s="371">
        <v>0.17</v>
      </c>
      <c r="BE140" s="371">
        <v>0.38</v>
      </c>
      <c r="BF140" s="371">
        <v>0.31</v>
      </c>
      <c r="BG140" s="371">
        <v>0.46</v>
      </c>
      <c r="BH140" s="469">
        <v>56</v>
      </c>
      <c r="BI140" s="471" t="s">
        <v>910</v>
      </c>
      <c r="BJ140" s="469">
        <v>8</v>
      </c>
      <c r="BK140" s="471" t="s">
        <v>910</v>
      </c>
      <c r="BL140" s="501">
        <v>0</v>
      </c>
      <c r="BM140" s="501">
        <v>0.23</v>
      </c>
      <c r="BN140" s="501">
        <v>0.7</v>
      </c>
      <c r="BO140" s="501">
        <v>0.08</v>
      </c>
      <c r="BP140" s="501">
        <v>0.42</v>
      </c>
      <c r="BQ140" s="501">
        <v>0.28999999999999998</v>
      </c>
      <c r="BR140" s="501">
        <v>0.44</v>
      </c>
      <c r="BS140" s="630">
        <v>56</v>
      </c>
      <c r="BT140" s="640" t="s">
        <v>910</v>
      </c>
      <c r="BU140" s="630">
        <v>9</v>
      </c>
      <c r="BV140" s="640" t="s">
        <v>910</v>
      </c>
      <c r="BW140" s="644">
        <v>0.01</v>
      </c>
      <c r="BX140" s="644">
        <v>0.25</v>
      </c>
      <c r="BY140" s="644">
        <v>0.65</v>
      </c>
      <c r="BZ140" s="644">
        <v>0.09</v>
      </c>
      <c r="CA140" s="644">
        <v>0.36</v>
      </c>
      <c r="CB140" s="644">
        <v>0.43</v>
      </c>
      <c r="CC140" s="644">
        <v>0.46</v>
      </c>
    </row>
    <row r="141" spans="1:81" ht="24.9" customHeight="1" x14ac:dyDescent="0.25">
      <c r="A141" s="188" t="s">
        <v>210</v>
      </c>
      <c r="B141" s="1" t="s">
        <v>222</v>
      </c>
      <c r="C141" s="2">
        <v>1</v>
      </c>
      <c r="D141" s="16">
        <v>54</v>
      </c>
      <c r="E141" s="16">
        <v>5</v>
      </c>
      <c r="F141" s="96">
        <v>0</v>
      </c>
      <c r="G141" s="96">
        <v>0.36</v>
      </c>
      <c r="H141" s="96">
        <v>0.64</v>
      </c>
      <c r="I141" s="96">
        <v>0</v>
      </c>
      <c r="J141" s="96">
        <v>0.32</v>
      </c>
      <c r="K141" s="96">
        <v>0.39</v>
      </c>
      <c r="L141" s="96">
        <v>0.64</v>
      </c>
      <c r="M141" s="34">
        <v>56</v>
      </c>
      <c r="N141" s="34">
        <v>8</v>
      </c>
      <c r="O141" s="92">
        <v>0</v>
      </c>
      <c r="P141" s="92">
        <v>0.24</v>
      </c>
      <c r="Q141" s="92">
        <v>0.67</v>
      </c>
      <c r="R141" s="92">
        <v>0.1</v>
      </c>
      <c r="S141" s="92">
        <v>0.38</v>
      </c>
      <c r="T141" s="92">
        <v>0.48</v>
      </c>
      <c r="U141" s="92">
        <v>0.46</v>
      </c>
      <c r="V141" s="16">
        <v>57</v>
      </c>
      <c r="W141" s="16">
        <v>7</v>
      </c>
      <c r="X141" s="99">
        <v>0</v>
      </c>
      <c r="Y141" s="99">
        <v>0.13</v>
      </c>
      <c r="Z141" s="99">
        <v>0.63</v>
      </c>
      <c r="AA141" s="99">
        <v>0.25</v>
      </c>
      <c r="AB141" s="99">
        <v>0.34</v>
      </c>
      <c r="AC141" s="99">
        <v>0.43</v>
      </c>
      <c r="AD141" s="99">
        <v>0.49</v>
      </c>
      <c r="AE141" s="16">
        <v>56</v>
      </c>
      <c r="AF141" s="16">
        <v>7</v>
      </c>
      <c r="AG141" s="96">
        <v>0</v>
      </c>
      <c r="AH141" s="96">
        <v>0.28000000000000003</v>
      </c>
      <c r="AI141" s="96">
        <v>0.61</v>
      </c>
      <c r="AJ141" s="96">
        <v>0.11</v>
      </c>
      <c r="AK141" s="96">
        <v>0.35</v>
      </c>
      <c r="AL141" s="96">
        <v>0.35</v>
      </c>
      <c r="AM141" s="96">
        <v>0.34</v>
      </c>
      <c r="AN141" s="61">
        <v>57</v>
      </c>
      <c r="AO141" s="61">
        <v>8</v>
      </c>
      <c r="AP141" s="66">
        <v>0</v>
      </c>
      <c r="AQ141" s="66">
        <v>0.16</v>
      </c>
      <c r="AR141" s="66">
        <v>0.64</v>
      </c>
      <c r="AS141" s="66">
        <v>0.2</v>
      </c>
      <c r="AT141" s="66">
        <v>0.39</v>
      </c>
      <c r="AU141" s="66">
        <v>0.27</v>
      </c>
      <c r="AV141" s="66">
        <v>0.44</v>
      </c>
      <c r="AW141" s="349">
        <v>54</v>
      </c>
      <c r="AX141" s="348" t="s">
        <v>910</v>
      </c>
      <c r="AY141" s="349">
        <v>8</v>
      </c>
      <c r="AZ141" s="348" t="s">
        <v>910</v>
      </c>
      <c r="BA141" s="371">
        <v>0</v>
      </c>
      <c r="BB141" s="371">
        <v>0.33</v>
      </c>
      <c r="BC141" s="371">
        <v>0.57999999999999996</v>
      </c>
      <c r="BD141" s="371">
        <v>0.08</v>
      </c>
      <c r="BE141" s="371">
        <v>0.45</v>
      </c>
      <c r="BF141" s="371">
        <v>0.32</v>
      </c>
      <c r="BG141" s="371">
        <v>0.56000000000000005</v>
      </c>
      <c r="BH141" s="469">
        <v>58</v>
      </c>
      <c r="BI141" s="471" t="s">
        <v>910</v>
      </c>
      <c r="BJ141" s="469">
        <v>9</v>
      </c>
      <c r="BK141" s="471" t="s">
        <v>910</v>
      </c>
      <c r="BL141" s="501">
        <v>0.03</v>
      </c>
      <c r="BM141" s="501">
        <v>0.14000000000000001</v>
      </c>
      <c r="BN141" s="501">
        <v>0.66</v>
      </c>
      <c r="BO141" s="501">
        <v>0.17</v>
      </c>
      <c r="BP141" s="501">
        <v>0.42</v>
      </c>
      <c r="BQ141" s="501">
        <v>0.28999999999999998</v>
      </c>
      <c r="BR141" s="501">
        <v>0.36</v>
      </c>
      <c r="BS141" s="630">
        <v>56</v>
      </c>
      <c r="BT141" s="640" t="s">
        <v>910</v>
      </c>
      <c r="BU141" s="630">
        <v>9</v>
      </c>
      <c r="BV141" s="640" t="s">
        <v>910</v>
      </c>
      <c r="BW141" s="644">
        <v>0.04</v>
      </c>
      <c r="BX141" s="644">
        <v>0.15</v>
      </c>
      <c r="BY141" s="644">
        <v>0.74</v>
      </c>
      <c r="BZ141" s="644">
        <v>0.06</v>
      </c>
      <c r="CA141" s="644">
        <v>0.36</v>
      </c>
      <c r="CB141" s="644">
        <v>0.45</v>
      </c>
      <c r="CC141" s="644">
        <v>0.46</v>
      </c>
    </row>
    <row r="142" spans="1:81" ht="24.9" customHeight="1" x14ac:dyDescent="0.25">
      <c r="A142" s="188" t="s">
        <v>67</v>
      </c>
      <c r="B142" s="1" t="s">
        <v>222</v>
      </c>
      <c r="C142" s="2">
        <v>1</v>
      </c>
      <c r="D142" s="16">
        <v>54</v>
      </c>
      <c r="E142" s="16">
        <v>7</v>
      </c>
      <c r="F142" s="96">
        <v>0.01</v>
      </c>
      <c r="G142" s="96">
        <v>0.32</v>
      </c>
      <c r="H142" s="96">
        <v>0.64</v>
      </c>
      <c r="I142" s="96">
        <v>0.04</v>
      </c>
      <c r="J142" s="96">
        <v>0.41</v>
      </c>
      <c r="K142" s="96">
        <v>0.47</v>
      </c>
      <c r="L142" s="96">
        <v>0.52</v>
      </c>
      <c r="M142" s="34">
        <v>58</v>
      </c>
      <c r="N142" s="34">
        <v>8</v>
      </c>
      <c r="O142" s="92">
        <v>0</v>
      </c>
      <c r="P142" s="92">
        <v>0.16</v>
      </c>
      <c r="Q142" s="92">
        <v>0.66</v>
      </c>
      <c r="R142" s="92">
        <v>0.18</v>
      </c>
      <c r="S142" s="92">
        <v>0.34</v>
      </c>
      <c r="T142" s="92">
        <v>0.42</v>
      </c>
      <c r="U142" s="92">
        <v>0.39</v>
      </c>
      <c r="V142" s="16">
        <v>56</v>
      </c>
      <c r="W142" s="16">
        <v>8</v>
      </c>
      <c r="X142" s="99">
        <v>0.01</v>
      </c>
      <c r="Y142" s="99">
        <v>0.24</v>
      </c>
      <c r="Z142" s="99">
        <v>0.62</v>
      </c>
      <c r="AA142" s="99">
        <v>0.13</v>
      </c>
      <c r="AB142" s="99">
        <v>0.42</v>
      </c>
      <c r="AC142" s="99">
        <v>0.44</v>
      </c>
      <c r="AD142" s="99">
        <v>0.45</v>
      </c>
      <c r="AE142" s="16">
        <v>57</v>
      </c>
      <c r="AF142" s="16">
        <v>8</v>
      </c>
      <c r="AG142" s="96">
        <v>0.01</v>
      </c>
      <c r="AH142" s="96">
        <v>0.17</v>
      </c>
      <c r="AI142" s="96">
        <v>0.66</v>
      </c>
      <c r="AJ142" s="96">
        <v>0.17</v>
      </c>
      <c r="AK142" s="96">
        <v>0.36</v>
      </c>
      <c r="AL142" s="96">
        <v>0.31</v>
      </c>
      <c r="AM142" s="96">
        <v>0.38</v>
      </c>
      <c r="AN142" s="61">
        <v>58</v>
      </c>
      <c r="AO142" s="61">
        <v>8</v>
      </c>
      <c r="AP142" s="66">
        <v>0.01</v>
      </c>
      <c r="AQ142" s="66">
        <v>0.17</v>
      </c>
      <c r="AR142" s="66">
        <v>0.66</v>
      </c>
      <c r="AS142" s="66">
        <v>0.15</v>
      </c>
      <c r="AT142" s="66">
        <v>0.41</v>
      </c>
      <c r="AU142" s="66">
        <v>0.3</v>
      </c>
      <c r="AV142" s="66">
        <v>0.35</v>
      </c>
      <c r="AW142" s="349">
        <v>58</v>
      </c>
      <c r="AX142" s="348" t="s">
        <v>910</v>
      </c>
      <c r="AY142" s="349">
        <v>9</v>
      </c>
      <c r="AZ142" s="348" t="s">
        <v>910</v>
      </c>
      <c r="BA142" s="371">
        <v>0</v>
      </c>
      <c r="BB142" s="371">
        <v>0.24</v>
      </c>
      <c r="BC142" s="371">
        <v>0.54</v>
      </c>
      <c r="BD142" s="371">
        <v>0.22</v>
      </c>
      <c r="BE142" s="371">
        <v>0.37</v>
      </c>
      <c r="BF142" s="371">
        <v>0.27</v>
      </c>
      <c r="BG142" s="371">
        <v>0.49</v>
      </c>
      <c r="BH142" s="469">
        <v>59</v>
      </c>
      <c r="BI142" s="471" t="s">
        <v>910</v>
      </c>
      <c r="BJ142" s="469">
        <v>9</v>
      </c>
      <c r="BK142" s="471" t="s">
        <v>910</v>
      </c>
      <c r="BL142" s="501">
        <v>0</v>
      </c>
      <c r="BM142" s="501">
        <v>0.17</v>
      </c>
      <c r="BN142" s="501">
        <v>0.65</v>
      </c>
      <c r="BO142" s="501">
        <v>0.18</v>
      </c>
      <c r="BP142" s="501">
        <v>0.39</v>
      </c>
      <c r="BQ142" s="501">
        <v>0.27</v>
      </c>
      <c r="BR142" s="501">
        <v>0.38</v>
      </c>
      <c r="BS142" s="630">
        <v>59</v>
      </c>
      <c r="BT142" s="640" t="s">
        <v>910</v>
      </c>
      <c r="BU142" s="630">
        <v>9</v>
      </c>
      <c r="BV142" s="640" t="s">
        <v>910</v>
      </c>
      <c r="BW142" s="644">
        <v>0</v>
      </c>
      <c r="BX142" s="644">
        <v>0.17</v>
      </c>
      <c r="BY142" s="644">
        <v>0.55000000000000004</v>
      </c>
      <c r="BZ142" s="644">
        <v>0.28000000000000003</v>
      </c>
      <c r="CA142" s="644">
        <v>0.27</v>
      </c>
      <c r="CB142" s="644">
        <v>0.38</v>
      </c>
      <c r="CC142" s="644">
        <v>0.4</v>
      </c>
    </row>
    <row r="143" spans="1:81" s="461" customFormat="1" ht="24.9" customHeight="1" x14ac:dyDescent="0.25">
      <c r="A143" s="470" t="s">
        <v>928</v>
      </c>
      <c r="B143" s="1" t="s">
        <v>222</v>
      </c>
      <c r="C143" s="471">
        <v>6</v>
      </c>
      <c r="D143" s="502"/>
      <c r="E143" s="502"/>
      <c r="F143" s="501"/>
      <c r="G143" s="501"/>
      <c r="H143" s="501"/>
      <c r="I143" s="501"/>
      <c r="J143" s="501"/>
      <c r="K143" s="501"/>
      <c r="L143" s="501"/>
      <c r="M143" s="503"/>
      <c r="N143" s="503"/>
      <c r="O143" s="504"/>
      <c r="P143" s="504"/>
      <c r="Q143" s="504"/>
      <c r="R143" s="504"/>
      <c r="S143" s="504"/>
      <c r="T143" s="504"/>
      <c r="U143" s="504"/>
      <c r="V143" s="502"/>
      <c r="W143" s="502"/>
      <c r="X143" s="508"/>
      <c r="Y143" s="508"/>
      <c r="Z143" s="508"/>
      <c r="AA143" s="508"/>
      <c r="AB143" s="508"/>
      <c r="AC143" s="508"/>
      <c r="AD143" s="508"/>
      <c r="AE143" s="502"/>
      <c r="AF143" s="502"/>
      <c r="AG143" s="501"/>
      <c r="AH143" s="501"/>
      <c r="AI143" s="501"/>
      <c r="AJ143" s="501"/>
      <c r="AK143" s="501"/>
      <c r="AL143" s="501"/>
      <c r="AM143" s="501"/>
      <c r="AN143" s="472"/>
      <c r="AO143" s="472"/>
      <c r="AP143" s="506"/>
      <c r="AQ143" s="506"/>
      <c r="AR143" s="506"/>
      <c r="AS143" s="506"/>
      <c r="AT143" s="506"/>
      <c r="AU143" s="506"/>
      <c r="AV143" s="506"/>
      <c r="AW143" s="475"/>
      <c r="AX143" s="493"/>
      <c r="AY143" s="475"/>
      <c r="AZ143" s="493"/>
      <c r="BA143" s="507"/>
      <c r="BB143" s="507"/>
      <c r="BC143" s="507"/>
      <c r="BD143" s="507"/>
      <c r="BE143" s="507"/>
      <c r="BF143" s="507"/>
      <c r="BG143" s="507"/>
      <c r="BH143" s="469">
        <v>49</v>
      </c>
      <c r="BI143" s="471" t="s">
        <v>910</v>
      </c>
      <c r="BJ143" s="469">
        <v>10</v>
      </c>
      <c r="BK143" s="471" t="s">
        <v>910</v>
      </c>
      <c r="BL143" s="501">
        <v>0.14000000000000001</v>
      </c>
      <c r="BM143" s="501">
        <v>0.43</v>
      </c>
      <c r="BN143" s="501">
        <v>0.43</v>
      </c>
      <c r="BO143" s="501">
        <v>0</v>
      </c>
      <c r="BP143" s="501">
        <v>0.54</v>
      </c>
      <c r="BQ143" s="501">
        <v>0.43</v>
      </c>
      <c r="BR143" s="501">
        <v>0.52</v>
      </c>
      <c r="BS143" s="630">
        <v>45</v>
      </c>
      <c r="BT143" s="640" t="s">
        <v>912</v>
      </c>
      <c r="BU143" s="630">
        <v>7</v>
      </c>
      <c r="BV143" s="640" t="s">
        <v>910</v>
      </c>
      <c r="BW143" s="644">
        <v>0</v>
      </c>
      <c r="BX143" s="644">
        <v>0.83</v>
      </c>
      <c r="BY143" s="644">
        <v>0.17</v>
      </c>
      <c r="BZ143" s="644">
        <v>0</v>
      </c>
      <c r="CA143" s="644">
        <v>0.52</v>
      </c>
      <c r="CB143" s="644">
        <v>0.67</v>
      </c>
      <c r="CC143" s="644">
        <v>0.63</v>
      </c>
    </row>
    <row r="144" spans="1:81" ht="24.9" customHeight="1" x14ac:dyDescent="0.25">
      <c r="A144" s="188" t="s">
        <v>31</v>
      </c>
      <c r="B144" s="1" t="s">
        <v>222</v>
      </c>
      <c r="C144" s="2">
        <v>6</v>
      </c>
      <c r="D144" s="16">
        <v>56</v>
      </c>
      <c r="E144" s="16">
        <v>9</v>
      </c>
      <c r="F144" s="96">
        <v>0</v>
      </c>
      <c r="G144" s="96">
        <v>0.36</v>
      </c>
      <c r="H144" s="96">
        <v>0.55000000000000004</v>
      </c>
      <c r="I144" s="96">
        <v>0.09</v>
      </c>
      <c r="J144" s="96">
        <v>0.31</v>
      </c>
      <c r="K144" s="96">
        <v>0.4</v>
      </c>
      <c r="L144" s="96">
        <v>0.55000000000000004</v>
      </c>
      <c r="M144" s="34">
        <v>51</v>
      </c>
      <c r="N144" s="34">
        <v>8</v>
      </c>
      <c r="O144" s="92">
        <v>0.08</v>
      </c>
      <c r="P144" s="92">
        <v>0.33</v>
      </c>
      <c r="Q144" s="92">
        <v>0.57999999999999996</v>
      </c>
      <c r="R144" s="92">
        <v>0</v>
      </c>
      <c r="S144" s="92">
        <v>0.54</v>
      </c>
      <c r="T144" s="92">
        <v>0.45</v>
      </c>
      <c r="U144" s="92">
        <v>0.57999999999999996</v>
      </c>
      <c r="V144" s="16">
        <v>54</v>
      </c>
      <c r="W144" s="16">
        <v>11</v>
      </c>
      <c r="X144" s="99">
        <v>0</v>
      </c>
      <c r="Y144" s="99">
        <v>0.63</v>
      </c>
      <c r="Z144" s="99">
        <v>0.13</v>
      </c>
      <c r="AA144" s="99">
        <v>0.25</v>
      </c>
      <c r="AB144" s="99">
        <v>0.48</v>
      </c>
      <c r="AC144" s="99">
        <v>0.55000000000000004</v>
      </c>
      <c r="AD144" s="99">
        <v>0.47</v>
      </c>
      <c r="AE144" s="16">
        <v>53</v>
      </c>
      <c r="AF144" s="16">
        <v>8</v>
      </c>
      <c r="AG144" s="96">
        <v>0</v>
      </c>
      <c r="AH144" s="96">
        <v>0.5</v>
      </c>
      <c r="AI144" s="96">
        <v>0.5</v>
      </c>
      <c r="AJ144" s="96">
        <v>0</v>
      </c>
      <c r="AK144" s="96">
        <v>0.55000000000000004</v>
      </c>
      <c r="AL144" s="96">
        <v>0.33</v>
      </c>
      <c r="AM144" s="96">
        <v>0.31</v>
      </c>
      <c r="AN144" s="61">
        <v>52</v>
      </c>
      <c r="AO144" s="61">
        <v>4</v>
      </c>
      <c r="AP144" s="66">
        <v>0</v>
      </c>
      <c r="AQ144" s="66">
        <v>0.5</v>
      </c>
      <c r="AR144" s="66">
        <v>0.5</v>
      </c>
      <c r="AS144" s="66">
        <v>0</v>
      </c>
      <c r="AT144" s="66">
        <v>0.48</v>
      </c>
      <c r="AU144" s="66">
        <v>0.4</v>
      </c>
      <c r="AV144" s="66">
        <v>0.55000000000000004</v>
      </c>
      <c r="AW144" s="349">
        <v>59</v>
      </c>
      <c r="AX144" s="348" t="s">
        <v>910</v>
      </c>
      <c r="AY144" s="349">
        <v>8</v>
      </c>
      <c r="AZ144" s="348" t="s">
        <v>910</v>
      </c>
      <c r="BA144" s="371">
        <v>0</v>
      </c>
      <c r="BB144" s="371">
        <v>0.2</v>
      </c>
      <c r="BC144" s="371">
        <v>0.8</v>
      </c>
      <c r="BD144" s="371">
        <v>0</v>
      </c>
      <c r="BE144" s="371">
        <v>0.38</v>
      </c>
      <c r="BF144" s="371">
        <v>0.23</v>
      </c>
      <c r="BG144" s="371">
        <v>0.5</v>
      </c>
      <c r="BH144" s="469">
        <v>52</v>
      </c>
      <c r="BI144" s="471" t="s">
        <v>910</v>
      </c>
      <c r="BJ144" s="469">
        <v>5</v>
      </c>
      <c r="BK144" s="471" t="s">
        <v>912</v>
      </c>
      <c r="BL144" s="501">
        <v>0</v>
      </c>
      <c r="BM144" s="501">
        <v>0.3</v>
      </c>
      <c r="BN144" s="501">
        <v>0.7</v>
      </c>
      <c r="BO144" s="501">
        <v>0</v>
      </c>
      <c r="BP144" s="501">
        <v>0.53</v>
      </c>
      <c r="BQ144" s="501">
        <v>0.43</v>
      </c>
      <c r="BR144" s="501">
        <v>0.43</v>
      </c>
      <c r="BS144" s="630">
        <v>54</v>
      </c>
      <c r="BT144" s="640" t="s">
        <v>910</v>
      </c>
      <c r="BU144" s="630">
        <v>6</v>
      </c>
      <c r="BV144" s="640" t="s">
        <v>910</v>
      </c>
      <c r="BW144" s="644">
        <v>0</v>
      </c>
      <c r="BX144" s="644">
        <v>0.43</v>
      </c>
      <c r="BY144" s="644">
        <v>0.56999999999999995</v>
      </c>
      <c r="BZ144" s="644">
        <v>0</v>
      </c>
      <c r="CA144" s="644">
        <v>0.37</v>
      </c>
      <c r="CB144" s="644">
        <v>0.43</v>
      </c>
      <c r="CC144" s="644">
        <v>0.52</v>
      </c>
    </row>
    <row r="145" spans="1:81" ht="24.9" customHeight="1" x14ac:dyDescent="0.25">
      <c r="A145" s="188" t="s">
        <v>54</v>
      </c>
      <c r="B145" s="1" t="s">
        <v>222</v>
      </c>
      <c r="C145" s="2">
        <v>6</v>
      </c>
      <c r="D145" s="16">
        <v>57</v>
      </c>
      <c r="E145" s="16">
        <v>7</v>
      </c>
      <c r="F145" s="96">
        <v>0</v>
      </c>
      <c r="G145" s="96">
        <v>0.28000000000000003</v>
      </c>
      <c r="H145" s="96">
        <v>0.61</v>
      </c>
      <c r="I145" s="96">
        <v>0.11</v>
      </c>
      <c r="J145" s="96">
        <v>0.41</v>
      </c>
      <c r="K145" s="96">
        <v>0.4</v>
      </c>
      <c r="L145" s="96">
        <v>0.51</v>
      </c>
      <c r="M145" s="34">
        <v>59</v>
      </c>
      <c r="N145" s="34">
        <v>8</v>
      </c>
      <c r="O145" s="92">
        <v>0</v>
      </c>
      <c r="P145" s="92">
        <v>0.14000000000000001</v>
      </c>
      <c r="Q145" s="92">
        <v>0.6</v>
      </c>
      <c r="R145" s="92">
        <v>0.26</v>
      </c>
      <c r="S145" s="92">
        <v>0.36</v>
      </c>
      <c r="T145" s="92">
        <v>0.41</v>
      </c>
      <c r="U145" s="92">
        <v>0.34</v>
      </c>
      <c r="V145" s="16">
        <v>58</v>
      </c>
      <c r="W145" s="16">
        <v>7</v>
      </c>
      <c r="X145" s="99">
        <v>0</v>
      </c>
      <c r="Y145" s="99">
        <v>0.12</v>
      </c>
      <c r="Z145" s="99">
        <v>0.76</v>
      </c>
      <c r="AA145" s="99">
        <v>0.12</v>
      </c>
      <c r="AB145" s="99">
        <v>0.34</v>
      </c>
      <c r="AC145" s="99">
        <v>0.41</v>
      </c>
      <c r="AD145" s="99">
        <v>0.46</v>
      </c>
      <c r="AE145" s="16">
        <v>59</v>
      </c>
      <c r="AF145" s="16">
        <v>9</v>
      </c>
      <c r="AG145" s="96">
        <v>0</v>
      </c>
      <c r="AH145" s="96">
        <v>0.17</v>
      </c>
      <c r="AI145" s="96">
        <v>0.6</v>
      </c>
      <c r="AJ145" s="96">
        <v>0.23</v>
      </c>
      <c r="AK145" s="96">
        <v>0.31</v>
      </c>
      <c r="AL145" s="96">
        <v>0.33</v>
      </c>
      <c r="AM145" s="96">
        <v>0.32</v>
      </c>
      <c r="AN145" s="61">
        <v>57</v>
      </c>
      <c r="AO145" s="61">
        <v>8</v>
      </c>
      <c r="AP145" s="66">
        <v>0</v>
      </c>
      <c r="AQ145" s="66">
        <v>0.24</v>
      </c>
      <c r="AR145" s="66">
        <v>0.6</v>
      </c>
      <c r="AS145" s="66">
        <v>0.16</v>
      </c>
      <c r="AT145" s="66">
        <v>0.37</v>
      </c>
      <c r="AU145" s="66">
        <v>0.28999999999999998</v>
      </c>
      <c r="AV145" s="66">
        <v>0.39</v>
      </c>
      <c r="AW145" s="349">
        <v>61</v>
      </c>
      <c r="AX145" s="348" t="s">
        <v>910</v>
      </c>
      <c r="AY145" s="349">
        <v>6</v>
      </c>
      <c r="AZ145" s="348" t="s">
        <v>910</v>
      </c>
      <c r="BA145" s="371">
        <v>0</v>
      </c>
      <c r="BB145" s="371">
        <v>0.03</v>
      </c>
      <c r="BC145" s="371">
        <v>0.71</v>
      </c>
      <c r="BD145" s="371">
        <v>0.26</v>
      </c>
      <c r="BE145" s="371">
        <v>0.32</v>
      </c>
      <c r="BF145" s="371">
        <v>0.25</v>
      </c>
      <c r="BG145" s="371">
        <v>0.42</v>
      </c>
      <c r="BH145" s="469">
        <v>61</v>
      </c>
      <c r="BI145" s="471" t="s">
        <v>910</v>
      </c>
      <c r="BJ145" s="469">
        <v>7</v>
      </c>
      <c r="BK145" s="471" t="s">
        <v>910</v>
      </c>
      <c r="BL145" s="501">
        <v>0</v>
      </c>
      <c r="BM145" s="501">
        <v>0.08</v>
      </c>
      <c r="BN145" s="501">
        <v>0.65</v>
      </c>
      <c r="BO145" s="501">
        <v>0.27</v>
      </c>
      <c r="BP145" s="501">
        <v>0.34</v>
      </c>
      <c r="BQ145" s="501">
        <v>0.2</v>
      </c>
      <c r="BR145" s="501">
        <v>0.33</v>
      </c>
      <c r="BS145" s="630">
        <v>65</v>
      </c>
      <c r="BT145" s="640" t="s">
        <v>911</v>
      </c>
      <c r="BU145" s="630">
        <v>8</v>
      </c>
      <c r="BV145" s="640" t="s">
        <v>910</v>
      </c>
      <c r="BW145" s="644">
        <v>0</v>
      </c>
      <c r="BX145" s="644">
        <v>0.04</v>
      </c>
      <c r="BY145" s="644">
        <v>0.56999999999999995</v>
      </c>
      <c r="BZ145" s="644">
        <v>0.39</v>
      </c>
      <c r="CA145" s="644">
        <v>0.22</v>
      </c>
      <c r="CB145" s="644">
        <v>0.28999999999999998</v>
      </c>
      <c r="CC145" s="644">
        <v>0.28000000000000003</v>
      </c>
    </row>
    <row r="146" spans="1:81" s="219" customFormat="1" ht="24.9" customHeight="1" x14ac:dyDescent="0.25">
      <c r="A146" s="188" t="s">
        <v>878</v>
      </c>
      <c r="B146" s="1" t="s">
        <v>222</v>
      </c>
      <c r="C146" s="2">
        <v>4</v>
      </c>
      <c r="D146" s="16"/>
      <c r="E146" s="16"/>
      <c r="F146" s="96"/>
      <c r="G146" s="96"/>
      <c r="H146" s="96"/>
      <c r="I146" s="96"/>
      <c r="J146" s="96"/>
      <c r="K146" s="96"/>
      <c r="L146" s="96"/>
      <c r="M146" s="34"/>
      <c r="N146" s="34"/>
      <c r="O146" s="92"/>
      <c r="P146" s="92"/>
      <c r="Q146" s="92"/>
      <c r="R146" s="92"/>
      <c r="S146" s="92"/>
      <c r="T146" s="92"/>
      <c r="U146" s="92"/>
      <c r="V146" s="16"/>
      <c r="W146" s="16"/>
      <c r="X146" s="99"/>
      <c r="Y146" s="99"/>
      <c r="Z146" s="99"/>
      <c r="AA146" s="99"/>
      <c r="AB146" s="99"/>
      <c r="AC146" s="99"/>
      <c r="AD146" s="99"/>
      <c r="AE146" s="16"/>
      <c r="AF146" s="16"/>
      <c r="AG146" s="96"/>
      <c r="AH146" s="96"/>
      <c r="AI146" s="96"/>
      <c r="AJ146" s="96"/>
      <c r="AK146" s="96"/>
      <c r="AL146" s="96"/>
      <c r="AM146" s="96"/>
      <c r="AN146" s="61"/>
      <c r="AO146" s="61"/>
      <c r="AP146" s="66"/>
      <c r="AQ146" s="66"/>
      <c r="AR146" s="66"/>
      <c r="AS146" s="66"/>
      <c r="AT146" s="66"/>
      <c r="AU146" s="66"/>
      <c r="AV146" s="66"/>
      <c r="AX146" s="336"/>
      <c r="AZ146" s="336"/>
      <c r="BS146" s="630">
        <v>56</v>
      </c>
      <c r="BT146" s="640" t="s">
        <v>910</v>
      </c>
      <c r="BU146" s="630">
        <v>6</v>
      </c>
      <c r="BV146" s="640" t="s">
        <v>910</v>
      </c>
      <c r="BW146" s="644">
        <v>0</v>
      </c>
      <c r="BX146" s="644">
        <v>0.13</v>
      </c>
      <c r="BY146" s="644">
        <v>0.88</v>
      </c>
      <c r="BZ146" s="644">
        <v>0</v>
      </c>
      <c r="CA146" s="644">
        <v>0.33</v>
      </c>
      <c r="CB146" s="644">
        <v>0.44</v>
      </c>
      <c r="CC146" s="644">
        <v>0.46</v>
      </c>
    </row>
    <row r="147" spans="1:81" ht="24.9" customHeight="1" x14ac:dyDescent="0.25">
      <c r="A147" s="188" t="s">
        <v>142</v>
      </c>
      <c r="B147" s="1" t="s">
        <v>222</v>
      </c>
      <c r="C147" s="2">
        <v>2</v>
      </c>
      <c r="D147" s="16">
        <v>49</v>
      </c>
      <c r="E147" s="16">
        <v>8</v>
      </c>
      <c r="F147" s="96">
        <v>0.06</v>
      </c>
      <c r="G147" s="96">
        <v>0.63</v>
      </c>
      <c r="H147" s="96">
        <v>0.31</v>
      </c>
      <c r="I147" s="96">
        <v>0</v>
      </c>
      <c r="J147" s="96">
        <v>0.5</v>
      </c>
      <c r="K147" s="96">
        <v>0.54</v>
      </c>
      <c r="L147" s="96">
        <v>0.64</v>
      </c>
      <c r="M147" s="34">
        <v>58</v>
      </c>
      <c r="N147" s="34">
        <v>10</v>
      </c>
      <c r="O147" s="92">
        <v>0</v>
      </c>
      <c r="P147" s="92">
        <v>0.11</v>
      </c>
      <c r="Q147" s="92">
        <v>0.67</v>
      </c>
      <c r="R147" s="92">
        <v>0.22</v>
      </c>
      <c r="S147" s="92">
        <v>0.36</v>
      </c>
      <c r="T147" s="92">
        <v>0.43</v>
      </c>
      <c r="U147" s="92">
        <v>0.43</v>
      </c>
      <c r="V147" s="16">
        <v>53</v>
      </c>
      <c r="W147" s="16">
        <v>7</v>
      </c>
      <c r="X147" s="99">
        <v>0</v>
      </c>
      <c r="Y147" s="99">
        <v>0.47</v>
      </c>
      <c r="Z147" s="99">
        <v>0.47</v>
      </c>
      <c r="AA147" s="99">
        <v>7.0000000000000007E-2</v>
      </c>
      <c r="AB147" s="99">
        <v>0.51</v>
      </c>
      <c r="AC147" s="99">
        <v>0.44</v>
      </c>
      <c r="AD147" s="99">
        <v>0.44</v>
      </c>
      <c r="AE147" s="16">
        <v>48</v>
      </c>
      <c r="AF147" s="16">
        <v>10</v>
      </c>
      <c r="AG147" s="96">
        <v>0</v>
      </c>
      <c r="AH147" s="96">
        <v>0.64</v>
      </c>
      <c r="AI147" s="96">
        <v>0.27</v>
      </c>
      <c r="AJ147" s="96">
        <v>0.09</v>
      </c>
      <c r="AK147" s="96">
        <v>0.5</v>
      </c>
      <c r="AL147" s="96">
        <v>0.51</v>
      </c>
      <c r="AM147" s="96">
        <v>0.52</v>
      </c>
      <c r="AN147" s="61">
        <v>52</v>
      </c>
      <c r="AO147" s="61">
        <v>11</v>
      </c>
      <c r="AP147" s="66">
        <v>0</v>
      </c>
      <c r="AQ147" s="66">
        <v>0.43</v>
      </c>
      <c r="AR147" s="66">
        <v>0.5</v>
      </c>
      <c r="AS147" s="66">
        <v>7.0000000000000007E-2</v>
      </c>
      <c r="AT147" s="66">
        <v>0.5</v>
      </c>
      <c r="AU147" s="66">
        <v>0.43</v>
      </c>
      <c r="AV147" s="66">
        <v>0.45</v>
      </c>
      <c r="AW147" s="349">
        <v>55</v>
      </c>
      <c r="AX147" s="348" t="s">
        <v>910</v>
      </c>
      <c r="AY147" s="349">
        <v>5</v>
      </c>
      <c r="AZ147" s="348" t="s">
        <v>912</v>
      </c>
      <c r="BA147" s="371">
        <v>0</v>
      </c>
      <c r="BB147" s="371">
        <v>0.31</v>
      </c>
      <c r="BC147" s="371">
        <v>0.62</v>
      </c>
      <c r="BD147" s="371">
        <v>0.08</v>
      </c>
      <c r="BE147" s="371">
        <v>0.46</v>
      </c>
      <c r="BF147" s="371">
        <v>0.28999999999999998</v>
      </c>
      <c r="BG147" s="371">
        <v>0.54</v>
      </c>
      <c r="BH147" s="469">
        <v>58</v>
      </c>
      <c r="BI147" s="471" t="s">
        <v>910</v>
      </c>
      <c r="BJ147" s="469">
        <v>4</v>
      </c>
      <c r="BK147" s="471" t="s">
        <v>912</v>
      </c>
      <c r="BL147" s="501">
        <v>0</v>
      </c>
      <c r="BM147" s="501">
        <v>7.0000000000000007E-2</v>
      </c>
      <c r="BN147" s="501">
        <v>0.93</v>
      </c>
      <c r="BO147" s="501">
        <v>0</v>
      </c>
      <c r="BP147" s="501">
        <v>0.41</v>
      </c>
      <c r="BQ147" s="501">
        <v>0.34</v>
      </c>
      <c r="BR147" s="501">
        <v>0.34</v>
      </c>
      <c r="BS147" s="630">
        <v>56</v>
      </c>
      <c r="BT147" s="640" t="s">
        <v>910</v>
      </c>
      <c r="BU147" s="630">
        <v>7</v>
      </c>
      <c r="BV147" s="640" t="s">
        <v>910</v>
      </c>
      <c r="BW147" s="644">
        <v>0</v>
      </c>
      <c r="BX147" s="644">
        <v>0.26</v>
      </c>
      <c r="BY147" s="644">
        <v>0.63</v>
      </c>
      <c r="BZ147" s="644">
        <v>0.11</v>
      </c>
      <c r="CA147" s="644">
        <v>0.33</v>
      </c>
      <c r="CB147" s="644">
        <v>0.45</v>
      </c>
      <c r="CC147" s="644">
        <v>0.47</v>
      </c>
    </row>
    <row r="148" spans="1:81" ht="24.9" customHeight="1" x14ac:dyDescent="0.25">
      <c r="A148" s="188" t="s">
        <v>149</v>
      </c>
      <c r="B148" s="1" t="s">
        <v>222</v>
      </c>
      <c r="C148" s="2">
        <v>5</v>
      </c>
      <c r="D148" s="16">
        <v>52</v>
      </c>
      <c r="E148" s="16">
        <v>7</v>
      </c>
      <c r="F148" s="96">
        <v>0.05</v>
      </c>
      <c r="G148" s="96">
        <v>0.43</v>
      </c>
      <c r="H148" s="96">
        <v>0.52</v>
      </c>
      <c r="I148" s="96">
        <v>0</v>
      </c>
      <c r="J148" s="96">
        <v>0.47</v>
      </c>
      <c r="K148" s="96">
        <v>0.49</v>
      </c>
      <c r="L148" s="96">
        <v>0.61</v>
      </c>
      <c r="M148" s="34">
        <v>52</v>
      </c>
      <c r="N148" s="34">
        <v>9</v>
      </c>
      <c r="O148" s="92">
        <v>0.05</v>
      </c>
      <c r="P148" s="92">
        <v>0.37</v>
      </c>
      <c r="Q148" s="92">
        <v>0.51</v>
      </c>
      <c r="R148" s="92">
        <v>7.0000000000000007E-2</v>
      </c>
      <c r="S148" s="92">
        <v>0.44</v>
      </c>
      <c r="T148" s="92">
        <v>0.49</v>
      </c>
      <c r="U148" s="92">
        <v>0.56000000000000005</v>
      </c>
      <c r="V148" s="16">
        <v>51</v>
      </c>
      <c r="W148" s="16">
        <v>9</v>
      </c>
      <c r="X148" s="99">
        <v>0.03</v>
      </c>
      <c r="Y148" s="99">
        <v>0.44</v>
      </c>
      <c r="Z148" s="99">
        <v>0.53</v>
      </c>
      <c r="AA148" s="99">
        <v>0</v>
      </c>
      <c r="AB148" s="99">
        <v>0.5</v>
      </c>
      <c r="AC148" s="99">
        <v>0.56000000000000005</v>
      </c>
      <c r="AD148" s="99">
        <v>0.5</v>
      </c>
      <c r="AE148" s="16">
        <v>55</v>
      </c>
      <c r="AF148" s="16">
        <v>8</v>
      </c>
      <c r="AG148" s="96">
        <v>0</v>
      </c>
      <c r="AH148" s="96">
        <v>0.33</v>
      </c>
      <c r="AI148" s="96">
        <v>0.54</v>
      </c>
      <c r="AJ148" s="96">
        <v>0.13</v>
      </c>
      <c r="AK148" s="96">
        <v>0.37</v>
      </c>
      <c r="AL148" s="96">
        <v>0.35</v>
      </c>
      <c r="AM148" s="96">
        <v>0.41</v>
      </c>
      <c r="AN148" s="61">
        <v>53</v>
      </c>
      <c r="AO148" s="61">
        <v>9</v>
      </c>
      <c r="AP148" s="66">
        <v>0</v>
      </c>
      <c r="AQ148" s="66">
        <v>0.48</v>
      </c>
      <c r="AR148" s="66">
        <v>0.39</v>
      </c>
      <c r="AS148" s="66">
        <v>0.13</v>
      </c>
      <c r="AT148" s="66">
        <v>0.5</v>
      </c>
      <c r="AU148" s="66">
        <v>0.36</v>
      </c>
      <c r="AV148" s="66">
        <v>0.44</v>
      </c>
      <c r="AW148" s="349">
        <v>52</v>
      </c>
      <c r="AX148" s="348" t="s">
        <v>910</v>
      </c>
      <c r="AY148" s="349">
        <v>7</v>
      </c>
      <c r="AZ148" s="348" t="s">
        <v>910</v>
      </c>
      <c r="BA148" s="371">
        <v>0</v>
      </c>
      <c r="BB148" s="371">
        <v>0.34</v>
      </c>
      <c r="BC148" s="371">
        <v>0.62</v>
      </c>
      <c r="BD148" s="371">
        <v>0.03</v>
      </c>
      <c r="BE148" s="371">
        <v>0.47</v>
      </c>
      <c r="BF148" s="371">
        <v>0.36</v>
      </c>
      <c r="BG148" s="371">
        <v>0.57999999999999996</v>
      </c>
      <c r="BH148" s="469">
        <v>53</v>
      </c>
      <c r="BI148" s="471" t="s">
        <v>910</v>
      </c>
      <c r="BJ148" s="469">
        <v>9</v>
      </c>
      <c r="BK148" s="471" t="s">
        <v>910</v>
      </c>
      <c r="BL148" s="501">
        <v>0.04</v>
      </c>
      <c r="BM148" s="501">
        <v>0.23</v>
      </c>
      <c r="BN148" s="501">
        <v>0.73</v>
      </c>
      <c r="BO148" s="501">
        <v>0</v>
      </c>
      <c r="BP148" s="501">
        <v>0.49</v>
      </c>
      <c r="BQ148" s="501">
        <v>0.33</v>
      </c>
      <c r="BR148" s="501">
        <v>0.49</v>
      </c>
      <c r="BS148" s="630">
        <v>53</v>
      </c>
      <c r="BT148" s="640" t="s">
        <v>910</v>
      </c>
      <c r="BU148" s="630">
        <v>8</v>
      </c>
      <c r="BV148" s="640" t="s">
        <v>910</v>
      </c>
      <c r="BW148" s="644">
        <v>0</v>
      </c>
      <c r="BX148" s="644">
        <v>0.4</v>
      </c>
      <c r="BY148" s="644">
        <v>0.56999999999999995</v>
      </c>
      <c r="BZ148" s="644">
        <v>0.03</v>
      </c>
      <c r="CA148" s="644">
        <v>0.35</v>
      </c>
      <c r="CB148" s="644">
        <v>0.5</v>
      </c>
      <c r="CC148" s="644">
        <v>0.55000000000000004</v>
      </c>
    </row>
    <row r="149" spans="1:81" ht="24.9" customHeight="1" x14ac:dyDescent="0.25">
      <c r="A149" s="188" t="s">
        <v>140</v>
      </c>
      <c r="B149" s="1" t="s">
        <v>222</v>
      </c>
      <c r="C149" s="2">
        <v>2</v>
      </c>
      <c r="D149" s="16">
        <v>53</v>
      </c>
      <c r="E149" s="16">
        <v>10</v>
      </c>
      <c r="F149" s="96">
        <v>0</v>
      </c>
      <c r="G149" s="96">
        <v>0.38</v>
      </c>
      <c r="H149" s="96">
        <v>0.63</v>
      </c>
      <c r="I149" s="96">
        <v>0</v>
      </c>
      <c r="J149" s="96">
        <v>0.35</v>
      </c>
      <c r="K149" s="96">
        <v>0.55000000000000004</v>
      </c>
      <c r="L149" s="96">
        <v>0.53</v>
      </c>
      <c r="M149" s="34">
        <v>59</v>
      </c>
      <c r="N149" s="34">
        <v>9</v>
      </c>
      <c r="O149" s="92">
        <v>0</v>
      </c>
      <c r="P149" s="92">
        <v>0.15</v>
      </c>
      <c r="Q149" s="92">
        <v>0.55000000000000004</v>
      </c>
      <c r="R149" s="92">
        <v>0.3</v>
      </c>
      <c r="S149" s="92">
        <v>0.39</v>
      </c>
      <c r="T149" s="92">
        <v>0.36</v>
      </c>
      <c r="U149" s="92">
        <v>0.37</v>
      </c>
      <c r="V149" s="16">
        <v>57</v>
      </c>
      <c r="W149" s="16">
        <v>8</v>
      </c>
      <c r="X149" s="99">
        <v>0</v>
      </c>
      <c r="Y149" s="99">
        <v>0.17</v>
      </c>
      <c r="Z149" s="99">
        <v>0.7</v>
      </c>
      <c r="AA149" s="99">
        <v>0.13</v>
      </c>
      <c r="AB149" s="99">
        <v>0.35</v>
      </c>
      <c r="AC149" s="99">
        <v>0.41</v>
      </c>
      <c r="AD149" s="99">
        <v>0.53</v>
      </c>
      <c r="AE149" s="16">
        <v>55</v>
      </c>
      <c r="AF149" s="16">
        <v>8</v>
      </c>
      <c r="AG149" s="96">
        <v>0</v>
      </c>
      <c r="AH149" s="96">
        <v>0.24</v>
      </c>
      <c r="AI149" s="96">
        <v>0.67</v>
      </c>
      <c r="AJ149" s="96">
        <v>0.09</v>
      </c>
      <c r="AK149" s="96">
        <v>0.42</v>
      </c>
      <c r="AL149" s="96">
        <v>0.33</v>
      </c>
      <c r="AM149" s="96">
        <v>0.4</v>
      </c>
      <c r="AN149" s="61">
        <v>55</v>
      </c>
      <c r="AO149" s="61">
        <v>8</v>
      </c>
      <c r="AP149" s="66">
        <v>0</v>
      </c>
      <c r="AQ149" s="66">
        <v>0.35</v>
      </c>
      <c r="AR149" s="66">
        <v>0.57999999999999996</v>
      </c>
      <c r="AS149" s="66">
        <v>0.06</v>
      </c>
      <c r="AT149" s="66">
        <v>0.43</v>
      </c>
      <c r="AU149" s="66">
        <v>0.33</v>
      </c>
      <c r="AV149" s="66">
        <v>0.4</v>
      </c>
      <c r="AW149" s="349">
        <v>53</v>
      </c>
      <c r="AX149" s="348" t="s">
        <v>910</v>
      </c>
      <c r="AY149" s="349">
        <v>6</v>
      </c>
      <c r="AZ149" s="348" t="s">
        <v>910</v>
      </c>
      <c r="BA149" s="371">
        <v>0</v>
      </c>
      <c r="BB149" s="371">
        <v>0.44</v>
      </c>
      <c r="BC149" s="371">
        <v>0.5</v>
      </c>
      <c r="BD149" s="371">
        <v>0.06</v>
      </c>
      <c r="BE149" s="371">
        <v>0.49</v>
      </c>
      <c r="BF149" s="371">
        <v>0.32</v>
      </c>
      <c r="BG149" s="371">
        <v>0.56999999999999995</v>
      </c>
      <c r="BH149" s="469">
        <v>55</v>
      </c>
      <c r="BI149" s="471" t="s">
        <v>910</v>
      </c>
      <c r="BJ149" s="469">
        <v>9</v>
      </c>
      <c r="BK149" s="471" t="s">
        <v>910</v>
      </c>
      <c r="BL149" s="501">
        <v>0</v>
      </c>
      <c r="BM149" s="501">
        <v>0.33</v>
      </c>
      <c r="BN149" s="501">
        <v>0.53</v>
      </c>
      <c r="BO149" s="501">
        <v>0.15</v>
      </c>
      <c r="BP149" s="501">
        <v>0.46</v>
      </c>
      <c r="BQ149" s="501">
        <v>0.35</v>
      </c>
      <c r="BR149" s="501">
        <v>0.44</v>
      </c>
      <c r="BS149" s="630">
        <v>54</v>
      </c>
      <c r="BT149" s="640" t="s">
        <v>910</v>
      </c>
      <c r="BU149" s="630">
        <v>10</v>
      </c>
      <c r="BV149" s="640" t="s">
        <v>910</v>
      </c>
      <c r="BW149" s="644">
        <v>0.05</v>
      </c>
      <c r="BX149" s="644">
        <v>0.22</v>
      </c>
      <c r="BY149" s="644">
        <v>0.59</v>
      </c>
      <c r="BZ149" s="644">
        <v>0.15</v>
      </c>
      <c r="CA149" s="644">
        <v>0.38</v>
      </c>
      <c r="CB149" s="644">
        <v>0.45</v>
      </c>
      <c r="CC149" s="644">
        <v>0.51</v>
      </c>
    </row>
    <row r="150" spans="1:81" ht="24.9" customHeight="1" x14ac:dyDescent="0.25">
      <c r="A150" s="188" t="s">
        <v>122</v>
      </c>
      <c r="B150" s="1" t="s">
        <v>222</v>
      </c>
      <c r="C150" s="2">
        <v>6</v>
      </c>
      <c r="D150" s="16">
        <v>57</v>
      </c>
      <c r="E150" s="16">
        <v>7</v>
      </c>
      <c r="F150" s="96">
        <v>0</v>
      </c>
      <c r="G150" s="96">
        <v>0.19</v>
      </c>
      <c r="H150" s="96">
        <v>0.72</v>
      </c>
      <c r="I150" s="96">
        <v>0.09</v>
      </c>
      <c r="J150" s="96">
        <v>0.38</v>
      </c>
      <c r="K150" s="96">
        <v>0.45</v>
      </c>
      <c r="L150" s="96">
        <v>0.51</v>
      </c>
      <c r="M150" s="34">
        <v>57</v>
      </c>
      <c r="N150" s="34">
        <v>8</v>
      </c>
      <c r="O150" s="92">
        <v>0</v>
      </c>
      <c r="P150" s="92">
        <v>0.2</v>
      </c>
      <c r="Q150" s="92">
        <v>0.65</v>
      </c>
      <c r="R150" s="92">
        <v>0.15</v>
      </c>
      <c r="S150" s="92">
        <v>0.36</v>
      </c>
      <c r="T150" s="92">
        <v>0.43</v>
      </c>
      <c r="U150" s="92">
        <v>0.45</v>
      </c>
      <c r="V150" s="16">
        <v>58</v>
      </c>
      <c r="W150" s="16">
        <v>9</v>
      </c>
      <c r="X150" s="99">
        <v>0.01</v>
      </c>
      <c r="Y150" s="99">
        <v>0.22</v>
      </c>
      <c r="Z150" s="99">
        <v>0.54</v>
      </c>
      <c r="AA150" s="99">
        <v>0.24</v>
      </c>
      <c r="AB150" s="99">
        <v>0.37</v>
      </c>
      <c r="AC150" s="99">
        <v>0.42</v>
      </c>
      <c r="AD150" s="99">
        <v>0.44</v>
      </c>
      <c r="AE150" s="16">
        <v>57</v>
      </c>
      <c r="AF150" s="16">
        <v>9</v>
      </c>
      <c r="AG150" s="96">
        <v>0</v>
      </c>
      <c r="AH150" s="96">
        <v>0.25</v>
      </c>
      <c r="AI150" s="96">
        <v>0.56999999999999995</v>
      </c>
      <c r="AJ150" s="96">
        <v>0.18</v>
      </c>
      <c r="AK150" s="96">
        <v>0.36</v>
      </c>
      <c r="AL150" s="96">
        <v>0.32</v>
      </c>
      <c r="AM150" s="96">
        <v>0.36</v>
      </c>
      <c r="AN150" s="61">
        <v>55</v>
      </c>
      <c r="AO150" s="61">
        <v>10</v>
      </c>
      <c r="AP150" s="66">
        <v>0.02</v>
      </c>
      <c r="AQ150" s="66">
        <v>0.28000000000000003</v>
      </c>
      <c r="AR150" s="66">
        <v>0.59</v>
      </c>
      <c r="AS150" s="66">
        <v>0.11</v>
      </c>
      <c r="AT150" s="66">
        <v>0.46</v>
      </c>
      <c r="AU150" s="66">
        <v>0.35</v>
      </c>
      <c r="AV150" s="66">
        <v>0.41</v>
      </c>
      <c r="AW150" s="349">
        <v>56</v>
      </c>
      <c r="AX150" s="348" t="s">
        <v>910</v>
      </c>
      <c r="AY150" s="349">
        <v>10</v>
      </c>
      <c r="AZ150" s="348" t="s">
        <v>910</v>
      </c>
      <c r="BA150" s="371">
        <v>0.02</v>
      </c>
      <c r="BB150" s="371">
        <v>0.26</v>
      </c>
      <c r="BC150" s="371">
        <v>0.53</v>
      </c>
      <c r="BD150" s="371">
        <v>0.19</v>
      </c>
      <c r="BE150" s="371">
        <v>0.42</v>
      </c>
      <c r="BF150" s="371">
        <v>0.3</v>
      </c>
      <c r="BG150" s="371">
        <v>0.47</v>
      </c>
      <c r="BH150" s="469">
        <v>57</v>
      </c>
      <c r="BI150" s="471" t="s">
        <v>910</v>
      </c>
      <c r="BJ150" s="469">
        <v>9</v>
      </c>
      <c r="BK150" s="471" t="s">
        <v>910</v>
      </c>
      <c r="BL150" s="501">
        <v>0.01</v>
      </c>
      <c r="BM150" s="501">
        <v>0.28000000000000003</v>
      </c>
      <c r="BN150" s="501">
        <v>0.53</v>
      </c>
      <c r="BO150" s="501">
        <v>0.19</v>
      </c>
      <c r="BP150" s="501">
        <v>0.42</v>
      </c>
      <c r="BQ150" s="501">
        <v>0.3</v>
      </c>
      <c r="BR150" s="501">
        <v>0.42</v>
      </c>
      <c r="BS150" s="630">
        <v>57</v>
      </c>
      <c r="BT150" s="640" t="s">
        <v>910</v>
      </c>
      <c r="BU150" s="630">
        <v>9</v>
      </c>
      <c r="BV150" s="640" t="s">
        <v>910</v>
      </c>
      <c r="BW150" s="644">
        <v>0.01</v>
      </c>
      <c r="BX150" s="644">
        <v>0.23</v>
      </c>
      <c r="BY150" s="644">
        <v>0.57999999999999996</v>
      </c>
      <c r="BZ150" s="644">
        <v>0.18</v>
      </c>
      <c r="CA150" s="644">
        <v>0.31</v>
      </c>
      <c r="CB150" s="644">
        <v>0.41</v>
      </c>
      <c r="CC150" s="644">
        <v>0.45</v>
      </c>
    </row>
    <row r="151" spans="1:81" ht="24.9" customHeight="1" x14ac:dyDescent="0.25">
      <c r="A151" s="188" t="s">
        <v>198</v>
      </c>
      <c r="B151" s="1" t="s">
        <v>222</v>
      </c>
      <c r="C151" s="2">
        <v>5</v>
      </c>
      <c r="D151" s="16">
        <v>59</v>
      </c>
      <c r="E151" s="16">
        <v>8</v>
      </c>
      <c r="F151" s="96">
        <v>0</v>
      </c>
      <c r="G151" s="96">
        <v>0.2</v>
      </c>
      <c r="H151" s="96">
        <v>0.56999999999999995</v>
      </c>
      <c r="I151" s="96">
        <v>0.23</v>
      </c>
      <c r="J151" s="96">
        <v>0.41</v>
      </c>
      <c r="K151" s="96">
        <v>0.34</v>
      </c>
      <c r="L151" s="96">
        <v>0.5</v>
      </c>
      <c r="M151" s="34">
        <v>58</v>
      </c>
      <c r="N151" s="34">
        <v>6</v>
      </c>
      <c r="O151" s="92">
        <v>0</v>
      </c>
      <c r="P151" s="92">
        <v>0.13</v>
      </c>
      <c r="Q151" s="92">
        <v>0.83</v>
      </c>
      <c r="R151" s="92">
        <v>0.04</v>
      </c>
      <c r="S151" s="92">
        <v>0.34</v>
      </c>
      <c r="T151" s="92">
        <v>0.4</v>
      </c>
      <c r="U151" s="92">
        <v>0.43</v>
      </c>
      <c r="V151" s="16">
        <v>60</v>
      </c>
      <c r="W151" s="16">
        <v>8</v>
      </c>
      <c r="X151" s="99">
        <v>0</v>
      </c>
      <c r="Y151" s="99">
        <v>0.13</v>
      </c>
      <c r="Z151" s="99">
        <v>0.61</v>
      </c>
      <c r="AA151" s="99">
        <v>0.26</v>
      </c>
      <c r="AB151" s="99">
        <v>0.33</v>
      </c>
      <c r="AC151" s="99">
        <v>0.4</v>
      </c>
      <c r="AD151" s="99">
        <v>0.37</v>
      </c>
      <c r="AE151" s="16">
        <v>58</v>
      </c>
      <c r="AF151" s="16">
        <v>9</v>
      </c>
      <c r="AG151" s="96">
        <v>0</v>
      </c>
      <c r="AH151" s="96">
        <v>0.24</v>
      </c>
      <c r="AI151" s="96">
        <v>0.56999999999999995</v>
      </c>
      <c r="AJ151" s="96">
        <v>0.2</v>
      </c>
      <c r="AK151" s="96">
        <v>0.35</v>
      </c>
      <c r="AL151" s="96">
        <v>0.28999999999999998</v>
      </c>
      <c r="AM151" s="96">
        <v>0.38</v>
      </c>
      <c r="AN151" s="61">
        <v>58</v>
      </c>
      <c r="AO151" s="61">
        <v>8</v>
      </c>
      <c r="AP151" s="66">
        <v>0</v>
      </c>
      <c r="AQ151" s="66">
        <v>0.21</v>
      </c>
      <c r="AR151" s="66">
        <v>0.62</v>
      </c>
      <c r="AS151" s="66">
        <v>0.17</v>
      </c>
      <c r="AT151" s="66">
        <v>0.43</v>
      </c>
      <c r="AU151" s="66">
        <v>0.32</v>
      </c>
      <c r="AV151" s="66">
        <v>0.32</v>
      </c>
      <c r="AW151" s="349">
        <v>58</v>
      </c>
      <c r="AX151" s="348" t="s">
        <v>910</v>
      </c>
      <c r="AY151" s="349">
        <v>10</v>
      </c>
      <c r="AZ151" s="348" t="s">
        <v>910</v>
      </c>
      <c r="BA151" s="371">
        <v>0.02</v>
      </c>
      <c r="BB151" s="371">
        <v>0.19</v>
      </c>
      <c r="BC151" s="371">
        <v>0.56000000000000005</v>
      </c>
      <c r="BD151" s="371">
        <v>0.23</v>
      </c>
      <c r="BE151" s="371">
        <v>0.4</v>
      </c>
      <c r="BF151" s="371">
        <v>0.25</v>
      </c>
      <c r="BG151" s="371">
        <v>0.44</v>
      </c>
      <c r="BH151" s="469">
        <v>61</v>
      </c>
      <c r="BI151" s="471" t="s">
        <v>910</v>
      </c>
      <c r="BJ151" s="469">
        <v>7</v>
      </c>
      <c r="BK151" s="471" t="s">
        <v>910</v>
      </c>
      <c r="BL151" s="501">
        <v>0</v>
      </c>
      <c r="BM151" s="501">
        <v>0.09</v>
      </c>
      <c r="BN151" s="501">
        <v>0.62</v>
      </c>
      <c r="BO151" s="501">
        <v>0.3</v>
      </c>
      <c r="BP151" s="501">
        <v>0.38</v>
      </c>
      <c r="BQ151" s="501">
        <v>0.25</v>
      </c>
      <c r="BR151" s="501">
        <v>0.28999999999999998</v>
      </c>
      <c r="BS151" s="630">
        <v>61</v>
      </c>
      <c r="BT151" s="640" t="s">
        <v>910</v>
      </c>
      <c r="BU151" s="630">
        <v>9</v>
      </c>
      <c r="BV151" s="640" t="s">
        <v>910</v>
      </c>
      <c r="BW151" s="644">
        <v>0</v>
      </c>
      <c r="BX151" s="644">
        <v>0.16</v>
      </c>
      <c r="BY151" s="644">
        <v>0.51</v>
      </c>
      <c r="BZ151" s="644">
        <v>0.33</v>
      </c>
      <c r="CA151" s="644">
        <v>0.26</v>
      </c>
      <c r="CB151" s="644">
        <v>0.34</v>
      </c>
      <c r="CC151" s="644">
        <v>0.36</v>
      </c>
    </row>
    <row r="152" spans="1:81" ht="24.9" customHeight="1" x14ac:dyDescent="0.25">
      <c r="A152" s="188" t="s">
        <v>165</v>
      </c>
      <c r="B152" s="1" t="s">
        <v>222</v>
      </c>
      <c r="C152" s="2">
        <v>1</v>
      </c>
      <c r="D152" s="16">
        <v>52</v>
      </c>
      <c r="E152" s="16">
        <v>8</v>
      </c>
      <c r="F152" s="96">
        <v>0.03</v>
      </c>
      <c r="G152" s="96">
        <v>0.39</v>
      </c>
      <c r="H152" s="96">
        <v>0.57999999999999996</v>
      </c>
      <c r="I152" s="96">
        <v>0</v>
      </c>
      <c r="J152" s="96">
        <v>0.47</v>
      </c>
      <c r="K152" s="96">
        <v>0.5</v>
      </c>
      <c r="L152" s="96">
        <v>0.59</v>
      </c>
      <c r="M152" s="34">
        <v>51</v>
      </c>
      <c r="N152" s="34">
        <v>8</v>
      </c>
      <c r="O152" s="92">
        <v>0.03</v>
      </c>
      <c r="P152" s="92">
        <v>0.42</v>
      </c>
      <c r="Q152" s="92">
        <v>0.52</v>
      </c>
      <c r="R152" s="92">
        <v>0.03</v>
      </c>
      <c r="S152" s="92">
        <v>0.48</v>
      </c>
      <c r="T152" s="92">
        <v>0.53</v>
      </c>
      <c r="U152" s="92">
        <v>0.52</v>
      </c>
      <c r="V152" s="16">
        <v>51</v>
      </c>
      <c r="W152" s="16">
        <v>10</v>
      </c>
      <c r="X152" s="99">
        <v>0</v>
      </c>
      <c r="Y152" s="99">
        <v>0.4</v>
      </c>
      <c r="Z152" s="99">
        <v>0.55000000000000004</v>
      </c>
      <c r="AA152" s="99">
        <v>0.05</v>
      </c>
      <c r="AB152" s="99">
        <v>0.48</v>
      </c>
      <c r="AC152" s="99">
        <v>0.51</v>
      </c>
      <c r="AD152" s="99">
        <v>0.54</v>
      </c>
      <c r="AE152" s="16">
        <v>54</v>
      </c>
      <c r="AF152" s="16">
        <v>8</v>
      </c>
      <c r="AG152" s="96">
        <v>0</v>
      </c>
      <c r="AH152" s="96">
        <v>0.32</v>
      </c>
      <c r="AI152" s="96">
        <v>0.6</v>
      </c>
      <c r="AJ152" s="96">
        <v>0.08</v>
      </c>
      <c r="AK152" s="96">
        <v>0.43</v>
      </c>
      <c r="AL152" s="96">
        <v>0.36</v>
      </c>
      <c r="AM152" s="96">
        <v>0.42</v>
      </c>
      <c r="AN152" s="61">
        <v>53</v>
      </c>
      <c r="AO152" s="61">
        <v>10</v>
      </c>
      <c r="AP152" s="66">
        <v>0.09</v>
      </c>
      <c r="AQ152" s="66">
        <v>0.23</v>
      </c>
      <c r="AR152" s="66">
        <v>0.59</v>
      </c>
      <c r="AS152" s="66">
        <v>0.09</v>
      </c>
      <c r="AT152" s="66">
        <v>0.5</v>
      </c>
      <c r="AU152" s="66">
        <v>0.37</v>
      </c>
      <c r="AV152" s="66">
        <v>0.44</v>
      </c>
      <c r="AW152" s="349">
        <v>52</v>
      </c>
      <c r="AX152" s="348" t="s">
        <v>910</v>
      </c>
      <c r="AY152" s="349">
        <v>11</v>
      </c>
      <c r="AZ152" s="348" t="s">
        <v>910</v>
      </c>
      <c r="BA152" s="371">
        <v>0.05</v>
      </c>
      <c r="BB152" s="371">
        <v>0.39</v>
      </c>
      <c r="BC152" s="371">
        <v>0.45</v>
      </c>
      <c r="BD152" s="371">
        <v>0.11</v>
      </c>
      <c r="BE152" s="371">
        <v>0.49</v>
      </c>
      <c r="BF152" s="371">
        <v>0.38</v>
      </c>
      <c r="BG152" s="371">
        <v>0.54</v>
      </c>
      <c r="BH152" s="469">
        <v>53</v>
      </c>
      <c r="BI152" s="471" t="s">
        <v>910</v>
      </c>
      <c r="BJ152" s="469">
        <v>9</v>
      </c>
      <c r="BK152" s="471" t="s">
        <v>910</v>
      </c>
      <c r="BL152" s="501">
        <v>0.02</v>
      </c>
      <c r="BM152" s="501">
        <v>0.35</v>
      </c>
      <c r="BN152" s="501">
        <v>0.6</v>
      </c>
      <c r="BO152" s="501">
        <v>0.04</v>
      </c>
      <c r="BP152" s="501">
        <v>0.51</v>
      </c>
      <c r="BQ152" s="501">
        <v>0.37</v>
      </c>
      <c r="BR152" s="501">
        <v>0.45</v>
      </c>
      <c r="BS152" s="630">
        <v>52</v>
      </c>
      <c r="BT152" s="640" t="s">
        <v>910</v>
      </c>
      <c r="BU152" s="630">
        <v>9</v>
      </c>
      <c r="BV152" s="640" t="s">
        <v>910</v>
      </c>
      <c r="BW152" s="644">
        <v>0.04</v>
      </c>
      <c r="BX152" s="644">
        <v>0.4</v>
      </c>
      <c r="BY152" s="644">
        <v>0.52</v>
      </c>
      <c r="BZ152" s="644">
        <v>0.04</v>
      </c>
      <c r="CA152" s="644">
        <v>0.4</v>
      </c>
      <c r="CB152" s="644">
        <v>0.52</v>
      </c>
      <c r="CC152" s="644">
        <v>0.53</v>
      </c>
    </row>
    <row r="153" spans="1:81" ht="24.9" customHeight="1" x14ac:dyDescent="0.25">
      <c r="A153" s="188" t="s">
        <v>230</v>
      </c>
      <c r="B153" s="1" t="s">
        <v>222</v>
      </c>
      <c r="C153" s="2">
        <v>6</v>
      </c>
      <c r="D153" s="13" t="s">
        <v>226</v>
      </c>
      <c r="E153" s="13" t="s">
        <v>226</v>
      </c>
      <c r="F153" s="13"/>
      <c r="G153" s="13"/>
      <c r="H153" s="13"/>
      <c r="I153" s="13"/>
      <c r="J153" s="13"/>
      <c r="K153" s="13"/>
      <c r="L153" s="13"/>
      <c r="M153" s="34">
        <v>50</v>
      </c>
      <c r="N153" s="34">
        <v>11</v>
      </c>
      <c r="O153" s="92">
        <v>0.17</v>
      </c>
      <c r="P153" s="92">
        <v>0.33</v>
      </c>
      <c r="Q153" s="92">
        <v>0.5</v>
      </c>
      <c r="R153" s="92">
        <v>0</v>
      </c>
      <c r="S153" s="92">
        <v>0.59</v>
      </c>
      <c r="T153" s="92">
        <v>0.49</v>
      </c>
      <c r="U153" s="92">
        <v>0.56000000000000005</v>
      </c>
      <c r="V153" s="16">
        <v>50</v>
      </c>
      <c r="W153" s="16">
        <v>10</v>
      </c>
      <c r="X153" s="99">
        <v>0</v>
      </c>
      <c r="Y153" s="99">
        <v>0.5</v>
      </c>
      <c r="Z153" s="99">
        <v>0.5</v>
      </c>
      <c r="AA153" s="99">
        <v>0</v>
      </c>
      <c r="AB153" s="99">
        <v>0.49</v>
      </c>
      <c r="AC153" s="99">
        <v>0.47</v>
      </c>
      <c r="AD153" s="99">
        <v>0.59</v>
      </c>
      <c r="AE153" s="16">
        <v>51</v>
      </c>
      <c r="AF153" s="16">
        <v>10</v>
      </c>
      <c r="AG153" s="96">
        <v>0</v>
      </c>
      <c r="AH153" s="96">
        <v>0.5</v>
      </c>
      <c r="AI153" s="96">
        <v>0.5</v>
      </c>
      <c r="AJ153" s="96">
        <v>0</v>
      </c>
      <c r="AK153" s="96">
        <v>0.52</v>
      </c>
      <c r="AL153" s="96">
        <v>0.5</v>
      </c>
      <c r="AM153" s="96">
        <v>0.28999999999999998</v>
      </c>
      <c r="AN153" s="61">
        <v>36</v>
      </c>
      <c r="AO153" s="61">
        <v>7</v>
      </c>
      <c r="AP153" s="66">
        <v>0.5</v>
      </c>
      <c r="AQ153" s="66">
        <v>0.5</v>
      </c>
      <c r="AR153" s="66">
        <v>0</v>
      </c>
      <c r="AS153" s="66">
        <v>0</v>
      </c>
      <c r="AT153" s="66">
        <v>0.7</v>
      </c>
      <c r="AU153" s="66">
        <v>0.65</v>
      </c>
      <c r="AV153" s="66">
        <v>0.79</v>
      </c>
    </row>
    <row r="154" spans="1:81" ht="24.9" customHeight="1" x14ac:dyDescent="0.25">
      <c r="A154" s="188" t="s">
        <v>212</v>
      </c>
      <c r="B154" s="1" t="s">
        <v>222</v>
      </c>
      <c r="C154" s="2">
        <v>3</v>
      </c>
      <c r="D154" s="16">
        <v>58</v>
      </c>
      <c r="E154" s="16">
        <v>8</v>
      </c>
      <c r="F154" s="96">
        <v>0</v>
      </c>
      <c r="G154" s="96">
        <v>0.19</v>
      </c>
      <c r="H154" s="96">
        <v>0.63</v>
      </c>
      <c r="I154" s="96">
        <v>0.19</v>
      </c>
      <c r="J154" s="96">
        <v>0.35</v>
      </c>
      <c r="K154" s="96">
        <v>0.49</v>
      </c>
      <c r="L154" s="96">
        <v>0.45</v>
      </c>
      <c r="M154" s="34">
        <v>53</v>
      </c>
      <c r="N154" s="34">
        <v>5</v>
      </c>
      <c r="O154" s="92">
        <v>0</v>
      </c>
      <c r="P154" s="92">
        <v>0.33</v>
      </c>
      <c r="Q154" s="92">
        <v>0.67</v>
      </c>
      <c r="R154" s="92">
        <v>0</v>
      </c>
      <c r="S154" s="92">
        <v>0.44</v>
      </c>
      <c r="T154" s="92">
        <v>0.54</v>
      </c>
      <c r="U154" s="92">
        <v>0.48</v>
      </c>
      <c r="V154" s="16">
        <v>56</v>
      </c>
      <c r="W154" s="16">
        <v>8</v>
      </c>
      <c r="X154" s="99">
        <v>0</v>
      </c>
      <c r="Y154" s="99">
        <v>0.25</v>
      </c>
      <c r="Z154" s="99">
        <v>0.69</v>
      </c>
      <c r="AA154" s="99">
        <v>0.06</v>
      </c>
      <c r="AB154" s="99">
        <v>0.41</v>
      </c>
      <c r="AC154" s="99">
        <v>0.49</v>
      </c>
      <c r="AD154" s="99">
        <v>0.49</v>
      </c>
      <c r="AE154" s="16">
        <v>55</v>
      </c>
      <c r="AF154" s="16">
        <v>9</v>
      </c>
      <c r="AG154" s="96">
        <v>0</v>
      </c>
      <c r="AH154" s="96">
        <v>0.35</v>
      </c>
      <c r="AI154" s="96">
        <v>0.45</v>
      </c>
      <c r="AJ154" s="96">
        <v>0.2</v>
      </c>
      <c r="AK154" s="96">
        <v>0.37</v>
      </c>
      <c r="AL154" s="96">
        <v>0.36</v>
      </c>
      <c r="AM154" s="96">
        <v>0.37</v>
      </c>
      <c r="AN154" s="61">
        <v>54</v>
      </c>
      <c r="AO154" s="61">
        <v>8</v>
      </c>
      <c r="AP154" s="66">
        <v>0</v>
      </c>
      <c r="AQ154" s="66">
        <v>0.38</v>
      </c>
      <c r="AR154" s="66">
        <v>0.62</v>
      </c>
      <c r="AS154" s="66">
        <v>0</v>
      </c>
      <c r="AT154" s="66">
        <v>0.47</v>
      </c>
      <c r="AU154" s="66">
        <v>0.35</v>
      </c>
      <c r="AV154" s="66">
        <v>0.43</v>
      </c>
      <c r="AW154" s="349">
        <v>54</v>
      </c>
      <c r="AX154" s="348" t="s">
        <v>910</v>
      </c>
      <c r="AY154" s="349">
        <v>9</v>
      </c>
      <c r="AZ154" s="348" t="s">
        <v>910</v>
      </c>
      <c r="BA154" s="371">
        <v>0</v>
      </c>
      <c r="BB154" s="371">
        <v>0.48</v>
      </c>
      <c r="BC154" s="371">
        <v>0.36</v>
      </c>
      <c r="BD154" s="371">
        <v>0.16</v>
      </c>
      <c r="BE154" s="371">
        <v>0.46</v>
      </c>
      <c r="BF154" s="371">
        <v>0.34</v>
      </c>
      <c r="BG154" s="371">
        <v>0.53</v>
      </c>
      <c r="BH154" s="469">
        <v>50</v>
      </c>
      <c r="BI154" s="471" t="s">
        <v>910</v>
      </c>
      <c r="BJ154" s="469">
        <v>9</v>
      </c>
      <c r="BK154" s="471" t="s">
        <v>910</v>
      </c>
      <c r="BL154" s="501">
        <v>0.04</v>
      </c>
      <c r="BM154" s="501">
        <v>0.43</v>
      </c>
      <c r="BN154" s="501">
        <v>0.46</v>
      </c>
      <c r="BO154" s="501">
        <v>7.0000000000000007E-2</v>
      </c>
      <c r="BP154" s="501">
        <v>0.52</v>
      </c>
      <c r="BQ154" s="501">
        <v>0.41</v>
      </c>
      <c r="BR154" s="501">
        <v>0.55000000000000004</v>
      </c>
      <c r="BS154" s="630">
        <v>55</v>
      </c>
      <c r="BT154" s="640" t="s">
        <v>910</v>
      </c>
      <c r="BU154" s="630">
        <v>8</v>
      </c>
      <c r="BV154" s="640" t="s">
        <v>910</v>
      </c>
      <c r="BW154" s="644">
        <v>0.04</v>
      </c>
      <c r="BX154" s="644">
        <v>0.19</v>
      </c>
      <c r="BY154" s="644">
        <v>0.69</v>
      </c>
      <c r="BZ154" s="644">
        <v>0.08</v>
      </c>
      <c r="CA154" s="644">
        <v>0.37</v>
      </c>
      <c r="CB154" s="644">
        <v>0.44</v>
      </c>
      <c r="CC154" s="644">
        <v>0.48</v>
      </c>
    </row>
    <row r="155" spans="1:81" ht="24.9" customHeight="1" x14ac:dyDescent="0.25">
      <c r="A155" s="188" t="s">
        <v>57</v>
      </c>
      <c r="B155" s="1" t="s">
        <v>222</v>
      </c>
      <c r="C155" s="2">
        <v>3</v>
      </c>
      <c r="D155" s="16">
        <v>52</v>
      </c>
      <c r="E155" s="16">
        <v>8</v>
      </c>
      <c r="F155" s="96">
        <v>0.02</v>
      </c>
      <c r="G155" s="96">
        <v>0.44</v>
      </c>
      <c r="H155" s="96">
        <v>0.52</v>
      </c>
      <c r="I155" s="96">
        <v>0.02</v>
      </c>
      <c r="J155" s="96">
        <v>0.41</v>
      </c>
      <c r="K155" s="96">
        <v>0.51</v>
      </c>
      <c r="L155" s="96">
        <v>0.57999999999999996</v>
      </c>
      <c r="M155" s="34">
        <v>55</v>
      </c>
      <c r="N155" s="34">
        <v>8</v>
      </c>
      <c r="O155" s="92">
        <v>0.04</v>
      </c>
      <c r="P155" s="92">
        <v>0.21</v>
      </c>
      <c r="Q155" s="92">
        <v>0.71</v>
      </c>
      <c r="R155" s="92">
        <v>0.04</v>
      </c>
      <c r="S155" s="92">
        <v>0.42</v>
      </c>
      <c r="T155" s="92">
        <v>0.47</v>
      </c>
      <c r="U155" s="92">
        <v>0.46</v>
      </c>
      <c r="V155" s="16">
        <v>53</v>
      </c>
      <c r="W155" s="16">
        <v>10</v>
      </c>
      <c r="X155" s="99">
        <v>0.03</v>
      </c>
      <c r="Y155" s="99">
        <v>0.38</v>
      </c>
      <c r="Z155" s="99">
        <v>0.47</v>
      </c>
      <c r="AA155" s="99">
        <v>0.12</v>
      </c>
      <c r="AB155" s="99">
        <v>0.45</v>
      </c>
      <c r="AC155" s="99">
        <v>0.53</v>
      </c>
      <c r="AD155" s="99">
        <v>0.51</v>
      </c>
      <c r="AE155" s="16">
        <v>54</v>
      </c>
      <c r="AF155" s="16">
        <v>9</v>
      </c>
      <c r="AG155" s="96">
        <v>0</v>
      </c>
      <c r="AH155" s="96">
        <v>0.39</v>
      </c>
      <c r="AI155" s="96">
        <v>0.47</v>
      </c>
      <c r="AJ155" s="96">
        <v>0.14000000000000001</v>
      </c>
      <c r="AK155" s="96">
        <v>0.42</v>
      </c>
      <c r="AL155" s="96">
        <v>0.37</v>
      </c>
      <c r="AM155" s="96">
        <v>0.41</v>
      </c>
      <c r="AN155" s="61">
        <v>54</v>
      </c>
      <c r="AO155" s="61">
        <v>8</v>
      </c>
      <c r="AP155" s="66">
        <v>0</v>
      </c>
      <c r="AQ155" s="66">
        <v>0.38</v>
      </c>
      <c r="AR155" s="66">
        <v>0.5</v>
      </c>
      <c r="AS155" s="66">
        <v>0.13</v>
      </c>
      <c r="AT155" s="66">
        <v>0.44</v>
      </c>
      <c r="AU155" s="66">
        <v>0.36</v>
      </c>
      <c r="AV155" s="66">
        <v>0.46</v>
      </c>
      <c r="AW155" s="349">
        <v>52</v>
      </c>
      <c r="AX155" s="348" t="s">
        <v>910</v>
      </c>
      <c r="AY155" s="349">
        <v>10</v>
      </c>
      <c r="AZ155" s="348" t="s">
        <v>910</v>
      </c>
      <c r="BA155" s="371">
        <v>0.04</v>
      </c>
      <c r="BB155" s="371">
        <v>0.36</v>
      </c>
      <c r="BC155" s="371">
        <v>0.5</v>
      </c>
      <c r="BD155" s="371">
        <v>0.11</v>
      </c>
      <c r="BE155" s="371">
        <v>0.45</v>
      </c>
      <c r="BF155" s="371">
        <v>0.35</v>
      </c>
      <c r="BG155" s="371">
        <v>0.56999999999999995</v>
      </c>
      <c r="BH155" s="469">
        <v>55</v>
      </c>
      <c r="BI155" s="471" t="s">
        <v>910</v>
      </c>
      <c r="BJ155" s="469">
        <v>8</v>
      </c>
      <c r="BK155" s="471" t="s">
        <v>910</v>
      </c>
      <c r="BL155" s="501">
        <v>0</v>
      </c>
      <c r="BM155" s="501">
        <v>0.32</v>
      </c>
      <c r="BN155" s="501">
        <v>0.61</v>
      </c>
      <c r="BO155" s="501">
        <v>7.0000000000000007E-2</v>
      </c>
      <c r="BP155" s="501">
        <v>0.46</v>
      </c>
      <c r="BQ155" s="501">
        <v>0.31</v>
      </c>
      <c r="BR155" s="501">
        <v>0.46</v>
      </c>
      <c r="BS155" s="630">
        <v>54</v>
      </c>
      <c r="BT155" s="640" t="s">
        <v>910</v>
      </c>
      <c r="BU155" s="630">
        <v>9</v>
      </c>
      <c r="BV155" s="640" t="s">
        <v>910</v>
      </c>
      <c r="BW155" s="644">
        <v>0.03</v>
      </c>
      <c r="BX155" s="644">
        <v>0.32</v>
      </c>
      <c r="BY155" s="644">
        <v>0.56000000000000005</v>
      </c>
      <c r="BZ155" s="644">
        <v>0.09</v>
      </c>
      <c r="CA155" s="644">
        <v>0.39</v>
      </c>
      <c r="CB155" s="644">
        <v>0.47</v>
      </c>
      <c r="CC155" s="644">
        <v>0.48</v>
      </c>
    </row>
    <row r="156" spans="1:81" ht="24.9" customHeight="1" x14ac:dyDescent="0.25">
      <c r="A156" s="188" t="s">
        <v>196</v>
      </c>
      <c r="B156" s="1" t="s">
        <v>222</v>
      </c>
      <c r="C156" s="2">
        <v>5</v>
      </c>
      <c r="D156" s="16">
        <v>58</v>
      </c>
      <c r="E156" s="16">
        <v>6</v>
      </c>
      <c r="F156" s="96">
        <v>0</v>
      </c>
      <c r="G156" s="96">
        <v>0.13</v>
      </c>
      <c r="H156" s="96">
        <v>0.8</v>
      </c>
      <c r="I156" s="96">
        <v>7.0000000000000007E-2</v>
      </c>
      <c r="J156" s="96">
        <v>0.35</v>
      </c>
      <c r="K156" s="96">
        <v>0.43</v>
      </c>
      <c r="L156" s="96">
        <v>0.52</v>
      </c>
      <c r="M156" s="34">
        <v>59</v>
      </c>
      <c r="N156" s="34">
        <v>6</v>
      </c>
      <c r="O156" s="92">
        <v>0</v>
      </c>
      <c r="P156" s="92">
        <v>0.06</v>
      </c>
      <c r="Q156" s="92">
        <v>0.76</v>
      </c>
      <c r="R156" s="92">
        <v>0.18</v>
      </c>
      <c r="S156" s="92">
        <v>0.33</v>
      </c>
      <c r="T156" s="92">
        <v>0.4</v>
      </c>
      <c r="U156" s="92">
        <v>0.38</v>
      </c>
      <c r="V156" s="16">
        <v>61</v>
      </c>
      <c r="W156" s="16">
        <v>7</v>
      </c>
      <c r="X156" s="99">
        <v>0</v>
      </c>
      <c r="Y156" s="99">
        <v>0.11</v>
      </c>
      <c r="Z156" s="99">
        <v>0.68</v>
      </c>
      <c r="AA156" s="99">
        <v>0.21</v>
      </c>
      <c r="AB156" s="99">
        <v>0.3</v>
      </c>
      <c r="AC156" s="99">
        <v>0.36</v>
      </c>
      <c r="AD156" s="99">
        <v>0.37</v>
      </c>
      <c r="AE156" s="16">
        <v>61</v>
      </c>
      <c r="AF156" s="16">
        <v>6</v>
      </c>
      <c r="AG156" s="96">
        <v>0</v>
      </c>
      <c r="AH156" s="96">
        <v>0.04</v>
      </c>
      <c r="AI156" s="96">
        <v>0.75</v>
      </c>
      <c r="AJ156" s="96">
        <v>0.21</v>
      </c>
      <c r="AK156" s="96">
        <v>0.31</v>
      </c>
      <c r="AL156" s="96">
        <v>0.25</v>
      </c>
      <c r="AM156" s="96">
        <v>0.28000000000000003</v>
      </c>
      <c r="AN156" s="61">
        <v>60</v>
      </c>
      <c r="AO156" s="61">
        <v>6</v>
      </c>
      <c r="AP156" s="66">
        <v>0</v>
      </c>
      <c r="AQ156" s="66">
        <v>0.03</v>
      </c>
      <c r="AR156" s="66">
        <v>0.81</v>
      </c>
      <c r="AS156" s="66">
        <v>0.16</v>
      </c>
      <c r="AT156" s="66">
        <v>0.36</v>
      </c>
      <c r="AU156" s="66">
        <v>0.19</v>
      </c>
      <c r="AV156" s="66">
        <v>0.36</v>
      </c>
      <c r="AW156" s="349">
        <v>62</v>
      </c>
      <c r="AX156" s="348" t="s">
        <v>910</v>
      </c>
      <c r="AY156" s="349">
        <v>7</v>
      </c>
      <c r="AZ156" s="348" t="s">
        <v>910</v>
      </c>
      <c r="BA156" s="371">
        <v>0</v>
      </c>
      <c r="BB156" s="371">
        <v>0.03</v>
      </c>
      <c r="BC156" s="371">
        <v>0.59</v>
      </c>
      <c r="BD156" s="371">
        <v>0.38</v>
      </c>
      <c r="BE156" s="371">
        <v>0.32</v>
      </c>
      <c r="BF156" s="371">
        <v>0.19</v>
      </c>
      <c r="BG156" s="371">
        <v>0.39</v>
      </c>
      <c r="BH156" s="469">
        <v>62</v>
      </c>
      <c r="BI156" s="471" t="s">
        <v>910</v>
      </c>
      <c r="BJ156" s="469">
        <v>10</v>
      </c>
      <c r="BK156" s="471" t="s">
        <v>910</v>
      </c>
      <c r="BL156" s="501">
        <v>0</v>
      </c>
      <c r="BM156" s="501">
        <v>0.18</v>
      </c>
      <c r="BN156" s="501">
        <v>0.41</v>
      </c>
      <c r="BO156" s="501">
        <v>0.41</v>
      </c>
      <c r="BP156" s="501">
        <v>0.34</v>
      </c>
      <c r="BQ156" s="501">
        <v>0.19</v>
      </c>
      <c r="BR156" s="501">
        <v>0.34</v>
      </c>
      <c r="BS156" s="630">
        <v>64</v>
      </c>
      <c r="BT156" s="640" t="s">
        <v>911</v>
      </c>
      <c r="BU156" s="630">
        <v>7</v>
      </c>
      <c r="BV156" s="640" t="s">
        <v>910</v>
      </c>
      <c r="BW156" s="644">
        <v>0</v>
      </c>
      <c r="BX156" s="644">
        <v>0</v>
      </c>
      <c r="BY156" s="644">
        <v>0.65</v>
      </c>
      <c r="BZ156" s="644">
        <v>0.35</v>
      </c>
      <c r="CA156" s="644">
        <v>0.22</v>
      </c>
      <c r="CB156" s="644">
        <v>0.28000000000000003</v>
      </c>
      <c r="CC156" s="644">
        <v>0.31</v>
      </c>
    </row>
    <row r="157" spans="1:81" ht="24.9" customHeight="1" x14ac:dyDescent="0.25">
      <c r="A157" s="188" t="s">
        <v>19</v>
      </c>
      <c r="B157" s="1" t="s">
        <v>222</v>
      </c>
      <c r="C157" s="2">
        <v>5</v>
      </c>
      <c r="D157" s="16">
        <v>58</v>
      </c>
      <c r="E157" s="16">
        <v>7</v>
      </c>
      <c r="F157" s="96">
        <v>0</v>
      </c>
      <c r="G157" s="96">
        <v>0.14000000000000001</v>
      </c>
      <c r="H157" s="96">
        <v>0.74</v>
      </c>
      <c r="I157" s="96">
        <v>0.12</v>
      </c>
      <c r="J157" s="96">
        <v>0.34</v>
      </c>
      <c r="K157" s="96">
        <v>0.34</v>
      </c>
      <c r="L157" s="96">
        <v>0.46</v>
      </c>
      <c r="M157" s="34">
        <v>60</v>
      </c>
      <c r="N157" s="34">
        <v>8</v>
      </c>
      <c r="O157" s="92">
        <v>0</v>
      </c>
      <c r="P157" s="92">
        <v>0.14000000000000001</v>
      </c>
      <c r="Q157" s="92">
        <v>0.66</v>
      </c>
      <c r="R157" s="92">
        <v>0.2</v>
      </c>
      <c r="S157" s="92">
        <v>0.31</v>
      </c>
      <c r="T157" s="92">
        <v>0.39</v>
      </c>
      <c r="U157" s="92">
        <v>0.37</v>
      </c>
      <c r="V157" s="16">
        <v>59</v>
      </c>
      <c r="W157" s="16">
        <v>9</v>
      </c>
      <c r="X157" s="99">
        <v>0.02</v>
      </c>
      <c r="Y157" s="99">
        <v>0.14000000000000001</v>
      </c>
      <c r="Z157" s="99">
        <v>0.57999999999999996</v>
      </c>
      <c r="AA157" s="99">
        <v>0.27</v>
      </c>
      <c r="AB157" s="99">
        <v>0.33</v>
      </c>
      <c r="AC157" s="99">
        <v>0.39</v>
      </c>
      <c r="AD157" s="99">
        <v>0.4</v>
      </c>
      <c r="AE157" s="16">
        <v>61</v>
      </c>
      <c r="AF157" s="16">
        <v>7</v>
      </c>
      <c r="AG157" s="96">
        <v>0</v>
      </c>
      <c r="AH157" s="96">
        <v>0.04</v>
      </c>
      <c r="AI157" s="96">
        <v>0.7</v>
      </c>
      <c r="AJ157" s="96">
        <v>0.27</v>
      </c>
      <c r="AK157" s="96">
        <v>0.31</v>
      </c>
      <c r="AL157" s="96">
        <v>0.24</v>
      </c>
      <c r="AM157" s="96">
        <v>0.28999999999999998</v>
      </c>
      <c r="AN157" s="61">
        <v>59</v>
      </c>
      <c r="AO157" s="61">
        <v>7</v>
      </c>
      <c r="AP157" s="66">
        <v>0</v>
      </c>
      <c r="AQ157" s="66">
        <v>0.14000000000000001</v>
      </c>
      <c r="AR157" s="66">
        <v>0.65</v>
      </c>
      <c r="AS157" s="66">
        <v>0.22</v>
      </c>
      <c r="AT157" s="66">
        <v>0.38</v>
      </c>
      <c r="AU157" s="66">
        <v>0.27</v>
      </c>
      <c r="AV157" s="66">
        <v>0.34</v>
      </c>
      <c r="AW157" s="349">
        <v>58</v>
      </c>
      <c r="AX157" s="348" t="s">
        <v>910</v>
      </c>
      <c r="AY157" s="349">
        <v>8</v>
      </c>
      <c r="AZ157" s="348" t="s">
        <v>910</v>
      </c>
      <c r="BA157" s="371">
        <v>0</v>
      </c>
      <c r="BB157" s="371">
        <v>0.17</v>
      </c>
      <c r="BC157" s="371">
        <v>0.7</v>
      </c>
      <c r="BD157" s="371">
        <v>0.13</v>
      </c>
      <c r="BE157" s="371">
        <v>0.35</v>
      </c>
      <c r="BF157" s="371">
        <v>0.28000000000000003</v>
      </c>
      <c r="BG157" s="371">
        <v>0.5</v>
      </c>
      <c r="BH157" s="469">
        <v>59</v>
      </c>
      <c r="BI157" s="471" t="s">
        <v>910</v>
      </c>
      <c r="BJ157" s="469">
        <v>9</v>
      </c>
      <c r="BK157" s="471" t="s">
        <v>910</v>
      </c>
      <c r="BL157" s="501">
        <v>0.01</v>
      </c>
      <c r="BM157" s="501">
        <v>0.15</v>
      </c>
      <c r="BN157" s="501">
        <v>0.55000000000000004</v>
      </c>
      <c r="BO157" s="501">
        <v>0.28999999999999998</v>
      </c>
      <c r="BP157" s="501">
        <v>0.38</v>
      </c>
      <c r="BQ157" s="501">
        <v>0.26</v>
      </c>
      <c r="BR157" s="501">
        <v>0.35</v>
      </c>
      <c r="BS157" s="630">
        <v>60</v>
      </c>
      <c r="BT157" s="640" t="s">
        <v>910</v>
      </c>
      <c r="BU157" s="630">
        <v>8</v>
      </c>
      <c r="BV157" s="640" t="s">
        <v>910</v>
      </c>
      <c r="BW157" s="644">
        <v>0</v>
      </c>
      <c r="BX157" s="644">
        <v>0.13</v>
      </c>
      <c r="BY157" s="644">
        <v>0.67</v>
      </c>
      <c r="BZ157" s="644">
        <v>0.2</v>
      </c>
      <c r="CA157" s="644">
        <v>0.28999999999999998</v>
      </c>
      <c r="CB157" s="644">
        <v>0.37</v>
      </c>
      <c r="CC157" s="644">
        <v>0.39</v>
      </c>
    </row>
    <row r="158" spans="1:81" ht="24.9" customHeight="1" x14ac:dyDescent="0.25">
      <c r="A158" s="188" t="s">
        <v>118</v>
      </c>
      <c r="B158" s="1" t="s">
        <v>222</v>
      </c>
      <c r="C158" s="2">
        <v>3</v>
      </c>
      <c r="D158" s="16">
        <v>55</v>
      </c>
      <c r="E158" s="16">
        <v>8</v>
      </c>
      <c r="F158" s="96">
        <v>0</v>
      </c>
      <c r="G158" s="96">
        <v>0.27</v>
      </c>
      <c r="H158" s="96">
        <v>0.67</v>
      </c>
      <c r="I158" s="96">
        <v>7.0000000000000007E-2</v>
      </c>
      <c r="J158" s="96">
        <v>0.4</v>
      </c>
      <c r="K158" s="96">
        <v>0.49</v>
      </c>
      <c r="L158" s="96">
        <v>0.54</v>
      </c>
      <c r="M158" s="34">
        <v>54</v>
      </c>
      <c r="N158" s="34">
        <v>7</v>
      </c>
      <c r="O158" s="92">
        <v>0</v>
      </c>
      <c r="P158" s="92">
        <v>0.32</v>
      </c>
      <c r="Q158" s="92">
        <v>0.64</v>
      </c>
      <c r="R158" s="92">
        <v>0.04</v>
      </c>
      <c r="S158" s="92">
        <v>0.38</v>
      </c>
      <c r="T158" s="92">
        <v>0.48</v>
      </c>
      <c r="U158" s="92">
        <v>0.53</v>
      </c>
      <c r="V158" s="16">
        <v>54</v>
      </c>
      <c r="W158" s="16">
        <v>8</v>
      </c>
      <c r="X158" s="99">
        <v>0.04</v>
      </c>
      <c r="Y158" s="99">
        <v>0.18</v>
      </c>
      <c r="Z158" s="99">
        <v>0.75</v>
      </c>
      <c r="AA158" s="99">
        <v>0.04</v>
      </c>
      <c r="AB158" s="99">
        <v>0.44</v>
      </c>
      <c r="AC158" s="99">
        <v>0.46</v>
      </c>
      <c r="AD158" s="99">
        <v>0.45</v>
      </c>
      <c r="AE158" s="16">
        <v>56</v>
      </c>
      <c r="AF158" s="16">
        <v>10</v>
      </c>
      <c r="AG158" s="96">
        <v>0</v>
      </c>
      <c r="AH158" s="96">
        <v>0.38</v>
      </c>
      <c r="AI158" s="96">
        <v>0.38</v>
      </c>
      <c r="AJ158" s="96">
        <v>0.24</v>
      </c>
      <c r="AK158" s="96">
        <v>0.38</v>
      </c>
      <c r="AL158" s="96">
        <v>0.36</v>
      </c>
      <c r="AM158" s="96">
        <v>0.41</v>
      </c>
      <c r="AN158" s="61">
        <v>49</v>
      </c>
      <c r="AO158" s="61">
        <v>8</v>
      </c>
      <c r="AP158" s="66">
        <v>0.03</v>
      </c>
      <c r="AQ158" s="66">
        <v>0.41</v>
      </c>
      <c r="AR158" s="66">
        <v>0.52</v>
      </c>
      <c r="AS158" s="66">
        <v>0.03</v>
      </c>
      <c r="AT158" s="66">
        <v>0.56999999999999995</v>
      </c>
      <c r="AU158" s="66">
        <v>0.45</v>
      </c>
      <c r="AV158" s="66">
        <v>0.48</v>
      </c>
      <c r="AW158" s="349">
        <v>57</v>
      </c>
      <c r="AX158" s="348" t="s">
        <v>910</v>
      </c>
      <c r="AY158" s="349">
        <v>8</v>
      </c>
      <c r="AZ158" s="348" t="s">
        <v>910</v>
      </c>
      <c r="BA158" s="371">
        <v>0</v>
      </c>
      <c r="BB158" s="371">
        <v>0.3</v>
      </c>
      <c r="BC158" s="371">
        <v>0.56999999999999995</v>
      </c>
      <c r="BD158" s="371">
        <v>0.14000000000000001</v>
      </c>
      <c r="BE158" s="371">
        <v>0.41</v>
      </c>
      <c r="BF158" s="371">
        <v>0.31</v>
      </c>
      <c r="BG158" s="371">
        <v>0.51</v>
      </c>
      <c r="BH158" s="469">
        <v>56</v>
      </c>
      <c r="BI158" s="471" t="s">
        <v>910</v>
      </c>
      <c r="BJ158" s="469">
        <v>10</v>
      </c>
      <c r="BK158" s="471" t="s">
        <v>910</v>
      </c>
      <c r="BL158" s="501">
        <v>0</v>
      </c>
      <c r="BM158" s="501">
        <v>0.33</v>
      </c>
      <c r="BN158" s="501">
        <v>0.53</v>
      </c>
      <c r="BO158" s="501">
        <v>0.15</v>
      </c>
      <c r="BP158" s="501">
        <v>0.44</v>
      </c>
      <c r="BQ158" s="501">
        <v>0.33</v>
      </c>
      <c r="BR158" s="501">
        <v>0.42</v>
      </c>
      <c r="BS158" s="630">
        <v>55</v>
      </c>
      <c r="BT158" s="640" t="s">
        <v>910</v>
      </c>
      <c r="BU158" s="630">
        <v>9</v>
      </c>
      <c r="BV158" s="640" t="s">
        <v>910</v>
      </c>
      <c r="BW158" s="644">
        <v>0</v>
      </c>
      <c r="BX158" s="644">
        <v>0.33</v>
      </c>
      <c r="BY158" s="644">
        <v>0.53</v>
      </c>
      <c r="BZ158" s="644">
        <v>0.13</v>
      </c>
      <c r="CA158" s="644">
        <v>0.35</v>
      </c>
      <c r="CB158" s="644">
        <v>0.49</v>
      </c>
      <c r="CC158" s="644">
        <v>0.44</v>
      </c>
    </row>
    <row r="159" spans="1:81" ht="24.9" customHeight="1" x14ac:dyDescent="0.25">
      <c r="A159" s="188" t="s">
        <v>206</v>
      </c>
      <c r="B159" s="1" t="s">
        <v>222</v>
      </c>
      <c r="C159" s="2">
        <v>5</v>
      </c>
      <c r="D159" s="16">
        <v>53</v>
      </c>
      <c r="E159" s="16">
        <v>9</v>
      </c>
      <c r="F159" s="96">
        <v>0.03</v>
      </c>
      <c r="G159" s="96">
        <v>0.38</v>
      </c>
      <c r="H159" s="96">
        <v>0.5</v>
      </c>
      <c r="I159" s="96">
        <v>0.09</v>
      </c>
      <c r="J159" s="96">
        <v>0.44</v>
      </c>
      <c r="K159" s="96">
        <v>0.53</v>
      </c>
      <c r="L159" s="96">
        <v>0.56000000000000005</v>
      </c>
      <c r="M159" s="34">
        <v>58</v>
      </c>
      <c r="N159" s="34">
        <v>9</v>
      </c>
      <c r="O159" s="92">
        <v>0.05</v>
      </c>
      <c r="P159" s="92">
        <v>0.13</v>
      </c>
      <c r="Q159" s="92">
        <v>0.68</v>
      </c>
      <c r="R159" s="92">
        <v>0.15</v>
      </c>
      <c r="S159" s="92">
        <v>0.35</v>
      </c>
      <c r="T159" s="92">
        <v>0.43</v>
      </c>
      <c r="U159" s="92">
        <v>0.42</v>
      </c>
      <c r="V159" s="16">
        <v>56</v>
      </c>
      <c r="W159" s="16">
        <v>8</v>
      </c>
      <c r="X159" s="99">
        <v>0.02</v>
      </c>
      <c r="Y159" s="99">
        <v>0.28999999999999998</v>
      </c>
      <c r="Z159" s="99">
        <v>0.55000000000000004</v>
      </c>
      <c r="AA159" s="99">
        <v>0.14000000000000001</v>
      </c>
      <c r="AB159" s="99">
        <v>0.4</v>
      </c>
      <c r="AC159" s="99">
        <v>0.47</v>
      </c>
      <c r="AD159" s="99">
        <v>0.46</v>
      </c>
      <c r="AE159" s="16">
        <v>57</v>
      </c>
      <c r="AF159" s="16">
        <v>9</v>
      </c>
      <c r="AG159" s="96">
        <v>0.02</v>
      </c>
      <c r="AH159" s="96">
        <v>0.24</v>
      </c>
      <c r="AI159" s="96">
        <v>0.55000000000000004</v>
      </c>
      <c r="AJ159" s="96">
        <v>0.2</v>
      </c>
      <c r="AK159" s="96">
        <v>0.38</v>
      </c>
      <c r="AL159" s="96">
        <v>0.33</v>
      </c>
      <c r="AM159" s="96">
        <v>0.37</v>
      </c>
      <c r="AN159" s="61">
        <v>58</v>
      </c>
      <c r="AO159" s="61">
        <v>7</v>
      </c>
      <c r="AP159" s="66">
        <v>0</v>
      </c>
      <c r="AQ159" s="66">
        <v>0.14000000000000001</v>
      </c>
      <c r="AR159" s="66">
        <v>0.7</v>
      </c>
      <c r="AS159" s="66">
        <v>0.16</v>
      </c>
      <c r="AT159" s="66">
        <v>0.39</v>
      </c>
      <c r="AU159" s="66">
        <v>0.28000000000000003</v>
      </c>
      <c r="AV159" s="66">
        <v>0.38</v>
      </c>
      <c r="AW159" s="349">
        <v>57</v>
      </c>
      <c r="AX159" s="348" t="s">
        <v>910</v>
      </c>
      <c r="AY159" s="349">
        <v>8</v>
      </c>
      <c r="AZ159" s="348" t="s">
        <v>910</v>
      </c>
      <c r="BA159" s="371">
        <v>0</v>
      </c>
      <c r="BB159" s="371">
        <v>0.21</v>
      </c>
      <c r="BC159" s="371">
        <v>0.69</v>
      </c>
      <c r="BD159" s="371">
        <v>0.1</v>
      </c>
      <c r="BE159" s="371">
        <v>0.36</v>
      </c>
      <c r="BF159" s="371">
        <v>0.3</v>
      </c>
      <c r="BG159" s="371">
        <v>0.53</v>
      </c>
      <c r="BH159" s="469">
        <v>60</v>
      </c>
      <c r="BI159" s="471" t="s">
        <v>910</v>
      </c>
      <c r="BJ159" s="469">
        <v>7</v>
      </c>
      <c r="BK159" s="471" t="s">
        <v>910</v>
      </c>
      <c r="BL159" s="501">
        <v>0</v>
      </c>
      <c r="BM159" s="501">
        <v>0.13</v>
      </c>
      <c r="BN159" s="501">
        <v>0.66</v>
      </c>
      <c r="BO159" s="501">
        <v>0.21</v>
      </c>
      <c r="BP159" s="501">
        <v>0.43</v>
      </c>
      <c r="BQ159" s="501">
        <v>0.26</v>
      </c>
      <c r="BR159" s="501">
        <v>0.3</v>
      </c>
      <c r="BS159" s="630">
        <v>58</v>
      </c>
      <c r="BT159" s="640" t="s">
        <v>910</v>
      </c>
      <c r="BU159" s="630">
        <v>9</v>
      </c>
      <c r="BV159" s="640" t="s">
        <v>910</v>
      </c>
      <c r="BW159" s="644">
        <v>0.02</v>
      </c>
      <c r="BX159" s="644">
        <v>0.18</v>
      </c>
      <c r="BY159" s="644">
        <v>0.62</v>
      </c>
      <c r="BZ159" s="644">
        <v>0.18</v>
      </c>
      <c r="CA159" s="644">
        <v>0.31</v>
      </c>
      <c r="CB159" s="644">
        <v>0.39</v>
      </c>
      <c r="CC159" s="644">
        <v>0.42</v>
      </c>
    </row>
    <row r="160" spans="1:81" ht="24.9" customHeight="1" x14ac:dyDescent="0.25">
      <c r="A160" s="188" t="s">
        <v>202</v>
      </c>
      <c r="B160" s="1" t="s">
        <v>222</v>
      </c>
      <c r="C160" s="2">
        <v>5</v>
      </c>
      <c r="D160" s="16">
        <v>56</v>
      </c>
      <c r="E160" s="16">
        <v>8</v>
      </c>
      <c r="F160" s="96">
        <v>0.01</v>
      </c>
      <c r="G160" s="96">
        <v>0.25</v>
      </c>
      <c r="H160" s="96">
        <v>0.64</v>
      </c>
      <c r="I160" s="96">
        <v>0.1</v>
      </c>
      <c r="J160" s="96">
        <v>0.41</v>
      </c>
      <c r="K160" s="96">
        <v>0.42</v>
      </c>
      <c r="L160" s="96">
        <v>0.53</v>
      </c>
      <c r="M160" s="34">
        <v>59</v>
      </c>
      <c r="N160" s="34">
        <v>7</v>
      </c>
      <c r="O160" s="92">
        <v>0</v>
      </c>
      <c r="P160" s="92">
        <v>0.16</v>
      </c>
      <c r="Q160" s="92">
        <v>0.63</v>
      </c>
      <c r="R160" s="92">
        <v>0.21</v>
      </c>
      <c r="S160" s="92">
        <v>0.34</v>
      </c>
      <c r="T160" s="92">
        <v>0.38</v>
      </c>
      <c r="U160" s="92">
        <v>0.39</v>
      </c>
      <c r="V160" s="16">
        <v>57</v>
      </c>
      <c r="W160" s="16">
        <v>8</v>
      </c>
      <c r="X160" s="99">
        <v>0.01</v>
      </c>
      <c r="Y160" s="99">
        <v>0.15</v>
      </c>
      <c r="Z160" s="99">
        <v>0.66</v>
      </c>
      <c r="AA160" s="99">
        <v>0.18</v>
      </c>
      <c r="AB160" s="99">
        <v>0.37</v>
      </c>
      <c r="AC160" s="99">
        <v>0.43</v>
      </c>
      <c r="AD160" s="99">
        <v>0.44</v>
      </c>
      <c r="AE160" s="16">
        <v>59</v>
      </c>
      <c r="AF160" s="16">
        <v>7</v>
      </c>
      <c r="AG160" s="96">
        <v>0</v>
      </c>
      <c r="AH160" s="96">
        <v>0.16</v>
      </c>
      <c r="AI160" s="96">
        <v>0.63</v>
      </c>
      <c r="AJ160" s="96">
        <v>0.21</v>
      </c>
      <c r="AK160" s="96">
        <v>0.34</v>
      </c>
      <c r="AL160" s="96">
        <v>0.26</v>
      </c>
      <c r="AM160" s="96">
        <v>0.35</v>
      </c>
      <c r="AN160" s="61">
        <v>60</v>
      </c>
      <c r="AO160" s="61">
        <v>7</v>
      </c>
      <c r="AP160" s="66">
        <v>0</v>
      </c>
      <c r="AQ160" s="66">
        <v>0.08</v>
      </c>
      <c r="AR160" s="66">
        <v>0.76</v>
      </c>
      <c r="AS160" s="66">
        <v>0.16</v>
      </c>
      <c r="AT160" s="66">
        <v>0.36</v>
      </c>
      <c r="AU160" s="66">
        <v>0.25</v>
      </c>
      <c r="AV160" s="66">
        <v>0.35</v>
      </c>
      <c r="AW160" s="349">
        <v>59</v>
      </c>
      <c r="AX160" s="348" t="s">
        <v>910</v>
      </c>
      <c r="AY160" s="349">
        <v>8</v>
      </c>
      <c r="AZ160" s="348" t="s">
        <v>910</v>
      </c>
      <c r="BA160" s="371">
        <v>0</v>
      </c>
      <c r="BB160" s="371">
        <v>0.15</v>
      </c>
      <c r="BC160" s="371">
        <v>0.67</v>
      </c>
      <c r="BD160" s="371">
        <v>0.19</v>
      </c>
      <c r="BE160" s="371">
        <v>0.33</v>
      </c>
      <c r="BF160" s="371">
        <v>0.3</v>
      </c>
      <c r="BG160" s="371">
        <v>0.47</v>
      </c>
      <c r="BH160" s="469">
        <v>60</v>
      </c>
      <c r="BI160" s="471" t="s">
        <v>910</v>
      </c>
      <c r="BJ160" s="469">
        <v>7</v>
      </c>
      <c r="BK160" s="471" t="s">
        <v>910</v>
      </c>
      <c r="BL160" s="501">
        <v>0.01</v>
      </c>
      <c r="BM160" s="501">
        <v>7.0000000000000007E-2</v>
      </c>
      <c r="BN160" s="501">
        <v>0.67</v>
      </c>
      <c r="BO160" s="501">
        <v>0.25</v>
      </c>
      <c r="BP160" s="501">
        <v>0.35</v>
      </c>
      <c r="BQ160" s="501">
        <v>0.25</v>
      </c>
      <c r="BR160" s="501">
        <v>0.32</v>
      </c>
      <c r="BS160" s="630">
        <v>59</v>
      </c>
      <c r="BT160" s="640" t="s">
        <v>910</v>
      </c>
      <c r="BU160" s="630">
        <v>8</v>
      </c>
      <c r="BV160" s="640" t="s">
        <v>910</v>
      </c>
      <c r="BW160" s="644">
        <v>0</v>
      </c>
      <c r="BX160" s="644">
        <v>0.14000000000000001</v>
      </c>
      <c r="BY160" s="644">
        <v>0.68</v>
      </c>
      <c r="BZ160" s="644">
        <v>0.18</v>
      </c>
      <c r="CA160" s="644">
        <v>0.28000000000000003</v>
      </c>
      <c r="CB160" s="644">
        <v>0.38</v>
      </c>
      <c r="CC160" s="644">
        <v>0.44</v>
      </c>
    </row>
    <row r="161" spans="1:81" ht="24.9" customHeight="1" x14ac:dyDescent="0.25">
      <c r="A161" s="188" t="s">
        <v>880</v>
      </c>
      <c r="B161" s="1" t="s">
        <v>222</v>
      </c>
      <c r="C161" s="2">
        <v>5</v>
      </c>
      <c r="D161" s="16">
        <v>58</v>
      </c>
      <c r="E161" s="16">
        <v>5</v>
      </c>
      <c r="F161" s="96">
        <v>0</v>
      </c>
      <c r="G161" s="96">
        <v>0.05</v>
      </c>
      <c r="H161" s="96">
        <v>0.95</v>
      </c>
      <c r="I161" s="96">
        <v>0</v>
      </c>
      <c r="J161" s="96">
        <v>0.42</v>
      </c>
      <c r="K161" s="96">
        <v>0.38</v>
      </c>
      <c r="L161" s="96">
        <v>0.5</v>
      </c>
      <c r="M161" s="34">
        <v>61</v>
      </c>
      <c r="N161" s="34">
        <v>6</v>
      </c>
      <c r="O161" s="92">
        <v>0</v>
      </c>
      <c r="P161" s="92">
        <v>7.0000000000000007E-2</v>
      </c>
      <c r="Q161" s="92">
        <v>0.71</v>
      </c>
      <c r="R161" s="92">
        <v>0.21</v>
      </c>
      <c r="S161" s="92">
        <v>0.27</v>
      </c>
      <c r="T161" s="92">
        <v>0.39</v>
      </c>
      <c r="U161" s="92">
        <v>0.34</v>
      </c>
      <c r="V161" s="16">
        <v>61</v>
      </c>
      <c r="W161" s="16">
        <v>8</v>
      </c>
      <c r="X161" s="99">
        <v>0</v>
      </c>
      <c r="Y161" s="99">
        <v>0.14000000000000001</v>
      </c>
      <c r="Z161" s="99">
        <v>0.56999999999999995</v>
      </c>
      <c r="AA161" s="99">
        <v>0.28999999999999998</v>
      </c>
      <c r="AB161" s="99">
        <v>0.31</v>
      </c>
      <c r="AC161" s="99">
        <v>0.35</v>
      </c>
      <c r="AD161" s="99">
        <v>0.41</v>
      </c>
      <c r="AE161" s="16">
        <v>59</v>
      </c>
      <c r="AF161" s="16">
        <v>7</v>
      </c>
      <c r="AG161" s="96">
        <v>0</v>
      </c>
      <c r="AH161" s="96">
        <v>0.15</v>
      </c>
      <c r="AI161" s="96">
        <v>0.7</v>
      </c>
      <c r="AJ161" s="96">
        <v>0.15</v>
      </c>
      <c r="AK161" s="96">
        <v>0.35</v>
      </c>
      <c r="AL161" s="96">
        <v>0.32</v>
      </c>
      <c r="AM161" s="96">
        <v>0.32</v>
      </c>
      <c r="AN161" s="61">
        <v>58</v>
      </c>
      <c r="AO161" s="61">
        <v>7</v>
      </c>
      <c r="AP161" s="66">
        <v>0</v>
      </c>
      <c r="AQ161" s="66">
        <v>0.12</v>
      </c>
      <c r="AR161" s="66">
        <v>0.77</v>
      </c>
      <c r="AS161" s="66">
        <v>0.12</v>
      </c>
      <c r="AT161" s="66">
        <v>0.41</v>
      </c>
      <c r="AU161" s="66">
        <v>0.3</v>
      </c>
      <c r="AV161" s="66">
        <v>0.37</v>
      </c>
      <c r="AW161" s="349">
        <v>59</v>
      </c>
      <c r="AX161" s="348" t="s">
        <v>910</v>
      </c>
      <c r="AY161" s="349">
        <v>9</v>
      </c>
      <c r="AZ161" s="348" t="s">
        <v>910</v>
      </c>
      <c r="BA161" s="371">
        <v>0</v>
      </c>
      <c r="BB161" s="371">
        <v>0.12</v>
      </c>
      <c r="BC161" s="371">
        <v>0.6</v>
      </c>
      <c r="BD161" s="371">
        <v>0.28000000000000003</v>
      </c>
      <c r="BE161" s="371">
        <v>0.37</v>
      </c>
      <c r="BF161" s="371">
        <v>0.28000000000000003</v>
      </c>
      <c r="BG161" s="371">
        <v>0.47</v>
      </c>
      <c r="BH161" s="469">
        <v>59</v>
      </c>
      <c r="BI161" s="471" t="s">
        <v>910</v>
      </c>
      <c r="BJ161" s="469">
        <v>8</v>
      </c>
      <c r="BK161" s="471" t="s">
        <v>910</v>
      </c>
      <c r="BL161" s="501">
        <v>0</v>
      </c>
      <c r="BM161" s="501">
        <v>0.16</v>
      </c>
      <c r="BN161" s="501">
        <v>0.63</v>
      </c>
      <c r="BO161" s="501">
        <v>0.21</v>
      </c>
      <c r="BP161" s="501">
        <v>0.4</v>
      </c>
      <c r="BQ161" s="501">
        <v>0.25</v>
      </c>
      <c r="BR161" s="501">
        <v>0.35</v>
      </c>
      <c r="BS161" s="630">
        <v>60</v>
      </c>
      <c r="BT161" s="640" t="s">
        <v>910</v>
      </c>
      <c r="BU161" s="630">
        <v>7</v>
      </c>
      <c r="BV161" s="640" t="s">
        <v>910</v>
      </c>
      <c r="BW161" s="644">
        <v>0</v>
      </c>
      <c r="BX161" s="644">
        <v>0.09</v>
      </c>
      <c r="BY161" s="644">
        <v>0.64</v>
      </c>
      <c r="BZ161" s="644">
        <v>0.27</v>
      </c>
      <c r="CA161" s="644">
        <v>0.27</v>
      </c>
      <c r="CB161" s="644">
        <v>0.38</v>
      </c>
      <c r="CC161" s="644">
        <v>0.37</v>
      </c>
    </row>
    <row r="162" spans="1:81" ht="24.9" customHeight="1" x14ac:dyDescent="0.25">
      <c r="A162" s="188" t="s">
        <v>177</v>
      </c>
      <c r="B162" s="1" t="s">
        <v>222</v>
      </c>
      <c r="C162" s="2">
        <v>5</v>
      </c>
      <c r="D162" s="16">
        <v>56</v>
      </c>
      <c r="E162" s="16">
        <v>8</v>
      </c>
      <c r="F162" s="96">
        <v>0</v>
      </c>
      <c r="G162" s="96">
        <v>0.3</v>
      </c>
      <c r="H162" s="96">
        <v>0.6</v>
      </c>
      <c r="I162" s="96">
        <v>0.1</v>
      </c>
      <c r="J162" s="96">
        <v>0.41</v>
      </c>
      <c r="K162" s="96">
        <v>0.44</v>
      </c>
      <c r="L162" s="96">
        <v>0.53</v>
      </c>
      <c r="M162" s="34">
        <v>58</v>
      </c>
      <c r="N162" s="34">
        <v>7</v>
      </c>
      <c r="O162" s="92">
        <v>0</v>
      </c>
      <c r="P162" s="92">
        <v>0.17</v>
      </c>
      <c r="Q162" s="92">
        <v>0.69</v>
      </c>
      <c r="R162" s="92">
        <v>0.14000000000000001</v>
      </c>
      <c r="S162" s="92">
        <v>0.38</v>
      </c>
      <c r="T162" s="92">
        <v>0.38</v>
      </c>
      <c r="U162" s="92">
        <v>0.44</v>
      </c>
      <c r="V162" s="16">
        <v>61</v>
      </c>
      <c r="W162" s="16">
        <v>6</v>
      </c>
      <c r="X162" s="99">
        <v>0</v>
      </c>
      <c r="Y162" s="99">
        <v>0.06</v>
      </c>
      <c r="Z162" s="99">
        <v>0.78</v>
      </c>
      <c r="AA162" s="99">
        <v>0.17</v>
      </c>
      <c r="AB162" s="99">
        <v>0.32</v>
      </c>
      <c r="AC162" s="99">
        <v>0.4</v>
      </c>
      <c r="AD162" s="99">
        <v>0.38</v>
      </c>
      <c r="AE162" s="16">
        <v>58</v>
      </c>
      <c r="AF162" s="16">
        <v>8</v>
      </c>
      <c r="AG162" s="96">
        <v>0</v>
      </c>
      <c r="AH162" s="96">
        <v>0.15</v>
      </c>
      <c r="AI162" s="96">
        <v>0.65</v>
      </c>
      <c r="AJ162" s="96">
        <v>0.2</v>
      </c>
      <c r="AK162" s="96">
        <v>0.34</v>
      </c>
      <c r="AL162" s="96">
        <v>0.31</v>
      </c>
      <c r="AM162" s="96">
        <v>0.33</v>
      </c>
      <c r="AN162" s="61">
        <v>56</v>
      </c>
      <c r="AO162" s="61">
        <v>5</v>
      </c>
      <c r="AP162" s="66">
        <v>0</v>
      </c>
      <c r="AQ162" s="66">
        <v>0.05</v>
      </c>
      <c r="AR162" s="66">
        <v>0.95</v>
      </c>
      <c r="AS162" s="66">
        <v>0</v>
      </c>
      <c r="AT162" s="66">
        <v>0.44</v>
      </c>
      <c r="AU162" s="66">
        <v>0.28999999999999998</v>
      </c>
      <c r="AV162" s="66">
        <v>0.37</v>
      </c>
      <c r="AW162" s="349">
        <v>56</v>
      </c>
      <c r="AX162" s="348" t="s">
        <v>910</v>
      </c>
      <c r="AY162" s="349">
        <v>7</v>
      </c>
      <c r="AZ162" s="348" t="s">
        <v>910</v>
      </c>
      <c r="BA162" s="371">
        <v>0</v>
      </c>
      <c r="BB162" s="371">
        <v>0.28999999999999998</v>
      </c>
      <c r="BC162" s="371">
        <v>0.64</v>
      </c>
      <c r="BD162" s="371">
        <v>7.0000000000000007E-2</v>
      </c>
      <c r="BE162" s="371">
        <v>0.37</v>
      </c>
      <c r="BF162" s="371">
        <v>0.35</v>
      </c>
      <c r="BG162" s="371">
        <v>0.54</v>
      </c>
      <c r="BH162" s="469">
        <v>63</v>
      </c>
      <c r="BI162" s="471" t="s">
        <v>911</v>
      </c>
      <c r="BJ162" s="469">
        <v>7</v>
      </c>
      <c r="BK162" s="471" t="s">
        <v>910</v>
      </c>
      <c r="BL162" s="501">
        <v>0</v>
      </c>
      <c r="BM162" s="501">
        <v>0.03</v>
      </c>
      <c r="BN162" s="501">
        <v>0.52</v>
      </c>
      <c r="BO162" s="501">
        <v>0.45</v>
      </c>
      <c r="BP162" s="501">
        <v>0.28999999999999998</v>
      </c>
      <c r="BQ162" s="501">
        <v>0.24</v>
      </c>
      <c r="BR162" s="501">
        <v>0.28000000000000003</v>
      </c>
      <c r="BS162" s="630">
        <v>59</v>
      </c>
      <c r="BT162" s="640" t="s">
        <v>910</v>
      </c>
      <c r="BU162" s="630">
        <v>9</v>
      </c>
      <c r="BV162" s="640" t="s">
        <v>910</v>
      </c>
      <c r="BW162" s="644">
        <v>0</v>
      </c>
      <c r="BX162" s="644">
        <v>0.17</v>
      </c>
      <c r="BY162" s="644">
        <v>0.64</v>
      </c>
      <c r="BZ162" s="644">
        <v>0.19</v>
      </c>
      <c r="CA162" s="644">
        <v>0.34</v>
      </c>
      <c r="CB162" s="644">
        <v>0.41</v>
      </c>
      <c r="CC162" s="644">
        <v>0.38</v>
      </c>
    </row>
    <row r="163" spans="1:81" ht="24.9" customHeight="1" x14ac:dyDescent="0.25">
      <c r="A163" s="188" t="s">
        <v>289</v>
      </c>
      <c r="B163" s="1" t="s">
        <v>222</v>
      </c>
      <c r="C163" s="2">
        <v>4</v>
      </c>
      <c r="D163" s="16">
        <v>44</v>
      </c>
      <c r="E163" s="16">
        <v>4</v>
      </c>
      <c r="F163" s="96">
        <v>0</v>
      </c>
      <c r="G163" s="96">
        <v>1</v>
      </c>
      <c r="H163" s="96">
        <v>0</v>
      </c>
      <c r="I163" s="96">
        <v>0</v>
      </c>
      <c r="J163" s="96">
        <v>0.67</v>
      </c>
      <c r="K163" s="96">
        <v>0.71</v>
      </c>
      <c r="L163" s="96">
        <v>0.69</v>
      </c>
      <c r="M163" s="34">
        <v>46</v>
      </c>
      <c r="N163" s="34">
        <v>6</v>
      </c>
      <c r="O163" s="92">
        <v>0</v>
      </c>
      <c r="P163" s="92">
        <v>0.8</v>
      </c>
      <c r="Q163" s="92">
        <v>0.2</v>
      </c>
      <c r="R163" s="92">
        <v>0</v>
      </c>
      <c r="S163" s="92">
        <v>0.53</v>
      </c>
      <c r="T163" s="92">
        <v>0.57999999999999996</v>
      </c>
      <c r="U163" s="92">
        <v>0.71</v>
      </c>
      <c r="V163" s="34">
        <v>47</v>
      </c>
      <c r="W163" s="34">
        <v>6</v>
      </c>
      <c r="X163" s="99">
        <v>0</v>
      </c>
      <c r="Y163" s="99">
        <v>0.75</v>
      </c>
      <c r="Z163" s="99">
        <v>0.25</v>
      </c>
      <c r="AA163" s="99">
        <v>0</v>
      </c>
      <c r="AB163" s="99">
        <v>0.55000000000000004</v>
      </c>
      <c r="AC163" s="99">
        <v>0.55000000000000004</v>
      </c>
      <c r="AD163" s="99">
        <v>0.69</v>
      </c>
      <c r="AE163" s="16">
        <v>47</v>
      </c>
      <c r="AF163" s="16">
        <v>6</v>
      </c>
      <c r="AG163" s="96">
        <v>0</v>
      </c>
      <c r="AH163" s="96">
        <v>0.75</v>
      </c>
      <c r="AI163" s="96">
        <v>0.25</v>
      </c>
      <c r="AJ163" s="96">
        <v>0</v>
      </c>
      <c r="AK163" s="96">
        <v>0.48</v>
      </c>
      <c r="AL163" s="96">
        <v>0.54</v>
      </c>
      <c r="AM163" s="96">
        <v>0.5</v>
      </c>
      <c r="AN163" s="61">
        <v>44</v>
      </c>
      <c r="AO163" s="61">
        <v>5</v>
      </c>
      <c r="AP163" s="66">
        <v>0</v>
      </c>
      <c r="AQ163" s="66">
        <v>0.83</v>
      </c>
      <c r="AR163" s="66">
        <v>0.17</v>
      </c>
      <c r="AS163" s="66">
        <v>0</v>
      </c>
      <c r="AT163" s="66">
        <v>0.57999999999999996</v>
      </c>
      <c r="AU163" s="66">
        <v>0.56000000000000005</v>
      </c>
      <c r="AV163" s="66">
        <v>0.57999999999999996</v>
      </c>
      <c r="AW163" s="349">
        <v>50</v>
      </c>
      <c r="AX163" s="348" t="s">
        <v>910</v>
      </c>
      <c r="AY163" s="349">
        <v>6</v>
      </c>
      <c r="AZ163" s="348" t="s">
        <v>910</v>
      </c>
      <c r="BA163" s="371">
        <v>0</v>
      </c>
      <c r="BB163" s="371">
        <v>0.73</v>
      </c>
      <c r="BC163" s="371">
        <v>0.27</v>
      </c>
      <c r="BD163" s="371">
        <v>0</v>
      </c>
      <c r="BE163" s="371">
        <v>0.54</v>
      </c>
      <c r="BF163" s="371">
        <v>0.41</v>
      </c>
      <c r="BG163" s="371">
        <v>0.61</v>
      </c>
      <c r="BH163" s="469">
        <v>51</v>
      </c>
      <c r="BI163" s="471" t="s">
        <v>910</v>
      </c>
      <c r="BJ163" s="469">
        <v>8</v>
      </c>
      <c r="BK163" s="471" t="s">
        <v>910</v>
      </c>
      <c r="BL163" s="501">
        <v>0.09</v>
      </c>
      <c r="BM163" s="501">
        <v>0.36</v>
      </c>
      <c r="BN163" s="501">
        <v>0.55000000000000004</v>
      </c>
      <c r="BO163" s="501">
        <v>0</v>
      </c>
      <c r="BP163" s="501">
        <v>0.51</v>
      </c>
      <c r="BQ163" s="501">
        <v>0.4</v>
      </c>
      <c r="BR163" s="501">
        <v>0.53</v>
      </c>
      <c r="BS163" s="630">
        <v>49</v>
      </c>
      <c r="BT163" s="640" t="s">
        <v>910</v>
      </c>
      <c r="BU163" s="630">
        <v>11</v>
      </c>
      <c r="BV163" s="640" t="s">
        <v>910</v>
      </c>
      <c r="BW163" s="644">
        <v>0</v>
      </c>
      <c r="BX163" s="644">
        <v>0.8</v>
      </c>
      <c r="BY163" s="644">
        <v>0</v>
      </c>
      <c r="BZ163" s="644">
        <v>0.2</v>
      </c>
      <c r="CA163" s="644">
        <v>0.52</v>
      </c>
      <c r="CB163" s="644">
        <v>0.51</v>
      </c>
      <c r="CC163" s="644">
        <v>0.67</v>
      </c>
    </row>
    <row r="164" spans="1:81" ht="24.9" customHeight="1" x14ac:dyDescent="0.25">
      <c r="A164" s="188" t="s">
        <v>71</v>
      </c>
      <c r="B164" s="1" t="s">
        <v>222</v>
      </c>
      <c r="C164" s="2">
        <v>6</v>
      </c>
      <c r="D164" s="16">
        <v>55</v>
      </c>
      <c r="E164" s="16">
        <v>7</v>
      </c>
      <c r="F164" s="96">
        <v>0</v>
      </c>
      <c r="G164" s="96">
        <v>0.26</v>
      </c>
      <c r="H164" s="96">
        <v>0.67</v>
      </c>
      <c r="I164" s="96">
        <v>7.0000000000000007E-2</v>
      </c>
      <c r="J164" s="96">
        <v>0.36</v>
      </c>
      <c r="K164" s="96">
        <v>0.41</v>
      </c>
      <c r="L164" s="96">
        <v>0.54</v>
      </c>
      <c r="M164" s="34">
        <v>57</v>
      </c>
      <c r="N164" s="34">
        <v>7</v>
      </c>
      <c r="O164" s="92">
        <v>0</v>
      </c>
      <c r="P164" s="92">
        <v>0.22</v>
      </c>
      <c r="Q164" s="92">
        <v>0.7</v>
      </c>
      <c r="R164" s="92">
        <v>0.08</v>
      </c>
      <c r="S164" s="92">
        <v>0.4</v>
      </c>
      <c r="T164" s="92">
        <v>0.44</v>
      </c>
      <c r="U164" s="92">
        <v>0.4</v>
      </c>
      <c r="V164" s="16">
        <v>57</v>
      </c>
      <c r="W164" s="16">
        <v>9</v>
      </c>
      <c r="X164" s="99">
        <v>0</v>
      </c>
      <c r="Y164" s="99">
        <v>0.24</v>
      </c>
      <c r="Z164" s="99">
        <v>0.6</v>
      </c>
      <c r="AA164" s="99">
        <v>0.16</v>
      </c>
      <c r="AB164" s="99">
        <v>0.37</v>
      </c>
      <c r="AC164" s="99">
        <v>0.43</v>
      </c>
      <c r="AD164" s="99">
        <v>0.47</v>
      </c>
      <c r="AE164" s="16">
        <v>57</v>
      </c>
      <c r="AF164" s="16">
        <v>8</v>
      </c>
      <c r="AG164" s="96">
        <v>0.01</v>
      </c>
      <c r="AH164" s="96">
        <v>0.24</v>
      </c>
      <c r="AI164" s="96">
        <v>0.61</v>
      </c>
      <c r="AJ164" s="96">
        <v>0.14000000000000001</v>
      </c>
      <c r="AK164" s="96">
        <v>0.39</v>
      </c>
      <c r="AL164" s="96">
        <v>0.33</v>
      </c>
      <c r="AM164" s="96">
        <v>0.36</v>
      </c>
      <c r="AN164" s="61">
        <v>55</v>
      </c>
      <c r="AO164" s="61">
        <v>8</v>
      </c>
      <c r="AP164" s="66">
        <v>0.01</v>
      </c>
      <c r="AQ164" s="66">
        <v>0.27</v>
      </c>
      <c r="AR164" s="66">
        <v>0.57999999999999996</v>
      </c>
      <c r="AS164" s="66">
        <v>0.14000000000000001</v>
      </c>
      <c r="AT164" s="66">
        <v>0.46</v>
      </c>
      <c r="AU164" s="66">
        <v>0.32</v>
      </c>
      <c r="AV164" s="66">
        <v>0.39</v>
      </c>
      <c r="AW164" s="349">
        <v>56</v>
      </c>
      <c r="AX164" s="348" t="s">
        <v>910</v>
      </c>
      <c r="AY164" s="349">
        <v>8</v>
      </c>
      <c r="AZ164" s="348" t="s">
        <v>910</v>
      </c>
      <c r="BA164" s="371">
        <v>0.01</v>
      </c>
      <c r="BB164" s="371">
        <v>0.23</v>
      </c>
      <c r="BC164" s="371">
        <v>0.61</v>
      </c>
      <c r="BD164" s="371">
        <v>0.15</v>
      </c>
      <c r="BE164" s="371">
        <v>0.42</v>
      </c>
      <c r="BF164" s="371">
        <v>0.3</v>
      </c>
      <c r="BG164" s="371">
        <v>0.51</v>
      </c>
      <c r="BH164" s="469">
        <v>57</v>
      </c>
      <c r="BI164" s="471" t="s">
        <v>910</v>
      </c>
      <c r="BJ164" s="469">
        <v>7</v>
      </c>
      <c r="BK164" s="471" t="s">
        <v>910</v>
      </c>
      <c r="BL164" s="501">
        <v>0</v>
      </c>
      <c r="BM164" s="501">
        <v>0.19</v>
      </c>
      <c r="BN164" s="501">
        <v>0.74</v>
      </c>
      <c r="BO164" s="501">
        <v>7.0000000000000007E-2</v>
      </c>
      <c r="BP164" s="501">
        <v>0.45</v>
      </c>
      <c r="BQ164" s="501">
        <v>0.3</v>
      </c>
      <c r="BR164" s="501">
        <v>0.4</v>
      </c>
      <c r="BS164" s="630">
        <v>57</v>
      </c>
      <c r="BT164" s="640" t="s">
        <v>910</v>
      </c>
      <c r="BU164" s="630">
        <v>9</v>
      </c>
      <c r="BV164" s="640" t="s">
        <v>910</v>
      </c>
      <c r="BW164" s="644">
        <v>0.04</v>
      </c>
      <c r="BX164" s="644">
        <v>0.19</v>
      </c>
      <c r="BY164" s="644">
        <v>0.56999999999999995</v>
      </c>
      <c r="BZ164" s="644">
        <v>0.21</v>
      </c>
      <c r="CA164" s="644">
        <v>0.3</v>
      </c>
      <c r="CB164" s="644">
        <v>0.41</v>
      </c>
      <c r="CC164" s="644">
        <v>0.44</v>
      </c>
    </row>
    <row r="165" spans="1:81" ht="24.9" customHeight="1" x14ac:dyDescent="0.25">
      <c r="A165" s="188" t="s">
        <v>208</v>
      </c>
      <c r="B165" s="1" t="s">
        <v>222</v>
      </c>
      <c r="C165" s="2">
        <v>4</v>
      </c>
      <c r="D165" s="16">
        <v>55</v>
      </c>
      <c r="E165" s="16">
        <v>7</v>
      </c>
      <c r="F165" s="96">
        <v>0</v>
      </c>
      <c r="G165" s="96">
        <v>0.17</v>
      </c>
      <c r="H165" s="96">
        <v>0.75</v>
      </c>
      <c r="I165" s="96">
        <v>0.08</v>
      </c>
      <c r="J165" s="96">
        <v>0.39</v>
      </c>
      <c r="K165" s="96">
        <v>0.45</v>
      </c>
      <c r="L165" s="96">
        <v>0.51</v>
      </c>
      <c r="M165" s="34">
        <v>59</v>
      </c>
      <c r="N165" s="34">
        <v>8</v>
      </c>
      <c r="O165" s="92">
        <v>0</v>
      </c>
      <c r="P165" s="92">
        <v>0.13</v>
      </c>
      <c r="Q165" s="92">
        <v>0.69</v>
      </c>
      <c r="R165" s="92">
        <v>0.19</v>
      </c>
      <c r="S165" s="92">
        <v>0.34</v>
      </c>
      <c r="T165" s="92">
        <v>0.36</v>
      </c>
      <c r="U165" s="92">
        <v>0.41</v>
      </c>
      <c r="V165" s="16">
        <v>56</v>
      </c>
      <c r="W165" s="16">
        <v>4</v>
      </c>
      <c r="X165" s="99">
        <v>0</v>
      </c>
      <c r="Y165" s="99">
        <v>7.0000000000000007E-2</v>
      </c>
      <c r="Z165" s="99">
        <v>0.93</v>
      </c>
      <c r="AA165" s="99">
        <v>0</v>
      </c>
      <c r="AB165" s="99">
        <v>0.4</v>
      </c>
      <c r="AC165" s="99">
        <v>0.42</v>
      </c>
      <c r="AD165" s="99">
        <v>0.44</v>
      </c>
      <c r="AE165" s="16">
        <v>59</v>
      </c>
      <c r="AF165" s="16">
        <v>8</v>
      </c>
      <c r="AG165" s="96">
        <v>0</v>
      </c>
      <c r="AH165" s="96">
        <v>0.11</v>
      </c>
      <c r="AI165" s="96">
        <v>0.72</v>
      </c>
      <c r="AJ165" s="96">
        <v>0.17</v>
      </c>
      <c r="AK165" s="96">
        <v>0.32</v>
      </c>
      <c r="AL165" s="96">
        <v>0.26</v>
      </c>
      <c r="AM165" s="96">
        <v>0.39</v>
      </c>
      <c r="AN165" s="61">
        <v>54</v>
      </c>
      <c r="AO165" s="61">
        <v>9</v>
      </c>
      <c r="AP165" s="66">
        <v>0</v>
      </c>
      <c r="AQ165" s="66">
        <v>0.31</v>
      </c>
      <c r="AR165" s="66">
        <v>0.56000000000000005</v>
      </c>
      <c r="AS165" s="66">
        <v>0.13</v>
      </c>
      <c r="AT165" s="66">
        <v>0.47</v>
      </c>
      <c r="AU165" s="66">
        <v>0.34</v>
      </c>
      <c r="AV165" s="66">
        <v>0.5</v>
      </c>
      <c r="AW165" s="349">
        <v>55</v>
      </c>
      <c r="AX165" s="348" t="s">
        <v>910</v>
      </c>
      <c r="AY165" s="349">
        <v>9</v>
      </c>
      <c r="AZ165" s="348" t="s">
        <v>910</v>
      </c>
      <c r="BA165" s="371">
        <v>0.06</v>
      </c>
      <c r="BB165" s="371">
        <v>0.13</v>
      </c>
      <c r="BC165" s="371">
        <v>0.69</v>
      </c>
      <c r="BD165" s="371">
        <v>0.13</v>
      </c>
      <c r="BE165" s="371">
        <v>0.38</v>
      </c>
      <c r="BF165" s="371">
        <v>0.33</v>
      </c>
      <c r="BG165" s="371">
        <v>0.53</v>
      </c>
      <c r="BH165" s="469">
        <v>58</v>
      </c>
      <c r="BI165" s="471" t="s">
        <v>910</v>
      </c>
      <c r="BJ165" s="469">
        <v>10</v>
      </c>
      <c r="BK165" s="471" t="s">
        <v>910</v>
      </c>
      <c r="BL165" s="501">
        <v>0.05</v>
      </c>
      <c r="BM165" s="501">
        <v>0.16</v>
      </c>
      <c r="BN165" s="501">
        <v>0.53</v>
      </c>
      <c r="BO165" s="501">
        <v>0.26</v>
      </c>
      <c r="BP165" s="501">
        <v>0.43</v>
      </c>
      <c r="BQ165" s="501">
        <v>0.27</v>
      </c>
      <c r="BR165" s="501">
        <v>0.33</v>
      </c>
      <c r="BS165" s="630">
        <v>58</v>
      </c>
      <c r="BT165" s="640" t="s">
        <v>910</v>
      </c>
      <c r="BU165" s="630">
        <v>10</v>
      </c>
      <c r="BV165" s="640" t="s">
        <v>910</v>
      </c>
      <c r="BW165" s="644">
        <v>0</v>
      </c>
      <c r="BX165" s="644">
        <v>0.26</v>
      </c>
      <c r="BY165" s="644">
        <v>0.52</v>
      </c>
      <c r="BZ165" s="644">
        <v>0.22</v>
      </c>
      <c r="CA165" s="644">
        <v>0.25</v>
      </c>
      <c r="CB165" s="644">
        <v>0.44</v>
      </c>
      <c r="CC165" s="644">
        <v>0.41</v>
      </c>
    </row>
    <row r="166" spans="1:81" ht="24.9" customHeight="1" x14ac:dyDescent="0.25">
      <c r="A166" s="188" t="s">
        <v>99</v>
      </c>
      <c r="B166" s="1" t="s">
        <v>222</v>
      </c>
      <c r="C166" s="2">
        <v>5</v>
      </c>
      <c r="D166" s="16">
        <v>56</v>
      </c>
      <c r="E166" s="16">
        <v>11</v>
      </c>
      <c r="F166" s="96">
        <v>0.05</v>
      </c>
      <c r="G166" s="96">
        <v>0.21</v>
      </c>
      <c r="H166" s="96">
        <v>0.57999999999999996</v>
      </c>
      <c r="I166" s="96">
        <v>0.16</v>
      </c>
      <c r="J166" s="96">
        <v>0.43</v>
      </c>
      <c r="K166" s="96">
        <v>0.5</v>
      </c>
      <c r="L166" s="96">
        <v>0.56999999999999995</v>
      </c>
      <c r="M166" s="34">
        <v>57</v>
      </c>
      <c r="N166" s="34">
        <v>8</v>
      </c>
      <c r="O166" s="92">
        <v>0</v>
      </c>
      <c r="P166" s="92">
        <v>0.21</v>
      </c>
      <c r="Q166" s="92">
        <v>0.75</v>
      </c>
      <c r="R166" s="92">
        <v>0.04</v>
      </c>
      <c r="S166" s="92">
        <v>0.36</v>
      </c>
      <c r="T166" s="92">
        <v>0.46</v>
      </c>
      <c r="U166" s="92">
        <v>0.41</v>
      </c>
      <c r="V166" s="16">
        <v>55</v>
      </c>
      <c r="W166" s="16">
        <v>7</v>
      </c>
      <c r="X166" s="99">
        <v>0.06</v>
      </c>
      <c r="Y166" s="99">
        <v>0.18</v>
      </c>
      <c r="Z166" s="99">
        <v>0.76</v>
      </c>
      <c r="AA166" s="99">
        <v>0</v>
      </c>
      <c r="AB166" s="99">
        <v>0.43</v>
      </c>
      <c r="AC166" s="99">
        <v>0.44</v>
      </c>
      <c r="AD166" s="99">
        <v>0.5</v>
      </c>
      <c r="AE166" s="16">
        <v>57</v>
      </c>
      <c r="AF166" s="16">
        <v>10</v>
      </c>
      <c r="AG166" s="96">
        <v>0</v>
      </c>
      <c r="AH166" s="96">
        <v>0.24</v>
      </c>
      <c r="AI166" s="96">
        <v>0.56999999999999995</v>
      </c>
      <c r="AJ166" s="96">
        <v>0.19</v>
      </c>
      <c r="AK166" s="96">
        <v>0.38</v>
      </c>
      <c r="AL166" s="96">
        <v>0.3</v>
      </c>
      <c r="AM166" s="96">
        <v>0.37</v>
      </c>
      <c r="AN166" s="61">
        <v>60</v>
      </c>
      <c r="AO166" s="61">
        <v>8</v>
      </c>
      <c r="AP166" s="66">
        <v>0</v>
      </c>
      <c r="AQ166" s="66">
        <v>0.16</v>
      </c>
      <c r="AR166" s="66">
        <v>0.57999999999999996</v>
      </c>
      <c r="AS166" s="66">
        <v>0.26</v>
      </c>
      <c r="AT166" s="66">
        <v>0.32</v>
      </c>
      <c r="AU166" s="66">
        <v>0.3</v>
      </c>
      <c r="AV166" s="66">
        <v>0.3</v>
      </c>
      <c r="AW166" s="349">
        <v>56</v>
      </c>
      <c r="AX166" s="348" t="s">
        <v>910</v>
      </c>
      <c r="AY166" s="349">
        <v>7</v>
      </c>
      <c r="AZ166" s="348" t="s">
        <v>910</v>
      </c>
      <c r="BA166" s="371">
        <v>0</v>
      </c>
      <c r="BB166" s="371">
        <v>0.15</v>
      </c>
      <c r="BC166" s="371">
        <v>0.69</v>
      </c>
      <c r="BD166" s="371">
        <v>0.15</v>
      </c>
      <c r="BE166" s="371">
        <v>0.41</v>
      </c>
      <c r="BF166" s="371">
        <v>0.3</v>
      </c>
      <c r="BG166" s="371">
        <v>0.51</v>
      </c>
      <c r="BH166" s="469">
        <v>62</v>
      </c>
      <c r="BI166" s="471" t="s">
        <v>910</v>
      </c>
      <c r="BJ166" s="469">
        <v>6</v>
      </c>
      <c r="BK166" s="471" t="s">
        <v>910</v>
      </c>
      <c r="BL166" s="501">
        <v>0</v>
      </c>
      <c r="BM166" s="501">
        <v>0.04</v>
      </c>
      <c r="BN166" s="501">
        <v>0.65</v>
      </c>
      <c r="BO166" s="501">
        <v>0.3</v>
      </c>
      <c r="BP166" s="501">
        <v>0.34</v>
      </c>
      <c r="BQ166" s="501">
        <v>0.26</v>
      </c>
      <c r="BR166" s="501">
        <v>0.27</v>
      </c>
      <c r="BS166" s="630">
        <v>59</v>
      </c>
      <c r="BT166" s="640" t="s">
        <v>910</v>
      </c>
      <c r="BU166" s="630">
        <v>9</v>
      </c>
      <c r="BV166" s="640" t="s">
        <v>910</v>
      </c>
      <c r="BW166" s="644">
        <v>0</v>
      </c>
      <c r="BX166" s="644">
        <v>0.14000000000000001</v>
      </c>
      <c r="BY166" s="644">
        <v>0.71</v>
      </c>
      <c r="BZ166" s="644">
        <v>0.14000000000000001</v>
      </c>
      <c r="CA166" s="644">
        <v>0.37</v>
      </c>
      <c r="CB166" s="644">
        <v>0.38</v>
      </c>
      <c r="CC166" s="644">
        <v>0.39</v>
      </c>
    </row>
    <row r="167" spans="1:81" ht="24.9" customHeight="1" x14ac:dyDescent="0.25">
      <c r="A167" s="188" t="s">
        <v>73</v>
      </c>
      <c r="B167" s="70" t="s">
        <v>222</v>
      </c>
      <c r="C167" s="72">
        <v>2</v>
      </c>
      <c r="D167" s="16">
        <v>52</v>
      </c>
      <c r="E167" s="16">
        <v>7</v>
      </c>
      <c r="F167" s="96">
        <v>0</v>
      </c>
      <c r="G167" s="96">
        <v>0.36</v>
      </c>
      <c r="H167" s="96">
        <v>0.64</v>
      </c>
      <c r="I167" s="96">
        <v>0</v>
      </c>
      <c r="J167" s="96">
        <v>0.45</v>
      </c>
      <c r="K167" s="96">
        <v>0.47</v>
      </c>
      <c r="L167" s="96">
        <v>0.56999999999999995</v>
      </c>
      <c r="M167" s="34">
        <v>55</v>
      </c>
      <c r="N167" s="34">
        <v>9</v>
      </c>
      <c r="O167" s="92">
        <v>0</v>
      </c>
      <c r="P167" s="92">
        <v>0.37</v>
      </c>
      <c r="Q167" s="92">
        <v>0.53</v>
      </c>
      <c r="R167" s="92">
        <v>0.09</v>
      </c>
      <c r="S167" s="92">
        <v>0.49</v>
      </c>
      <c r="T167" s="92">
        <v>0.43</v>
      </c>
      <c r="U167" s="92">
        <v>0.44</v>
      </c>
      <c r="V167" s="16">
        <v>53</v>
      </c>
      <c r="W167" s="16">
        <v>8</v>
      </c>
      <c r="X167" s="99">
        <v>0</v>
      </c>
      <c r="Y167" s="99">
        <v>0.47</v>
      </c>
      <c r="Z167" s="99">
        <v>0.39</v>
      </c>
      <c r="AA167" s="99">
        <v>0.14000000000000001</v>
      </c>
      <c r="AB167" s="99">
        <v>0.43</v>
      </c>
      <c r="AC167" s="99">
        <v>0.5</v>
      </c>
      <c r="AD167" s="99">
        <v>0.53</v>
      </c>
      <c r="AE167" s="16">
        <v>55</v>
      </c>
      <c r="AF167" s="16">
        <v>7</v>
      </c>
      <c r="AG167" s="96">
        <v>0</v>
      </c>
      <c r="AH167" s="96">
        <v>0.33</v>
      </c>
      <c r="AI167" s="96">
        <v>0.61</v>
      </c>
      <c r="AJ167" s="96">
        <v>0.06</v>
      </c>
      <c r="AK167" s="96">
        <v>0.37</v>
      </c>
      <c r="AL167" s="96">
        <v>0.39</v>
      </c>
      <c r="AM167" s="96">
        <v>0.38</v>
      </c>
      <c r="AN167" s="61">
        <v>52</v>
      </c>
      <c r="AO167" s="61">
        <v>6</v>
      </c>
      <c r="AP167" s="66">
        <v>0</v>
      </c>
      <c r="AQ167" s="66">
        <v>0.4</v>
      </c>
      <c r="AR167" s="66">
        <v>0.6</v>
      </c>
      <c r="AS167" s="66">
        <v>0</v>
      </c>
      <c r="AT167" s="66">
        <v>0.49</v>
      </c>
      <c r="AU167" s="66">
        <v>0.4</v>
      </c>
      <c r="AV167" s="66">
        <v>0.47</v>
      </c>
      <c r="AW167" s="349">
        <v>53</v>
      </c>
      <c r="AX167" s="348" t="s">
        <v>910</v>
      </c>
      <c r="AY167" s="349">
        <v>8</v>
      </c>
      <c r="AZ167" s="348" t="s">
        <v>910</v>
      </c>
      <c r="BA167" s="371">
        <v>0</v>
      </c>
      <c r="BB167" s="371">
        <v>0.37</v>
      </c>
      <c r="BC167" s="371">
        <v>0.56999999999999995</v>
      </c>
      <c r="BD167" s="371">
        <v>0.06</v>
      </c>
      <c r="BE167" s="371">
        <v>0.46</v>
      </c>
      <c r="BF167" s="371">
        <v>0.39</v>
      </c>
      <c r="BG167" s="371">
        <v>0.51</v>
      </c>
      <c r="BH167" s="469">
        <v>58</v>
      </c>
      <c r="BI167" s="471" t="s">
        <v>910</v>
      </c>
      <c r="BJ167" s="469">
        <v>8</v>
      </c>
      <c r="BK167" s="471" t="s">
        <v>910</v>
      </c>
      <c r="BL167" s="501">
        <v>0</v>
      </c>
      <c r="BM167" s="501">
        <v>0.14000000000000001</v>
      </c>
      <c r="BN167" s="501">
        <v>0.62</v>
      </c>
      <c r="BO167" s="501">
        <v>0.24</v>
      </c>
      <c r="BP167" s="501">
        <v>0.37</v>
      </c>
      <c r="BQ167" s="501">
        <v>0.25</v>
      </c>
      <c r="BR167" s="501">
        <v>0.42</v>
      </c>
      <c r="BS167" s="630">
        <v>58</v>
      </c>
      <c r="BT167" s="640" t="s">
        <v>910</v>
      </c>
      <c r="BU167" s="630">
        <v>10</v>
      </c>
      <c r="BV167" s="640" t="s">
        <v>910</v>
      </c>
      <c r="BW167" s="644">
        <v>0.05</v>
      </c>
      <c r="BX167" s="644">
        <v>0.16</v>
      </c>
      <c r="BY167" s="644">
        <v>0.61</v>
      </c>
      <c r="BZ167" s="644">
        <v>0.18</v>
      </c>
      <c r="CA167" s="644">
        <v>0.3</v>
      </c>
      <c r="CB167" s="644">
        <v>0.4</v>
      </c>
      <c r="CC167" s="644">
        <v>0.43</v>
      </c>
    </row>
    <row r="168" spans="1:81" x14ac:dyDescent="0.25">
      <c r="A168" s="333" t="s">
        <v>907</v>
      </c>
    </row>
    <row r="169" spans="1:81" s="331" customFormat="1" x14ac:dyDescent="0.25">
      <c r="X169" s="332"/>
      <c r="Y169" s="332"/>
      <c r="Z169" s="332"/>
      <c r="AA169" s="332"/>
      <c r="AB169" s="332"/>
      <c r="AC169" s="332"/>
      <c r="AD169" s="332"/>
      <c r="AX169" s="336"/>
      <c r="AZ169" s="336"/>
    </row>
    <row r="170" spans="1:81" x14ac:dyDescent="0.25">
      <c r="D170" s="21">
        <f>AVERAGE(D36:D167)</f>
        <v>53.921568627450981</v>
      </c>
      <c r="E170" s="21">
        <f>AVERAGE(E36:E167)</f>
        <v>7.4411764705882355</v>
      </c>
      <c r="F170" s="21"/>
      <c r="G170" s="21"/>
      <c r="H170" s="21"/>
      <c r="I170" s="21"/>
      <c r="J170" s="21"/>
      <c r="K170" s="21"/>
      <c r="L170" s="21"/>
      <c r="M170" s="21">
        <f>AVERAGE(M36:M167)</f>
        <v>54.872549019607845</v>
      </c>
      <c r="N170" s="21">
        <f>AVERAGE(N36:N167)</f>
        <v>7.784313725490196</v>
      </c>
      <c r="O170" s="21"/>
      <c r="P170" s="21"/>
      <c r="Q170" s="21"/>
      <c r="R170" s="21"/>
      <c r="S170" s="21"/>
      <c r="T170" s="21"/>
      <c r="U170" s="21"/>
      <c r="V170" s="21">
        <f>AVERAGE(V36:V167)</f>
        <v>54.601941747572816</v>
      </c>
      <c r="W170" s="21">
        <f>AVERAGE(W36:W167)</f>
        <v>8.1844660194174761</v>
      </c>
      <c r="X170" s="101"/>
      <c r="Y170" s="101"/>
      <c r="Z170" s="101"/>
      <c r="AA170" s="101"/>
      <c r="AB170" s="101"/>
      <c r="AC170" s="101"/>
      <c r="AD170" s="101"/>
      <c r="AE170" s="21">
        <f>AVERAGE(AE36:AE167)</f>
        <v>54.714285714285715</v>
      </c>
      <c r="AF170" s="21">
        <f>AVERAGE(AF36:AF167)</f>
        <v>8.3809523809523814</v>
      </c>
      <c r="AG170" s="21"/>
      <c r="AH170" s="21"/>
      <c r="AI170" s="21"/>
      <c r="AJ170" s="21"/>
      <c r="AK170" s="21"/>
      <c r="AL170" s="21"/>
      <c r="AM170" s="21"/>
      <c r="AQ170" s="381"/>
      <c r="AR170" s="381"/>
      <c r="AS170" s="381"/>
      <c r="AT170" s="381"/>
    </row>
    <row r="171" spans="1:81" x14ac:dyDescent="0.25">
      <c r="AQ171" s="381"/>
      <c r="AR171" s="381"/>
      <c r="AS171" s="381"/>
      <c r="AT171" s="381"/>
    </row>
    <row r="173" spans="1:81" ht="12.75" customHeight="1" x14ac:dyDescent="0.25">
      <c r="B173" s="861" t="s">
        <v>257</v>
      </c>
      <c r="C173" s="855"/>
      <c r="D173" s="855"/>
      <c r="E173" s="855"/>
      <c r="F173" s="855"/>
      <c r="G173" s="855"/>
      <c r="H173" s="855"/>
      <c r="I173" s="855"/>
      <c r="J173" s="855"/>
      <c r="K173" s="855"/>
      <c r="L173" s="855"/>
      <c r="M173" s="113"/>
      <c r="N173" s="113"/>
      <c r="U173" s="736" t="s">
        <v>257</v>
      </c>
      <c r="V173" s="737"/>
      <c r="W173" s="737"/>
      <c r="X173" s="737"/>
      <c r="Y173" s="737"/>
      <c r="Z173" s="737"/>
      <c r="AG173" s="736" t="s">
        <v>322</v>
      </c>
      <c r="AH173" s="737"/>
      <c r="AI173" s="737"/>
      <c r="AJ173" s="737"/>
      <c r="AK173" s="737"/>
      <c r="AL173" s="737"/>
      <c r="AM173" s="737"/>
      <c r="AN173" s="737"/>
      <c r="AO173" s="737"/>
      <c r="AP173" s="737"/>
      <c r="AQ173" s="737"/>
      <c r="AR173" s="24"/>
      <c r="AS173" s="24"/>
      <c r="AT173" s="24"/>
    </row>
    <row r="174" spans="1:81" ht="13.8" x14ac:dyDescent="0.25">
      <c r="B174" s="856"/>
      <c r="C174" s="858">
        <v>2016</v>
      </c>
      <c r="D174" s="859"/>
      <c r="E174" s="861">
        <v>2017</v>
      </c>
      <c r="F174" s="855"/>
      <c r="G174" s="855">
        <v>2018</v>
      </c>
      <c r="H174" s="855"/>
      <c r="I174" s="855">
        <v>2019</v>
      </c>
      <c r="J174" s="855"/>
      <c r="K174" s="855">
        <v>2020</v>
      </c>
      <c r="L174" s="855"/>
      <c r="M174" s="855">
        <v>2021</v>
      </c>
      <c r="N174" s="855"/>
      <c r="U174" s="40"/>
      <c r="V174" s="40">
        <v>2016</v>
      </c>
      <c r="W174" s="41">
        <v>2017</v>
      </c>
      <c r="X174" s="40">
        <v>2018</v>
      </c>
      <c r="Y174" s="40">
        <v>2019</v>
      </c>
      <c r="Z174" s="59">
        <v>2020</v>
      </c>
      <c r="AA174" s="384">
        <v>2021</v>
      </c>
      <c r="AB174" s="647">
        <v>2022</v>
      </c>
      <c r="AC174" s="647">
        <v>2023</v>
      </c>
      <c r="AG174" s="105"/>
      <c r="AH174" s="736">
        <v>2016</v>
      </c>
      <c r="AI174" s="854"/>
      <c r="AJ174" s="736">
        <v>2017</v>
      </c>
      <c r="AK174" s="854"/>
      <c r="AL174" s="736">
        <v>2018</v>
      </c>
      <c r="AM174" s="854"/>
      <c r="AN174" s="736">
        <v>2019</v>
      </c>
      <c r="AO174" s="854"/>
      <c r="AP174" s="736">
        <v>2020</v>
      </c>
      <c r="AQ174" s="737"/>
      <c r="AR174" s="736">
        <v>2021</v>
      </c>
      <c r="AS174" s="737"/>
      <c r="AT174" s="736">
        <v>2022</v>
      </c>
      <c r="AU174" s="737"/>
      <c r="AV174" s="736">
        <v>2023</v>
      </c>
      <c r="AW174" s="737"/>
    </row>
    <row r="175" spans="1:81" ht="15.75" customHeight="1" x14ac:dyDescent="0.3">
      <c r="B175" s="857"/>
      <c r="C175" s="120" t="s">
        <v>219</v>
      </c>
      <c r="D175" s="120" t="s">
        <v>253</v>
      </c>
      <c r="E175" s="120" t="s">
        <v>219</v>
      </c>
      <c r="F175" s="120" t="s">
        <v>253</v>
      </c>
      <c r="G175" s="120" t="s">
        <v>219</v>
      </c>
      <c r="H175" s="120" t="s">
        <v>253</v>
      </c>
      <c r="I175" s="120" t="s">
        <v>219</v>
      </c>
      <c r="J175" s="120" t="s">
        <v>253</v>
      </c>
      <c r="K175" s="120" t="s">
        <v>219</v>
      </c>
      <c r="L175" s="121" t="s">
        <v>253</v>
      </c>
      <c r="M175" s="120" t="s">
        <v>219</v>
      </c>
      <c r="N175" s="386" t="s">
        <v>253</v>
      </c>
      <c r="U175" s="39" t="s">
        <v>246</v>
      </c>
      <c r="V175" s="124">
        <v>53.117647058823529</v>
      </c>
      <c r="W175" s="124">
        <v>53.75</v>
      </c>
      <c r="X175" s="124">
        <v>53.823529411764703</v>
      </c>
      <c r="Y175" s="124">
        <v>53.705882352941174</v>
      </c>
      <c r="Z175" s="124">
        <v>53.823529411764703</v>
      </c>
      <c r="AA175" s="124">
        <v>54.588235294117645</v>
      </c>
      <c r="AG175"/>
      <c r="AH175" t="s">
        <v>0</v>
      </c>
      <c r="AI175" s="100" t="s">
        <v>10</v>
      </c>
      <c r="AJ175" s="100" t="s">
        <v>0</v>
      </c>
      <c r="AK175" s="100" t="s">
        <v>10</v>
      </c>
      <c r="AL175" s="106" t="s">
        <v>0</v>
      </c>
      <c r="AM175" s="106" t="s">
        <v>10</v>
      </c>
      <c r="AN175" s="106" t="s">
        <v>0</v>
      </c>
      <c r="AO175" s="106" t="s">
        <v>10</v>
      </c>
      <c r="AP175" s="106" t="s">
        <v>0</v>
      </c>
      <c r="AQ175" s="106" t="s">
        <v>10</v>
      </c>
      <c r="AR175" s="387" t="s">
        <v>0</v>
      </c>
      <c r="AS175" s="387" t="s">
        <v>10</v>
      </c>
      <c r="AT175" s="653" t="s">
        <v>0</v>
      </c>
      <c r="AU175" s="653" t="s">
        <v>10</v>
      </c>
      <c r="AV175" s="653" t="s">
        <v>0</v>
      </c>
      <c r="AW175" s="653" t="s">
        <v>10</v>
      </c>
    </row>
    <row r="176" spans="1:81" ht="13.8" x14ac:dyDescent="0.3">
      <c r="B176" s="122" t="s">
        <v>0</v>
      </c>
      <c r="C176" s="123">
        <v>54</v>
      </c>
      <c r="D176" s="123">
        <v>8</v>
      </c>
      <c r="E176" s="123">
        <v>55</v>
      </c>
      <c r="F176" s="123">
        <v>8</v>
      </c>
      <c r="G176" s="123">
        <v>54</v>
      </c>
      <c r="H176" s="123">
        <v>9</v>
      </c>
      <c r="I176" s="123">
        <v>54</v>
      </c>
      <c r="J176" s="123">
        <v>9</v>
      </c>
      <c r="K176" s="123">
        <v>54</v>
      </c>
      <c r="L176" s="123">
        <v>9</v>
      </c>
      <c r="M176" s="123">
        <v>55</v>
      </c>
      <c r="N176" s="123">
        <v>9</v>
      </c>
      <c r="U176" s="39" t="s">
        <v>247</v>
      </c>
      <c r="V176" s="124">
        <v>54.75</v>
      </c>
      <c r="W176" s="124">
        <v>55.578947368421055</v>
      </c>
      <c r="X176" s="124">
        <v>54.684210526315788</v>
      </c>
      <c r="Y176" s="124">
        <v>55.3</v>
      </c>
      <c r="Z176" s="124">
        <v>54.791666666666664</v>
      </c>
      <c r="AA176" s="124">
        <v>54.545454545454547</v>
      </c>
      <c r="AG176" s="127">
        <v>1</v>
      </c>
      <c r="AH176" s="64">
        <v>0.01</v>
      </c>
      <c r="AI176" s="63">
        <v>0.02</v>
      </c>
      <c r="AJ176" s="88">
        <v>0.01</v>
      </c>
      <c r="AK176" s="87">
        <v>0.02</v>
      </c>
      <c r="AL176" s="93">
        <v>0.01</v>
      </c>
      <c r="AM176" s="97">
        <v>0.03</v>
      </c>
      <c r="AN176" s="64">
        <v>0.02</v>
      </c>
      <c r="AO176" s="63">
        <v>0.04</v>
      </c>
      <c r="AP176" s="64">
        <v>0.02</v>
      </c>
      <c r="AQ176" s="63">
        <v>0.04</v>
      </c>
      <c r="AR176" s="421">
        <v>0.02</v>
      </c>
      <c r="AS176" s="420">
        <v>0.04</v>
      </c>
      <c r="AT176" s="422">
        <v>0.05</v>
      </c>
      <c r="AU176" s="423">
        <v>0.02</v>
      </c>
      <c r="AV176" s="641">
        <v>0.04</v>
      </c>
      <c r="AW176" s="642">
        <v>0.02</v>
      </c>
    </row>
    <row r="177" spans="2:53" ht="13.8" x14ac:dyDescent="0.3">
      <c r="B177" s="124" t="s">
        <v>246</v>
      </c>
      <c r="C177" s="124">
        <f>AVERAGEIF(C36:C167,"=1",D36:D167)</f>
        <v>53.117647058823529</v>
      </c>
      <c r="D177" s="124">
        <f>AVERAGEIF(C36:C167,"=1",E36:E167)</f>
        <v>7.4117647058823533</v>
      </c>
      <c r="E177" s="124">
        <f>AVERAGEIF(C36:C167,"=1",M36:M167)</f>
        <v>53.75</v>
      </c>
      <c r="F177" s="124">
        <f>AVERAGEIF(C36:C167,"=1",N36:N167)</f>
        <v>7.6875</v>
      </c>
      <c r="G177" s="124">
        <f>AVERAGEIF(C36:C167,"=1",V36:V167)</f>
        <v>53.823529411764703</v>
      </c>
      <c r="H177" s="124">
        <f>AVERAGEIF(C36:C167,"=1",W36:W167)</f>
        <v>8.2941176470588243</v>
      </c>
      <c r="I177" s="124">
        <f>AVERAGEIF(C36:C167,"=1",AE36:AE167)</f>
        <v>53.705882352941174</v>
      </c>
      <c r="J177" s="124">
        <f>AVERAGEIF(C36:C167,"=1",AF36:AF167)</f>
        <v>8.4117647058823533</v>
      </c>
      <c r="K177" s="124">
        <f>AVERAGEIF($C$36:$C$167,"=1",$AN$36:$AN$167)</f>
        <v>53.823529411764703</v>
      </c>
      <c r="L177" s="124">
        <f>AVERAGEIF($C$36:$C$167,"=1",$AO$36:$AO$167)</f>
        <v>8.0588235294117645</v>
      </c>
      <c r="M177" s="124">
        <f>AVERAGEIF($C$36:$C$167,"=1",$AW$36:$AW$167)</f>
        <v>54.588235294117645</v>
      </c>
      <c r="N177" s="124">
        <f>AVERAGEIF($C$36:$C$167,"=1",$AY$36:$AY$167)</f>
        <v>8.4705882352941178</v>
      </c>
      <c r="U177" s="39" t="s">
        <v>248</v>
      </c>
      <c r="V177" s="124">
        <v>54.8125</v>
      </c>
      <c r="W177" s="124">
        <v>55.411764705882355</v>
      </c>
      <c r="X177" s="124">
        <v>55.823529411764703</v>
      </c>
      <c r="Y177" s="124">
        <v>55.352941176470587</v>
      </c>
      <c r="Z177" s="124">
        <v>54.89473684210526</v>
      </c>
      <c r="AA177" s="124">
        <v>55.6</v>
      </c>
      <c r="AG177" s="127">
        <v>2</v>
      </c>
      <c r="AH177" s="64">
        <v>0.34</v>
      </c>
      <c r="AI177" s="63">
        <v>0.37</v>
      </c>
      <c r="AJ177" s="88">
        <v>0.28999999999999998</v>
      </c>
      <c r="AK177" s="87">
        <v>0.33</v>
      </c>
      <c r="AL177" s="93">
        <v>0.32</v>
      </c>
      <c r="AM177" s="97">
        <v>0.35</v>
      </c>
      <c r="AN177" s="64">
        <v>0.3</v>
      </c>
      <c r="AO177" s="63">
        <v>0.34</v>
      </c>
      <c r="AP177" s="64">
        <v>0.31</v>
      </c>
      <c r="AQ177" s="63">
        <v>0.36</v>
      </c>
      <c r="AR177" s="421">
        <v>0.32</v>
      </c>
      <c r="AS177" s="420">
        <v>0.37</v>
      </c>
      <c r="AT177" s="422">
        <v>0.34</v>
      </c>
      <c r="AU177" s="423">
        <v>0.27</v>
      </c>
      <c r="AV177" s="641">
        <v>0.35</v>
      </c>
      <c r="AW177" s="642">
        <v>0.28999999999999998</v>
      </c>
    </row>
    <row r="178" spans="2:53" ht="13.8" x14ac:dyDescent="0.3">
      <c r="B178" s="124" t="s">
        <v>247</v>
      </c>
      <c r="C178" s="124">
        <f>AVERAGEIF(C36:C167,"=2",D36:D167)</f>
        <v>54.75</v>
      </c>
      <c r="D178" s="124">
        <f>AVERAGEIF(C36:C167,"=2",E36:E167)</f>
        <v>7.15</v>
      </c>
      <c r="E178" s="124">
        <f>AVERAGEIF(C36:C167,"=2",M36:M167)</f>
        <v>55.578947368421055</v>
      </c>
      <c r="F178" s="124">
        <f>AVERAGEIF(C36:C167,"=2",N36:N167)</f>
        <v>7.8947368421052628</v>
      </c>
      <c r="G178" s="124">
        <f>AVERAGEIF(C36:C167,"=2",V36:V167)</f>
        <v>54.684210526315788</v>
      </c>
      <c r="H178" s="124">
        <f>AVERAGEIF(C36:C167,"=2",W36:W167)</f>
        <v>8.3684210526315788</v>
      </c>
      <c r="I178" s="124">
        <f>AVERAGEIF(C36:C167,"=2",AE36:AE167)</f>
        <v>55.3</v>
      </c>
      <c r="J178" s="124">
        <f>AVERAGEIF(C36:C167,"=2",AF36:AF167)</f>
        <v>8.35</v>
      </c>
      <c r="K178" s="124">
        <f>AVERAGEIF($C$36:$C$167,"=2",$AN$36:$AN$167)</f>
        <v>54.791666666666664</v>
      </c>
      <c r="L178" s="124">
        <f>AVERAGEIF($C$36:$C$167,"=2",$AO$36:$AO$167)</f>
        <v>7.041666666666667</v>
      </c>
      <c r="M178" s="124">
        <f>AVERAGEIF($C$36:$C$167,"2",$AW$36:$AW$167)</f>
        <v>54.545454545454547</v>
      </c>
      <c r="N178" s="124">
        <f>AVERAGEIF($C$36:$C$167,"=2",$AY$36:$AY$167)</f>
        <v>8</v>
      </c>
      <c r="U178" s="39" t="s">
        <v>249</v>
      </c>
      <c r="V178" s="124">
        <v>50.714285714285715</v>
      </c>
      <c r="W178" s="124">
        <v>53.6</v>
      </c>
      <c r="X178" s="124">
        <v>52.93333333333333</v>
      </c>
      <c r="Y178" s="124">
        <v>52.5</v>
      </c>
      <c r="Z178" s="124">
        <v>51.153846153846153</v>
      </c>
      <c r="AA178" s="124">
        <v>52.357142857142854</v>
      </c>
      <c r="AG178" s="127">
        <v>3</v>
      </c>
      <c r="AH178" s="64">
        <v>0.57999999999999996</v>
      </c>
      <c r="AI178" s="63">
        <v>0.5</v>
      </c>
      <c r="AJ178" s="88">
        <v>0.6</v>
      </c>
      <c r="AK178" s="87">
        <v>0.52</v>
      </c>
      <c r="AL178" s="93">
        <v>0.56000000000000005</v>
      </c>
      <c r="AM178" s="97">
        <v>0.49</v>
      </c>
      <c r="AN178" s="64">
        <v>0.56999999999999995</v>
      </c>
      <c r="AO178" s="63">
        <v>0.49</v>
      </c>
      <c r="AP178" s="64">
        <v>0.59</v>
      </c>
      <c r="AQ178" s="63">
        <v>0.49</v>
      </c>
      <c r="AR178" s="421">
        <v>0.54</v>
      </c>
      <c r="AS178" s="420">
        <v>0.45</v>
      </c>
      <c r="AT178" s="422">
        <v>0.47</v>
      </c>
      <c r="AU178" s="423">
        <v>0.57999999999999996</v>
      </c>
      <c r="AV178" s="641">
        <v>0.48</v>
      </c>
      <c r="AW178" s="642">
        <v>0.56999999999999995</v>
      </c>
    </row>
    <row r="179" spans="2:53" ht="13.8" x14ac:dyDescent="0.3">
      <c r="B179" s="124" t="s">
        <v>248</v>
      </c>
      <c r="C179" s="124">
        <f>AVERAGEIF(C36:C167,"=3",D36:D167)</f>
        <v>54.555555555555557</v>
      </c>
      <c r="D179" s="124">
        <f>AVERAGEIF(C36:C167,"=3",E36:E167)</f>
        <v>8.0555555555555554</v>
      </c>
      <c r="E179" s="124">
        <f>AVERAGEIF(C36:C167,"=3",M36:M167)</f>
        <v>55.368421052631582</v>
      </c>
      <c r="F179" s="124">
        <f>AVERAGEIF(C36:C167,"=3",N36:N167)</f>
        <v>7.8947368421052628</v>
      </c>
      <c r="G179" s="124">
        <f>AVERAGEIF(C36:C167,"=3",V36:V167)</f>
        <v>55.684210526315788</v>
      </c>
      <c r="H179" s="124">
        <f>AVERAGEIF(C36:C167,"=3",W36:W167)</f>
        <v>8.3157894736842106</v>
      </c>
      <c r="I179" s="124">
        <f>AVERAGEIF(C36:C167,"=3",AE36:AE167)</f>
        <v>55.210526315789473</v>
      </c>
      <c r="J179" s="124">
        <f>AVERAGEIF(C36:C167,"=3",AF36:AF167)</f>
        <v>8.4210526315789469</v>
      </c>
      <c r="K179" s="124">
        <f>AVERAGEIF($C$36:$C$167,"=3",$AN$36:$AN$167)</f>
        <v>54.9</v>
      </c>
      <c r="L179" s="124">
        <f>AVERAGEIF($C$36:$C$167,"=3",$AO$36:$AO$167)</f>
        <v>7.8</v>
      </c>
      <c r="M179" s="124">
        <f>AVERAGEIF($C$36:$C$167,"=3",$AW$36:$AW$167)</f>
        <v>55.6</v>
      </c>
      <c r="N179" s="124">
        <f>AVERAGEIF($C$36:$C$167,"=3",$AY$36:$AY$167)</f>
        <v>8.5500000000000007</v>
      </c>
      <c r="U179" s="39" t="s">
        <v>250</v>
      </c>
      <c r="V179" s="124">
        <v>55.529411764705884</v>
      </c>
      <c r="W179" s="124">
        <v>56.941176470588232</v>
      </c>
      <c r="X179" s="124">
        <v>55.888888888888886</v>
      </c>
      <c r="Y179" s="124">
        <v>56.368421052631582</v>
      </c>
      <c r="Z179" s="124">
        <v>56.5</v>
      </c>
      <c r="AA179" s="124">
        <v>56.944444444444443</v>
      </c>
      <c r="AG179" s="127">
        <v>4</v>
      </c>
      <c r="AH179" s="64">
        <v>7.0000000000000007E-2</v>
      </c>
      <c r="AI179" s="63">
        <v>0.1</v>
      </c>
      <c r="AJ179" s="88">
        <v>0.09</v>
      </c>
      <c r="AK179" s="87">
        <v>0.13</v>
      </c>
      <c r="AL179" s="93">
        <v>0.11</v>
      </c>
      <c r="AM179" s="97">
        <v>0.13</v>
      </c>
      <c r="AN179" s="64">
        <v>0.11</v>
      </c>
      <c r="AO179" s="63">
        <v>0.12</v>
      </c>
      <c r="AP179" s="64">
        <v>0.09</v>
      </c>
      <c r="AQ179" s="63">
        <v>0.1</v>
      </c>
      <c r="AR179" s="421">
        <v>0.12</v>
      </c>
      <c r="AS179" s="420">
        <v>0.13</v>
      </c>
      <c r="AT179" s="422">
        <v>0.14000000000000001</v>
      </c>
      <c r="AU179" s="423">
        <v>0.13</v>
      </c>
      <c r="AV179" s="641">
        <v>0.13</v>
      </c>
      <c r="AW179" s="642">
        <v>0.12</v>
      </c>
    </row>
    <row r="180" spans="2:53" ht="13.8" x14ac:dyDescent="0.3">
      <c r="B180" s="124" t="s">
        <v>249</v>
      </c>
      <c r="C180" s="124">
        <f>AVERAGEIF(C36:C167,"=4",D36:D167)</f>
        <v>50.714285714285715</v>
      </c>
      <c r="D180" s="124">
        <f>AVERAGEIF(C36:C167,"=4",E36:E167)</f>
        <v>7.5</v>
      </c>
      <c r="E180" s="124">
        <f>AVERAGEIF(C36:C167,"=4",M36:M167)</f>
        <v>53.6</v>
      </c>
      <c r="F180" s="124">
        <f>AVERAGEIF(C36:C167,"=4",N36:N167)</f>
        <v>7.2666666666666666</v>
      </c>
      <c r="G180" s="124">
        <f>AVERAGEIF(C36:C167,"=4",V36:V167)</f>
        <v>52.93333333333333</v>
      </c>
      <c r="H180" s="124">
        <f>AVERAGEIF(C36:C167,"=4",W36:W167)</f>
        <v>7.6</v>
      </c>
      <c r="I180" s="124">
        <f>AVERAGEIF(C36:C167,"=4",AE36:AE167)</f>
        <v>52.5</v>
      </c>
      <c r="J180" s="124">
        <f>AVERAGEIF(C36:C167,"=4",AF36:AF167)</f>
        <v>8.5</v>
      </c>
      <c r="K180" s="124">
        <f>AVERAGEIF($C$36:$C$167,"=4",$AN$36:$AN$167)</f>
        <v>51.153846153846153</v>
      </c>
      <c r="L180" s="124">
        <f>AVERAGEIF($C$36:$C$167,"=4",$AO$36:$AO$167)</f>
        <v>8.0769230769230766</v>
      </c>
      <c r="M180" s="124">
        <f>AVERAGEIF($C$36:$C$167,"=4",$AW$36:$AW$167)</f>
        <v>52.357142857142854</v>
      </c>
      <c r="N180" s="124">
        <f>AVERAGEIF($C$36:$C$167,"=4",$AY$36:$AY$167)</f>
        <v>8</v>
      </c>
      <c r="U180" s="39" t="s">
        <v>251</v>
      </c>
      <c r="V180" s="124">
        <v>54.2</v>
      </c>
      <c r="W180" s="124">
        <v>53.733333333333334</v>
      </c>
      <c r="X180" s="124">
        <v>54.357142857142854</v>
      </c>
      <c r="Y180" s="124">
        <v>54.6</v>
      </c>
      <c r="Z180" s="124">
        <v>52.588235294117645</v>
      </c>
      <c r="AA180" s="124">
        <v>54.1875</v>
      </c>
      <c r="AB180" s="119"/>
      <c r="AC180" s="119"/>
      <c r="AD180" s="119"/>
      <c r="AE180" s="110"/>
      <c r="AF180" s="110"/>
      <c r="AS180" s="24"/>
      <c r="AT180" s="24"/>
    </row>
    <row r="181" spans="2:53" ht="13.8" x14ac:dyDescent="0.3">
      <c r="B181" s="124" t="s">
        <v>250</v>
      </c>
      <c r="C181" s="124">
        <f>AVERAGEIF(C36:C167,"=5",D36:D167)</f>
        <v>55.529411764705884</v>
      </c>
      <c r="D181" s="124">
        <f>AVERAGEIF(C36:C167,"=5",E36:E167)</f>
        <v>7.7058823529411766</v>
      </c>
      <c r="E181" s="124">
        <f>AVERAGEIF(C36:C167,"=5",M36:M167)</f>
        <v>56.941176470588232</v>
      </c>
      <c r="F181" s="124">
        <f>AVERAGEIF(C36:C167,"=5",N36:N167)</f>
        <v>7.5882352941176467</v>
      </c>
      <c r="G181" s="124">
        <f>AVERAGEIF(C36:C167,"=5",V36:V167)</f>
        <v>55.888888888888886</v>
      </c>
      <c r="H181" s="124">
        <f>AVERAGEIF(C36:C167,"=5",W36:W167)</f>
        <v>7.8888888888888893</v>
      </c>
      <c r="I181" s="124">
        <f>AVERAGEIF(C36:C167,"=5",AE36:AE167)</f>
        <v>56.368421052631582</v>
      </c>
      <c r="J181" s="124">
        <f>AVERAGEIF(C36:C167,"=5",AF36:AF167)</f>
        <v>7.9473684210526319</v>
      </c>
      <c r="K181" s="124">
        <f>AVERAGEIF($C$36:$C$167,"=5",$AN$36:$AN$167)</f>
        <v>56.5</v>
      </c>
      <c r="L181" s="124">
        <f>AVERAGEIF($C$36:$C$167,"=5",$AO$36:$AO$167)</f>
        <v>7.3888888888888893</v>
      </c>
      <c r="M181" s="124">
        <f>AVERAGEIF($C$36:$C$167,"=5",$AW$36:$AW$167)</f>
        <v>56.944444444444443</v>
      </c>
      <c r="N181" s="124">
        <f>AVERAGEIF($C$36:$C$167,"=5",$AY$36:$AY$167)</f>
        <v>8.4444444444444446</v>
      </c>
      <c r="O181" s="112"/>
      <c r="P181" s="112"/>
      <c r="Q181" s="112"/>
      <c r="R181" s="112"/>
      <c r="S181" s="112"/>
      <c r="T181" s="112"/>
      <c r="U181" s="112"/>
      <c r="V181" s="110"/>
      <c r="W181" s="110"/>
      <c r="X181" s="119"/>
      <c r="Y181" s="119"/>
      <c r="Z181" s="119"/>
      <c r="AA181" s="119"/>
      <c r="AB181" s="119"/>
      <c r="AC181" s="119"/>
      <c r="AD181" s="119"/>
      <c r="AE181" s="110"/>
      <c r="AF181" s="110"/>
      <c r="AS181" s="24"/>
      <c r="AT181" s="24"/>
    </row>
    <row r="182" spans="2:53" ht="13.8" x14ac:dyDescent="0.3">
      <c r="B182" s="124" t="s">
        <v>251</v>
      </c>
      <c r="C182" s="124">
        <f>AVERAGEIF(C36:C167,"=6",D36:D167)</f>
        <v>54.2</v>
      </c>
      <c r="D182" s="124">
        <f>AVERAGEIF(C36:C167,"=6",E36:E167)</f>
        <v>6.7333333333333334</v>
      </c>
      <c r="E182" s="124">
        <f>AVERAGEIF(C36:C167,"=6",M36:M167)</f>
        <v>53.733333333333334</v>
      </c>
      <c r="F182" s="124">
        <f>AVERAGEIF(C36:C167,"=6", N36:N167)</f>
        <v>8.3333333333333339</v>
      </c>
      <c r="G182" s="124">
        <f>AVERAGEIF(C36:C167,"=6",V36:V167)</f>
        <v>54.357142857142854</v>
      </c>
      <c r="H182" s="124">
        <f>AVERAGEIF(C36:C167,"=6",W36:W167)</f>
        <v>8.5714285714285712</v>
      </c>
      <c r="I182" s="124">
        <f>AVERAGEIF(C36:C167,"=6",AE36:AE167)</f>
        <v>54.6</v>
      </c>
      <c r="J182" s="124">
        <f>AVERAGEIF(C36:C167,"=6",AF36:AF167)</f>
        <v>8.6666666666666661</v>
      </c>
      <c r="K182" s="124">
        <f>AVERAGEIF($C$36:$C$167,"=6",$AN$36:$AN$167)</f>
        <v>52.588235294117645</v>
      </c>
      <c r="L182" s="124">
        <f>AVERAGEIF($C$36:$C$167,"=6",$AO$36:$AO$167)</f>
        <v>7.4705882352941178</v>
      </c>
      <c r="M182" s="124">
        <f>AVERAGEIF($C$36:$C$167,"=6",$AW$36:$AW$167)</f>
        <v>54.294117647058826</v>
      </c>
      <c r="N182" s="124">
        <f>AVERAGEIF($C$36:$C$167,"=6",$AY$36:$AY$167)</f>
        <v>7.7647058823529411</v>
      </c>
      <c r="O182" s="112"/>
      <c r="P182" s="112"/>
      <c r="Q182" s="112"/>
      <c r="R182" s="112"/>
      <c r="S182" s="112"/>
      <c r="T182" s="112"/>
      <c r="U182" s="112"/>
      <c r="V182" s="110"/>
      <c r="W182" s="110"/>
      <c r="X182" s="119"/>
      <c r="Y182" s="119"/>
      <c r="Z182" s="119"/>
      <c r="AA182" s="119"/>
      <c r="AB182" s="119"/>
      <c r="AC182" s="119"/>
      <c r="AD182" s="119"/>
      <c r="AE182" s="110"/>
      <c r="AF182" s="110"/>
      <c r="AS182" s="24"/>
      <c r="AT182" s="24"/>
    </row>
    <row r="183" spans="2:53" x14ac:dyDescent="0.25">
      <c r="B183" s="24"/>
      <c r="C183" s="24"/>
      <c r="D183" s="24" t="s">
        <v>258</v>
      </c>
      <c r="E183" s="24"/>
      <c r="M183" s="24"/>
      <c r="N183" s="24"/>
      <c r="V183" s="24"/>
      <c r="W183" s="24"/>
      <c r="AE183" s="24"/>
      <c r="AF183" s="24"/>
      <c r="AN183" s="24"/>
      <c r="AO183" s="24"/>
      <c r="AP183" s="24"/>
      <c r="AQ183" s="24"/>
      <c r="AR183" s="24"/>
      <c r="AS183" s="24"/>
      <c r="AT183" s="24"/>
    </row>
    <row r="184" spans="2:53" x14ac:dyDescent="0.25">
      <c r="B184" s="24"/>
      <c r="C184" s="24"/>
      <c r="D184" s="24"/>
      <c r="E184" s="24"/>
      <c r="M184" s="24"/>
      <c r="N184" s="24"/>
      <c r="V184" s="24"/>
      <c r="W184" s="24"/>
      <c r="AS184" s="24"/>
      <c r="AT184" s="24"/>
    </row>
    <row r="185" spans="2:53" x14ac:dyDescent="0.25">
      <c r="B185" s="40"/>
      <c r="C185" s="733">
        <v>2016</v>
      </c>
      <c r="D185" s="735"/>
      <c r="E185" s="735"/>
      <c r="F185" s="735"/>
      <c r="G185" s="735">
        <v>2017</v>
      </c>
      <c r="H185" s="735"/>
      <c r="I185" s="735"/>
      <c r="J185" s="735"/>
      <c r="K185" s="735">
        <v>2018</v>
      </c>
      <c r="L185" s="735"/>
      <c r="M185" s="735"/>
      <c r="N185" s="734"/>
      <c r="O185" s="733">
        <v>2019</v>
      </c>
      <c r="P185" s="735"/>
      <c r="Q185" s="735"/>
      <c r="R185" s="735"/>
      <c r="S185" s="733">
        <v>2020</v>
      </c>
      <c r="T185" s="735"/>
      <c r="U185" s="735"/>
      <c r="V185" s="735"/>
      <c r="W185" s="733">
        <v>2021</v>
      </c>
      <c r="X185" s="735"/>
      <c r="Y185" s="735"/>
      <c r="Z185" s="735"/>
      <c r="AA185" s="733">
        <v>2022</v>
      </c>
      <c r="AB185" s="735"/>
      <c r="AC185" s="735"/>
      <c r="AD185" s="735"/>
      <c r="AE185" s="733">
        <v>2023</v>
      </c>
      <c r="AF185" s="735"/>
      <c r="AG185" s="735"/>
      <c r="AH185" s="735"/>
      <c r="AK185" s="100"/>
      <c r="AL185" s="733">
        <v>2016</v>
      </c>
      <c r="AM185" s="734"/>
      <c r="AN185" s="733">
        <v>2017</v>
      </c>
      <c r="AO185" s="734"/>
      <c r="AP185" s="733">
        <v>2018</v>
      </c>
      <c r="AQ185" s="734"/>
      <c r="AR185" s="733">
        <v>2019</v>
      </c>
      <c r="AS185" s="734"/>
      <c r="AT185" s="733">
        <v>2020</v>
      </c>
      <c r="AU185" s="734"/>
      <c r="AV185" s="733">
        <v>2021</v>
      </c>
      <c r="AW185" s="734"/>
      <c r="AX185" s="733">
        <v>2022</v>
      </c>
      <c r="AY185" s="734"/>
      <c r="AZ185" s="733">
        <v>2023</v>
      </c>
      <c r="BA185" s="734"/>
    </row>
    <row r="186" spans="2:53" ht="12.75" customHeight="1" x14ac:dyDescent="0.25">
      <c r="B186" s="40"/>
      <c r="C186" s="733" t="s">
        <v>254</v>
      </c>
      <c r="D186" s="734"/>
      <c r="E186" s="733" t="s">
        <v>255</v>
      </c>
      <c r="F186" s="735"/>
      <c r="G186" s="733" t="s">
        <v>254</v>
      </c>
      <c r="H186" s="734"/>
      <c r="I186" s="733" t="s">
        <v>255</v>
      </c>
      <c r="J186" s="735"/>
      <c r="K186" s="733" t="s">
        <v>254</v>
      </c>
      <c r="L186" s="734"/>
      <c r="M186" s="733" t="s">
        <v>255</v>
      </c>
      <c r="N186" s="734"/>
      <c r="O186" s="733" t="s">
        <v>254</v>
      </c>
      <c r="P186" s="734"/>
      <c r="Q186" s="733" t="s">
        <v>255</v>
      </c>
      <c r="R186" s="735"/>
      <c r="S186" s="733" t="s">
        <v>254</v>
      </c>
      <c r="T186" s="734"/>
      <c r="U186" s="733" t="s">
        <v>255</v>
      </c>
      <c r="V186" s="735"/>
      <c r="W186" s="733" t="s">
        <v>254</v>
      </c>
      <c r="X186" s="734"/>
      <c r="Y186" s="733" t="s">
        <v>255</v>
      </c>
      <c r="Z186" s="735"/>
      <c r="AA186" s="733" t="s">
        <v>254</v>
      </c>
      <c r="AB186" s="734"/>
      <c r="AC186" s="733" t="s">
        <v>255</v>
      </c>
      <c r="AD186" s="735"/>
      <c r="AE186" s="733" t="s">
        <v>254</v>
      </c>
      <c r="AF186" s="734"/>
      <c r="AG186" s="733" t="s">
        <v>255</v>
      </c>
      <c r="AH186" s="735"/>
      <c r="AK186" s="113"/>
      <c r="AL186" s="103" t="s">
        <v>220</v>
      </c>
      <c r="AM186" s="103" t="s">
        <v>222</v>
      </c>
      <c r="AN186" s="103" t="s">
        <v>220</v>
      </c>
      <c r="AO186" s="103" t="s">
        <v>222</v>
      </c>
      <c r="AP186" s="103" t="s">
        <v>220</v>
      </c>
      <c r="AQ186" s="103" t="s">
        <v>222</v>
      </c>
      <c r="AR186" s="103" t="s">
        <v>220</v>
      </c>
      <c r="AS186" s="103" t="s">
        <v>222</v>
      </c>
      <c r="AT186" s="103" t="s">
        <v>220</v>
      </c>
      <c r="AU186" s="103" t="s">
        <v>222</v>
      </c>
      <c r="AV186" s="385" t="s">
        <v>220</v>
      </c>
      <c r="AW186" s="385" t="s">
        <v>222</v>
      </c>
      <c r="AX186" s="652" t="s">
        <v>220</v>
      </c>
      <c r="AY186" s="652" t="s">
        <v>222</v>
      </c>
      <c r="AZ186" s="652" t="s">
        <v>220</v>
      </c>
      <c r="BA186" s="652" t="s">
        <v>222</v>
      </c>
    </row>
    <row r="187" spans="2:53" ht="18" customHeight="1" x14ac:dyDescent="0.25">
      <c r="B187" s="40"/>
      <c r="C187" s="23" t="s">
        <v>219</v>
      </c>
      <c r="D187" s="23" t="s">
        <v>253</v>
      </c>
      <c r="E187" s="23" t="s">
        <v>219</v>
      </c>
      <c r="F187" s="23" t="s">
        <v>253</v>
      </c>
      <c r="G187" s="23" t="s">
        <v>219</v>
      </c>
      <c r="H187" s="23" t="s">
        <v>253</v>
      </c>
      <c r="I187" s="23" t="s">
        <v>219</v>
      </c>
      <c r="J187" s="23" t="s">
        <v>253</v>
      </c>
      <c r="K187" s="23" t="s">
        <v>219</v>
      </c>
      <c r="L187" s="23" t="s">
        <v>253</v>
      </c>
      <c r="M187" s="23" t="s">
        <v>219</v>
      </c>
      <c r="N187" s="23" t="s">
        <v>253</v>
      </c>
      <c r="O187" s="23" t="s">
        <v>219</v>
      </c>
      <c r="P187" s="23" t="s">
        <v>253</v>
      </c>
      <c r="Q187" s="23" t="s">
        <v>219</v>
      </c>
      <c r="R187" s="58" t="s">
        <v>253</v>
      </c>
      <c r="S187" s="56" t="s">
        <v>219</v>
      </c>
      <c r="T187" s="56" t="s">
        <v>253</v>
      </c>
      <c r="U187" s="56" t="s">
        <v>219</v>
      </c>
      <c r="V187" s="58" t="s">
        <v>253</v>
      </c>
      <c r="W187" s="385" t="s">
        <v>219</v>
      </c>
      <c r="X187" s="385" t="s">
        <v>253</v>
      </c>
      <c r="Y187" s="385" t="s">
        <v>219</v>
      </c>
      <c r="Z187" s="382" t="s">
        <v>253</v>
      </c>
      <c r="AA187" s="652" t="s">
        <v>219</v>
      </c>
      <c r="AB187" s="652" t="s">
        <v>253</v>
      </c>
      <c r="AC187" s="652" t="s">
        <v>219</v>
      </c>
      <c r="AD187" s="649" t="s">
        <v>253</v>
      </c>
      <c r="AE187" s="652" t="s">
        <v>219</v>
      </c>
      <c r="AF187" s="652" t="s">
        <v>253</v>
      </c>
      <c r="AG187" s="652" t="s">
        <v>219</v>
      </c>
      <c r="AH187" s="649" t="s">
        <v>253</v>
      </c>
      <c r="AK187" s="111">
        <v>1</v>
      </c>
      <c r="AL187" s="65">
        <f>$F$12</f>
        <v>0.01</v>
      </c>
      <c r="AM187" s="65">
        <f>$F$14</f>
        <v>0.01</v>
      </c>
      <c r="AN187" s="65">
        <f>$O$12</f>
        <v>0.01</v>
      </c>
      <c r="AO187" s="65">
        <f>$O$14</f>
        <v>0.01</v>
      </c>
      <c r="AP187" s="65">
        <f>$X$12</f>
        <v>0.02</v>
      </c>
      <c r="AQ187" s="65">
        <f>$X$14</f>
        <v>0.01</v>
      </c>
      <c r="AR187" s="65">
        <f>$AG$12</f>
        <v>0.02</v>
      </c>
      <c r="AS187" s="65">
        <f>$AG$14</f>
        <v>0.01</v>
      </c>
      <c r="AT187" s="65">
        <f>$AP$12</f>
        <v>0.02</v>
      </c>
      <c r="AU187" s="65">
        <f>$AP$14</f>
        <v>0.01</v>
      </c>
      <c r="AV187" s="65">
        <f>$BA$12</f>
        <v>0.02</v>
      </c>
      <c r="AW187" s="65">
        <f>$BA$14</f>
        <v>0.01</v>
      </c>
      <c r="AX187" s="426">
        <v>0.02</v>
      </c>
      <c r="AY187" s="426">
        <v>0.01</v>
      </c>
      <c r="AZ187" s="643">
        <v>0.02</v>
      </c>
      <c r="BA187" s="643">
        <v>0.01</v>
      </c>
    </row>
    <row r="188" spans="2:53" x14ac:dyDescent="0.25">
      <c r="B188" s="5" t="s">
        <v>0</v>
      </c>
      <c r="C188" s="19">
        <v>53</v>
      </c>
      <c r="D188" s="19">
        <v>8</v>
      </c>
      <c r="E188" s="19">
        <v>55</v>
      </c>
      <c r="F188" s="19">
        <v>8</v>
      </c>
      <c r="G188" s="10">
        <v>52</v>
      </c>
      <c r="H188" s="19">
        <v>8</v>
      </c>
      <c r="I188" s="19">
        <v>56</v>
      </c>
      <c r="J188" s="19">
        <v>9</v>
      </c>
      <c r="K188" s="42">
        <v>52</v>
      </c>
      <c r="L188" s="42">
        <v>9</v>
      </c>
      <c r="M188" s="42">
        <v>56</v>
      </c>
      <c r="N188" s="42">
        <v>9</v>
      </c>
      <c r="O188" s="42">
        <v>52</v>
      </c>
      <c r="P188" s="42">
        <v>9</v>
      </c>
      <c r="Q188" s="42">
        <v>56</v>
      </c>
      <c r="R188" s="42">
        <v>9</v>
      </c>
      <c r="S188" s="42">
        <v>52</v>
      </c>
      <c r="T188" s="42">
        <v>9</v>
      </c>
      <c r="U188" s="42">
        <v>56</v>
      </c>
      <c r="V188" s="42">
        <v>9</v>
      </c>
      <c r="W188" s="42">
        <v>53</v>
      </c>
      <c r="X188" s="42">
        <v>9</v>
      </c>
      <c r="Y188" s="42">
        <v>56</v>
      </c>
      <c r="Z188" s="42">
        <v>9</v>
      </c>
      <c r="AA188" s="42">
        <v>53</v>
      </c>
      <c r="AB188" s="42">
        <v>9</v>
      </c>
      <c r="AC188" s="42">
        <v>56</v>
      </c>
      <c r="AD188" s="42">
        <v>9</v>
      </c>
      <c r="AE188" s="42">
        <v>53</v>
      </c>
      <c r="AF188" s="42">
        <v>9</v>
      </c>
      <c r="AG188" s="42">
        <v>56</v>
      </c>
      <c r="AH188" s="42">
        <v>9</v>
      </c>
      <c r="AK188" s="111">
        <v>2</v>
      </c>
      <c r="AL188" s="65">
        <f>$G$12</f>
        <v>0.39</v>
      </c>
      <c r="AM188" s="65">
        <f>$G$14</f>
        <v>0.28999999999999998</v>
      </c>
      <c r="AN188" s="65">
        <f>$P$12</f>
        <v>0.34</v>
      </c>
      <c r="AO188" s="65">
        <f>$P$14</f>
        <v>0.23</v>
      </c>
      <c r="AP188" s="65">
        <f>$Y$12</f>
        <v>0.37</v>
      </c>
      <c r="AQ188" s="65">
        <f>$Y$14</f>
        <v>0.26</v>
      </c>
      <c r="AR188" s="65">
        <f>$AH$12</f>
        <v>0.35</v>
      </c>
      <c r="AS188" s="65">
        <f>$AH$14</f>
        <v>0.25</v>
      </c>
      <c r="AT188" s="65">
        <f>$AQ$12</f>
        <v>0.35</v>
      </c>
      <c r="AU188" s="65">
        <f>$AQ$14</f>
        <v>0.26</v>
      </c>
      <c r="AV188" s="65">
        <f>$BB$12</f>
        <v>0.37</v>
      </c>
      <c r="AW188" s="65">
        <f>$BB$14</f>
        <v>0.26</v>
      </c>
      <c r="AX188" s="426">
        <v>0.34</v>
      </c>
      <c r="AY188" s="426">
        <v>0.21</v>
      </c>
      <c r="AZ188" s="643">
        <v>0.35</v>
      </c>
      <c r="BA188" s="643">
        <v>0.22</v>
      </c>
    </row>
    <row r="189" spans="2:53" x14ac:dyDescent="0.25">
      <c r="B189" s="39" t="s">
        <v>246</v>
      </c>
      <c r="C189" s="39">
        <f>AVERAGEIFS($D$36:$D$167,$C$36:$C$167,"=1", $B$36:$B$167,"OFICIAL")</f>
        <v>53</v>
      </c>
      <c r="D189" s="39">
        <f>AVERAGEIFS($E$36:$E$167,$C$36:$C$167,"=1", $B$36:$B$167,"OFICIAL")</f>
        <v>7.25</v>
      </c>
      <c r="E189" s="39">
        <f>AVERAGEIFS($D$36:$D$167,$C$36:$C$167,"=1", $B$36:$B$167,"NO OFICIAL")</f>
        <v>53.153846153846153</v>
      </c>
      <c r="F189" s="39">
        <f>AVERAGEIFS($E$36:$E$167,$C$36:$C$167,"=1", $B$36:$B$167,"NO OFICIAL")</f>
        <v>7.4615384615384617</v>
      </c>
      <c r="G189" s="39">
        <f>AVERAGEIFS($M$36:$M$167,$C$36:$C$167,"=1",$B$36:$B$167,"OFICIAL")</f>
        <v>55</v>
      </c>
      <c r="H189" s="39">
        <f>AVERAGEIFS(N36:N167,C36:C167,"=1", B36:B167,"OFICIAL")</f>
        <v>7.25</v>
      </c>
      <c r="I189" s="39">
        <f>AVERAGEIFS(M36:M167,C36:C167,"=1", B36:B167,"NO OFICIAL")</f>
        <v>53.333333333333336</v>
      </c>
      <c r="J189" s="39">
        <f>AVERAGEIFS(N36:N167,C36:C167,"=1", B36:B167,"NO OFICIAL")</f>
        <v>7.833333333333333</v>
      </c>
      <c r="K189" s="39">
        <f>AVERAGEIFS(V36:V167,C36:C167,"=1", B36:B167,"OFICIAL")</f>
        <v>53.75</v>
      </c>
      <c r="L189" s="39">
        <f>AVERAGEIFS(W36:W167,C36:C167,"=1", B36:B167,"OFICIAL")</f>
        <v>8.5</v>
      </c>
      <c r="M189" s="39">
        <f>AVERAGEIFS(V36:V167,C36:C167,"=1", B36:B167,"NO OFICIAL")</f>
        <v>53.846153846153847</v>
      </c>
      <c r="N189" s="39">
        <f>AVERAGEIFS(W36:W167,C36:C167,"=1", B36:B167,"NO OFICIAL")</f>
        <v>8.2307692307692299</v>
      </c>
      <c r="O189" s="39">
        <f>AVERAGEIFS(AE36:AE167,C36:C167,"=1", B36:B167,"OFICIAL")</f>
        <v>54.25</v>
      </c>
      <c r="P189" s="39">
        <f>AVERAGEIFS(AF36:AF167,C36:C167,"=1", B36:B167,"OFICIAL")</f>
        <v>8.75</v>
      </c>
      <c r="Q189" s="39">
        <f>AVERAGEIFS(AE36:AE167,C36:C167,"=1", B36:B167,"NO OFICIAL")</f>
        <v>53.53846153846154</v>
      </c>
      <c r="R189" s="39">
        <f>AVERAGEIFS(AF36:AF167,C36:C167,"=1", B36:B167,"NO OFICIAL")</f>
        <v>8.3076923076923084</v>
      </c>
      <c r="S189" s="39">
        <f>AVERAGEIFS($AN$36:$AN$167,$C$36:$C$167,"=1", $B$36:$B$167,"OFICIAL")</f>
        <v>54.25</v>
      </c>
      <c r="T189" s="39">
        <f>AVERAGEIFS($AO$36:$AO$167,$C$36:$C$167,"=1", $B$36:$B$167,"OFICIAL")</f>
        <v>8</v>
      </c>
      <c r="U189" s="39">
        <f>AVERAGEIFS($AN$36:$AN$167,$C$36:$C$167,"=1", $B$36:$B$167,"NO OFICIAL")</f>
        <v>53.692307692307693</v>
      </c>
      <c r="V189" s="39">
        <f>AVERAGEIFS($AO$36:$AO$167,$C$36:$C$167,"=1", $B$36:$B$167,"NO OFICIAL")</f>
        <v>8.0769230769230766</v>
      </c>
      <c r="W189" s="39">
        <f>AVERAGEIFS($AW$36:$AW$167,$C$36:$C$167,"=1", $B$36:$B$167,"OFICIAL")</f>
        <v>53.75</v>
      </c>
      <c r="X189" s="39">
        <f>AVERAGEIFS($AY$36:$AY$167,$C$36:$C$167,"=1", $B$36:$B$167,"OFICIAL")</f>
        <v>9.5</v>
      </c>
      <c r="Y189" s="39">
        <f>AVERAGEIFS($AW$36:$AW$167,$C$36:$C$167,"=1", $B$36:$B$167,"NO OFICIAL")</f>
        <v>54.846153846153847</v>
      </c>
      <c r="Z189" s="39">
        <f>AVERAGEIFS($AY$36:$AY$167,$C$36:$C$167,"=1", $B$36:$B$167,"NO OFICIAL")</f>
        <v>8.1538461538461533</v>
      </c>
      <c r="AA189" s="39">
        <f>AVERAGEIFS($BH$36:$BH$167,$C$36:$C$167,"=1", $B$36:$B$167,"OFICIAL")</f>
        <v>54</v>
      </c>
      <c r="AB189" s="39">
        <f>AVERAGEIFS($BJ$36:$BJ$167,$C$36:$C$167,"=1", $B$36:$B$167,"OFICIAL")</f>
        <v>8.6</v>
      </c>
      <c r="AC189" s="39">
        <f>AVERAGEIFS($BH$36:$BH$167,$C$36:$C$167,"=1", $B$36:$B$167,"NO OFICIAL")</f>
        <v>55</v>
      </c>
      <c r="AD189" s="39">
        <f>AVERAGEIFS($BJ$36:$BJ$167,$C$36:$C$167,"=1", $B$36:$B$167,"NO OFICIAL")</f>
        <v>8.5384615384615383</v>
      </c>
      <c r="AE189" s="39">
        <f>AVERAGEIFS($BS$36:$BS$167,$C$36:$C$167,"=1", $B$36:$B$167,"OFICIAL")</f>
        <v>52.8</v>
      </c>
      <c r="AF189" s="39">
        <f>AVERAGEIFS($BU$36:$BU$167,$C$36:$C$167,"=1", $B$36:$B$167,"OFICIAL")</f>
        <v>8.1999999999999993</v>
      </c>
      <c r="AG189" s="39">
        <f>AVERAGEIFS($BS$36:$BS$167,$C$36:$C$167,"=1", $B$36:$B$167,"NO OFICIAL")</f>
        <v>55.25</v>
      </c>
      <c r="AH189" s="39">
        <f>AVERAGEIFS($BU$36:$BU$167,$C$36:$C$167,"=1", $B$36:$B$167,"NO OFICIAL")</f>
        <v>8.3333333333333339</v>
      </c>
      <c r="AK189" s="119">
        <v>3</v>
      </c>
      <c r="AL189" s="65">
        <f>$H$12</f>
        <v>0.54</v>
      </c>
      <c r="AM189" s="65">
        <f>$H$14</f>
        <v>0.62</v>
      </c>
      <c r="AN189" s="65">
        <f>$Q$12</f>
        <v>0.56999999999999995</v>
      </c>
      <c r="AO189" s="65">
        <f>$Q$14</f>
        <v>0.64</v>
      </c>
      <c r="AP189" s="65">
        <f>$Z$12</f>
        <v>0.53</v>
      </c>
      <c r="AQ189" s="65">
        <f>$Z$14</f>
        <v>0.59</v>
      </c>
      <c r="AR189" s="65">
        <f>$AI$12</f>
        <v>0.55000000000000004</v>
      </c>
      <c r="AS189" s="65">
        <f>$AI$14</f>
        <v>0.6</v>
      </c>
      <c r="AT189" s="65">
        <f>$AR$12</f>
        <v>0.56000000000000005</v>
      </c>
      <c r="AU189" s="65">
        <f>$AR$14</f>
        <v>0.61</v>
      </c>
      <c r="AV189" s="65">
        <f>$BC$12</f>
        <v>0.52</v>
      </c>
      <c r="AW189" s="65">
        <f>$BC$14</f>
        <v>0.56999999999999995</v>
      </c>
      <c r="AX189" s="426">
        <v>0.56000000000000005</v>
      </c>
      <c r="AY189" s="426">
        <v>0.61</v>
      </c>
      <c r="AZ189" s="643">
        <v>0.55000000000000004</v>
      </c>
      <c r="BA189" s="643">
        <v>0.6</v>
      </c>
    </row>
    <row r="190" spans="2:53" x14ac:dyDescent="0.25">
      <c r="B190" s="39" t="s">
        <v>247</v>
      </c>
      <c r="C190" s="39">
        <f>AVERAGEIFS(D36:D167,C36:C167,"=2", B36:B167,"OFICIAL")</f>
        <v>53.5</v>
      </c>
      <c r="D190" s="39">
        <f>AVERAGEIFS(E36:E167,C36:C167,"=2", B36:B167,"OFICIAL")</f>
        <v>7.5</v>
      </c>
      <c r="E190" s="39">
        <f>AVERAGEIFS(D36:D167,C36:C167,"=2", B36:B167,"NO OFICIAL")</f>
        <v>54.888888888888886</v>
      </c>
      <c r="F190" s="39">
        <f>AVERAGEIFS(E36:E167,C36:C167,"=2", B36:B167,"NO OFICIAL")</f>
        <v>7.1111111111111107</v>
      </c>
      <c r="G190" s="39">
        <f>AVERAGEIFS(M36:M167,C36:C167,"=2", B36:B167,"OFICIAL")</f>
        <v>54.5</v>
      </c>
      <c r="H190" s="39">
        <f>AVERAGEIFS(N36:N167,C36:C167,"=2", B36:B167,"OFICIAL")</f>
        <v>8</v>
      </c>
      <c r="I190" s="39">
        <f>AVERAGEIFS(M36:M167,C36:C167,"=2", B36:B167,"NO OFICIAL")</f>
        <v>55.705882352941174</v>
      </c>
      <c r="J190" s="39">
        <f>AVERAGEIFS(N36:N167,C36:C167,"=2", B36:B167,"NO OFICIAL")</f>
        <v>7.882352941176471</v>
      </c>
      <c r="K190" s="39">
        <f>AVERAGEIFS(V36:V167,C36:C167,"=2", B36:B167,"OFICIAL")</f>
        <v>53.5</v>
      </c>
      <c r="L190" s="39">
        <f>AVERAGEIFS(W36:W167,C36:C167,"=2", B36:B167,"OFICIAL")</f>
        <v>9</v>
      </c>
      <c r="M190" s="39">
        <f>AVERAGEIFS(V36:V167,C36:C167,"=2", B36:B167,"NO OFICIAL")</f>
        <v>54.823529411764703</v>
      </c>
      <c r="N190" s="39">
        <f>AVERAGEIFS(W36:W167,C36:C167,"=2", B36:B167,"NO OFICIAL")</f>
        <v>8.2941176470588243</v>
      </c>
      <c r="O190" s="39">
        <f>AVERAGEIFS(AE36:AE167,C36:C167,"=2", B36:B167,"OFICIAL")</f>
        <v>54</v>
      </c>
      <c r="P190" s="39">
        <f>AVERAGEIFS(AF36:AF167,C36:C167,"=2", B36:B167,"OFICIAL")</f>
        <v>9</v>
      </c>
      <c r="Q190" s="39">
        <f>AVERAGEIFS(AE36:AE167,C36:C167,"=2", B36:B167,"NO OFICIAL")</f>
        <v>55.444444444444443</v>
      </c>
      <c r="R190" s="39">
        <f>AVERAGEIFS(AF36:AF167,C36:C167,"=2", B36:B167,"NO OFICIAL")</f>
        <v>8.2777777777777786</v>
      </c>
      <c r="S190" s="39">
        <f>AVERAGEIFS($AN$36:$AN$167,$C$36:$C$167,"=2", $B$36:$B$167,"OFICIAL")</f>
        <v>54</v>
      </c>
      <c r="T190" s="39">
        <f>AVERAGEIFS($AO$36:$AO$167,$C$36:$C$167,"=2", $B$36:$B$167,"OFICIAL")</f>
        <v>8.5</v>
      </c>
      <c r="U190" s="39">
        <f>AVERAGEIFS($AN$36:$AN$167,$C$36:$C$167,"=2", $B$36:$B$167,"NO OFICIAL")</f>
        <v>54.863636363636367</v>
      </c>
      <c r="V190" s="39">
        <f>AVERAGEIFS($AO$36:$AO$167,$C$36:$C$167,"=2", $B$36:$B$167,"NO OFICIAL")</f>
        <v>6.9090909090909092</v>
      </c>
      <c r="W190" s="39">
        <f>AVERAGEIFS($AW$36:$AW$167,$C$36:$C$167,"=2", $B$36:$B$167,"OFICIAL")</f>
        <v>53.5</v>
      </c>
      <c r="X190" s="39">
        <f>AVERAGEIFS($AY$36:$AY$167,$C$36:$C$167,"=2", $B$36:$B$167,"OFICIAL")</f>
        <v>9</v>
      </c>
      <c r="Y190" s="39">
        <f>AVERAGEIFS($AW$36:$AW$167,$C$36:$C$167,"=2", $B$36:$B$167,"NO OFICIAL")</f>
        <v>54.65</v>
      </c>
      <c r="Z190" s="39">
        <f>AVERAGEIFS($AY$36:$AY$167,$C$36:$C$167,"=2", $B$36:$B$167,"NO OFICIAL")</f>
        <v>7.9</v>
      </c>
      <c r="AA190" s="39">
        <f>AVERAGEIFS($BH$36:$BH$167,$C$36:$C$167,"=2", $B$36:$B$167,"OFICIAL")</f>
        <v>53.75</v>
      </c>
      <c r="AB190" s="39">
        <f>AVERAGEIFS($BJ$36:$BJ$167,$C$36:$C$167,"=2", $B$36:$B$167,"OFICIAL")</f>
        <v>8.75</v>
      </c>
      <c r="AC190" s="39">
        <f>AVERAGEIFS($BH$36:$BH$167,$C$36:$C$167,"=2", $B$36:$B$167,"NO OFICIAL")</f>
        <v>56.952380952380949</v>
      </c>
      <c r="AD190" s="39">
        <f>AVERAGEIFS($BJ$36:$BJ$167,$C$36:$C$167,"=2", $B$36:$B$167,"NO OFICIAL")</f>
        <v>7.666666666666667</v>
      </c>
      <c r="AE190" s="39">
        <f>AVERAGEIFS($BS$36:$BS$167,$C$36:$C$167,"=2", $B$36:$B$167,"OFICIAL")</f>
        <v>54.25</v>
      </c>
      <c r="AF190" s="39">
        <f>AVERAGEIFS($BU$36:$BU$167,$C$36:$C$167,"=2", $B$36:$B$167,"OFICIAL")</f>
        <v>8.5</v>
      </c>
      <c r="AG190" s="39">
        <f>AVERAGEIFS($BS$36:$BS$167,$C$36:$C$167,"=2", $B$36:$B$167,"NO OFICIAL")</f>
        <v>56.272727272727273</v>
      </c>
      <c r="AH190" s="39">
        <f>AVERAGEIFS($BU$36:$BU$167,$C$36:$C$167,"=2", $B$36:$B$167,"NO OFICIAL")</f>
        <v>8.2727272727272734</v>
      </c>
      <c r="AK190" s="119">
        <v>4</v>
      </c>
      <c r="AL190" s="65">
        <f>$I$12</f>
        <v>0.05</v>
      </c>
      <c r="AM190" s="65">
        <f>$I$14</f>
        <v>0.08</v>
      </c>
      <c r="AN190" s="65">
        <f>$R$12</f>
        <v>7.0000000000000007E-2</v>
      </c>
      <c r="AO190" s="65">
        <f>$R$14</f>
        <v>0.12</v>
      </c>
      <c r="AP190" s="65">
        <f>$AA$12</f>
        <v>0.08</v>
      </c>
      <c r="AQ190" s="65">
        <f>$AA$14</f>
        <v>0.14000000000000001</v>
      </c>
      <c r="AR190" s="65">
        <f>$AJ$12</f>
        <v>0.08</v>
      </c>
      <c r="AS190" s="65">
        <f>$AJ$14</f>
        <v>0.14000000000000001</v>
      </c>
      <c r="AT190" s="65">
        <f>$AS$12</f>
        <v>7.0000000000000007E-2</v>
      </c>
      <c r="AU190" s="65">
        <f>$AS$14</f>
        <v>0.11</v>
      </c>
      <c r="AV190" s="65">
        <f>$BD$12</f>
        <v>0.09</v>
      </c>
      <c r="AW190" s="65">
        <f>$BD$14</f>
        <v>0.16</v>
      </c>
      <c r="AX190" s="426">
        <v>0.09</v>
      </c>
      <c r="AY190" s="426">
        <v>0.16</v>
      </c>
      <c r="AZ190" s="643">
        <v>0.08</v>
      </c>
      <c r="BA190" s="643">
        <v>0.17</v>
      </c>
    </row>
    <row r="191" spans="2:53" x14ac:dyDescent="0.25">
      <c r="B191" s="39" t="s">
        <v>248</v>
      </c>
      <c r="C191" s="39">
        <f>AVERAGEIFS(D36:D167,C36:C167,"=3", B36:B167,"OFICIAL")</f>
        <v>53</v>
      </c>
      <c r="D191" s="39">
        <f>AVERAGEIFS(E36:E167,C36:C167,"=3", B36:B167,"OFICIAL")</f>
        <v>8.6</v>
      </c>
      <c r="E191" s="39">
        <f>AVERAGEIFS(D36:D167,C36:C167,"=3", B36:B167,"NO OFICIAL")</f>
        <v>55.153846153846153</v>
      </c>
      <c r="F191" s="39">
        <f>AVERAGEIFS(E36:E167,C36:C167,"=3", B36:B167,"NO OFICIAL")</f>
        <v>7.8461538461538458</v>
      </c>
      <c r="G191" s="39">
        <f>AVERAGEIFS(M36:M167,C36:C167,"=3", B36:B167,"OFICIAL")</f>
        <v>54.4</v>
      </c>
      <c r="H191" s="39">
        <f>AVERAGEIFS(N36:N167,C36:C167,"=3", B36:B167,"OFICIAL")</f>
        <v>8.6</v>
      </c>
      <c r="I191" s="39">
        <f>AVERAGEIFS(M36:M167,C36:C167,"=3", B36:B167,"NO OFICIAL")</f>
        <v>55.714285714285715</v>
      </c>
      <c r="J191" s="39">
        <f>AVERAGEIFS(N36:N167,C36:C167,"=3", B36:B167,"NO OFICIAL")</f>
        <v>7.6428571428571432</v>
      </c>
      <c r="K191" s="39">
        <f>AVERAGEIFS(V36:V167,C36:C167,"=3", B36:B167,"OFICIAL")</f>
        <v>54.2</v>
      </c>
      <c r="L191" s="39">
        <f>AVERAGEIFS(W36:W167,C36:C167,"=3", B36:B167,"OFICIAL")</f>
        <v>8.6</v>
      </c>
      <c r="M191" s="39">
        <f>AVERAGEIFS(V36:V167,C36:C167,"=3", B36:B167,"NO OFICIAL")</f>
        <v>56.214285714285715</v>
      </c>
      <c r="N191" s="39">
        <f>AVERAGEIFS(W36:W167,C36:C167,"=3", B36:B167,"NO OFICIAL")</f>
        <v>8.2142857142857135</v>
      </c>
      <c r="O191" s="39">
        <f>AVERAGEIFS(AE36:AE167,C36:C167,"=3", B36:B167,"OFICIAL")</f>
        <v>53.6</v>
      </c>
      <c r="P191" s="39">
        <f>AVERAGEIFS(AF36:AF167,C36:C167,"=3", B36:B167,"OFICIAL")</f>
        <v>8.4</v>
      </c>
      <c r="Q191" s="39">
        <f>AVERAGEIFS(AE36:AE167,C36:C167,"=3", B36:B167,"NO OFICIAL")</f>
        <v>55.785714285714285</v>
      </c>
      <c r="R191" s="39">
        <f>AVERAGEIFS(AF36:AF167,C36:C167,"=3", B36:B167,"NO OFICIAL")</f>
        <v>8.4285714285714288</v>
      </c>
      <c r="S191" s="39">
        <f>AVERAGEIFS($AN$36:$AN$167,$C$36:$C$167,"=3", $B$36:$B$167,"OFICIAL")</f>
        <v>53.6</v>
      </c>
      <c r="T191" s="39">
        <f>AVERAGEIFS($AO$36:$AO$167,$C$36:$C$167,"=3", $B$36:$B$167,"OFICIAL")</f>
        <v>8.4</v>
      </c>
      <c r="U191" s="39">
        <f>AVERAGEIFS($AN$36:$AN$167,$C$36:$C$167,"=3", $B$36:$B$167,"NO OFICIAL")</f>
        <v>55.333333333333336</v>
      </c>
      <c r="V191" s="39">
        <f>AVERAGEIFS($AO$36:$AO$167,$C$36:$C$167,"=3", $B$36:$B$167,"NO OFICIAL")</f>
        <v>7.6</v>
      </c>
      <c r="W191" s="39">
        <f>AVERAGEIFS($AW$36:$AW$167,$C$36:$C$167,"=3", $B$36:$B$167,"OFICIAL")</f>
        <v>53.8</v>
      </c>
      <c r="X191" s="39">
        <f>AVERAGEIFS($AY$36:$AY$167,$C$36:$C$167,"=3", $B$36:$B$167,"OFICIAL")</f>
        <v>8.6</v>
      </c>
      <c r="Y191" s="39">
        <f>AVERAGEIFS($AW$36:$AW$167,$C$36:$C$167,"=3", $B$36:$B$167,"NO OFICIAL")</f>
        <v>56.2</v>
      </c>
      <c r="Z191" s="39">
        <f>AVERAGEIFS($AY$36:$AY$167,$C$36:$C$167,"=3", $B$36:$B$167,"NO OFICIAL")</f>
        <v>8.5333333333333332</v>
      </c>
      <c r="AA191" s="39">
        <f>AVERAGEIFS($BH$36:$BH$167,$C$36:$C$167,"=3", $B$36:$B$167,"OFICIAL")</f>
        <v>54.333333333333336</v>
      </c>
      <c r="AB191" s="39">
        <f>AVERAGEIFS($BJ$36:$BJ$167,$C$36:$C$167,"=3", $B$36:$B$167,"OFICIAL")</f>
        <v>8.8333333333333339</v>
      </c>
      <c r="AC191" s="39">
        <f>AVERAGEIFS($BH$36:$BH$167,$C$36:$C$167,"=3", $B$36:$B$167,"NO OFICIAL")</f>
        <v>57</v>
      </c>
      <c r="AD191" s="39">
        <f>AVERAGEIFS($BJ$36:$BJ$167,$C$36:$C$167,"=3", $B$36:$B$167,"NO OFICIAL")</f>
        <v>8.25</v>
      </c>
      <c r="AE191" s="39">
        <f>AVERAGEIFS($BS$36:$BS$167,$C$36:$C$167,"=3", $B$36:$B$167,"OFICIAL")</f>
        <v>54</v>
      </c>
      <c r="AF191" s="39">
        <f>AVERAGEIFS($BU$36:$BU$167,$C$36:$C$167,"=3", $B$36:$B$167,"OFICIAL")</f>
        <v>8.6666666666666661</v>
      </c>
      <c r="AG191" s="39">
        <f>AVERAGEIFS($BS$36:$BS$167,$C$36:$C$167,"=3", $B$36:$B$167,"NO OFICIAL")</f>
        <v>56.625</v>
      </c>
      <c r="AH191" s="39">
        <f>AVERAGEIFS($BU$36:$BU$167,$C$36:$C$167,"=3", $B$36:$B$167,"NO OFICIAL")</f>
        <v>7.9375</v>
      </c>
      <c r="AI191" s="112"/>
      <c r="AJ191" s="112"/>
      <c r="AK191" s="112"/>
      <c r="AL191" s="112"/>
      <c r="AM191" s="112"/>
      <c r="AN191" s="110"/>
      <c r="AO191" s="110"/>
      <c r="AP191" s="110"/>
    </row>
    <row r="192" spans="2:53" x14ac:dyDescent="0.25">
      <c r="B192" s="39" t="s">
        <v>249</v>
      </c>
      <c r="C192" s="39">
        <f>AVERAGEIFS(D36:D167,C36:C167,"=4", B36:B167,"OFICIAL")</f>
        <v>49.666666666666664</v>
      </c>
      <c r="D192" s="39">
        <f>AVERAGEIFS(E36:E167,C36:C167,"=4", B36:B167,"OFICIAL")</f>
        <v>7.666666666666667</v>
      </c>
      <c r="E192" s="39">
        <f>AVERAGEIFS(D36:D167,C36:C167,"=4", B36:B167,"NO OFICIAL")</f>
        <v>51.5</v>
      </c>
      <c r="F192" s="39">
        <f>AVERAGEIFS(E36:E167,C36:C167,"=4", B36:B167,"NO OFICIAL")</f>
        <v>7.375</v>
      </c>
      <c r="G192" s="39">
        <f>AVERAGEIFS(M36:M167,C36:C167,"=4", B36:B167,"OFICIAL")</f>
        <v>51.333333333333336</v>
      </c>
      <c r="H192" s="39">
        <f>AVERAGEIFS(N36:N167,C36:C167,"=4", B36:B167,"OFICIAL")</f>
        <v>8.1666666666666661</v>
      </c>
      <c r="I192" s="39">
        <f>AVERAGEIFS(M36:M167,C36:C167,"=4", B36:B167,"NO OFICIAL")</f>
        <v>55.111111111111114</v>
      </c>
      <c r="J192" s="39">
        <f>AVERAGEIFS(N36:N167,C36:C167,"=4", B36:B167,"NO OFICIAL")</f>
        <v>6.666666666666667</v>
      </c>
      <c r="K192" s="39">
        <f>AVERAGEIFS(V36:V167,C36:C167,"=4", B36:B167,"OFICIAL")</f>
        <v>50.333333333333336</v>
      </c>
      <c r="L192" s="39">
        <f>AVERAGEIFS(W36:W167,C36:C167,"=4", B36:B167,"OFICIAL")</f>
        <v>8.6666666666666661</v>
      </c>
      <c r="M192" s="39">
        <f>AVERAGEIFS(V36:V167,C36:C167,"=4", B36:B167,"NO OFICIAL")</f>
        <v>54.666666666666664</v>
      </c>
      <c r="N192" s="39">
        <f>AVERAGEIFS(W36:W167,C36:C167,"=4", B36:B167,"NO OFICIAL")</f>
        <v>6.8888888888888893</v>
      </c>
      <c r="O192" s="39">
        <f>AVERAGEIFS(AE36:AE167,C36:C167,"=4", B36:B167,"OFICIAL")</f>
        <v>50</v>
      </c>
      <c r="P192" s="39">
        <f>AVERAGEIFS(AF36:AF167,C36:C167,"=4", B36:B167,"OFICIAL")</f>
        <v>8.8333333333333339</v>
      </c>
      <c r="Q192" s="39">
        <f>AVERAGEIFS(AE36:AE167,C36:C167,"=4", B36:B167,"NO OFICIAL")</f>
        <v>54.375</v>
      </c>
      <c r="R192" s="39">
        <f>AVERAGEIFS(AF36:AF167,C36:C167,"=4", B36:B167,"NO OFICIAL")</f>
        <v>8.25</v>
      </c>
      <c r="S192" s="39">
        <f>AVERAGEIFS($AN$36:$AN$167,$C$36:$C$167,"=4", $B$36:$B$167,"OFICIAL")</f>
        <v>50</v>
      </c>
      <c r="T192" s="39">
        <f>AVERAGEIFS($AO$36:$AO$167,$C$36:$C$167,"=4", $B$36:$B$167,"OFICIAL")</f>
        <v>8.5</v>
      </c>
      <c r="U192" s="39">
        <f>AVERAGEIFS($AN$36:$AN$167,$C$36:$C$167,"=4", $B$36:$B$167,"NO OFICIAL")</f>
        <v>52.142857142857146</v>
      </c>
      <c r="V192" s="39">
        <f>AVERAGEIFS($AO$36:$AO$167,$C$36:$C$167,"=4", $B$36:$B$167,"NO OFICIAL")</f>
        <v>7.7142857142857144</v>
      </c>
      <c r="W192" s="39">
        <f>AVERAGEIFS($AW$36:$AW$167,$C$36:$C$167,"=4", $B$36:$B$167,"OFICIAL")</f>
        <v>50.333333333333336</v>
      </c>
      <c r="X192" s="39">
        <f>AVERAGEIFS($AY$36:$AY$167,$C$36:$C$167,"=4", $B$36:$B$167,"OFICIAL")</f>
        <v>8.5</v>
      </c>
      <c r="Y192" s="39">
        <f>AVERAGEIFS($AW$36:$AW$167,$C$36:$C$167,"=4", $B$36:$B$167,"NO OFICIAL")</f>
        <v>53.875</v>
      </c>
      <c r="Z192" s="39">
        <f>AVERAGEIFS($AY$36:$AY$167,$C$36:$C$167,"=4", $B$36:$B$167,"NO OFICIAL")</f>
        <v>7.625</v>
      </c>
      <c r="AA192" s="39">
        <f>AVERAGEIFS($BH$36:$BH$167,$C$36:$C$167,"=4", $B$36:$B$167,"OFICIAL")</f>
        <v>51</v>
      </c>
      <c r="AB192" s="39">
        <f>AVERAGEIFS($BJ$36:$BJ$167,$C$36:$C$167,"=4", $B$36:$B$167,"OFICIAL")</f>
        <v>8.6666666666666661</v>
      </c>
      <c r="AC192" s="39">
        <f>AVERAGEIFS($BH$36:$BH$167,$C$36:$C$167,"=4", $B$36:$B$167,"NO OFICIAL")</f>
        <v>55</v>
      </c>
      <c r="AD192" s="39">
        <f>AVERAGEIFS($BJ$36:$BJ$167,$C$36:$C$167,"=4", $B$36:$B$167,"NO OFICIAL")</f>
        <v>8.375</v>
      </c>
      <c r="AE192" s="39">
        <f>AVERAGEIFS($BS$36:$BS$167,$C$36:$C$167,"=4", $B$36:$B$167,"OFICIAL")</f>
        <v>49.833333333333336</v>
      </c>
      <c r="AF192" s="39">
        <f>AVERAGEIFS($BU$36:$BU$167,$C$36:$C$167,"=4", $B$36:$B$167,"OFICIAL")</f>
        <v>8.8333333333333339</v>
      </c>
      <c r="AG192" s="39">
        <f>AVERAGEIFS($BS$36:$BS$167,$C$36:$C$167,"=4", $B$36:$B$167,"NO OFICIAL")</f>
        <v>52.555555555555557</v>
      </c>
      <c r="AH192" s="39">
        <f>AVERAGEIFS($BU$36:$BU$167,$C$36:$C$167,"=4", $B$36:$B$167,"NO OFICIAL")</f>
        <v>8.4444444444444446</v>
      </c>
      <c r="AI192" s="112"/>
      <c r="AJ192" s="112"/>
      <c r="AK192" s="112"/>
      <c r="AL192" s="112"/>
      <c r="AM192" s="112"/>
      <c r="AN192" s="110"/>
      <c r="AO192" s="110"/>
      <c r="AP192" s="110"/>
    </row>
    <row r="193" spans="2:72" x14ac:dyDescent="0.25">
      <c r="B193" s="39" t="s">
        <v>250</v>
      </c>
      <c r="C193" s="39">
        <f>AVERAGEIFS(D36:D167,C36:C167,"=5", B36:B167,"OFICIAL")</f>
        <v>53.5</v>
      </c>
      <c r="D193" s="39">
        <f>AVERAGEIFS(E36:E167,C36:C167,"=5", B36:B167,"OFICIAL")</f>
        <v>7.5</v>
      </c>
      <c r="E193" s="39">
        <f>AVERAGEIFS(D36:D167,C36:C167,"=5", B36:B167,"NO OFICIAL")</f>
        <v>55.8</v>
      </c>
      <c r="F193" s="39">
        <f>AVERAGEIFS(E36:E167,C36:C167,"=5", B36:B167,"NO OFICIAL")</f>
        <v>7.7333333333333334</v>
      </c>
      <c r="G193" s="39">
        <f>AVERAGEIFS(M36:M167,C36:C167,"=5", B36:B167,"OFICIAL")</f>
        <v>54</v>
      </c>
      <c r="H193" s="39">
        <f>AVERAGEIFS(N36:N167,C36:C167,"=5", B36:B167,"OFICIAL")</f>
        <v>8.5</v>
      </c>
      <c r="I193" s="39">
        <f>AVERAGEIFS(M36:M167,C36:C167,"=5", B36:B167,"NO OFICIAL")</f>
        <v>57.333333333333336</v>
      </c>
      <c r="J193" s="39">
        <f>AVERAGEIFS(N36:N167,C36:C167,"=5", B36:B167,"NO OFICIAL")</f>
        <v>7.4666666666666668</v>
      </c>
      <c r="K193" s="39">
        <f>AVERAGEIFS(V36:V167,C36:C167,"=5", B36:B167,"OFICIAL")</f>
        <v>52.5</v>
      </c>
      <c r="L193" s="39">
        <f>AVERAGEIFS(W36:W167,C36:C167,"=5", B36:B167,"OFICIAL")</f>
        <v>8</v>
      </c>
      <c r="M193" s="39">
        <f>AVERAGEIFS(V36:V167,C36:C167,"=5", B36:B167,"NO OFICIAL")</f>
        <v>56.3125</v>
      </c>
      <c r="N193" s="39">
        <f>AVERAGEIFS(W36:W167,C36:C167,"=5", B36:B167,"NO OFICIAL")</f>
        <v>7.875</v>
      </c>
      <c r="O193" s="39">
        <f>AVERAGEIFS(AE36:AE167,C36:C167,"=5", B36:B167,"OFICIAL")</f>
        <v>53.5</v>
      </c>
      <c r="P193" s="39">
        <f>AVERAGEIFS(AF36:AF167,C36:C167,"=5", B36:B167,"OFICIAL")</f>
        <v>8</v>
      </c>
      <c r="Q193" s="39">
        <f>AVERAGEIFS(AE36:AE167,C36:C167,"=5", B36:B167,"NO OFICIAL")</f>
        <v>56.705882352941174</v>
      </c>
      <c r="R193" s="39">
        <f>AVERAGEIFS(AF36:AF167,C36:C167,"=5", B36:B167,"NO OFICIAL")</f>
        <v>7.9411764705882355</v>
      </c>
      <c r="S193" s="39">
        <f>AVERAGEIFS($AN$36:$AN$167,$C$36:$C$167,"=5", $B$36:$B$167,"OFICIAL")</f>
        <v>53.5</v>
      </c>
      <c r="T193" s="39">
        <f>AVERAGEIFS($AO$36:$AO$167,$C$36:$C$167,"=5", $B$36:$B$167,"OFICIAL")</f>
        <v>8</v>
      </c>
      <c r="U193" s="39">
        <f>AVERAGEIFS($AN$36:$AN$167,$C$36:$C$167,"=5", $B$36:$B$167,"NO OFICIAL")</f>
        <v>56.875</v>
      </c>
      <c r="V193" s="39">
        <f>AVERAGEIFS($AO$36:$AO$167,$C$36:$C$167,"=5", $B$36:$B$167,"NO OFICIAL")</f>
        <v>7.3125</v>
      </c>
      <c r="W193" s="39">
        <f>AVERAGEIFS($AW$36:$AW$167,$C$36:$C$167,"=5", $B$36:$B$167,"OFICIAL")</f>
        <v>54</v>
      </c>
      <c r="X193" s="39">
        <f>AVERAGEIFS($AY$36:$AY$167,$C$36:$C$167,"=5", $B$36:$B$167,"OFICIAL")</f>
        <v>9</v>
      </c>
      <c r="Y193" s="39">
        <f>AVERAGEIFS($AW$36:$AW$167,$C$36:$C$167,"=5", $B$36:$B$167,"NO OFICIAL")</f>
        <v>57.3125</v>
      </c>
      <c r="Z193" s="39">
        <f>AVERAGEIFS($AY$36:$AY$167,$C$36:$C$167,"=5", $B$36:$B$167,"NO OFICIAL")</f>
        <v>8.375</v>
      </c>
      <c r="AA193" s="39">
        <f>AVERAGEIFS($BH$36:$BH$167,$C$36:$C$167,"=5", $B$36:$B$167,"OFICIAL")</f>
        <v>55</v>
      </c>
      <c r="AB193" s="39">
        <f>AVERAGEIFS($BJ$36:$BJ$167,$C$36:$C$167,"=5", $B$36:$B$167,"OFICIAL")</f>
        <v>8.5</v>
      </c>
      <c r="AC193" s="39">
        <f>AVERAGEIFS($BH$36:$BH$167,$C$36:$C$167,"=5", $B$36:$B$167,"NO OFICIAL")</f>
        <v>58.266666666666666</v>
      </c>
      <c r="AD193" s="39">
        <f>AVERAGEIFS($BJ$36:$BJ$167,$C$36:$C$167,"=5", $B$36:$B$167,"NO OFICIAL")</f>
        <v>7.6</v>
      </c>
      <c r="AE193" s="39">
        <f>AVERAGEIFS($BS$36:$BS$167,$C$36:$C$167,"=5", $B$36:$B$167,"OFICIAL")</f>
        <v>53.5</v>
      </c>
      <c r="AF193" s="39">
        <f>AVERAGEIFS($BU$36:$BU$167,$C$36:$C$167,"=5", $B$36:$B$167,"OFICIAL")</f>
        <v>9.5</v>
      </c>
      <c r="AG193" s="39">
        <f>AVERAGEIFS($BS$36:$BS$167,$C$36:$C$167,"=5", $B$36:$B$167,"NO OFICIAL")</f>
        <v>58.4</v>
      </c>
      <c r="AH193" s="39">
        <f>AVERAGEIFS($BU$36:$BU$167,$C$36:$C$167,"=5", $B$36:$B$167,"NO OFICIAL")</f>
        <v>8</v>
      </c>
      <c r="AI193" s="112"/>
      <c r="AJ193" s="112"/>
      <c r="AK193" s="112"/>
      <c r="AL193" s="112"/>
      <c r="AM193" s="112"/>
      <c r="AN193" s="110"/>
      <c r="AO193" s="110"/>
      <c r="AP193" s="110"/>
    </row>
    <row r="194" spans="2:72" x14ac:dyDescent="0.25">
      <c r="B194" s="39" t="s">
        <v>251</v>
      </c>
      <c r="C194" s="39">
        <f>AVERAGEIFS(D36:D167,C36:C167,"=6", B36:B167,"OFICIAL")</f>
        <v>52.666666666666664</v>
      </c>
      <c r="D194" s="39">
        <f>AVERAGEIFS(E36:E167,C36:C167,"=6", B36:B167,"OFICIAL")</f>
        <v>8</v>
      </c>
      <c r="E194" s="39">
        <f>AVERAGEIFS(D36:D167,C36:C167,"=6", B36:B167,"NO OFICIAL")</f>
        <v>54.583333333333336</v>
      </c>
      <c r="F194" s="39">
        <f>AVERAGEIFS(E36:E167,C36:C167,"=6", B36:B167,"NO OFICIAL")</f>
        <v>6.416666666666667</v>
      </c>
      <c r="G194" s="39">
        <f>AVERAGEIFS(M36:M167,C36:C167,"=6", B36:B167,"OFICIAL")</f>
        <v>52.666666666666664</v>
      </c>
      <c r="H194" s="39">
        <f>AVERAGEIFS(N36:N167,C36:C167,"=6", B36:B167,"OFICIAL")</f>
        <v>7.666666666666667</v>
      </c>
      <c r="I194" s="39">
        <f>AVERAGEIFS(M36:M167,C36:C167,"=6", B36:B167,"NO OFICIAL")</f>
        <v>54</v>
      </c>
      <c r="J194" s="39">
        <f>AVERAGEIFS(N36:N167,C36:C167,"=6", B36:B167,"NO OFICIAL")</f>
        <v>8.5</v>
      </c>
      <c r="K194" s="39">
        <f>AVERAGEIFS(V36:V167,C36:C167,"=6", B36:B167,"OFICIAL")</f>
        <v>52.666666666666664</v>
      </c>
      <c r="L194" s="39">
        <f>AVERAGEIFS(W36:W167,C36:C167,"=6", B36:B167,"OFICIAL")</f>
        <v>9</v>
      </c>
      <c r="M194" s="39">
        <f>AVERAGEIFS(V36:V167,C36:C167,"=6", B36:B167,"NO OFICIAL")</f>
        <v>54.81818181818182</v>
      </c>
      <c r="N194" s="39">
        <f>AVERAGEIFS(W36:W167,C36:C167,"=6", B36:B167,"NO OFICIAL")</f>
        <v>8.454545454545455</v>
      </c>
      <c r="O194" s="39">
        <f>AVERAGEIFS(AE36:AE167,C36:C167,"=6", B36:B167,"OFICIAL")</f>
        <v>52.666666666666664</v>
      </c>
      <c r="P194" s="39">
        <f>AVERAGEIFS(AF36:AF167,C36:C167,"=6", B36:B167,"OFICIAL")</f>
        <v>8.6666666666666661</v>
      </c>
      <c r="Q194" s="39">
        <f>AVERAGEIFS(AE36:AE167,C36:C167,"=6", B36:B167,"NO OFICIAL")</f>
        <v>55.083333333333336</v>
      </c>
      <c r="R194" s="39">
        <f>AVERAGEIFS(AF36:AF167,C36:C167,"=6", B36:B167,"NO OFICIAL")</f>
        <v>8.6666666666666661</v>
      </c>
      <c r="S194" s="39">
        <f>AVERAGEIFS($AN$36:$AN$167,$C$36:$C$167,"=6", $B$36:$B$167,"OFICIAL")</f>
        <v>53</v>
      </c>
      <c r="T194" s="39">
        <f>AVERAGEIFS($AO$36:$AO$167,$C$36:$C$167,"=6", $B$36:$B$167,"OFICIAL")</f>
        <v>8.6666666666666661</v>
      </c>
      <c r="U194" s="39">
        <f>AVERAGEIFS($AN$36:$AN$167,$C$36:$C$167,"=6", $B$36:$B$167,"NO OFICIAL")</f>
        <v>52.5</v>
      </c>
      <c r="V194" s="39">
        <f>AVERAGEIFS($AO$36:$AO$167,$C$36:$C$167,"=6", $B$36:$B$167,"NO OFICIAL")</f>
        <v>7.2142857142857144</v>
      </c>
      <c r="W194" s="39">
        <f>AVERAGEIFS($AW$36:$AW$167,$C$36:$C$167,"=6", $B$36:$B$167,"OFICIAL")</f>
        <v>52.333333333333336</v>
      </c>
      <c r="X194" s="39">
        <f>AVERAGEIFS($AY$36:$AY$167,$C$36:$C$167,"=6", $B$36:$B$167,"OFICIAL")</f>
        <v>8.6666666666666661</v>
      </c>
      <c r="Y194" s="39">
        <f>AVERAGEIFS($AW$36:$AW$167,$C$36:$C$167,"=6", $B$36:$B$167,"NO OFICIAL")</f>
        <v>54.714285714285715</v>
      </c>
      <c r="Z194" s="39">
        <f>AVERAGEIFS($AY$36:$AY$167,$C$36:$C$167,"=6", $B$36:$B$167,"NO OFICIAL")</f>
        <v>7.5714285714285712</v>
      </c>
      <c r="AA194" s="39">
        <f>AVERAGEIFS($BH$36:$BH$167,$C$36:$C$167,"=6", $B$36:$B$167,"OFICIAL")</f>
        <v>53</v>
      </c>
      <c r="AB194" s="39">
        <f>AVERAGEIFS($BJ$36:$BJ$167,$C$36:$C$167,"=6", $B$36:$B$167,"OFICIAL")</f>
        <v>8.3333333333333339</v>
      </c>
      <c r="AC194" s="39">
        <f>AVERAGEIFS($BH$36:$BH$167,$C$36:$C$167,"=6", $B$36:$B$167,"NO OFICIAL")</f>
        <v>54.8125</v>
      </c>
      <c r="AD194" s="39">
        <f>AVERAGEIFS($BJ$36:$BJ$167,$C$36:$C$167,"=6", $B$36:$B$167,"NO OFICIAL")</f>
        <v>8.3125</v>
      </c>
      <c r="AE194" s="39">
        <f>AVERAGEIFS($BS$36:$BS$167,$C$36:$C$167,"=6", $B$36:$B$167,"OFICIAL")</f>
        <v>52.333333333333336</v>
      </c>
      <c r="AF194" s="39">
        <f>AVERAGEIFS($BU$36:$BU$167,$C$36:$C$167,"=6", $B$36:$B$167,"OFICIAL")</f>
        <v>8.3333333333333339</v>
      </c>
      <c r="AG194" s="39">
        <f>AVERAGEIFS($BS$36:$BS$167,$C$36:$C$167,"=6", $B$36:$B$167,"NO OFICIAL")</f>
        <v>56.176470588235297</v>
      </c>
      <c r="AH194" s="39">
        <f>AVERAGEIFS($BU$36:$BU$167,$C$36:$C$167,"=6", $B$36:$B$167,"NO OFICIAL")</f>
        <v>7.8235294117647056</v>
      </c>
      <c r="AI194" s="112"/>
      <c r="AJ194" s="112"/>
      <c r="AK194" s="112"/>
      <c r="AL194" s="112"/>
      <c r="AM194" s="112"/>
      <c r="AN194" s="110"/>
      <c r="AO194" s="110"/>
      <c r="AP194" s="110"/>
    </row>
    <row r="195" spans="2:72" s="24" customFormat="1" x14ac:dyDescent="0.25">
      <c r="B195" s="48"/>
      <c r="C195" s="48"/>
      <c r="D195" s="48"/>
      <c r="E195" s="48"/>
      <c r="F195" s="48"/>
      <c r="G195" s="48"/>
      <c r="H195" s="48"/>
      <c r="I195" s="48"/>
      <c r="J195" s="48"/>
      <c r="K195" s="48"/>
      <c r="L195" s="48"/>
      <c r="M195" s="48"/>
      <c r="N195" s="48"/>
      <c r="O195" s="48"/>
      <c r="P195" s="48"/>
      <c r="Q195" s="48"/>
      <c r="R195" s="48"/>
      <c r="S195" s="48"/>
      <c r="T195" s="48"/>
      <c r="U195" s="48"/>
      <c r="V195" s="48"/>
      <c r="W195" s="48"/>
      <c r="X195" s="102"/>
      <c r="Y195" s="102"/>
      <c r="Z195" s="102"/>
      <c r="AA195" s="102"/>
      <c r="AB195" s="102"/>
      <c r="AC195" s="119"/>
      <c r="AD195" s="119"/>
      <c r="AE195" s="112"/>
      <c r="AF195" s="112"/>
      <c r="AG195" s="112"/>
      <c r="AH195" s="112"/>
      <c r="AI195" s="112"/>
      <c r="AJ195" s="112"/>
      <c r="AK195" s="112"/>
      <c r="AL195" s="112"/>
      <c r="AM195" s="112"/>
      <c r="AN195" s="112"/>
      <c r="AO195" s="112"/>
      <c r="AP195" s="48"/>
      <c r="AQ195" s="48"/>
      <c r="AR195" s="48"/>
      <c r="AS195" s="48"/>
      <c r="AT195" s="48"/>
      <c r="AX195" s="336"/>
      <c r="AZ195" s="336"/>
    </row>
    <row r="196" spans="2:72" ht="12.75" customHeight="1" x14ac:dyDescent="0.25">
      <c r="C196" s="737" t="s">
        <v>254</v>
      </c>
      <c r="D196" s="737"/>
      <c r="E196" s="737"/>
      <c r="F196" s="737"/>
      <c r="G196" s="737"/>
      <c r="H196" s="737"/>
      <c r="I196" s="737"/>
      <c r="N196" s="290" t="s">
        <v>255</v>
      </c>
      <c r="O196" s="290"/>
      <c r="P196" s="290"/>
      <c r="Q196" s="290"/>
      <c r="R196" s="290"/>
      <c r="S196" s="290"/>
      <c r="T196" s="290"/>
      <c r="AC196" s="113"/>
      <c r="AD196" s="113"/>
      <c r="AE196" s="113"/>
      <c r="AF196" s="113"/>
      <c r="AG196" s="113"/>
      <c r="AH196" s="113"/>
      <c r="AI196" s="113"/>
      <c r="AJ196" s="113"/>
      <c r="AK196" s="113"/>
      <c r="AL196" s="113"/>
      <c r="AM196" s="113"/>
      <c r="AN196" s="113"/>
      <c r="AO196" s="113"/>
    </row>
    <row r="197" spans="2:72" ht="12.75" customHeight="1" x14ac:dyDescent="0.25">
      <c r="C197" s="40"/>
      <c r="D197" s="40">
        <v>2016</v>
      </c>
      <c r="E197" s="41">
        <v>2017</v>
      </c>
      <c r="F197" s="40">
        <v>2018</v>
      </c>
      <c r="G197" s="40">
        <v>2019</v>
      </c>
      <c r="H197" s="55">
        <v>2020</v>
      </c>
      <c r="I197" s="383">
        <v>2021</v>
      </c>
      <c r="J197" s="648">
        <v>2022</v>
      </c>
      <c r="K197" s="648">
        <v>2023</v>
      </c>
      <c r="N197" s="384"/>
      <c r="O197" s="384">
        <v>2016</v>
      </c>
      <c r="P197" s="383">
        <v>2017</v>
      </c>
      <c r="Q197" s="384">
        <v>2018</v>
      </c>
      <c r="R197" s="384">
        <v>2019</v>
      </c>
      <c r="S197" s="384">
        <v>2020</v>
      </c>
      <c r="T197" s="384">
        <v>2021</v>
      </c>
      <c r="U197" s="648">
        <v>2022</v>
      </c>
      <c r="V197" s="648">
        <v>2023</v>
      </c>
      <c r="AC197" s="109"/>
      <c r="AD197" s="109"/>
      <c r="AE197" s="110"/>
      <c r="AF197" s="110"/>
      <c r="AG197" s="109"/>
      <c r="AH197" s="109"/>
      <c r="AI197" s="109"/>
      <c r="AJ197" s="109"/>
      <c r="AK197" s="109"/>
      <c r="AL197" s="109"/>
      <c r="AM197" s="109"/>
      <c r="AN197" s="736" t="s">
        <v>322</v>
      </c>
      <c r="AO197" s="737"/>
      <c r="AP197" s="737"/>
      <c r="AQ197" s="737"/>
      <c r="AR197" s="737"/>
      <c r="AS197" s="737"/>
      <c r="AT197" s="737"/>
      <c r="AU197" s="737"/>
      <c r="AV197" s="737"/>
      <c r="AW197" s="737"/>
      <c r="AX197" s="737"/>
      <c r="AY197" s="737"/>
      <c r="AZ197" s="737"/>
      <c r="BA197" s="737"/>
      <c r="BB197" s="737"/>
      <c r="BC197" s="737"/>
      <c r="BD197" s="737"/>
      <c r="BE197" s="737"/>
      <c r="BF197" s="737"/>
      <c r="BG197" s="737"/>
      <c r="BH197" s="737"/>
      <c r="BI197" s="737"/>
      <c r="BJ197" s="737"/>
    </row>
    <row r="198" spans="2:72" x14ac:dyDescent="0.25">
      <c r="C198" s="39" t="s">
        <v>246</v>
      </c>
      <c r="D198" s="39">
        <v>53</v>
      </c>
      <c r="E198" s="39">
        <v>55</v>
      </c>
      <c r="F198" s="39">
        <v>53.75</v>
      </c>
      <c r="G198" s="39">
        <v>54.25</v>
      </c>
      <c r="H198" s="39">
        <v>54.25</v>
      </c>
      <c r="I198" s="39">
        <v>53.75</v>
      </c>
      <c r="J198" s="39">
        <v>54</v>
      </c>
      <c r="K198" s="39">
        <v>52.8</v>
      </c>
      <c r="N198" s="39" t="s">
        <v>246</v>
      </c>
      <c r="O198" s="39">
        <v>53.153846153846153</v>
      </c>
      <c r="P198" s="39">
        <v>53.333333333333336</v>
      </c>
      <c r="Q198" s="39">
        <v>53.846153846153847</v>
      </c>
      <c r="R198" s="39">
        <v>53.53846153846154</v>
      </c>
      <c r="S198" s="125">
        <v>53.692307692307693</v>
      </c>
      <c r="T198" s="125">
        <v>54.846153846153847</v>
      </c>
      <c r="U198" s="125">
        <v>55</v>
      </c>
      <c r="V198" s="125">
        <v>55.25</v>
      </c>
      <c r="AC198" s="119"/>
      <c r="AD198" s="119"/>
      <c r="AE198" s="110"/>
      <c r="AF198" s="110"/>
      <c r="AG198" s="112"/>
      <c r="AH198" s="112"/>
      <c r="AI198" s="112"/>
      <c r="AJ198" s="112"/>
      <c r="AK198" s="112"/>
      <c r="AL198" s="112"/>
      <c r="AM198" s="112"/>
      <c r="AN198" s="384"/>
      <c r="AO198" s="736">
        <v>2016</v>
      </c>
      <c r="AP198" s="852"/>
      <c r="AQ198" s="852"/>
      <c r="AR198" s="854"/>
      <c r="AS198" s="736">
        <v>2017</v>
      </c>
      <c r="AT198" s="852"/>
      <c r="AU198" s="852"/>
      <c r="AV198" s="854"/>
      <c r="AW198" s="736">
        <v>2018</v>
      </c>
      <c r="AX198" s="852"/>
      <c r="AY198" s="852"/>
      <c r="AZ198" s="852"/>
      <c r="BA198" s="852">
        <v>2019</v>
      </c>
      <c r="BB198" s="852"/>
      <c r="BC198" s="852"/>
      <c r="BD198" s="852"/>
      <c r="BE198" s="852">
        <v>2020</v>
      </c>
      <c r="BF198" s="852"/>
      <c r="BG198" s="852"/>
      <c r="BH198" s="852"/>
      <c r="BI198" s="852">
        <v>2021</v>
      </c>
      <c r="BJ198" s="852"/>
      <c r="BK198" s="852"/>
      <c r="BL198" s="852"/>
      <c r="BM198" s="852">
        <v>2022</v>
      </c>
      <c r="BN198" s="852"/>
      <c r="BO198" s="852"/>
      <c r="BP198" s="852"/>
      <c r="BQ198" s="852">
        <v>2023</v>
      </c>
      <c r="BR198" s="852"/>
      <c r="BS198" s="852"/>
      <c r="BT198" s="852"/>
    </row>
    <row r="199" spans="2:72" x14ac:dyDescent="0.25">
      <c r="C199" s="39" t="s">
        <v>247</v>
      </c>
      <c r="D199" s="39">
        <v>53.5</v>
      </c>
      <c r="E199" s="39">
        <v>54.5</v>
      </c>
      <c r="F199" s="39">
        <v>53.5</v>
      </c>
      <c r="G199" s="39">
        <v>54</v>
      </c>
      <c r="H199" s="39">
        <v>54</v>
      </c>
      <c r="I199" s="39">
        <v>53.5</v>
      </c>
      <c r="J199" s="39">
        <v>53.75</v>
      </c>
      <c r="K199" s="39">
        <v>54.25</v>
      </c>
      <c r="N199" s="39" t="s">
        <v>247</v>
      </c>
      <c r="O199" s="39">
        <v>54.888888888888886</v>
      </c>
      <c r="P199" s="39">
        <v>55.705882352941174</v>
      </c>
      <c r="Q199" s="39">
        <v>54.823529411764703</v>
      </c>
      <c r="R199" s="39">
        <v>55.444444444444443</v>
      </c>
      <c r="S199" s="125">
        <v>54.863636363636367</v>
      </c>
      <c r="T199" s="125">
        <v>54.65</v>
      </c>
      <c r="U199" s="125">
        <v>56.952380952380949</v>
      </c>
      <c r="V199" s="125">
        <v>56.272727272727273</v>
      </c>
      <c r="AC199" s="119"/>
      <c r="AD199" s="119"/>
      <c r="AE199" s="110"/>
      <c r="AF199" s="110"/>
      <c r="AG199" s="112"/>
      <c r="AH199" s="112"/>
      <c r="AI199" s="112"/>
      <c r="AJ199" s="112"/>
      <c r="AK199" s="112"/>
      <c r="AL199" s="112"/>
      <c r="AM199" s="112"/>
      <c r="AN199" s="381"/>
      <c r="AO199" s="387" t="s">
        <v>10</v>
      </c>
      <c r="AP199" s="381" t="s">
        <v>0</v>
      </c>
      <c r="AQ199" s="381" t="s">
        <v>323</v>
      </c>
      <c r="AR199" s="381" t="s">
        <v>324</v>
      </c>
      <c r="AS199" s="387" t="s">
        <v>10</v>
      </c>
      <c r="AT199" s="387" t="s">
        <v>0</v>
      </c>
      <c r="AU199" s="381" t="s">
        <v>323</v>
      </c>
      <c r="AV199" s="381" t="s">
        <v>324</v>
      </c>
      <c r="AW199" s="387" t="s">
        <v>10</v>
      </c>
      <c r="AX199" s="387" t="s">
        <v>0</v>
      </c>
      <c r="AY199" s="381" t="s">
        <v>323</v>
      </c>
      <c r="AZ199" s="381" t="s">
        <v>324</v>
      </c>
      <c r="BA199" s="387" t="s">
        <v>10</v>
      </c>
      <c r="BB199" s="387" t="s">
        <v>0</v>
      </c>
      <c r="BC199" s="381" t="s">
        <v>323</v>
      </c>
      <c r="BD199" s="381" t="s">
        <v>324</v>
      </c>
      <c r="BE199" s="387" t="s">
        <v>10</v>
      </c>
      <c r="BF199" s="387" t="s">
        <v>0</v>
      </c>
      <c r="BG199" s="381" t="s">
        <v>323</v>
      </c>
      <c r="BH199" s="381" t="s">
        <v>324</v>
      </c>
      <c r="BI199" s="387" t="s">
        <v>10</v>
      </c>
      <c r="BJ199" s="387" t="s">
        <v>0</v>
      </c>
      <c r="BK199" s="381" t="s">
        <v>323</v>
      </c>
      <c r="BL199" s="381" t="s">
        <v>324</v>
      </c>
      <c r="BM199" s="570" t="s">
        <v>10</v>
      </c>
      <c r="BN199" s="570" t="s">
        <v>0</v>
      </c>
      <c r="BO199" s="569" t="s">
        <v>323</v>
      </c>
      <c r="BP199" s="569" t="s">
        <v>324</v>
      </c>
      <c r="BQ199" s="653" t="s">
        <v>10</v>
      </c>
      <c r="BR199" s="653" t="s">
        <v>0</v>
      </c>
      <c r="BS199" s="650" t="s">
        <v>323</v>
      </c>
      <c r="BT199" s="650" t="s">
        <v>324</v>
      </c>
    </row>
    <row r="200" spans="2:72" x14ac:dyDescent="0.25">
      <c r="C200" s="39" t="s">
        <v>248</v>
      </c>
      <c r="D200" s="39">
        <v>53.333333333333336</v>
      </c>
      <c r="E200" s="39">
        <v>54</v>
      </c>
      <c r="F200" s="39">
        <v>54</v>
      </c>
      <c r="G200" s="39">
        <v>53.333333333333336</v>
      </c>
      <c r="H200" s="39">
        <v>53.25</v>
      </c>
      <c r="I200" s="39">
        <v>53.8</v>
      </c>
      <c r="J200" s="39">
        <v>54.333333333333336</v>
      </c>
      <c r="K200" s="39">
        <v>54</v>
      </c>
      <c r="N200" s="39" t="s">
        <v>248</v>
      </c>
      <c r="O200" s="39">
        <v>55.153846153846153</v>
      </c>
      <c r="P200" s="39">
        <v>55.714285714285715</v>
      </c>
      <c r="Q200" s="39">
        <v>56.214285714285715</v>
      </c>
      <c r="R200" s="39">
        <v>55.785714285714285</v>
      </c>
      <c r="S200" s="125">
        <v>55.333333333333336</v>
      </c>
      <c r="T200" s="125">
        <v>56.2</v>
      </c>
      <c r="U200" s="125">
        <v>57</v>
      </c>
      <c r="V200" s="125">
        <v>56.625</v>
      </c>
      <c r="AC200" s="119"/>
      <c r="AD200" s="119"/>
      <c r="AE200" s="110"/>
      <c r="AF200" s="110"/>
      <c r="AG200" s="112"/>
      <c r="AH200" s="112"/>
      <c r="AI200" s="112"/>
      <c r="AJ200" s="112"/>
      <c r="AK200" s="112"/>
      <c r="AL200" s="112"/>
      <c r="AM200" s="112"/>
      <c r="AN200" s="38">
        <v>1</v>
      </c>
      <c r="AO200" s="422">
        <v>0.02</v>
      </c>
      <c r="AP200" s="423">
        <v>0.01</v>
      </c>
      <c r="AQ200" s="138">
        <v>0.01</v>
      </c>
      <c r="AR200" s="138">
        <v>0.01</v>
      </c>
      <c r="AS200" s="424">
        <v>0.02</v>
      </c>
      <c r="AT200" s="425">
        <v>0.01</v>
      </c>
      <c r="AU200" s="138">
        <v>0.01</v>
      </c>
      <c r="AV200" s="138">
        <v>0.01</v>
      </c>
      <c r="AW200" s="424">
        <v>0.03</v>
      </c>
      <c r="AX200" s="425">
        <v>0.01</v>
      </c>
      <c r="AY200" s="138">
        <v>0.02</v>
      </c>
      <c r="AZ200" s="138">
        <v>0.01</v>
      </c>
      <c r="BA200" s="422">
        <v>0.04</v>
      </c>
      <c r="BB200" s="423">
        <v>0.02</v>
      </c>
      <c r="BC200" s="138">
        <v>0.02</v>
      </c>
      <c r="BD200" s="138">
        <v>0.01</v>
      </c>
      <c r="BE200" s="422">
        <v>0.04</v>
      </c>
      <c r="BF200" s="423">
        <v>0.02</v>
      </c>
      <c r="BG200" s="138">
        <v>0.02</v>
      </c>
      <c r="BH200" s="138">
        <v>0.01</v>
      </c>
      <c r="BI200" s="422">
        <v>0.04</v>
      </c>
      <c r="BJ200" s="423">
        <v>0.02</v>
      </c>
      <c r="BK200" s="426">
        <v>0.02</v>
      </c>
      <c r="BL200" s="426">
        <v>0.01</v>
      </c>
      <c r="BM200" s="422">
        <v>0.05</v>
      </c>
      <c r="BN200" s="423">
        <v>0.02</v>
      </c>
      <c r="BO200" s="426">
        <v>0.02</v>
      </c>
      <c r="BP200" s="426">
        <v>0.01</v>
      </c>
      <c r="BQ200" s="641">
        <v>0.04</v>
      </c>
      <c r="BR200" s="642">
        <v>0.02</v>
      </c>
      <c r="BS200" s="643">
        <v>0.02</v>
      </c>
      <c r="BT200" s="643">
        <v>0.01</v>
      </c>
    </row>
    <row r="201" spans="2:72" x14ac:dyDescent="0.25">
      <c r="C201" s="39" t="s">
        <v>249</v>
      </c>
      <c r="D201" s="39">
        <v>49.666666666666664</v>
      </c>
      <c r="E201" s="39">
        <v>51.333333333333336</v>
      </c>
      <c r="F201" s="39">
        <v>50.333333333333336</v>
      </c>
      <c r="G201" s="39">
        <v>50</v>
      </c>
      <c r="H201" s="39">
        <v>50</v>
      </c>
      <c r="I201" s="39">
        <v>50.333333333333336</v>
      </c>
      <c r="J201" s="39">
        <v>51</v>
      </c>
      <c r="K201" s="39">
        <v>49.833333333333336</v>
      </c>
      <c r="N201" s="39" t="s">
        <v>249</v>
      </c>
      <c r="O201" s="39">
        <v>51.5</v>
      </c>
      <c r="P201" s="39">
        <v>55.111111111111114</v>
      </c>
      <c r="Q201" s="39">
        <v>54.666666666666664</v>
      </c>
      <c r="R201" s="39">
        <v>54.375</v>
      </c>
      <c r="S201" s="125">
        <v>52.142857142857146</v>
      </c>
      <c r="T201" s="125">
        <v>53.875</v>
      </c>
      <c r="U201" s="125">
        <v>55</v>
      </c>
      <c r="V201" s="125">
        <v>52.555555555555557</v>
      </c>
      <c r="AC201" s="119"/>
      <c r="AD201" s="119"/>
      <c r="AE201" s="110"/>
      <c r="AF201" s="110"/>
      <c r="AG201" s="112"/>
      <c r="AH201" s="112"/>
      <c r="AI201" s="112"/>
      <c r="AJ201" s="112"/>
      <c r="AK201" s="112"/>
      <c r="AL201" s="112"/>
      <c r="AM201" s="112"/>
      <c r="AN201" s="38">
        <v>2</v>
      </c>
      <c r="AO201" s="422">
        <v>0.37</v>
      </c>
      <c r="AP201" s="423">
        <v>0.34</v>
      </c>
      <c r="AQ201" s="138">
        <v>0.39</v>
      </c>
      <c r="AR201" s="138">
        <v>0.28999999999999998</v>
      </c>
      <c r="AS201" s="424">
        <v>0.33</v>
      </c>
      <c r="AT201" s="425">
        <v>0.28999999999999998</v>
      </c>
      <c r="AU201" s="138">
        <v>0.34</v>
      </c>
      <c r="AV201" s="138">
        <v>0.23</v>
      </c>
      <c r="AW201" s="424">
        <v>0.35</v>
      </c>
      <c r="AX201" s="425">
        <v>0.32</v>
      </c>
      <c r="AY201" s="138">
        <v>0.37</v>
      </c>
      <c r="AZ201" s="138">
        <v>0.26</v>
      </c>
      <c r="BA201" s="422">
        <v>0.34</v>
      </c>
      <c r="BB201" s="423">
        <v>0.3</v>
      </c>
      <c r="BC201" s="138">
        <v>0.35</v>
      </c>
      <c r="BD201" s="138">
        <v>0.25</v>
      </c>
      <c r="BE201" s="422">
        <v>0.36</v>
      </c>
      <c r="BF201" s="423">
        <v>0.31</v>
      </c>
      <c r="BG201" s="138">
        <v>0.35</v>
      </c>
      <c r="BH201" s="138">
        <v>0.26</v>
      </c>
      <c r="BI201" s="422">
        <v>0.37</v>
      </c>
      <c r="BJ201" s="423">
        <v>0.32</v>
      </c>
      <c r="BK201" s="426">
        <v>0.37</v>
      </c>
      <c r="BL201" s="426">
        <v>0.26</v>
      </c>
      <c r="BM201" s="422">
        <v>0.34</v>
      </c>
      <c r="BN201" s="423">
        <v>0.27</v>
      </c>
      <c r="BO201" s="426">
        <v>0.34</v>
      </c>
      <c r="BP201" s="426">
        <v>0.21</v>
      </c>
      <c r="BQ201" s="641">
        <v>0.35</v>
      </c>
      <c r="BR201" s="642">
        <v>0.28999999999999998</v>
      </c>
      <c r="BS201" s="643">
        <v>0.35</v>
      </c>
      <c r="BT201" s="643">
        <v>0.22</v>
      </c>
    </row>
    <row r="202" spans="2:72" x14ac:dyDescent="0.25">
      <c r="C202" s="39" t="s">
        <v>250</v>
      </c>
      <c r="D202" s="39">
        <v>53.5</v>
      </c>
      <c r="E202" s="39">
        <v>54</v>
      </c>
      <c r="F202" s="39">
        <v>52.5</v>
      </c>
      <c r="G202" s="39">
        <v>53.5</v>
      </c>
      <c r="H202" s="39">
        <v>53.5</v>
      </c>
      <c r="I202" s="39">
        <v>54</v>
      </c>
      <c r="J202" s="39">
        <v>55</v>
      </c>
      <c r="K202" s="39">
        <v>53.5</v>
      </c>
      <c r="N202" s="39" t="s">
        <v>250</v>
      </c>
      <c r="O202" s="39">
        <v>55.8</v>
      </c>
      <c r="P202" s="39">
        <v>57.333333333333336</v>
      </c>
      <c r="Q202" s="39">
        <v>56.3125</v>
      </c>
      <c r="R202" s="39">
        <v>56.705882352941174</v>
      </c>
      <c r="S202" s="125">
        <v>56.875</v>
      </c>
      <c r="T202" s="125">
        <v>57.3125</v>
      </c>
      <c r="U202" s="125">
        <v>58.266666666666666</v>
      </c>
      <c r="V202" s="125">
        <v>58.4</v>
      </c>
      <c r="AC202" s="119"/>
      <c r="AD202" s="119"/>
      <c r="AE202" s="110"/>
      <c r="AF202" s="110"/>
      <c r="AG202" s="112"/>
      <c r="AH202" s="112"/>
      <c r="AI202" s="112"/>
      <c r="AJ202" s="112"/>
      <c r="AK202" s="112"/>
      <c r="AL202" s="112"/>
      <c r="AM202" s="112"/>
      <c r="AN202" s="38">
        <v>3</v>
      </c>
      <c r="AO202" s="422">
        <v>0.5</v>
      </c>
      <c r="AP202" s="423">
        <v>0.57999999999999996</v>
      </c>
      <c r="AQ202" s="138">
        <v>0.54</v>
      </c>
      <c r="AR202" s="138">
        <v>0.62</v>
      </c>
      <c r="AS202" s="424">
        <v>0.52</v>
      </c>
      <c r="AT202" s="425">
        <v>0.6</v>
      </c>
      <c r="AU202" s="138">
        <v>0.56999999999999995</v>
      </c>
      <c r="AV202" s="138">
        <v>0.64</v>
      </c>
      <c r="AW202" s="424">
        <v>0.49</v>
      </c>
      <c r="AX202" s="425">
        <v>0.56000000000000005</v>
      </c>
      <c r="AY202" s="138">
        <v>0.53</v>
      </c>
      <c r="AZ202" s="138">
        <v>0.59</v>
      </c>
      <c r="BA202" s="422">
        <v>0.49</v>
      </c>
      <c r="BB202" s="423">
        <v>0.56999999999999995</v>
      </c>
      <c r="BC202" s="138">
        <v>0.55000000000000004</v>
      </c>
      <c r="BD202" s="138">
        <v>0.6</v>
      </c>
      <c r="BE202" s="422">
        <v>0.49</v>
      </c>
      <c r="BF202" s="423">
        <v>0.59</v>
      </c>
      <c r="BG202" s="138">
        <v>0.56000000000000005</v>
      </c>
      <c r="BH202" s="138">
        <v>0.61</v>
      </c>
      <c r="BI202" s="422">
        <v>0.45</v>
      </c>
      <c r="BJ202" s="423">
        <v>0.54</v>
      </c>
      <c r="BK202" s="426">
        <v>0.52</v>
      </c>
      <c r="BL202" s="426">
        <v>0.56999999999999995</v>
      </c>
      <c r="BM202" s="422">
        <v>0.47</v>
      </c>
      <c r="BN202" s="423">
        <v>0.57999999999999996</v>
      </c>
      <c r="BO202" s="426">
        <v>0.56000000000000005</v>
      </c>
      <c r="BP202" s="426">
        <v>0.61</v>
      </c>
      <c r="BQ202" s="641">
        <v>0.48</v>
      </c>
      <c r="BR202" s="642">
        <v>0.56999999999999995</v>
      </c>
      <c r="BS202" s="643">
        <v>0.55000000000000004</v>
      </c>
      <c r="BT202" s="643">
        <v>0.6</v>
      </c>
    </row>
    <row r="203" spans="2:72" x14ac:dyDescent="0.25">
      <c r="C203" s="39" t="s">
        <v>251</v>
      </c>
      <c r="D203" s="39">
        <v>52.666666666666664</v>
      </c>
      <c r="E203" s="39">
        <v>52.666666666666664</v>
      </c>
      <c r="F203" s="39">
        <v>52.666666666666664</v>
      </c>
      <c r="G203" s="39">
        <v>52.666666666666664</v>
      </c>
      <c r="H203" s="39">
        <v>53</v>
      </c>
      <c r="I203" s="39">
        <v>52.333333333333336</v>
      </c>
      <c r="J203" s="39">
        <v>53</v>
      </c>
      <c r="K203" s="39">
        <v>52.333333333333336</v>
      </c>
      <c r="N203" s="39" t="s">
        <v>251</v>
      </c>
      <c r="O203" s="39">
        <v>54.583333333333336</v>
      </c>
      <c r="P203" s="39">
        <v>54</v>
      </c>
      <c r="Q203" s="39">
        <v>54.81818181818182</v>
      </c>
      <c r="R203" s="39">
        <v>55.083333333333336</v>
      </c>
      <c r="S203" s="125">
        <v>52.5</v>
      </c>
      <c r="T203" s="125">
        <v>54.615384615384613</v>
      </c>
      <c r="U203" s="125">
        <v>54.8125</v>
      </c>
      <c r="V203" s="125">
        <v>56.176470588235297</v>
      </c>
      <c r="AC203" s="119"/>
      <c r="AD203" s="119"/>
      <c r="AE203" s="110"/>
      <c r="AF203" s="110"/>
      <c r="AG203" s="112"/>
      <c r="AH203" s="112"/>
      <c r="AI203" s="112"/>
      <c r="AJ203" s="112"/>
      <c r="AK203" s="112"/>
      <c r="AL203" s="112"/>
      <c r="AM203" s="112"/>
      <c r="AN203" s="38">
        <v>4</v>
      </c>
      <c r="AO203" s="422">
        <v>0.1</v>
      </c>
      <c r="AP203" s="423">
        <v>7.0000000000000007E-2</v>
      </c>
      <c r="AQ203" s="138">
        <v>0.05</v>
      </c>
      <c r="AR203" s="138">
        <v>0.08</v>
      </c>
      <c r="AS203" s="424">
        <v>0.13</v>
      </c>
      <c r="AT203" s="425">
        <v>0.09</v>
      </c>
      <c r="AU203" s="138">
        <v>7.0000000000000007E-2</v>
      </c>
      <c r="AV203" s="138">
        <v>0.12</v>
      </c>
      <c r="AW203" s="424">
        <v>0.13</v>
      </c>
      <c r="AX203" s="425">
        <v>0.11</v>
      </c>
      <c r="AY203" s="138">
        <v>0.08</v>
      </c>
      <c r="AZ203" s="138">
        <v>0.14000000000000001</v>
      </c>
      <c r="BA203" s="422">
        <v>0.12</v>
      </c>
      <c r="BB203" s="423">
        <v>0.11</v>
      </c>
      <c r="BC203" s="138">
        <v>0.08</v>
      </c>
      <c r="BD203" s="138">
        <v>0.14000000000000001</v>
      </c>
      <c r="BE203" s="422">
        <v>0.1</v>
      </c>
      <c r="BF203" s="423">
        <v>0.09</v>
      </c>
      <c r="BG203" s="138">
        <v>7.0000000000000007E-2</v>
      </c>
      <c r="BH203" s="138">
        <v>0.11</v>
      </c>
      <c r="BI203" s="422">
        <v>0.13</v>
      </c>
      <c r="BJ203" s="423">
        <v>0.12</v>
      </c>
      <c r="BK203" s="426">
        <v>0.09</v>
      </c>
      <c r="BL203" s="426">
        <v>0.16</v>
      </c>
      <c r="BM203" s="422">
        <v>0.14000000000000001</v>
      </c>
      <c r="BN203" s="423">
        <v>0.13</v>
      </c>
      <c r="BO203" s="426">
        <v>0.09</v>
      </c>
      <c r="BP203" s="426">
        <v>0.16</v>
      </c>
      <c r="BQ203" s="641">
        <v>0.13</v>
      </c>
      <c r="BR203" s="642">
        <v>0.12</v>
      </c>
      <c r="BS203" s="643">
        <v>0.08</v>
      </c>
      <c r="BT203" s="643">
        <v>0.17</v>
      </c>
    </row>
    <row r="204" spans="2:72" x14ac:dyDescent="0.25">
      <c r="I204" s="113"/>
      <c r="J204" s="113"/>
      <c r="K204" s="113"/>
      <c r="L204" s="113"/>
      <c r="M204" s="113"/>
      <c r="N204" s="113"/>
      <c r="O204" s="113"/>
      <c r="P204" s="113"/>
      <c r="Q204" s="113"/>
      <c r="R204" s="113"/>
      <c r="S204" s="113"/>
      <c r="T204" s="113"/>
      <c r="U204" s="113"/>
      <c r="AC204" s="126"/>
      <c r="AD204" s="126"/>
      <c r="AE204" s="110"/>
      <c r="AF204" s="110"/>
      <c r="AG204" s="110"/>
      <c r="AH204" s="110"/>
      <c r="AI204" s="110"/>
      <c r="AJ204" s="110"/>
      <c r="AK204" s="110"/>
      <c r="AL204" s="110"/>
      <c r="AM204" s="110"/>
      <c r="AN204" s="110"/>
      <c r="AO204" s="110"/>
      <c r="BM204" s="422"/>
      <c r="BN204" s="423"/>
      <c r="BO204" s="65"/>
    </row>
    <row r="205" spans="2:72" x14ac:dyDescent="0.25">
      <c r="AC205" s="126"/>
      <c r="AD205" s="126"/>
      <c r="AE205" s="110"/>
      <c r="AF205" s="110"/>
      <c r="AG205" s="110"/>
      <c r="AH205" s="110"/>
      <c r="AI205" s="110"/>
      <c r="AJ205" s="110"/>
      <c r="AK205" s="110"/>
      <c r="AL205" s="110"/>
      <c r="AM205" s="110"/>
      <c r="AN205" s="110"/>
      <c r="AO205" s="110"/>
    </row>
    <row r="206" spans="2:72" x14ac:dyDescent="0.25">
      <c r="AC206" s="126"/>
      <c r="AD206" s="126"/>
      <c r="AE206" s="110"/>
      <c r="AF206" s="110"/>
      <c r="AG206" s="110"/>
      <c r="AH206" s="110"/>
      <c r="AI206" s="110"/>
      <c r="AJ206" s="110"/>
      <c r="AK206" s="110"/>
      <c r="AL206" s="110"/>
      <c r="AM206" s="110"/>
      <c r="AN206" s="110"/>
      <c r="AO206" s="110"/>
    </row>
    <row r="208" spans="2:72" x14ac:dyDescent="0.25">
      <c r="AP208" s="140"/>
      <c r="AQ208" s="141"/>
    </row>
    <row r="240" spans="3:29" x14ac:dyDescent="0.25">
      <c r="C240" s="267"/>
      <c r="D240" s="267"/>
      <c r="E240" s="267"/>
      <c r="F240" s="853">
        <v>2016</v>
      </c>
      <c r="G240" s="853"/>
      <c r="H240" s="853"/>
      <c r="I240" s="853"/>
      <c r="J240" s="853">
        <v>2017</v>
      </c>
      <c r="K240" s="853"/>
      <c r="L240" s="853"/>
      <c r="M240" s="853"/>
      <c r="N240" s="853">
        <v>2018</v>
      </c>
      <c r="O240" s="853"/>
      <c r="P240" s="853"/>
      <c r="Q240" s="853"/>
      <c r="R240" s="853">
        <v>2019</v>
      </c>
      <c r="S240" s="853"/>
      <c r="T240" s="853"/>
      <c r="U240" s="853"/>
      <c r="V240" s="853">
        <v>2020</v>
      </c>
      <c r="W240" s="853"/>
      <c r="X240" s="853"/>
      <c r="Y240" s="853"/>
      <c r="Z240" s="853">
        <v>2021</v>
      </c>
      <c r="AA240" s="853"/>
      <c r="AB240" s="853"/>
      <c r="AC240" s="853"/>
    </row>
    <row r="241" spans="3:53" x14ac:dyDescent="0.25">
      <c r="C241" s="267"/>
      <c r="D241" s="267"/>
      <c r="E241" s="267"/>
      <c r="F241" s="267">
        <v>1</v>
      </c>
      <c r="G241" s="267">
        <v>2</v>
      </c>
      <c r="H241" s="267">
        <v>3</v>
      </c>
      <c r="I241" s="53">
        <v>4</v>
      </c>
      <c r="J241" s="267">
        <v>1</v>
      </c>
      <c r="K241" s="267">
        <v>2</v>
      </c>
      <c r="L241" s="267">
        <v>3</v>
      </c>
      <c r="M241" s="267">
        <v>4</v>
      </c>
      <c r="N241" s="267">
        <v>1</v>
      </c>
      <c r="O241" s="267">
        <v>2</v>
      </c>
      <c r="P241" s="267">
        <v>3</v>
      </c>
      <c r="Q241" s="267">
        <v>4</v>
      </c>
      <c r="R241" s="267">
        <v>1</v>
      </c>
      <c r="S241" s="267">
        <v>2</v>
      </c>
      <c r="T241" s="267">
        <v>3</v>
      </c>
      <c r="U241" s="267">
        <v>4</v>
      </c>
      <c r="V241" s="267">
        <v>1</v>
      </c>
      <c r="W241" s="267">
        <v>2</v>
      </c>
      <c r="X241" s="267">
        <v>3</v>
      </c>
      <c r="Y241" s="267">
        <v>4</v>
      </c>
      <c r="Z241" s="381">
        <v>1</v>
      </c>
      <c r="AA241" s="381">
        <v>2</v>
      </c>
      <c r="AB241" s="381">
        <v>3</v>
      </c>
      <c r="AC241" s="381">
        <v>4</v>
      </c>
    </row>
    <row r="242" spans="3:53" x14ac:dyDescent="0.25">
      <c r="C242" s="267"/>
      <c r="D242" s="267"/>
      <c r="E242" s="39" t="s">
        <v>246</v>
      </c>
      <c r="F242" s="65">
        <f>AVERAGEIF($C$36:$C$167,"=1",$F$36:$F$167)</f>
        <v>9.4117647058823539E-3</v>
      </c>
      <c r="G242" s="65">
        <f>AVERAGEIF($C$36:$C$167,"=1",$G$36:$G$167)</f>
        <v>0.39588235294117652</v>
      </c>
      <c r="H242" s="65">
        <f>AVERAGEIF($C$36:$C$167,"=1",$H$36:$H$167)</f>
        <v>0.56000000000000005</v>
      </c>
      <c r="I242" s="65">
        <f>AVERAGEIF($C$36:$C$167,"=1",$I$36:$I$167)</f>
        <v>3.7647058823529415E-2</v>
      </c>
      <c r="J242" s="65">
        <f>AVERAGEIF($C$36:$C$167,"=1",$O$36:$O$167)</f>
        <v>1.2500000000000001E-2</v>
      </c>
      <c r="K242" s="65">
        <f>AVERAGEIF($C$36:$C$167,"=1",$P$36:$P$167)</f>
        <v>0.32562500000000005</v>
      </c>
      <c r="L242" s="65">
        <f>AVERAGEIF($C$36:$C$167,"=1",$Q$36:$Q$167)</f>
        <v>0.59625000000000006</v>
      </c>
      <c r="M242" s="65">
        <f>AVERAGEIF($C$36:$C$167,"=1",$R$36:$R$167)</f>
        <v>6.6250000000000003E-2</v>
      </c>
      <c r="N242" s="65">
        <f>AVERAGEIF($C$36:$C$167,"=1",$X$36:$X$167)</f>
        <v>1.8823529411764711E-2</v>
      </c>
      <c r="O242" s="65">
        <f>AVERAGEIF($C$36:$C$167,"=1",$Y$36:$Y$167)</f>
        <v>0.33176470588235302</v>
      </c>
      <c r="P242" s="65">
        <f>AVERAGEIF($C$36:$C$167,"=1",$Z$36:$Z$167)</f>
        <v>0.54705882352941182</v>
      </c>
      <c r="Q242" s="65">
        <f>AVERAGEIF($C$36:$C$167,"=1",$AA$36:$AA$167)</f>
        <v>0.10588235294117644</v>
      </c>
      <c r="R242" s="65">
        <f>AVERAGEIF($C$36:$C$167,"=1",$AG$36:$AG$167)</f>
        <v>1.6470588235294119E-2</v>
      </c>
      <c r="S242" s="65">
        <f>AVERAGEIF($C$36:$C$167,"=1",$AH$36:$AH$167)</f>
        <v>0.35176470588235298</v>
      </c>
      <c r="T242" s="65">
        <f>AVERAGEIF($C$36:$C$167,"=1",$AI$36:$AI$167)</f>
        <v>0.54176470588235304</v>
      </c>
      <c r="U242" s="65">
        <f>AVERAGEIF($C$36:$C$167,"=1",$AJ$36:$AJ$167)</f>
        <v>0.09</v>
      </c>
      <c r="V242" s="65">
        <f>AVERAGEIF($C$36:$C$167,"=1",$AP$36:$AP$167)</f>
        <v>2.5882352941176474E-2</v>
      </c>
      <c r="W242" s="65">
        <f>AVERAGEIF($C$36:$C$167,"=1",$AQ$36:$AQ$167)</f>
        <v>0.29352941176470587</v>
      </c>
      <c r="X242" s="65">
        <f>AVERAGEIF($C$36:$C$167,"=1",$AR$36:$AR$167)</f>
        <v>0.6029411764705882</v>
      </c>
      <c r="Y242" s="65">
        <f>AVERAGEIF($C$36:$C$167,"=1",$AS$36:$AS$167)</f>
        <v>7.7647058823529416E-2</v>
      </c>
      <c r="Z242" s="65">
        <f>AVERAGEIF($C$36:$C$167,"=1",$BA$36:$BA$167)</f>
        <v>1.1764705882352941E-2</v>
      </c>
      <c r="AA242" s="65">
        <f>AVERAGEIF($C$36:$C$167,"=1",$BB$36:$BB$167)</f>
        <v>0.31294117647058828</v>
      </c>
      <c r="AB242" s="65">
        <f>AVERAGEIF($C$36:$C$167,"=1",$BC$36:$BC$167)</f>
        <v>0.56647058823529406</v>
      </c>
      <c r="AC242" s="65">
        <f>AVERAGEIF($C$36:$C$167,"=1",$BD$36:$BD$167)</f>
        <v>0.10705882352941178</v>
      </c>
    </row>
    <row r="243" spans="3:53" x14ac:dyDescent="0.25">
      <c r="C243" s="39">
        <f>AVERAGEIFS($D$36:$D$167,$C$36:$C$167,"=1", $B$36:$B$167,"OFICIAL")</f>
        <v>53</v>
      </c>
      <c r="D243" s="267"/>
      <c r="E243" s="39" t="s">
        <v>247</v>
      </c>
      <c r="F243" s="65">
        <f>AVERAGEIF($C$36:$C$167,"=2",$F$36:$F$167)</f>
        <v>1.6E-2</v>
      </c>
      <c r="G243" s="65">
        <f>AVERAGEIF($C$36:$C$167,"=2",$G$36:$G$167)</f>
        <v>0.31900000000000001</v>
      </c>
      <c r="H243" s="65">
        <f>AVERAGEIF($C$36:$C$167,"=2",$H$36:$H$167)</f>
        <v>0.58300000000000007</v>
      </c>
      <c r="I243" s="65">
        <f>AVERAGEIF($C$36:$C$167,"=2",$I$36:$I$167)</f>
        <v>8.2500000000000004E-2</v>
      </c>
      <c r="J243" s="65">
        <f>AVERAGEIF($C$36:$C$167,"=2",$O$36:$O$167)</f>
        <v>1.578947368421053E-2</v>
      </c>
      <c r="K243" s="65">
        <f>AVERAGEIF($C$36:$C$167,"=2",$P$36:$P$167)</f>
        <v>0.26473684210526321</v>
      </c>
      <c r="L243" s="65">
        <f>AVERAGEIF($C$36:$C$167,"=2",$Q$36:$Q$167)</f>
        <v>0.59315789473684222</v>
      </c>
      <c r="M243" s="65">
        <f>AVERAGEIF($C$36:$C$167,"=2",$R$36:$R$167)</f>
        <v>0.12578947368421053</v>
      </c>
      <c r="N243" s="65">
        <f>AVERAGEIF($C$36:$C$167,"=2",$X$36:$X$167)</f>
        <v>1.4210526315789474E-2</v>
      </c>
      <c r="O243" s="65">
        <f>AVERAGEIF($C$36:$C$167,"=2",$Y$36:$Y$167)</f>
        <v>0.31473684210526309</v>
      </c>
      <c r="P243" s="65">
        <f>AVERAGEIF($C$36:$C$167,"=2",$Z$36:$Z$167)</f>
        <v>0.5457894736842106</v>
      </c>
      <c r="Q243" s="65">
        <f>AVERAGEIF($C$36:$C$167,"=2",$AA$36:$AA$167)</f>
        <v>0.12421052631578947</v>
      </c>
      <c r="R243" s="65">
        <f>AVERAGEIF($C$36:$C$167,"=2",$AG$36:$AG$167)</f>
        <v>1.0500000000000001E-2</v>
      </c>
      <c r="S243" s="65">
        <f>AVERAGEIF($C$36:$C$167,"=2",$AH$36:$AH$167)</f>
        <v>0.25950000000000001</v>
      </c>
      <c r="T243" s="65">
        <f>AVERAGEIF($C$36:$C$167,"=2",$AI$36:$AI$167)</f>
        <v>0.60349999999999993</v>
      </c>
      <c r="U243" s="65">
        <f>AVERAGEIF($C$36:$C$167,"=2",$AJ$36:$AJ$167)</f>
        <v>0.128</v>
      </c>
      <c r="V243" s="65">
        <f>AVERAGEIF($C$36:$C$167,"=2",$AP$36:$AP$167)</f>
        <v>7.4999999999999997E-3</v>
      </c>
      <c r="W243" s="65">
        <f>AVERAGEIF($C$36:$C$167,"=2",$AQ$36:$AQ$167)</f>
        <v>0.29416666666666663</v>
      </c>
      <c r="X243" s="65">
        <f>AVERAGEIF($C$36:$C$167,"=2",$AR$36:$AR$167)</f>
        <v>0.58833333333333326</v>
      </c>
      <c r="Y243" s="65">
        <f>AVERAGEIF($C$36:$C$167,"=2",$AS$36:$AS$167)</f>
        <v>0.11</v>
      </c>
      <c r="Z243" s="65">
        <f>AVERAGEIF($C$36:$C$167,"=2",$BA$36:$BA$167)</f>
        <v>3.0909090909090917E-2</v>
      </c>
      <c r="AA243" s="65">
        <f>AVERAGEIF($C$36:$C$167,"=2",$BB$36:$BB$167)</f>
        <v>0.33090909090909082</v>
      </c>
      <c r="AB243" s="65">
        <f>AVERAGEIF($C$36:$C$167,"=2",$BC$36:$BC$167)</f>
        <v>0.51045454545454538</v>
      </c>
      <c r="AC243" s="65">
        <f>AVERAGEIF($C$36:$C$167,"=2",$BD$36:$BD$167)</f>
        <v>0.1281818181818182</v>
      </c>
    </row>
    <row r="244" spans="3:53" x14ac:dyDescent="0.25">
      <c r="C244" s="267"/>
      <c r="D244" s="267"/>
      <c r="E244" s="39" t="s">
        <v>248</v>
      </c>
      <c r="F244" s="65">
        <f>AVERAGEIF($C$36:$C$167,"=3",$F$36:$F$167)</f>
        <v>1.9444444444444445E-2</v>
      </c>
      <c r="G244" s="65">
        <f>AVERAGEIF($C$36:$C$167,"=3",$G$36:$G$167)</f>
        <v>0.30944444444444447</v>
      </c>
      <c r="H244" s="65">
        <f>AVERAGEIF($C$36:$C$167,"=3",$H$36:$H$167)</f>
        <v>0.59777777777777785</v>
      </c>
      <c r="I244" s="65">
        <f>AVERAGEIF($C$36:$C$167,"=3",$I$36:$I$167)</f>
        <v>7.7222222222222248E-2</v>
      </c>
      <c r="J244" s="65">
        <f>AVERAGEIF($C$36:$C$167,"=3",$O$36:$O$167)</f>
        <v>1.2105263157894735E-2</v>
      </c>
      <c r="K244" s="65">
        <f>AVERAGEIF($C$36:$C$167,"=3",$P$36:$P$167)</f>
        <v>0.25368421052631573</v>
      </c>
      <c r="L244" s="65">
        <f>AVERAGEIF($C$36:$C$167,"=3",$Q$36:$Q$167)</f>
        <v>0.63473684210526304</v>
      </c>
      <c r="M244" s="65">
        <f>AVERAGEIF($C$36:$C$167,"=3",$R$36:$R$167)</f>
        <v>0.10052631578947369</v>
      </c>
      <c r="N244" s="65">
        <f>AVERAGEIF($C$36:$C$167,"=3",$X$36:$X$167)</f>
        <v>1.368421052631579E-2</v>
      </c>
      <c r="O244" s="65">
        <f>AVERAGEIF($C$36:$C$167,"=3",$Y$36:$Y$167)</f>
        <v>0.2636842105263158</v>
      </c>
      <c r="P244" s="65">
        <f>AVERAGEIF($C$36:$C$167,"=3",$Z$36:$Z$167)</f>
        <v>0.59052631578947368</v>
      </c>
      <c r="Q244" s="65">
        <f>AVERAGEIF($C$36:$C$167,"=3",$AA$36:$AA$167)</f>
        <v>0.13315789473684214</v>
      </c>
      <c r="R244" s="65">
        <f>AVERAGEIF($C$36:$C$167,"=3",$AG$36:$AG$167)</f>
        <v>8.4210526315789472E-3</v>
      </c>
      <c r="S244" s="65">
        <f>AVERAGEIF($C$36:$C$167,"=3",$AH$36:$AH$167)</f>
        <v>0.28526315789473677</v>
      </c>
      <c r="T244" s="65">
        <f>AVERAGEIF($C$36:$C$167,"=3",$AI$36:$AI$167)</f>
        <v>0.57315789473684209</v>
      </c>
      <c r="U244" s="65">
        <f>AVERAGEIF($C$36:$C$167,"=3",$AJ$36:$AJ$167)</f>
        <v>0.13315789473684211</v>
      </c>
      <c r="V244" s="65">
        <f>AVERAGEIF($C$36:$C$167,"=3",$AP$36:$AP$167)</f>
        <v>1.7499999999999998E-2</v>
      </c>
      <c r="W244" s="65">
        <f>AVERAGEIF($C$36:$C$167,"=3",$AQ$36:$AQ$167)</f>
        <v>0.26100000000000001</v>
      </c>
      <c r="X244" s="65">
        <f>AVERAGEIF($C$36:$C$167,"=3",$AR$36:$AR$167)</f>
        <v>0.64649999999999996</v>
      </c>
      <c r="Y244" s="65">
        <f>AVERAGEIF($C$36:$C$167,"=3",$AS$36:$AS$167)</f>
        <v>7.4499999999999997E-2</v>
      </c>
      <c r="Z244" s="65">
        <f>AVERAGEIF($C$36:$C$167,"=3",$BA$36:$BA$167)</f>
        <v>1.1500000000000002E-2</v>
      </c>
      <c r="AA244" s="65">
        <f>AVERAGEIF($C$36:$C$167,"=3",$BB$36:$BB$167)</f>
        <v>0.28799999999999998</v>
      </c>
      <c r="AB244" s="65">
        <f>AVERAGEIF($C$36:$C$167,"=3",$BC$36:$BC$167)</f>
        <v>0.55899999999999994</v>
      </c>
      <c r="AC244" s="65">
        <f>AVERAGEIF($C$36:$C$167,"=3",$BD$36:$BD$167)</f>
        <v>0.14399999999999999</v>
      </c>
    </row>
    <row r="245" spans="3:53" x14ac:dyDescent="0.25">
      <c r="C245" s="267"/>
      <c r="D245" s="267"/>
      <c r="E245" s="39" t="s">
        <v>249</v>
      </c>
      <c r="F245" s="65">
        <f>AVERAGEIF($C$36:$C$167,"=4",$F$36:$F$167)</f>
        <v>2.6428571428571433E-2</v>
      </c>
      <c r="G245" s="65">
        <f>AVERAGEIF($C$36:$C$167,"=1",$G$36:$G$167)</f>
        <v>0.39588235294117652</v>
      </c>
      <c r="H245" s="65">
        <f>AVERAGEIF($C$36:$C$167,"=4",$H$36:$H$167)</f>
        <v>0.48285714285714282</v>
      </c>
      <c r="I245" s="65">
        <f>AVERAGEIF($C$36:$C$167,"=4",$I$36:$I$167)</f>
        <v>2.357142857142857E-2</v>
      </c>
      <c r="J245" s="65">
        <f>AVERAGEIF($C$36:$C$167,"=4",$O$36:$O$167)</f>
        <v>1.2857142857142857E-2</v>
      </c>
      <c r="K245" s="65">
        <f>AVERAGEIF($C$36:$C$167,"=4",$P$36:$P$167)</f>
        <v>0.33285714285714285</v>
      </c>
      <c r="L245" s="65">
        <f>AVERAGEIF($C$36:$C$167,"=4",$Q$36:$Q$167)</f>
        <v>0.57285714285714284</v>
      </c>
      <c r="M245" s="65">
        <f>AVERAGEIF($C$36:$C$167,"=4",$R$36:$R$167)</f>
        <v>8.1428571428571433E-2</v>
      </c>
      <c r="N245" s="65">
        <f>AVERAGEIF($C$36:$C$167,"=4",$X$36:$X$167)</f>
        <v>1.0666666666666666E-2</v>
      </c>
      <c r="O245" s="65">
        <f>AVERAGEIF($C$36:$C$167,"=4",$Y$36:$Y$167)</f>
        <v>0.36266666666666669</v>
      </c>
      <c r="P245" s="65">
        <f>AVERAGEIF($C$36:$C$167,"=4",$Z$36:$Z$167)</f>
        <v>0.57799999999999996</v>
      </c>
      <c r="Q245" s="65">
        <f>AVERAGEIF($C$36:$C$167,"=4",$AA$36:$AA$167)</f>
        <v>4.8000000000000015E-2</v>
      </c>
      <c r="R245" s="65">
        <f>AVERAGEIF($C$36:$C$167,"=4",$AG$36:$AG$167)</f>
        <v>3.3571428571428578E-2</v>
      </c>
      <c r="S245" s="65">
        <f>AVERAGEIF($C$36:$C$167,"=4",$AH$36:$AH$167)</f>
        <v>0.39357142857142863</v>
      </c>
      <c r="T245" s="65">
        <f>AVERAGEIF($C$36:$C$167,"=4",$AI$36:$AI$167)</f>
        <v>0.4921428571428571</v>
      </c>
      <c r="U245" s="65">
        <f>AVERAGEIF($C$36:$C$167,"=4",$AJ$36:$AJ$167)</f>
        <v>8.1428571428571433E-2</v>
      </c>
      <c r="V245" s="65">
        <f>AVERAGEIF($C$36:$C$167,"=4",$AP$36:$AP$167)</f>
        <v>3.1538461538461543E-2</v>
      </c>
      <c r="W245" s="65">
        <f>AVERAGEIF($C$36:$C$167,"=4",$AQ$36:$AQ$167)</f>
        <v>0.42</v>
      </c>
      <c r="X245" s="65">
        <f>AVERAGEIF($C$36:$C$167,"=4",$AR$36:$AR$167)</f>
        <v>0.49692307692307697</v>
      </c>
      <c r="Y245" s="65">
        <f>AVERAGEIF($C$36:$C$167,"=4",$AS$36:$AS$167)</f>
        <v>5.307692307692307E-2</v>
      </c>
      <c r="Z245" s="65">
        <f>AVERAGEIF($C$36:$C$167,"=4",$BA$36:$BA$167)</f>
        <v>1.9999999999999997E-2</v>
      </c>
      <c r="AA245" s="65">
        <f>AVERAGEIF($C$36:$C$167,"=4",$BB$36:$BB$167)</f>
        <v>0.3978571428571428</v>
      </c>
      <c r="AB245" s="65">
        <f>AVERAGEIF($C$36:$C$167,"=4",$BC$36:$BC$167)</f>
        <v>0.5278571428571428</v>
      </c>
      <c r="AC245" s="65">
        <f>AVERAGEIF($C$36:$C$167,"=4",$BD$36:$BD$167)</f>
        <v>5.5714285714285709E-2</v>
      </c>
    </row>
    <row r="246" spans="3:53" x14ac:dyDescent="0.25">
      <c r="C246" s="267"/>
      <c r="D246" s="267"/>
      <c r="E246" s="39" t="s">
        <v>250</v>
      </c>
      <c r="F246" s="65">
        <f>AVERAGEIF($C$36:$C$167,"=5",$F$36:$F$167)</f>
        <v>1.1764705882352941E-2</v>
      </c>
      <c r="G246" s="65">
        <f>AVERAGEIF($C$36:$C$167,"=1",$G$36:$G$167)</f>
        <v>0.39588235294117652</v>
      </c>
      <c r="H246" s="65">
        <f>AVERAGEIF($C$36:$C$167,"=5",$H$36:$H$167)</f>
        <v>0.63764705882352946</v>
      </c>
      <c r="I246" s="65">
        <f>AVERAGEIF($C$36:$C$167,"=5",$I$36:$I$167)</f>
        <v>8.4705882352941186E-2</v>
      </c>
      <c r="J246" s="65">
        <f>AVERAGEIF($C$36:$C$167,"=5",$O$36:$O$167)</f>
        <v>1.0555555555555556E-2</v>
      </c>
      <c r="K246" s="65">
        <f>AVERAGEIF($C$36:$C$167,"=5",$P$36:$P$167)</f>
        <v>0.2122222222222222</v>
      </c>
      <c r="L246" s="65">
        <f>AVERAGEIF($C$36:$C$167,"=5",$Q$36:$Q$167)</f>
        <v>0.66055555555555545</v>
      </c>
      <c r="M246" s="65">
        <f>AVERAGEIF($C$36:$C$167,"=5",$R$36:$R$167)</f>
        <v>0.11444444444444445</v>
      </c>
      <c r="N246" s="65">
        <f>AVERAGEIF($C$36:$C$167,"=5",$X$36:$X$167)</f>
        <v>1.2222222222222223E-2</v>
      </c>
      <c r="O246" s="65">
        <f>AVERAGEIF($C$36:$C$167,"=5",$Y$36:$Y$167)</f>
        <v>0.26833333333333331</v>
      </c>
      <c r="P246" s="65">
        <f>AVERAGEIF($C$36:$C$167,"=5",$Z$36:$Z$167)</f>
        <v>0.59666666666666668</v>
      </c>
      <c r="Q246" s="65">
        <f>AVERAGEIF($C$36:$C$167,"=5",$AA$36:$AA$167)</f>
        <v>0.125</v>
      </c>
      <c r="R246" s="65">
        <f>AVERAGEIF($C$36:$C$167,"=5",$AG$36:$AG$167)</f>
        <v>6.842105263157895E-3</v>
      </c>
      <c r="S246" s="65">
        <f>AVERAGEIF($C$36:$C$167,"=5",$AH$36:$AH$167)</f>
        <v>0.25526315789473697</v>
      </c>
      <c r="T246" s="65">
        <f>AVERAGEIF($C$36:$C$167,"=5",$AI$36:$AI$167)</f>
        <v>0.5915789473684212</v>
      </c>
      <c r="U246" s="65">
        <f>AVERAGEIF($C$36:$C$167,"=5",$AJ$36:$AJ$167)</f>
        <v>0.14684210526315788</v>
      </c>
      <c r="V246" s="65">
        <f>AVERAGEIF($C$36:$C$167,"=5",$AP$36:$AP$167)</f>
        <v>2.2222222222222222E-3</v>
      </c>
      <c r="W246" s="65">
        <f>AVERAGEIF($C$36:$C$167,"=5",$AQ$36:$AQ$167)</f>
        <v>0.21777777777777779</v>
      </c>
      <c r="X246" s="65">
        <f>AVERAGEIF($C$36:$C$167,"=5",$AR$36:$AR$167)</f>
        <v>0.66388888888888875</v>
      </c>
      <c r="Y246" s="65">
        <f>AVERAGEIF($C$36:$C$167,"=5",$AS$36:$AS$167)</f>
        <v>0.11611111111111111</v>
      </c>
      <c r="Z246" s="65">
        <f>AVERAGEIF($C$36:$C$167,"=5",$BA$36:$BA$167)</f>
        <v>5.5555555555555558E-3</v>
      </c>
      <c r="AA246" s="65">
        <f>AVERAGEIF($C$36:$C$167,"=5",$BB$36:$BB$167)</f>
        <v>0.22166666666666662</v>
      </c>
      <c r="AB246" s="65">
        <f>AVERAGEIF($C$36:$C$167,"=5",$BC$36:$BC$167)</f>
        <v>0.59388888888888891</v>
      </c>
      <c r="AC246" s="65">
        <f>AVERAGEIF($C$36:$C$167,"=5",$BD$36:$BD$167)</f>
        <v>0.1772222222222222</v>
      </c>
    </row>
    <row r="247" spans="3:53" x14ac:dyDescent="0.25">
      <c r="C247" s="267"/>
      <c r="D247" s="267"/>
      <c r="E247" s="39" t="s">
        <v>251</v>
      </c>
      <c r="F247" s="65">
        <f>AVERAGEIF($C$36:$C$167,"=6",$F$36:$F$167)</f>
        <v>7.3333333333333332E-3</v>
      </c>
      <c r="G247" s="65">
        <f>AVERAGEIF($C$36:$C$167,"=1",$G$36:$G$167)</f>
        <v>0.39588235294117652</v>
      </c>
      <c r="H247" s="65">
        <f>AVERAGEIF($C$36:$C$167,"=6",$H$36:$H$167)</f>
        <v>0.56000000000000005</v>
      </c>
      <c r="I247" s="65">
        <f>AVERAGEIF($C$36:$C$167,"=6",$I$36:$I$167)</f>
        <v>5.7999999999999989E-2</v>
      </c>
      <c r="J247" s="65">
        <f>AVERAGEIF($C$36:$C$167,"=6",$O$36:$O$167)</f>
        <v>2.8000000000000004E-2</v>
      </c>
      <c r="K247" s="65">
        <f>AVERAGEIF($C$36:$C$167,"=6",$P$36:$P$167)</f>
        <v>0.3193333333333333</v>
      </c>
      <c r="L247" s="65">
        <f>AVERAGEIF($C$36:$C$167,"=6",$Q$36:$Q$167)</f>
        <v>0.57533333333333325</v>
      </c>
      <c r="M247" s="65">
        <f>AVERAGEIF($C$36:$C$167,"=6",$R$36:$R$167)</f>
        <v>7.8E-2</v>
      </c>
      <c r="N247" s="65">
        <f>AVERAGEIF($C$36:$C$167,"=6",$X$36:$X$167)</f>
        <v>0.01</v>
      </c>
      <c r="O247" s="65">
        <f>AVERAGEIF($C$36:$C$167,"=6",$Y$36:$Y$167)</f>
        <v>0.3714285714285715</v>
      </c>
      <c r="P247" s="65">
        <f>AVERAGEIF($C$36:$C$167,"=6",$Z$36:$Z$167)</f>
        <v>0.51642857142857135</v>
      </c>
      <c r="Q247" s="65">
        <f>AVERAGEIF($C$36:$C$167,"=6",$AA$36:$AA$167)</f>
        <v>0.10571428571428572</v>
      </c>
      <c r="R247" s="65">
        <f>AVERAGEIF($C$36:$C$167,"=6",$AG$36:$AG$167)</f>
        <v>1.1333333333333334E-2</v>
      </c>
      <c r="S247" s="65">
        <f>AVERAGEIF($C$36:$C$167,"=6",$AH$36:$AH$167)</f>
        <v>0.32466666666666666</v>
      </c>
      <c r="T247" s="65">
        <f>AVERAGEIF($C$36:$C$167,"=6",$AI$36:$AI$167)</f>
        <v>0.55533333333333335</v>
      </c>
      <c r="U247" s="65">
        <f>AVERAGEIF($C$36:$C$167,"=6",$AJ$36:$AJ$167)</f>
        <v>0.10933333333333331</v>
      </c>
      <c r="V247" s="65">
        <f>AVERAGEIF($C$36:$C$167,"=6",$AP$36:$AP$167)</f>
        <v>3.9411764705882354E-2</v>
      </c>
      <c r="W247" s="65">
        <f>AVERAGEIF($C$36:$C$167,"=6",$AQ$36:$AQ$167)</f>
        <v>0.34176470588235297</v>
      </c>
      <c r="X247" s="65">
        <f>AVERAGEIF($C$36:$C$167,"=6",$AR$36:$AR$167)</f>
        <v>0.54941176470588238</v>
      </c>
      <c r="Y247" s="65">
        <f>AVERAGEIF($C$36:$C$167,"=6",$AS$36:$AS$167)</f>
        <v>6.9411764705882367E-2</v>
      </c>
      <c r="Z247" s="65">
        <f>AVERAGEIF($C$36:$C$167,"=6",$BA$36:$BA$167)</f>
        <v>1.5882352941176472E-2</v>
      </c>
      <c r="AA247" s="65">
        <f>AVERAGEIF($C$36:$C$167,"=6",$BB$36:$BB$167)</f>
        <v>0.37117647058823533</v>
      </c>
      <c r="AB247" s="65">
        <f>AVERAGEIF($C$36:$C$167,"=6",$BC$36:$BC$167)</f>
        <v>0.501764705882353</v>
      </c>
      <c r="AC247" s="65">
        <f>AVERAGEIF($C$36:$C$167,"=6",$BD$36:$BD$167)</f>
        <v>0.11352941176470588</v>
      </c>
    </row>
    <row r="248" spans="3:53" x14ac:dyDescent="0.25">
      <c r="C248" s="267"/>
      <c r="D248" s="267"/>
      <c r="E248" s="267"/>
      <c r="F248" s="267"/>
      <c r="G248" s="267"/>
      <c r="H248" s="267"/>
      <c r="V248" s="65"/>
      <c r="W248" s="65"/>
      <c r="X248" s="65"/>
      <c r="Y248" s="65"/>
    </row>
    <row r="249" spans="3:53" x14ac:dyDescent="0.25">
      <c r="F249" s="853">
        <v>2016</v>
      </c>
      <c r="G249" s="853"/>
      <c r="H249" s="853"/>
      <c r="I249" s="853"/>
      <c r="J249" s="853"/>
      <c r="K249" s="853"/>
      <c r="L249" s="853"/>
      <c r="M249" s="853"/>
      <c r="N249" s="853">
        <v>2017</v>
      </c>
      <c r="O249" s="853"/>
      <c r="P249" s="853"/>
      <c r="Q249" s="853"/>
      <c r="R249" s="853"/>
      <c r="S249" s="853"/>
      <c r="T249" s="853"/>
      <c r="U249" s="853"/>
      <c r="V249" s="853">
        <v>2018</v>
      </c>
      <c r="W249" s="853"/>
      <c r="X249" s="853"/>
      <c r="Y249" s="853"/>
      <c r="Z249" s="853"/>
      <c r="AA249" s="853"/>
      <c r="AB249" s="853"/>
      <c r="AC249" s="853"/>
      <c r="AD249" s="853">
        <v>2019</v>
      </c>
      <c r="AE249" s="853"/>
      <c r="AF249" s="853"/>
      <c r="AG249" s="853"/>
      <c r="AH249" s="853"/>
      <c r="AI249" s="853"/>
      <c r="AJ249" s="853"/>
      <c r="AK249" s="853"/>
      <c r="AL249" s="853">
        <v>2020</v>
      </c>
      <c r="AM249" s="853"/>
      <c r="AN249" s="853"/>
      <c r="AO249" s="853"/>
      <c r="AP249" s="853"/>
      <c r="AQ249" s="853"/>
      <c r="AR249" s="853"/>
      <c r="AS249" s="853"/>
      <c r="AT249" s="853">
        <v>2021</v>
      </c>
      <c r="AU249" s="853"/>
      <c r="AV249" s="853"/>
      <c r="AW249" s="853"/>
      <c r="AX249" s="853"/>
      <c r="AY249" s="853"/>
      <c r="AZ249" s="853"/>
      <c r="BA249" s="853"/>
    </row>
    <row r="250" spans="3:53" x14ac:dyDescent="0.25">
      <c r="F250" s="853" t="s">
        <v>254</v>
      </c>
      <c r="G250" s="853"/>
      <c r="H250" s="853"/>
      <c r="I250" s="853"/>
      <c r="J250" s="853" t="s">
        <v>255</v>
      </c>
      <c r="K250" s="853"/>
      <c r="L250" s="853"/>
      <c r="M250" s="853"/>
      <c r="N250" s="853" t="s">
        <v>254</v>
      </c>
      <c r="O250" s="853"/>
      <c r="P250" s="853"/>
      <c r="Q250" s="853"/>
      <c r="R250" s="853" t="s">
        <v>255</v>
      </c>
      <c r="S250" s="853"/>
      <c r="T250" s="853"/>
      <c r="U250" s="853"/>
      <c r="V250" s="853" t="s">
        <v>254</v>
      </c>
      <c r="W250" s="853"/>
      <c r="X250" s="853"/>
      <c r="Y250" s="853"/>
      <c r="Z250" s="853" t="s">
        <v>255</v>
      </c>
      <c r="AA250" s="853"/>
      <c r="AB250" s="853"/>
      <c r="AC250" s="853"/>
      <c r="AD250" s="853" t="s">
        <v>254</v>
      </c>
      <c r="AE250" s="853"/>
      <c r="AF250" s="853"/>
      <c r="AG250" s="853"/>
      <c r="AH250" s="853" t="s">
        <v>255</v>
      </c>
      <c r="AI250" s="853"/>
      <c r="AJ250" s="853"/>
      <c r="AK250" s="853"/>
      <c r="AL250" s="853" t="s">
        <v>254</v>
      </c>
      <c r="AM250" s="853"/>
      <c r="AN250" s="853"/>
      <c r="AO250" s="853"/>
      <c r="AP250" s="853" t="s">
        <v>255</v>
      </c>
      <c r="AQ250" s="853"/>
      <c r="AR250" s="853"/>
      <c r="AS250" s="853"/>
      <c r="AT250" s="853" t="s">
        <v>254</v>
      </c>
      <c r="AU250" s="853"/>
      <c r="AV250" s="853"/>
      <c r="AW250" s="853"/>
      <c r="AX250" s="853" t="s">
        <v>255</v>
      </c>
      <c r="AY250" s="853"/>
      <c r="AZ250" s="853"/>
      <c r="BA250" s="853"/>
    </row>
    <row r="251" spans="3:53" x14ac:dyDescent="0.25">
      <c r="F251" s="381">
        <v>1</v>
      </c>
      <c r="G251" s="381">
        <v>2</v>
      </c>
      <c r="H251" s="381">
        <v>3</v>
      </c>
      <c r="I251" s="381">
        <v>4</v>
      </c>
      <c r="J251" s="381">
        <v>1</v>
      </c>
      <c r="K251" s="381">
        <v>2</v>
      </c>
      <c r="L251" s="381">
        <v>3</v>
      </c>
      <c r="M251" s="381">
        <v>4</v>
      </c>
      <c r="N251" s="381">
        <v>1</v>
      </c>
      <c r="O251" s="381">
        <v>2</v>
      </c>
      <c r="P251" s="381">
        <v>3</v>
      </c>
      <c r="Q251" s="381">
        <v>4</v>
      </c>
      <c r="R251" s="381">
        <v>1</v>
      </c>
      <c r="S251" s="381">
        <v>2</v>
      </c>
      <c r="T251" s="381">
        <v>3</v>
      </c>
      <c r="U251" s="381">
        <v>4</v>
      </c>
      <c r="V251" s="381">
        <v>1</v>
      </c>
      <c r="W251" s="381">
        <v>2</v>
      </c>
      <c r="X251" s="381">
        <v>3</v>
      </c>
      <c r="Y251" s="381">
        <v>4</v>
      </c>
      <c r="Z251" s="381">
        <v>1</v>
      </c>
      <c r="AA251" s="381">
        <v>2</v>
      </c>
      <c r="AB251" s="381">
        <v>3</v>
      </c>
      <c r="AC251" s="381">
        <v>4</v>
      </c>
      <c r="AD251" s="381">
        <v>1</v>
      </c>
      <c r="AE251" s="381">
        <v>2</v>
      </c>
      <c r="AF251" s="381">
        <v>3</v>
      </c>
      <c r="AG251" s="381">
        <v>4</v>
      </c>
      <c r="AH251" s="381">
        <v>1</v>
      </c>
      <c r="AI251" s="381">
        <v>2</v>
      </c>
      <c r="AJ251" s="381">
        <v>3</v>
      </c>
      <c r="AK251" s="381">
        <v>4</v>
      </c>
      <c r="AL251" s="381">
        <v>1</v>
      </c>
      <c r="AM251" s="381">
        <v>2</v>
      </c>
      <c r="AN251" s="381">
        <v>3</v>
      </c>
      <c r="AO251" s="381">
        <v>4</v>
      </c>
      <c r="AP251" s="381">
        <v>1</v>
      </c>
      <c r="AQ251" s="381">
        <v>2</v>
      </c>
      <c r="AR251" s="381">
        <v>3</v>
      </c>
      <c r="AS251" s="381">
        <v>4</v>
      </c>
      <c r="AT251" s="381">
        <v>1</v>
      </c>
      <c r="AU251" s="381">
        <v>2</v>
      </c>
      <c r="AV251" s="381">
        <v>3</v>
      </c>
      <c r="AW251" s="381">
        <v>4</v>
      </c>
      <c r="AX251" s="381">
        <v>1</v>
      </c>
      <c r="AY251" s="381">
        <v>2</v>
      </c>
      <c r="AZ251" s="381">
        <v>3</v>
      </c>
      <c r="BA251" s="381">
        <v>4</v>
      </c>
    </row>
    <row r="252" spans="3:53" x14ac:dyDescent="0.25">
      <c r="E252" s="39" t="s">
        <v>246</v>
      </c>
      <c r="F252" s="65">
        <f>AVERAGEIFS($F$36:$F$167,$C$36:$C$167,"=1", $B$36:$B$167,"OFICIAL")</f>
        <v>7.4999999999999997E-3</v>
      </c>
      <c r="G252" s="65">
        <f>AVERAGEIFS($G$36:$G$167,$C$36:$C$167,"=1", $B$36:$B$167,"OFICIAL")</f>
        <v>0.36499999999999999</v>
      </c>
      <c r="H252" s="65">
        <f>AVERAGEIFS($H$36:$H$167,$C$36:$C$167,"=1", $B$36:$B$167,"OFICIAL")</f>
        <v>0.58749999999999991</v>
      </c>
      <c r="I252" s="65">
        <f>AVERAGEIFS($I$36:$I$167,$C$36:$C$167,"=1", $B$36:$B$167,"OFICIAL")</f>
        <v>3.7499999999999999E-2</v>
      </c>
      <c r="J252" s="65">
        <f>AVERAGEIFS($F$36:$F$167,$C$36:$C$167,"=1", $B$36:$B$167,"NO OFICIAL")</f>
        <v>0.01</v>
      </c>
      <c r="K252" s="65">
        <f>AVERAGEIFS($G$36:$G$167,$C$36:$C$167,"=1", $B$36:$B$167,"NO OFICIAL")</f>
        <v>0.4053846153846154</v>
      </c>
      <c r="L252" s="65">
        <f>AVERAGEIFS($H$36:$H$167,$C$36:$C$167,"=1", $B$36:$B$167,"NO OFICIAL")</f>
        <v>0.55153846153846153</v>
      </c>
      <c r="M252" s="65">
        <f>AVERAGEIFS($I$36:$I$167,$C$36:$C$167,"=1", $B$36:$B$167,"NO OFICIAL")</f>
        <v>3.7692307692307685E-2</v>
      </c>
      <c r="N252" s="65">
        <f>AVERAGEIFS($O$36:$O$167,$C$36:$C$167,"=1", $B$36:$B$167,"OFICIAL")</f>
        <v>0.01</v>
      </c>
      <c r="O252" s="65">
        <f>AVERAGEIFS($P$36:$P$167,$C$36:$C$167,"=1", $B$36:$B$167,"OFICIAL")</f>
        <v>0.27500000000000002</v>
      </c>
      <c r="P252" s="65">
        <f>AVERAGEIFS($Q$36:$Q$167,$C$36:$C$167,"=1", $B$36:$B$167,"OFICIAL")</f>
        <v>0.64749999999999996</v>
      </c>
      <c r="Q252" s="65">
        <f>AVERAGEIFS($R$36:$R$167,$C$36:$C$167,"=1", $B$36:$B$167,"OFICIAL")</f>
        <v>6.7500000000000004E-2</v>
      </c>
      <c r="R252" s="65">
        <f>AVERAGEIFS($O$36:$O$167,$C$36:$C$167,"=1", $B$36:$B$167,"NO OFICIAL")</f>
        <v>1.3333333333333334E-2</v>
      </c>
      <c r="S252" s="65">
        <f>AVERAGEIFS($P$36:$P$167,$C$36:$C$167,"=1", $B$36:$B$167,"NO OFICIAL")</f>
        <v>0.34250000000000003</v>
      </c>
      <c r="T252" s="65">
        <f>AVERAGEIFS($Q$36:$Q$167,$C$36:$C$167,"=1", $B$36:$B$167,"NO OFICIAL")</f>
        <v>0.57916666666666672</v>
      </c>
      <c r="U252" s="65">
        <f>AVERAGEIFS($R$36:$R$167,$C$36:$C$167,"=1", $B$36:$B$167,"NO OFICIAL")</f>
        <v>6.5833333333333341E-2</v>
      </c>
      <c r="V252" s="65">
        <f>AVERAGEIFS($X$36:$X$167,$C$36:$C$167,"=1", $B$36:$B$167,"OFICIAL")</f>
        <v>1.4999999999999999E-2</v>
      </c>
      <c r="W252" s="65">
        <f>AVERAGEIFS($Y$36:$Y$167,$C$36:$C$167,"=1", $B$36:$B$167,"OFICIAL")</f>
        <v>0.35749999999999998</v>
      </c>
      <c r="X252" s="65">
        <f>AVERAGEIFS($Z$36:$Z$167,$C$36:$C$167,"=1", $B$36:$B$167,"OFICIAL")</f>
        <v>0.53749999999999998</v>
      </c>
      <c r="Y252" s="65">
        <f>AVERAGEIFS($AA$36:$AA$167,$C$36:$C$167,"=1", $B$36:$B$167,"OFICIAL")</f>
        <v>0.09</v>
      </c>
      <c r="Z252" s="65">
        <f>AVERAGEIFS($X$36:$X$167,$C$36:$C$167,"=1", $B$36:$B$167,"NO OFICIAL")</f>
        <v>0.02</v>
      </c>
      <c r="AA252" s="65">
        <f>AVERAGEIFS($Y$36:$Y$167,$C$36:$C$167,"=1", $B$36:$B$167,"NO OFICIAL")</f>
        <v>0.32384615384615389</v>
      </c>
      <c r="AB252" s="65">
        <f>AVERAGEIFS($Z$36:$Z$167,$C$36:$C$167,"=1", $B$36:$B$167,"NO OFICIAL")</f>
        <v>0.55000000000000004</v>
      </c>
      <c r="AC252" s="65">
        <f>AVERAGEIFS($AA$36:$AA$167,$C$36:$C$167,"=1", $B$36:$B$167,"NO OFICIAL")</f>
        <v>0.11076923076923079</v>
      </c>
      <c r="AD252" s="65">
        <f>AVERAGEIFS($AG$36:$AG$167,$C$36:$C$167,"=1", $B$36:$B$167,"OFICIAL")</f>
        <v>2.75E-2</v>
      </c>
      <c r="AE252" s="65">
        <f>AVERAGEIFS($AH$36:$AH$167,$C$36:$C$167,"=1", $B$36:$B$167,"OFICIAL")</f>
        <v>0.3075</v>
      </c>
      <c r="AF252" s="65">
        <f>AVERAGEIFS($AI$36:$AI$167,$C$36:$C$167,"=1", $B$36:$B$167,"OFICIAL")</f>
        <v>0.56999999999999995</v>
      </c>
      <c r="AG252" s="65">
        <f>AVERAGEIFS($AJ$36:$AJ$167,$C$36:$C$167,"=1", $B$36:$B$167,"OFICIAL")</f>
        <v>9.5000000000000001E-2</v>
      </c>
      <c r="AH252" s="65">
        <f>AVERAGEIFS($AG$36:$AG$167,$C$36:$C$167,"=1", $B$36:$B$167,"NO OFICIAL")</f>
        <v>1.3076923076923078E-2</v>
      </c>
      <c r="AI252" s="65">
        <f>AVERAGEIFS($AH$36:$AH$167,$C$36:$C$167,"=1", $B$36:$B$167,"NO OFICIAL")</f>
        <v>0.36538461538461547</v>
      </c>
      <c r="AJ252" s="65">
        <f>AVERAGEIFS($AI$36:$AI$167,$C$36:$C$167,"=1", $B$36:$B$167,"NO OFICIAL")</f>
        <v>0.53307692307692311</v>
      </c>
      <c r="AK252" s="65">
        <f>AVERAGEIFS($AJ$36:$AJ$167,$C$36:$C$167,"=1", $B$36:$B$167,"NO OFICIAL")</f>
        <v>8.8461538461538453E-2</v>
      </c>
      <c r="AL252" s="65">
        <f>AVERAGEIFS($AP$36:$AP$167,$C$36:$C$167,"=1", $B$36:$B$167,"OFICIAL")</f>
        <v>1.7500000000000002E-2</v>
      </c>
      <c r="AM252" s="65">
        <f>AVERAGEIFS($AQ$36:$AQ$167,$C$36:$C$167,"=1", $B$36:$B$167,"OFICIAL")</f>
        <v>0.3175</v>
      </c>
      <c r="AN252" s="65">
        <f>AVERAGEIFS($AR$36:$AR$167,$C$36:$C$167,"=1", $B$36:$B$167,"OFICIAL")</f>
        <v>0.57999999999999996</v>
      </c>
      <c r="AO252" s="65">
        <f>AVERAGEIFS($AS$36:$AS$167,$C$36:$C$167,"=1", $B$36:$B$167,"OFICIAL")</f>
        <v>8.249999999999999E-2</v>
      </c>
      <c r="AP252" s="65">
        <f>AVERAGEIFS($AP$36:$AP$167,$C$36:$C$167,"=1", $B$36:$B$167,"NO OFICIAL")</f>
        <v>2.8461538461538462E-2</v>
      </c>
      <c r="AQ252" s="65">
        <f>AVERAGEIFS($AQ$36:$AQ$167,$C$36:$C$167,"=1", $B$36:$B$167,"NO OFICIAL")</f>
        <v>0.28615384615384615</v>
      </c>
      <c r="AR252" s="65">
        <f>AVERAGEIFS($AR$36:$AR$167,$C$36:$C$167,"=1", $B$36:$B$167,"NO OFICIAL")</f>
        <v>0.6100000000000001</v>
      </c>
      <c r="AS252" s="65">
        <f>AVERAGEIFS($AS$36:$AS$167,$C$36:$C$167,"=1", $B$36:$B$167,"NO OFICIAL")</f>
        <v>7.6153846153846155E-2</v>
      </c>
      <c r="AT252" s="65">
        <f>AVERAGEIFS($BA$36:$BA$167,$C$36:$C$167,"=1", $B$36:$B$167,"OFICIAL")</f>
        <v>2.5000000000000001E-2</v>
      </c>
      <c r="AU252" s="65">
        <f>AVERAGEIFS($BB$36:$BB$167,$C$36:$C$167,"=1", $B$36:$B$167,"OFICIAL")</f>
        <v>0.33749999999999997</v>
      </c>
      <c r="AV252" s="65">
        <f>AVERAGEIFS($BC$36:$BC$167,$C$36:$C$167,"=1", $B$36:$B$167,"OFICIAL")</f>
        <v>0.53</v>
      </c>
      <c r="AW252" s="65">
        <f>AVERAGEIFS($BD$36:$BD$167,$C$36:$C$167,"=1", $B$36:$B$167,"OFICIAL")</f>
        <v>0.10500000000000001</v>
      </c>
      <c r="AX252" s="65">
        <f>AVERAGEIFS($BA$36:$BA$167,$C$36:$C$167,"=1", $B$36:$B$167,"NO OFICIAL")</f>
        <v>7.6923076923076927E-3</v>
      </c>
      <c r="AY252" s="65">
        <f>AVERAGEIFS($BB$36:$BB$167,$C$36:$C$167,"=1", $B$36:$B$167,"NO OFICIAL")</f>
        <v>0.30538461538461542</v>
      </c>
      <c r="AZ252" s="65">
        <f>AVERAGEIFS($BC$36:$BC$167,$C$36:$C$167,"=1", $B$36:$B$167,"NO OFICIAL")</f>
        <v>0.57769230769230784</v>
      </c>
      <c r="BA252" s="65">
        <f>AVERAGEIFS($BD$36:$BD$167,$C$36:$C$167,"=1", $B$36:$B$167,"NO OFICIAL")</f>
        <v>0.1076923076923077</v>
      </c>
    </row>
    <row r="253" spans="3:53" x14ac:dyDescent="0.25">
      <c r="E253" s="39" t="s">
        <v>247</v>
      </c>
      <c r="F253" s="65">
        <f>AVERAGEIFS($F$36:$F$167,$C$36:$C$167,"=2", $B$36:$B$167,"OFICIAL")</f>
        <v>5.0000000000000001E-3</v>
      </c>
      <c r="G253" s="65">
        <f>AVERAGEIFS($G$36:$G$167,$C$36:$C$167,"=2", $B$36:$B$167,"OFICIAL")</f>
        <v>0.36</v>
      </c>
      <c r="H253" s="65">
        <f>AVERAGEIFS($H$36:$H$167,$C$36:$C$167,"=2", $B$36:$B$167,"OFICIAL")</f>
        <v>0.56499999999999995</v>
      </c>
      <c r="I253" s="65">
        <f>AVERAGEIFS($I$36:$I$167,$C$36:$C$167,"=2", $B$36:$B$167,"OFICIAL")</f>
        <v>6.5000000000000002E-2</v>
      </c>
      <c r="J253" s="65">
        <f>AVERAGEIFS($F$36:$F$167,$C$36:$C$167,"=2", $B$36:$B$167,"NO OFICIAL")</f>
        <v>1.7222222222222222E-2</v>
      </c>
      <c r="K253" s="65">
        <f>AVERAGEIFS($G$36:$G$167,$C$36:$C$167,"=2", $B$36:$B$167,"NO OFICIAL")</f>
        <v>0.31444444444444447</v>
      </c>
      <c r="L253" s="65">
        <f>AVERAGEIFS($H$36:$H$167,$C$36:$C$167,"=2", $B$36:$B$167,"NO OFICIAL")</f>
        <v>0.58500000000000008</v>
      </c>
      <c r="M253" s="65">
        <f>AVERAGEIFS($I$36:$I$167,$C$36:$C$167,"=2", $B$36:$B$167,"NO OFICIAL")</f>
        <v>8.4444444444444447E-2</v>
      </c>
      <c r="N253" s="65">
        <f>AVERAGEIFS($O$36:$O$167,$C$36:$C$167,"=2", $B$36:$B$167,"OFICIAL")</f>
        <v>1.4999999999999999E-2</v>
      </c>
      <c r="O253" s="65">
        <f>AVERAGEIFS($P$36:$P$167,$C$36:$C$167,"=2", $B$36:$B$167,"OFICIAL")</f>
        <v>0.29500000000000004</v>
      </c>
      <c r="P253" s="65">
        <f>AVERAGEIFS($Q$36:$Q$167,$C$36:$C$167,"=2", $B$36:$B$167,"OFICIAL")</f>
        <v>0.61499999999999999</v>
      </c>
      <c r="Q253" s="65">
        <f>AVERAGEIFS($R$36:$R$167,$C$36:$C$167,"=2", $B$36:$B$167,"OFICIAL")</f>
        <v>7.0000000000000007E-2</v>
      </c>
      <c r="R253" s="65">
        <f>AVERAGEIFS($O$36:$O$167,$C$36:$C$167,"=2", $B$36:$B$167,"NO OFICIAL")</f>
        <v>1.5882352941176472E-2</v>
      </c>
      <c r="S253" s="65">
        <f>AVERAGEIFS($P$36:$P$167,$C$36:$C$167,"=2", $B$36:$B$167,"NO OFICIAL")</f>
        <v>0.26117647058823534</v>
      </c>
      <c r="T253" s="65">
        <f>AVERAGEIFS($Q$36:$Q$167,$C$36:$C$167,"=2", $B$36:$B$167,"NO OFICIAL")</f>
        <v>0.59058823529411775</v>
      </c>
      <c r="U253" s="65">
        <f>AVERAGEIFS($R$36:$R$167,$C$36:$C$167,"=2", $B$36:$B$167,"NO OFICIAL")</f>
        <v>0.13235294117647059</v>
      </c>
      <c r="V253" s="65">
        <f>AVERAGEIFS($X$36:$X$167,$C$36:$C$167,"=2", $B$36:$B$167,"OFICIAL")</f>
        <v>0.01</v>
      </c>
      <c r="W253" s="65">
        <f>AVERAGEIFS($Y$36:$Y$167,$C$36:$C$167,"=2", $B$36:$B$167,"OFICIAL")</f>
        <v>0.33499999999999996</v>
      </c>
      <c r="X253" s="65">
        <f>AVERAGEIFS($Z$36:$Z$167,$C$36:$C$167,"=2", $B$36:$B$167,"OFICIAL")</f>
        <v>0.54</v>
      </c>
      <c r="Y253" s="65">
        <f>AVERAGEIFS($AA$36:$AA$167,$C$36:$C$167,"=2", $B$36:$B$167,"OFICIAL")</f>
        <v>0.11</v>
      </c>
      <c r="Z253" s="65">
        <f>AVERAGEIFS($X$36:$X$167,$C$36:$C$167,"=2", $B$36:$B$167,"NO OFICIAL")</f>
        <v>1.4705882352941176E-2</v>
      </c>
      <c r="AA253" s="65">
        <f>AVERAGEIFS($Y$36:$Y$167,$C$36:$C$167,"=2", $B$36:$B$167,"NO OFICIAL")</f>
        <v>0.3123529411764705</v>
      </c>
      <c r="AB253" s="65">
        <f>AVERAGEIFS($Z$36:$Z$167,$C$36:$C$167,"=2", $B$36:$B$167,"NO OFICIAL")</f>
        <v>0.54647058823529415</v>
      </c>
      <c r="AC253" s="65">
        <f>AVERAGEIFS($AA$36:$AA$167,$C$36:$C$167,"=2", $B$36:$B$167,"NO OFICIAL")</f>
        <v>0.12588235294117647</v>
      </c>
      <c r="AD253" s="65">
        <f>AVERAGEIFS($AG$36:$AG$167,$C$36:$C$167,"=2", $B$36:$B$167,"OFICIAL")</f>
        <v>2.5000000000000001E-2</v>
      </c>
      <c r="AE253" s="65">
        <f>AVERAGEIFS($AH$36:$AH$167,$C$36:$C$167,"=2", $B$36:$B$167,"OFICIAL")</f>
        <v>0.30499999999999999</v>
      </c>
      <c r="AF253" s="65">
        <f>AVERAGEIFS($AI$36:$AI$167,$C$36:$C$167,"=2", $B$36:$B$167,"OFICIAL")</f>
        <v>0.57999999999999996</v>
      </c>
      <c r="AG253" s="65">
        <f>AVERAGEIFS($AJ$36:$AJ$167,$C$36:$C$167,"=2", $B$36:$B$167,"OFICIAL")</f>
        <v>0.09</v>
      </c>
      <c r="AH253" s="65">
        <f>AVERAGEIFS($AG$36:$AG$167,$C$36:$C$167,"=2", $B$36:$B$167,"NO OFICIAL")</f>
        <v>8.8888888888888906E-3</v>
      </c>
      <c r="AI253" s="65">
        <f>AVERAGEIFS($AH$36:$AH$167,$C$36:$C$167,"=2", $B$36:$B$167,"NO OFICIAL")</f>
        <v>0.25444444444444447</v>
      </c>
      <c r="AJ253" s="65">
        <f>AVERAGEIFS($AI$36:$AI$167,$C$36:$C$167,"=2", $B$36:$B$167,"NO OFICIAL")</f>
        <v>0.60611111111111104</v>
      </c>
      <c r="AK253" s="65">
        <f>AVERAGEIFS($AJ$36:$AJ$167,$C$36:$C$167,"=2", $B$36:$B$167,"NO OFICIAL")</f>
        <v>0.13222222222222221</v>
      </c>
      <c r="AL253" s="65">
        <f>AVERAGEIFS($AP$36:$AP$167,$C$36:$C$167,"=2", $B$36:$B$167,"OFICIAL")</f>
        <v>5.0000000000000001E-3</v>
      </c>
      <c r="AM253" s="65">
        <f>AVERAGEIFS($AQ$36:$AQ$167,$C$36:$C$167,"=2", $B$36:$B$167,"OFICIAL")</f>
        <v>0.33</v>
      </c>
      <c r="AN253" s="65">
        <f>AVERAGEIFS($AR$36:$AR$167,$C$36:$C$167,"=2", $B$36:$B$167,"OFICIAL")</f>
        <v>0.57499999999999996</v>
      </c>
      <c r="AO253" s="65">
        <f>AVERAGEIFS($AS$36:$AS$167,$C$36:$C$167,"=2", $B$36:$B$167,"OFICIAL")</f>
        <v>8.5000000000000006E-2</v>
      </c>
      <c r="AP253" s="65">
        <f>AVERAGEIFS($AP$36:$AP$167,$C$36:$C$167,"=2", $B$36:$B$167,"NO OFICIAL")</f>
        <v>7.7272727272727267E-3</v>
      </c>
      <c r="AQ253" s="65">
        <f>AVERAGEIFS($AQ$36:$AQ$167,$C$36:$C$167,"=2", $B$36:$B$167,"NO OFICIAL")</f>
        <v>0.29090909090909084</v>
      </c>
      <c r="AR253" s="65">
        <f>AVERAGEIFS($AR$36:$AR$167,$C$36:$C$167,"=2", $B$36:$B$167,"NO OFICIAL")</f>
        <v>0.58954545454545448</v>
      </c>
      <c r="AS253" s="65">
        <f>AVERAGEIFS($AS$36:$AS$167,$C$36:$C$167,"=2", $B$36:$B$167,"NO OFICIAL")</f>
        <v>0.11227272727272729</v>
      </c>
      <c r="AT253" s="65">
        <f>AVERAGEIFS($BA$36:$BA$167,$C$36:$C$167,"=2", $B$36:$B$167,"OFICIAL")</f>
        <v>0.02</v>
      </c>
      <c r="AU253" s="65">
        <f>AVERAGEIFS($BB$36:$BB$167,$C$36:$C$167,"=2", $B$36:$B$167,"OFICIAL")</f>
        <v>0.38</v>
      </c>
      <c r="AV253" s="65">
        <f>AVERAGEIFS($BC$36:$BC$167,$C$36:$C$167,"=2", $B$36:$B$167,"OFICIAL")</f>
        <v>0.5</v>
      </c>
      <c r="AW253" s="65">
        <f>AVERAGEIFS($BD$36:$BD$167,$C$36:$C$167,"=2", $B$36:$B$167,"OFICIAL")</f>
        <v>0.1</v>
      </c>
      <c r="AX253" s="65">
        <f>AVERAGEIFS($BA$36:$BA$167,$C$36:$C$167,"=2", $B$36:$B$167,"NO OFICIAL")</f>
        <v>3.2000000000000008E-2</v>
      </c>
      <c r="AY253" s="65">
        <f>AVERAGEIFS($BB$36:$BB$167,$C$36:$C$167,"=2", $B$36:$B$167,"NO OFICIAL")</f>
        <v>0.32599999999999996</v>
      </c>
      <c r="AZ253" s="65">
        <f>AVERAGEIFS($BC$36:$BC$167,$C$36:$C$167,"=2", $B$36:$B$167,"NO OFICIAL")</f>
        <v>0.51150000000000007</v>
      </c>
      <c r="BA253" s="65">
        <f>AVERAGEIFS($BD$36:$BD$167,$C$36:$C$167,"=2", $B$36:$B$167,"NO OFICIAL")</f>
        <v>0.13100000000000003</v>
      </c>
    </row>
    <row r="254" spans="3:53" x14ac:dyDescent="0.25">
      <c r="E254" s="39" t="s">
        <v>248</v>
      </c>
      <c r="F254" s="65">
        <f>AVERAGEIFS($F$36:$F$167,$C$36:$C$167,"=3", $B$36:$B$167,"OFICIAL")</f>
        <v>2.4E-2</v>
      </c>
      <c r="G254" s="65">
        <f>AVERAGEIFS($G$36:$G$167,$C$36:$C$167,"=3", $B$36:$B$167,"OFICIAL")</f>
        <v>0.38400000000000001</v>
      </c>
      <c r="H254" s="65">
        <f>AVERAGEIFS($H$36:$H$167,$C$36:$C$167,"=3", $B$36:$B$167,"OFICIAL")</f>
        <v>0.53599999999999992</v>
      </c>
      <c r="I254" s="65">
        <f>AVERAGEIFS($I$36:$I$167,$C$36:$C$167,"=3", $B$36:$B$167,"OFICIAL")</f>
        <v>0.06</v>
      </c>
      <c r="J254" s="65">
        <f>AVERAGEIFS($F$36:$F$167,$C$36:$C$167,"=3", $B$36:$B$167,"NO OFICIAL")</f>
        <v>1.7692307692307691E-2</v>
      </c>
      <c r="K254" s="65">
        <f>AVERAGEIFS($G$36:$G$167,$C$36:$C$167,"=3", $B$36:$B$167,"NO OFICIAL")</f>
        <v>0.28076923076923077</v>
      </c>
      <c r="L254" s="65">
        <f>AVERAGEIFS($H$36:$H$167,$C$36:$C$167,"=3", $B$36:$B$167,"NO OFICIAL")</f>
        <v>0.62153846153846171</v>
      </c>
      <c r="M254" s="65">
        <f>AVERAGEIFS($I$36:$I$167,$C$36:$C$167,"=3", $B$36:$B$167,"NO OFICIAL")</f>
        <v>8.3846153846153876E-2</v>
      </c>
      <c r="N254" s="65">
        <f>AVERAGEIFS($O$36:$O$167,$C$36:$C$167,"=3", $B$36:$B$167,"OFICIAL")</f>
        <v>1.4000000000000002E-2</v>
      </c>
      <c r="O254" s="65">
        <f>AVERAGEIFS($P$36:$P$167,$C$36:$C$167,"=3", $B$36:$B$167,"OFICIAL")</f>
        <v>0.30199999999999999</v>
      </c>
      <c r="P254" s="65">
        <f>AVERAGEIFS($Q$36:$Q$167,$C$36:$C$167,"=3", $B$36:$B$167,"OFICIAL")</f>
        <v>0.60199999999999998</v>
      </c>
      <c r="Q254" s="65">
        <f>AVERAGEIFS($R$36:$R$167,$C$36:$C$167,"=3", $B$36:$B$167,"OFICIAL")</f>
        <v>8.2000000000000003E-2</v>
      </c>
      <c r="R254" s="65">
        <f>AVERAGEIFS($O$36:$O$167,$C$36:$C$167,"=3", $B$36:$B$167,"NO OFICIAL")</f>
        <v>1.1428571428571429E-2</v>
      </c>
      <c r="S254" s="65">
        <f>AVERAGEIFS($P$36:$P$167,$C$36:$C$167,"=3", $B$36:$B$167,"NO OFICIAL")</f>
        <v>0.2364285714285714</v>
      </c>
      <c r="T254" s="65">
        <f>AVERAGEIFS($Q$36:$Q$167,$C$36:$C$167,"=3", $B$36:$B$167,"NO OFICIAL")</f>
        <v>0.64642857142857146</v>
      </c>
      <c r="U254" s="65">
        <f>AVERAGEIFS($R$36:$R$167,$C$36:$C$167,"=3", $B$36:$B$167,"NO OFICIAL")</f>
        <v>0.10714285714285714</v>
      </c>
      <c r="V254" s="65">
        <f>AVERAGEIFS($X$36:$X$167,$C$36:$C$167,"=3", $B$36:$B$167,"OFICIAL")</f>
        <v>1.4000000000000002E-2</v>
      </c>
      <c r="W254" s="65">
        <f>AVERAGEIFS($Y$36:$Y$167,$C$36:$C$167,"=3", $B$36:$B$167,"OFICIAL")</f>
        <v>0.29000000000000004</v>
      </c>
      <c r="X254" s="65">
        <f>AVERAGEIFS($Z$36:$Z$167,$C$36:$C$167,"=3", $B$36:$B$167,"OFICIAL")</f>
        <v>0.59</v>
      </c>
      <c r="Y254" s="65">
        <f>AVERAGEIFS($AA$36:$AA$167,$C$36:$C$167,"=3", $B$36:$B$167,"OFICIAL")</f>
        <v>0.10400000000000001</v>
      </c>
      <c r="Z254" s="65">
        <f>AVERAGEIFS($X$36:$X$167,$C$36:$C$167,"=3", $B$36:$B$167,"NO OFICIAL")</f>
        <v>1.3571428571428571E-2</v>
      </c>
      <c r="AA254" s="65">
        <f>AVERAGEIFS($Y$36:$Y$167,$C$36:$C$167,"=3", $B$36:$B$167,"NO OFICIAL")</f>
        <v>0.25428571428571434</v>
      </c>
      <c r="AB254" s="65">
        <f>AVERAGEIFS($Z$36:$Z$167,$C$36:$C$167,"=3", $B$36:$B$167,"NO OFICIAL")</f>
        <v>0.59071428571428564</v>
      </c>
      <c r="AC254" s="65">
        <f>AVERAGEIFS($AA$36:$AA$167,$C$36:$C$167,"=3", $B$36:$B$167,"NO OFICIAL")</f>
        <v>0.1435714285714286</v>
      </c>
      <c r="AD254" s="65">
        <f>AVERAGEIFS($AG$36:$AG$167,$C$36:$C$167,"=3", $B$36:$B$167,"OFICIAL")</f>
        <v>0.01</v>
      </c>
      <c r="AE254" s="65">
        <f>AVERAGEIFS($AH$36:$AH$167,$C$36:$C$167,"=3", $B$36:$B$167,"OFICIAL")</f>
        <v>0.35</v>
      </c>
      <c r="AF254" s="65">
        <f>AVERAGEIFS($AI$36:$AI$167,$C$36:$C$167,"=3", $B$36:$B$167,"OFICIAL")</f>
        <v>0.55800000000000005</v>
      </c>
      <c r="AG254" s="65">
        <f>AVERAGEIFS($AJ$36:$AJ$167,$C$36:$C$167,"=3", $B$36:$B$167,"OFICIAL")</f>
        <v>7.7999999999999986E-2</v>
      </c>
      <c r="AH254" s="65">
        <f>AVERAGEIFS($AG$36:$AG$167,$C$36:$C$167,"=3", $B$36:$B$167,"NO OFICIAL")</f>
        <v>7.8571428571428577E-3</v>
      </c>
      <c r="AI254" s="65">
        <f>AVERAGEIFS($AH$36:$AH$167,$C$36:$C$167,"=3", $B$36:$B$167,"NO OFICIAL")</f>
        <v>0.26214285714285718</v>
      </c>
      <c r="AJ254" s="65">
        <f>AVERAGEIFS($AI$36:$AI$167,$C$36:$C$167,"=3", $B$36:$B$167,"NO OFICIAL")</f>
        <v>0.57857142857142863</v>
      </c>
      <c r="AK254" s="65">
        <f>AVERAGEIFS($AJ$36:$AJ$167,$C$36:$C$167,"=3", $B$36:$B$167,"NO OFICIAL")</f>
        <v>0.15285714285714283</v>
      </c>
      <c r="AL254" s="65">
        <f>AVERAGEIFS($AP$36:$AP$167,$C$36:$C$167,"=3", $B$36:$B$167,"OFICIAL")</f>
        <v>3.4000000000000002E-2</v>
      </c>
      <c r="AM254" s="65">
        <f>AVERAGEIFS($AQ$36:$AQ$167,$C$36:$C$167,"=3", $B$36:$B$167,"OFICIAL")</f>
        <v>0.30399999999999999</v>
      </c>
      <c r="AN254" s="65">
        <f>AVERAGEIFS($AR$36:$AR$167,$C$36:$C$167,"=3", $B$36:$B$167,"OFICIAL")</f>
        <v>0.59400000000000008</v>
      </c>
      <c r="AO254" s="65">
        <f>AVERAGEIFS($AS$36:$AS$167,$C$36:$C$167,"=3", $B$36:$B$167,"OFICIAL")</f>
        <v>7.1999999999999995E-2</v>
      </c>
      <c r="AP254" s="65">
        <f>AVERAGEIFS($AP$36:$AP$167,$C$36:$C$167,"=3", $B$36:$B$167,"NO OFICIAL")</f>
        <v>1.2000000000000002E-2</v>
      </c>
      <c r="AQ254" s="65">
        <f>AVERAGEIFS($AQ$36:$AQ$167,$C$36:$C$167,"=3", $B$36:$B$167,"NO OFICIAL")</f>
        <v>0.24666666666666667</v>
      </c>
      <c r="AR254" s="65">
        <f>AVERAGEIFS($AR$36:$AR$167,$C$36:$C$167,"=3", $B$36:$B$167,"NO OFICIAL")</f>
        <v>0.66399999999999992</v>
      </c>
      <c r="AS254" s="65">
        <f>AVERAGEIFS($AS$36:$AS$167,$C$36:$C$167,"=3", $B$36:$B$167,"NO OFICIAL")</f>
        <v>7.5333333333333335E-2</v>
      </c>
      <c r="AT254" s="65">
        <f>AVERAGEIFS($BA$36:$BA$167,$C$36:$C$167,"=3", $B$36:$B$167,"OFICIAL")</f>
        <v>1.6E-2</v>
      </c>
      <c r="AU254" s="65">
        <f>AVERAGEIFS($BB$36:$BB$167,$C$36:$C$167,"=3", $B$36:$B$167,"OFICIAL")</f>
        <v>0.34199999999999997</v>
      </c>
      <c r="AV254" s="65">
        <f>AVERAGEIFS($BC$36:$BC$167,$C$36:$C$167,"=3", $B$36:$B$167,"OFICIAL")</f>
        <v>0.55600000000000005</v>
      </c>
      <c r="AW254" s="65">
        <f>AVERAGEIFS($BD$36:$BD$167,$C$36:$C$167,"=3", $B$36:$B$167,"OFICIAL")</f>
        <v>8.7999999999999995E-2</v>
      </c>
      <c r="AX254" s="65">
        <f>AVERAGEIFS($BA$36:$BA$167,$C$36:$C$167,"=3", $B$36:$B$167,"NO OFICIAL")</f>
        <v>0.01</v>
      </c>
      <c r="AY254" s="65">
        <f>AVERAGEIFS($BB$36:$BB$167,$C$36:$C$167,"=3", $B$36:$B$167,"NO OFICIAL")</f>
        <v>0.26999999999999996</v>
      </c>
      <c r="AZ254" s="65">
        <f>AVERAGEIFS($BC$36:$BC$167,$C$36:$C$167,"=3", $B$36:$B$167,"NO OFICIAL")</f>
        <v>0.56000000000000005</v>
      </c>
      <c r="BA254" s="65">
        <f>AVERAGEIFS($BD$36:$BD$167,$C$36:$C$167,"=3", $B$36:$B$167,"NO OFICIAL")</f>
        <v>0.16266666666666665</v>
      </c>
    </row>
    <row r="255" spans="3:53" x14ac:dyDescent="0.25">
      <c r="E255" s="39" t="s">
        <v>249</v>
      </c>
      <c r="F255" s="65">
        <f>AVERAGEIFS($F$36:$F$167,$C$36:$C$167,"=4", $B$36:$B$167,"OFICIAL")</f>
        <v>3.1666666666666669E-2</v>
      </c>
      <c r="G255" s="65">
        <f>AVERAGEIFS($G$36:$G$167,$C$36:$C$167,"=4", $B$36:$B$167,"OFICIAL")</f>
        <v>0.53833333333333322</v>
      </c>
      <c r="H255" s="65">
        <f>AVERAGEIFS($H$36:$H$167,$C$36:$C$167,"=4", $B$36:$B$167,"OFICIAL")</f>
        <v>0.40833333333333338</v>
      </c>
      <c r="I255" s="65">
        <f>AVERAGEIFS($I$36:$I$167,$C$36:$C$167,"=4", $B$36:$B$167,"OFICIAL")</f>
        <v>1.8333333333333333E-2</v>
      </c>
      <c r="J255" s="65">
        <f>AVERAGEIFS($F$36:$F$167,$C$36:$C$167,"=4", $B$36:$B$167,"NO OFICIAL")</f>
        <v>2.2499999999999999E-2</v>
      </c>
      <c r="K255" s="65">
        <f>AVERAGEIFS($G$36:$G$167,$C$36:$C$167,"=4", $B$36:$B$167,"NO OFICIAL")</f>
        <v>0.41125</v>
      </c>
      <c r="L255" s="65">
        <f>AVERAGEIFS($H$36:$H$167,$C$36:$C$167,"=4", $B$36:$B$167,"NO OFICIAL")</f>
        <v>0.53875000000000006</v>
      </c>
      <c r="M255" s="65">
        <f>AVERAGEIFS($I$36:$I$167,$C$36:$C$167,"=4", $B$36:$B$167,"NO OFICIAL")</f>
        <v>2.7499999999999997E-2</v>
      </c>
      <c r="N255" s="65">
        <f>AVERAGEIFS($O$36:$O$167,$C$36:$C$167,"=4", $B$36:$B$167,"OFICIAL")</f>
        <v>1.6666666666666666E-2</v>
      </c>
      <c r="O255" s="65">
        <f>AVERAGEIFS($P$36:$P$167,$C$36:$C$167,"=4", $B$36:$B$167,"OFICIAL")</f>
        <v>0.47000000000000003</v>
      </c>
      <c r="P255" s="65">
        <f>AVERAGEIFS($Q$36:$Q$167,$C$36:$C$167,"=4", $B$36:$B$167,"OFICIAL")</f>
        <v>0.45666666666666661</v>
      </c>
      <c r="Q255" s="65">
        <f>AVERAGEIFS($R$36:$R$167,$C$36:$C$167,"=4", $B$36:$B$167,"OFICIAL")</f>
        <v>5.5E-2</v>
      </c>
      <c r="R255" s="65">
        <f>AVERAGEIFS($O$36:$O$167,$C$36:$C$167,"=4", $B$36:$B$167,"NO OFICIAL")</f>
        <v>0.01</v>
      </c>
      <c r="S255" s="65">
        <f>AVERAGEIFS($P$36:$P$167,$C$36:$C$167,"=4", $B$36:$B$167,"NO OFICIAL")</f>
        <v>0.22999999999999998</v>
      </c>
      <c r="T255" s="65">
        <f>AVERAGEIFS($Q$36:$Q$167,$C$36:$C$167,"=4", $B$36:$B$167,"NO OFICIAL")</f>
        <v>0.65999999999999992</v>
      </c>
      <c r="U255" s="65">
        <f>AVERAGEIFS($R$36:$R$167,$C$36:$C$167,"=4", $B$36:$B$167,"NO OFICIAL")</f>
        <v>0.10125000000000001</v>
      </c>
      <c r="V255" s="65">
        <f>AVERAGEIFS($X$36:$X$167,$C$36:$C$167,"=4", $B$36:$B$167,"OFICIAL")</f>
        <v>2.6666666666666668E-2</v>
      </c>
      <c r="W255" s="65">
        <f>AVERAGEIFS($Y$36:$Y$167,$C$36:$C$167,"=4", $B$36:$B$167,"OFICIAL")</f>
        <v>0.5083333333333333</v>
      </c>
      <c r="X255" s="65">
        <f>AVERAGEIFS($Z$36:$Z$167,$C$36:$C$167,"=4", $B$36:$B$167,"OFICIAL")</f>
        <v>0.42</v>
      </c>
      <c r="Y255" s="65">
        <f>AVERAGEIFS($AA$36:$AA$167,$C$36:$C$167,"=4", $B$36:$B$167,"OFICIAL")</f>
        <v>4.1666666666666664E-2</v>
      </c>
      <c r="Z255" s="65">
        <f>AVERAGEIFS($X$36:$X$167,$C$36:$C$167,"=4", $B$36:$B$167,"NO OFICIAL")</f>
        <v>0</v>
      </c>
      <c r="AA255" s="65">
        <f>AVERAGEIFS($Y$36:$Y$167,$C$36:$C$167,"=4", $B$36:$B$167,"NO OFICIAL")</f>
        <v>0.26555555555555554</v>
      </c>
      <c r="AB255" s="65">
        <f>AVERAGEIFS($Z$36:$Z$167,$C$36:$C$167,"=4", $B$36:$B$167,"NO OFICIAL")</f>
        <v>0.68333333333333335</v>
      </c>
      <c r="AC255" s="65">
        <f>AVERAGEIFS($AA$36:$AA$167,$C$36:$C$167,"=4", $B$36:$B$167,"NO OFICIAL")</f>
        <v>5.2222222222222218E-2</v>
      </c>
      <c r="AD255" s="65">
        <f>AVERAGEIFS($AG$36:$AG$167,$C$36:$C$167,"=4", $B$36:$B$167,"OFICIAL")</f>
        <v>4.8333333333333339E-2</v>
      </c>
      <c r="AE255" s="65">
        <f>AVERAGEIFS($AH$36:$AH$167,$C$36:$C$167,"=4", $B$36:$B$167,"OFICIAL")</f>
        <v>0.49333333333333335</v>
      </c>
      <c r="AF255" s="65">
        <f>AVERAGEIFS($AI$36:$AI$167,$C$36:$C$167,"=4", $B$36:$B$167,"OFICIAL")</f>
        <v>0.40833333333333338</v>
      </c>
      <c r="AG255" s="65">
        <f>AVERAGEIFS($AJ$36:$AJ$167,$C$36:$C$167,"=4", $B$36:$B$167,"OFICIAL")</f>
        <v>5.1666666666666666E-2</v>
      </c>
      <c r="AH255" s="65">
        <f>AVERAGEIFS($AG$36:$AG$167,$C$36:$C$167,"=4", $B$36:$B$167,"NO OFICIAL")</f>
        <v>2.2500000000000003E-2</v>
      </c>
      <c r="AI255" s="65">
        <f>AVERAGEIFS($AH$36:$AH$167,$C$36:$C$167,"=4", $B$36:$B$167,"NO OFICIAL")</f>
        <v>0.31874999999999992</v>
      </c>
      <c r="AJ255" s="65">
        <f>AVERAGEIFS($AI$36:$AI$167,$C$36:$C$167,"=4", $B$36:$B$167,"NO OFICIAL")</f>
        <v>0.55500000000000005</v>
      </c>
      <c r="AK255" s="65">
        <f>AVERAGEIFS($AJ$36:$AJ$167,$C$36:$C$167,"=4", $B$36:$B$167,"NO OFICIAL")</f>
        <v>0.10375</v>
      </c>
      <c r="AL255" s="65">
        <f>AVERAGEIFS($AP$36:$AP$167,$C$36:$C$167,"=4", $B$36:$B$167,"OFICIAL")</f>
        <v>3.8333333333333337E-2</v>
      </c>
      <c r="AM255" s="65">
        <f>AVERAGEIFS($AQ$36:$AQ$167,$C$36:$C$167,"=4", $B$36:$B$167,"OFICIAL")</f>
        <v>0.48</v>
      </c>
      <c r="AN255" s="65">
        <f>AVERAGEIFS($AR$36:$AR$167,$C$36:$C$167,"=4", $B$36:$B$167,"OFICIAL")</f>
        <v>0.44666666666666671</v>
      </c>
      <c r="AO255" s="65">
        <f>AVERAGEIFS($AS$36:$AS$167,$C$36:$C$167,"=4", $B$36:$B$167,"OFICIAL")</f>
        <v>3.8333333333333337E-2</v>
      </c>
      <c r="AP255" s="65">
        <f>AVERAGEIFS($AP$36:$AP$167,$C$36:$C$167,"=4", $B$36:$B$167,"NO OFICIAL")</f>
        <v>2.5714285714285714E-2</v>
      </c>
      <c r="AQ255" s="65">
        <f>AVERAGEIFS($AQ$36:$AQ$167,$C$36:$C$167,"=4", $B$36:$B$167,"NO OFICIAL")</f>
        <v>0.36857142857142861</v>
      </c>
      <c r="AR255" s="65">
        <f>AVERAGEIFS($AR$36:$AR$167,$C$36:$C$167,"=4", $B$36:$B$167,"NO OFICIAL")</f>
        <v>0.53999999999999992</v>
      </c>
      <c r="AS255" s="65">
        <f>AVERAGEIFS($AS$36:$AS$167,$C$36:$C$167,"=4", $B$36:$B$167,"NO OFICIAL")</f>
        <v>6.5714285714285711E-2</v>
      </c>
      <c r="AT255" s="65">
        <f>AVERAGEIFS($BA$36:$BA$167,$C$36:$C$167,"=4", $B$36:$B$167,"OFICIAL")</f>
        <v>3.666666666666666E-2</v>
      </c>
      <c r="AU255" s="65">
        <f>AVERAGEIFS($BB$36:$BB$167,$C$36:$C$167,"=4", $B$36:$B$167,"OFICIAL")</f>
        <v>0.47333333333333333</v>
      </c>
      <c r="AV255" s="65">
        <f>AVERAGEIFS($BC$36:$BC$167,$C$36:$C$167,"=4", $B$36:$B$167,"OFICIAL")</f>
        <v>0.45</v>
      </c>
      <c r="AW255" s="65">
        <f>AVERAGEIFS($BD$36:$BD$167,$C$36:$C$167,"=4", $B$36:$B$167,"OFICIAL")</f>
        <v>0.04</v>
      </c>
      <c r="AX255" s="65">
        <f>AVERAGEIFS($BA$36:$BA$167,$C$36:$C$167,"=4", $B$36:$B$167,"NO OFICIAL")</f>
        <v>7.4999999999999997E-3</v>
      </c>
      <c r="AY255" s="65">
        <f>AVERAGEIFS($BB$36:$BB$167,$C$36:$C$167,"=4", $B$36:$B$167,"NO OFICIAL")</f>
        <v>0.34124999999999994</v>
      </c>
      <c r="AZ255" s="65">
        <f>AVERAGEIFS($BC$36:$BC$167,$C$36:$C$167,"=4", $B$36:$B$167,"NO OFICIAL")</f>
        <v>0.58624999999999994</v>
      </c>
      <c r="BA255" s="65">
        <f>AVERAGEIFS($BD$36:$BD$167,$C$36:$C$167,"=4", $B$36:$B$167,"NO OFICIAL")</f>
        <v>6.7500000000000004E-2</v>
      </c>
    </row>
    <row r="256" spans="3:53" x14ac:dyDescent="0.25">
      <c r="E256" s="39" t="s">
        <v>250</v>
      </c>
      <c r="F256" s="65">
        <f>AVERAGEIFS($F$36:$F$167,$C$36:$C$167,"=5", $B$36:$B$167,"OFICIAL")</f>
        <v>0.01</v>
      </c>
      <c r="G256" s="65">
        <f>AVERAGEIFS($G$36:$G$167,$C$36:$C$167,"=5", $B$36:$B$167,"OFICIAL")</f>
        <v>0.35499999999999998</v>
      </c>
      <c r="H256" s="65">
        <f>AVERAGEIFS($H$36:$H$167,$C$36:$C$167,"=5", $B$36:$B$167,"OFICIAL")</f>
        <v>0.57499999999999996</v>
      </c>
      <c r="I256" s="65">
        <f>AVERAGEIFS($I$36:$I$167,$C$36:$C$167,"=5", $B$36:$B$167,"OFICIAL")</f>
        <v>0.06</v>
      </c>
      <c r="J256" s="65">
        <f>AVERAGEIFS($F$36:$F$167,$C$36:$C$167,"=5", $B$36:$B$167,"NO OFICIAL")</f>
        <v>1.2E-2</v>
      </c>
      <c r="K256" s="65">
        <f>AVERAGEIFS($G$36:$G$167,$C$36:$C$167,"=5", $B$36:$B$167,"NO OFICIAL")</f>
        <v>0.25466666666666665</v>
      </c>
      <c r="L256" s="65">
        <f>AVERAGEIFS($H$36:$H$167,$C$36:$C$167,"=5", $B$36:$B$167,"NO OFICIAL")</f>
        <v>0.64600000000000002</v>
      </c>
      <c r="M256" s="65">
        <f>AVERAGEIFS($I$36:$I$167,$C$36:$C$167,"=5", $B$36:$B$167,"NO OFICIAL")</f>
        <v>8.8000000000000009E-2</v>
      </c>
      <c r="N256" s="65">
        <f>AVERAGEIFS($O$36:$O$167,$C$36:$C$167,"=5", $B$36:$B$167,"OFICIAL")</f>
        <v>1.4999999999999999E-2</v>
      </c>
      <c r="O256" s="65">
        <f>AVERAGEIFS($P$36:$P$167,$C$36:$C$167,"=5", $B$36:$B$167,"OFICIAL")</f>
        <v>0.33499999999999996</v>
      </c>
      <c r="P256" s="65">
        <f>AVERAGEIFS($Q$36:$Q$167,$C$36:$C$167,"=5", $B$36:$B$167,"OFICIAL")</f>
        <v>0.56499999999999995</v>
      </c>
      <c r="Q256" s="65">
        <f>AVERAGEIFS($R$36:$R$167,$C$36:$C$167,"=5", $B$36:$B$167,"OFICIAL")</f>
        <v>0.08</v>
      </c>
      <c r="R256" s="65">
        <f>AVERAGEIFS($O$36:$O$167,$C$36:$C$167,"=5", $B$36:$B$167,"NO OFICIAL")</f>
        <v>0.01</v>
      </c>
      <c r="S256" s="65">
        <f>AVERAGEIFS($P$36:$P$167,$C$36:$C$167,"=5", $B$36:$B$167,"NO OFICIAL")</f>
        <v>0.19687499999999999</v>
      </c>
      <c r="T256" s="65">
        <f>AVERAGEIFS($Q$36:$Q$167,$C$36:$C$167,"=5", $B$36:$B$167,"NO OFICIAL")</f>
        <v>0.67249999999999999</v>
      </c>
      <c r="U256" s="65">
        <f>AVERAGEIFS($R$36:$R$167,$C$36:$C$167,"=5", $B$36:$B$167,"NO OFICIAL")</f>
        <v>0.11874999999999999</v>
      </c>
      <c r="V256" s="65">
        <f>AVERAGEIFS($X$36:$X$167,$C$36:$C$167,"=5", $B$36:$B$167,"OFICIAL")</f>
        <v>0.01</v>
      </c>
      <c r="W256" s="65">
        <f>AVERAGEIFS($Y$36:$Y$167,$C$36:$C$167,"=5", $B$36:$B$167,"OFICIAL")</f>
        <v>0.4</v>
      </c>
      <c r="X256" s="65">
        <f>AVERAGEIFS($Z$36:$Z$167,$C$36:$C$167,"=5", $B$36:$B$167,"OFICIAL")</f>
        <v>0.53</v>
      </c>
      <c r="Y256" s="65">
        <f>AVERAGEIFS($AA$36:$AA$167,$C$36:$C$167,"=5", $B$36:$B$167,"OFICIAL")</f>
        <v>6.5000000000000002E-2</v>
      </c>
      <c r="Z256" s="65">
        <f>AVERAGEIFS($X$36:$X$167,$C$36:$C$167,"=5", $B$36:$B$167,"NO OFICIAL")</f>
        <v>1.2500000000000001E-2</v>
      </c>
      <c r="AA256" s="65">
        <f>AVERAGEIFS($Y$36:$Y$167,$C$36:$C$167,"=5", $B$36:$B$167,"NO OFICIAL")</f>
        <v>0.25187500000000002</v>
      </c>
      <c r="AB256" s="65">
        <f>AVERAGEIFS($Z$36:$Z$167,$C$36:$C$167,"=5", $B$36:$B$167,"NO OFICIAL")</f>
        <v>0.60499999999999998</v>
      </c>
      <c r="AC256" s="65">
        <f>AVERAGEIFS($AA$36:$AA$167,$C$36:$C$167,"=5", $B$36:$B$167,"NO OFICIAL")</f>
        <v>0.13250000000000001</v>
      </c>
      <c r="AD256" s="65">
        <f>AVERAGEIFS($AG$36:$AG$167,$C$36:$C$167,"=5", $B$36:$B$167,"OFICIAL")</f>
        <v>0.02</v>
      </c>
      <c r="AE256" s="65">
        <f>AVERAGEIFS($AH$36:$AH$167,$C$36:$C$167,"=5", $B$36:$B$167,"OFICIAL")</f>
        <v>0.30500000000000005</v>
      </c>
      <c r="AF256" s="65">
        <f>AVERAGEIFS($AI$36:$AI$167,$C$36:$C$167,"=5", $B$36:$B$167,"OFICIAL")</f>
        <v>0.6</v>
      </c>
      <c r="AG256" s="65">
        <f>AVERAGEIFS($AJ$36:$AJ$167,$C$36:$C$167,"=5", $B$36:$B$167,"OFICIAL")</f>
        <v>7.0000000000000007E-2</v>
      </c>
      <c r="AH256" s="65">
        <f>AVERAGEIFS($AG$36:$AG$167,$C$36:$C$167,"=5", $B$36:$B$167,"NO OFICIAL")</f>
        <v>5.2941176470588241E-3</v>
      </c>
      <c r="AI256" s="65">
        <f>AVERAGEIFS($AH$36:$AH$167,$C$36:$C$167,"=5", $B$36:$B$167,"NO OFICIAL")</f>
        <v>0.24941176470588242</v>
      </c>
      <c r="AJ256" s="65">
        <f>AVERAGEIFS($AI$36:$AI$167,$C$36:$C$167,"=5", $B$36:$B$167,"NO OFICIAL")</f>
        <v>0.59058823529411775</v>
      </c>
      <c r="AK256" s="65">
        <f>AVERAGEIFS($AJ$36:$AJ$167,$C$36:$C$167,"=5", $B$36:$B$167,"NO OFICIAL")</f>
        <v>0.15588235294117647</v>
      </c>
      <c r="AL256" s="65">
        <f>AVERAGEIFS($AP$36:$AP$167,$C$36:$C$167,"=5", $B$36:$B$167,"OFICIAL")</f>
        <v>0.02</v>
      </c>
      <c r="AM256" s="65">
        <f>AVERAGEIFS($AQ$36:$AQ$167,$C$36:$C$167,"=5", $B$36:$B$167,"OFICIAL")</f>
        <v>0.33499999999999996</v>
      </c>
      <c r="AN256" s="65">
        <f>AVERAGEIFS($AR$36:$AR$167,$C$36:$C$167,"=5", $B$36:$B$167,"OFICIAL")</f>
        <v>0.57000000000000006</v>
      </c>
      <c r="AO256" s="65">
        <f>AVERAGEIFS($AS$36:$AS$167,$C$36:$C$167,"=5", $B$36:$B$167,"OFICIAL")</f>
        <v>7.5000000000000011E-2</v>
      </c>
      <c r="AP256" s="65">
        <f>AVERAGEIFS($AP$36:$AP$167,$C$36:$C$167,"=5", $B$36:$B$167,"NO OFICIAL")</f>
        <v>0</v>
      </c>
      <c r="AQ256" s="65">
        <f>AVERAGEIFS($AQ$36:$AQ$167,$C$36:$C$167,"=5", $B$36:$B$167,"NO OFICIAL")</f>
        <v>0.20312500000000003</v>
      </c>
      <c r="AR256" s="65">
        <f>AVERAGEIFS($AR$36:$AR$167,$C$36:$C$167,"=5", $B$36:$B$167,"NO OFICIAL")</f>
        <v>0.67562500000000003</v>
      </c>
      <c r="AS256" s="65">
        <f>AVERAGEIFS($AS$36:$AS$167,$C$36:$C$167,"=5", $B$36:$B$167,"NO OFICIAL")</f>
        <v>0.12124999999999998</v>
      </c>
      <c r="AT256" s="65">
        <f>AVERAGEIFS($BA$36:$BA$167,$C$36:$C$167,"=5", $B$36:$B$167,"OFICIAL")</f>
        <v>2.5000000000000001E-2</v>
      </c>
      <c r="AU256" s="65">
        <f>AVERAGEIFS($BB$36:$BB$167,$C$36:$C$167,"=5", $B$36:$B$167,"OFICIAL")</f>
        <v>0.34499999999999997</v>
      </c>
      <c r="AV256" s="65">
        <f>AVERAGEIFS($BC$36:$BC$167,$C$36:$C$167,"=5", $B$36:$B$167,"OFICIAL")</f>
        <v>0.51</v>
      </c>
      <c r="AW256" s="65">
        <f>AVERAGEIFS($BD$36:$BD$167,$C$36:$C$167,"=5", $B$36:$B$167,"OFICIAL")</f>
        <v>0.115</v>
      </c>
      <c r="AX256" s="65">
        <f>AVERAGEIFS($BA$36:$BA$167,$C$36:$C$167,"=5", $B$36:$B$167,"NO OFICIAL")</f>
        <v>3.1250000000000002E-3</v>
      </c>
      <c r="AY256" s="65">
        <f>AVERAGEIFS($BB$36:$BB$167,$C$36:$C$167,"=5", $B$36:$B$167,"NO OFICIAL")</f>
        <v>0.20624999999999999</v>
      </c>
      <c r="AZ256" s="65">
        <f>AVERAGEIFS($BC$36:$BC$167,$C$36:$C$167,"=5", $B$36:$B$167,"NO OFICIAL")</f>
        <v>0.604375</v>
      </c>
      <c r="BA256" s="65">
        <f>AVERAGEIFS($BD$36:$BD$167,$C$36:$C$167,"=5", $B$36:$B$167,"NO OFICIAL")</f>
        <v>0.185</v>
      </c>
    </row>
    <row r="257" spans="5:55" x14ac:dyDescent="0.25">
      <c r="E257" s="39" t="s">
        <v>251</v>
      </c>
      <c r="F257" s="65">
        <f>AVERAGEIFS($F$36:$F$167,$C$36:$C$167,"=6", $B$36:$B$167,"OFICIAL")</f>
        <v>6.6666666666666671E-3</v>
      </c>
      <c r="G257" s="65">
        <f>AVERAGEIFS($G$36:$G$167,$C$36:$C$167,"=6", $B$36:$B$167,"OFICIAL")</f>
        <v>0.41</v>
      </c>
      <c r="H257" s="65">
        <f>AVERAGEIFS($H$36:$H$167,$C$36:$C$167,"=6", $B$36:$B$167,"OFICIAL")</f>
        <v>0.54</v>
      </c>
      <c r="I257" s="65">
        <f>AVERAGEIFS($I$36:$I$167,$C$36:$C$167,"=6", $B$36:$B$167,"OFICIAL")</f>
        <v>4.3333333333333335E-2</v>
      </c>
      <c r="J257" s="65">
        <f>AVERAGEIFS($F$36:$F$167,$C$36:$C$167,"=6", $B$36:$B$167,"NO OFICIAL")</f>
        <v>7.5000000000000006E-3</v>
      </c>
      <c r="K257" s="65">
        <f>AVERAGEIFS($G$36:$G$167,$C$36:$C$167,"=6", $B$36:$B$167,"NO OFICIAL")</f>
        <v>0.3666666666666667</v>
      </c>
      <c r="L257" s="65">
        <f>AVERAGEIFS($H$36:$H$167,$C$36:$C$167,"=6", $B$36:$B$167,"NO OFICIAL")</f>
        <v>0.56500000000000006</v>
      </c>
      <c r="M257" s="65">
        <f>AVERAGEIFS($I$36:$I$167,$C$36:$C$167,"=6", $B$36:$B$167,"NO OFICIAL")</f>
        <v>6.1666666666666668E-2</v>
      </c>
      <c r="N257" s="65">
        <f>AVERAGEIFS($O$36:$O$167,$C$36:$C$167,"=6", $B$36:$B$167,"OFICIAL")</f>
        <v>6.6666666666666671E-3</v>
      </c>
      <c r="O257" s="65">
        <f>AVERAGEIFS($P$36:$P$167,$C$36:$C$167,"=6", $B$36:$B$167,"OFICIAL")</f>
        <v>0.39999999999999997</v>
      </c>
      <c r="P257" s="65">
        <f>AVERAGEIFS($Q$36:$Q$167,$C$36:$C$167,"=6", $B$36:$B$167,"OFICIAL")</f>
        <v>0.54666666666666675</v>
      </c>
      <c r="Q257" s="65">
        <f>AVERAGEIFS($R$36:$R$167,$C$36:$C$167,"=6", $B$36:$B$167,"OFICIAL")</f>
        <v>4.6666666666666669E-2</v>
      </c>
      <c r="R257" s="65">
        <f>AVERAGEIFS($O$36:$O$167,$C$36:$C$167,"=6", $B$36:$B$167,"NO OFICIAL")</f>
        <v>3.3333333333333333E-2</v>
      </c>
      <c r="S257" s="65">
        <f>AVERAGEIFS($P$36:$P$167,$C$36:$C$167,"=6", $B$36:$B$167,"NO OFICIAL")</f>
        <v>0.29916666666666675</v>
      </c>
      <c r="T257" s="65">
        <f>AVERAGEIFS($Q$36:$Q$167,$C$36:$C$167,"=6", $B$36:$B$167,"NO OFICIAL")</f>
        <v>0.58250000000000002</v>
      </c>
      <c r="U257" s="65">
        <f>AVERAGEIFS($R$36:$R$167,$C$36:$C$167,"=6", $B$36:$B$167,"NO OFICIAL")</f>
        <v>8.5833333333333331E-2</v>
      </c>
      <c r="V257" s="65">
        <f>AVERAGEIFS($X$36:$X$167,$C$36:$C$167,"=6", $B$36:$B$167,"OFICIAL")</f>
        <v>2.6666666666666661E-2</v>
      </c>
      <c r="W257" s="65">
        <f>AVERAGEIFS($Y$36:$Y$167,$C$36:$C$167,"=6", $B$36:$B$167,"OFICIAL")</f>
        <v>0.41</v>
      </c>
      <c r="X257" s="65">
        <f>AVERAGEIFS($Z$36:$Z$167,$C$36:$C$167,"=6", $B$36:$B$167,"OFICIAL")</f>
        <v>0.47666666666666663</v>
      </c>
      <c r="Y257" s="65">
        <f>AVERAGEIFS($AA$36:$AA$167,$C$36:$C$167,"=6", $B$36:$B$167,"OFICIAL")</f>
        <v>8.666666666666667E-2</v>
      </c>
      <c r="Z257" s="65">
        <f>AVERAGEIFS($X$36:$X$167,$C$36:$C$167,"=6", $B$36:$B$167,"NO OFICIAL")</f>
        <v>5.454545454545455E-3</v>
      </c>
      <c r="AA257" s="65">
        <f>AVERAGEIFS($Y$36:$Y$167,$C$36:$C$167,"=6", $B$36:$B$167,"NO OFICIAL")</f>
        <v>0.36090909090909096</v>
      </c>
      <c r="AB257" s="65">
        <f>AVERAGEIFS($Z$36:$Z$167,$C$36:$C$167,"=6", $B$36:$B$167,"NO OFICIAL")</f>
        <v>0.52727272727272723</v>
      </c>
      <c r="AC257" s="65">
        <f>AVERAGEIFS($AA$36:$AA$167,$C$36:$C$167,"=6", $B$36:$B$167,"NO OFICIAL")</f>
        <v>0.1109090909090909</v>
      </c>
      <c r="AD257" s="65">
        <f>AVERAGEIFS($AG$36:$AG$167,$C$36:$C$167,"=6", $B$36:$B$167,"OFICIAL")</f>
        <v>2.3333333333333334E-2</v>
      </c>
      <c r="AE257" s="65">
        <f>AVERAGEIFS($AH$36:$AH$167,$C$36:$C$167,"=6", $B$36:$B$167,"OFICIAL")</f>
        <v>0.35666666666666663</v>
      </c>
      <c r="AF257" s="65">
        <f>AVERAGEIFS($AI$36:$AI$167,$C$36:$C$167,"=6", $B$36:$B$167,"OFICIAL")</f>
        <v>0.55000000000000004</v>
      </c>
      <c r="AG257" s="65">
        <f>AVERAGEIFS($AJ$36:$AJ$167,$C$36:$C$167,"=6", $B$36:$B$167,"OFICIAL")</f>
        <v>7.3333333333333348E-2</v>
      </c>
      <c r="AH257" s="65">
        <f>AVERAGEIFS($AG$36:$AG$167,$C$36:$C$167,"=6", $B$36:$B$167,"NO OFICIAL")</f>
        <v>8.3333333333333332E-3</v>
      </c>
      <c r="AI257" s="65">
        <f>AVERAGEIFS($AH$36:$AH$167,$C$36:$C$167,"=6", $B$36:$B$167,"NO OFICIAL")</f>
        <v>0.31666666666666665</v>
      </c>
      <c r="AJ257" s="65">
        <f>AVERAGEIFS($AI$36:$AI$167,$C$36:$C$167,"=6", $B$36:$B$167,"NO OFICIAL")</f>
        <v>0.55666666666666675</v>
      </c>
      <c r="AK257" s="65">
        <f>AVERAGEIFS($AJ$36:$AJ$167,$C$36:$C$167,"=6", $B$36:$B$167,"NO OFICIAL")</f>
        <v>0.11833333333333333</v>
      </c>
      <c r="AL257" s="65">
        <f>AVERAGEIFS($AP$36:$AP$167,$C$36:$C$167,"=6", $B$36:$B$167,"OFICIAL")</f>
        <v>0.03</v>
      </c>
      <c r="AM257" s="65">
        <f>AVERAGEIFS($AQ$36:$AQ$167,$C$36:$C$167,"=6", $B$36:$B$167,"OFICIAL")</f>
        <v>0.36000000000000004</v>
      </c>
      <c r="AN257" s="65">
        <f>AVERAGEIFS($AR$36:$AR$167,$C$36:$C$167,"=6", $B$36:$B$167,"OFICIAL")</f>
        <v>0.53666666666666663</v>
      </c>
      <c r="AO257" s="65">
        <f>AVERAGEIFS($AS$36:$AS$167,$C$36:$C$167,"=6", $B$36:$B$167,"OFICIAL")</f>
        <v>7.6666666666666675E-2</v>
      </c>
      <c r="AP257" s="65">
        <f>AVERAGEIFS($AP$36:$AP$167,$C$36:$C$167,"=6", $B$36:$B$167,"NO OFICIAL")</f>
        <v>4.1428571428571433E-2</v>
      </c>
      <c r="AQ257" s="65">
        <f>AVERAGEIFS($AQ$36:$AQ$167,$C$36:$C$167,"=6", $B$36:$B$167,"NO OFICIAL")</f>
        <v>0.33785714285714291</v>
      </c>
      <c r="AR257" s="65">
        <f>AVERAGEIFS($AR$36:$AR$167,$C$36:$C$167,"=6", $B$36:$B$167,"NO OFICIAL")</f>
        <v>0.55214285714285716</v>
      </c>
      <c r="AS257" s="65">
        <f>AVERAGEIFS($AS$36:$AS$167,$C$36:$C$167,"=6", $B$36:$B$167,"NO OFICIAL")</f>
        <v>6.7857142857142866E-2</v>
      </c>
      <c r="AT257" s="65">
        <f>AVERAGEIFS($BA$36:$BA$167,$C$36:$C$167,"=6", $B$36:$B$167,"OFICIAL")</f>
        <v>3.3333333333333333E-2</v>
      </c>
      <c r="AU257" s="65">
        <f>AVERAGEIFS($BB$36:$BB$167,$C$36:$C$167,"=6", $B$36:$B$167,"OFICIAL")</f>
        <v>0.39666666666666667</v>
      </c>
      <c r="AV257" s="65">
        <f>AVERAGEIFS($BC$36:$BC$167,$C$36:$C$167,"=6", $B$36:$B$167,"OFICIAL")</f>
        <v>0.5033333333333333</v>
      </c>
      <c r="AW257" s="65">
        <f>AVERAGEIFS($BD$36:$BD$167,$C$36:$C$167,"=6", $B$36:$B$167,"OFICIAL")</f>
        <v>7.3333333333333334E-2</v>
      </c>
      <c r="AX257" s="65">
        <f>AVERAGEIFS($BA$36:$BA$167,$C$36:$C$167,"=6", $B$36:$B$167,"NO OFICIAL")</f>
        <v>1.2142857142857144E-2</v>
      </c>
      <c r="AY257" s="65">
        <f>AVERAGEIFS($BB$36:$BB$167,$C$36:$C$167,"=6", $B$36:$B$167,"NO OFICIAL")</f>
        <v>0.36571428571428571</v>
      </c>
      <c r="AZ257" s="65">
        <f>AVERAGEIFS($BC$36:$BC$167,$C$36:$C$167,"=6", $B$36:$B$167,"NO OFICIAL")</f>
        <v>0.50142857142857156</v>
      </c>
      <c r="BA257" s="65">
        <f>AVERAGEIFS($BD$36:$BD$167,$C$36:$C$167,"=6", $B$36:$B$167,"NO OFICIAL")</f>
        <v>0.12214285714285714</v>
      </c>
    </row>
    <row r="259" spans="5:55" x14ac:dyDescent="0.25">
      <c r="E259" s="429"/>
      <c r="F259" s="853">
        <v>2016</v>
      </c>
      <c r="G259" s="853"/>
      <c r="H259" s="853"/>
      <c r="I259" s="853">
        <v>2017</v>
      </c>
      <c r="J259" s="853">
        <v>2017</v>
      </c>
      <c r="K259" s="853"/>
      <c r="L259" s="853">
        <v>2018</v>
      </c>
      <c r="M259" s="853"/>
      <c r="N259" s="853">
        <v>2018</v>
      </c>
      <c r="O259" s="853">
        <v>2019</v>
      </c>
      <c r="P259" s="853"/>
      <c r="Q259" s="853"/>
      <c r="R259" s="853">
        <v>2020</v>
      </c>
      <c r="S259" s="853"/>
      <c r="T259" s="853"/>
      <c r="U259" s="853">
        <v>2021</v>
      </c>
      <c r="V259" s="853">
        <v>2020</v>
      </c>
      <c r="W259" s="853"/>
      <c r="X259" s="429"/>
      <c r="Y259" s="429"/>
      <c r="Z259" s="429"/>
      <c r="AA259" s="429"/>
      <c r="AB259" s="429"/>
      <c r="AC259" s="429"/>
    </row>
    <row r="260" spans="5:55" x14ac:dyDescent="0.25">
      <c r="E260" s="429"/>
      <c r="F260" s="287" t="s">
        <v>943</v>
      </c>
      <c r="G260" s="287" t="s">
        <v>944</v>
      </c>
      <c r="H260" s="287" t="s">
        <v>945</v>
      </c>
      <c r="I260" s="287" t="s">
        <v>943</v>
      </c>
      <c r="J260" s="287" t="s">
        <v>944</v>
      </c>
      <c r="K260" s="287" t="s">
        <v>945</v>
      </c>
      <c r="L260" s="287" t="s">
        <v>943</v>
      </c>
      <c r="M260" s="287" t="s">
        <v>944</v>
      </c>
      <c r="N260" s="287" t="s">
        <v>945</v>
      </c>
      <c r="O260" s="287" t="s">
        <v>943</v>
      </c>
      <c r="P260" s="287" t="s">
        <v>944</v>
      </c>
      <c r="Q260" s="287" t="s">
        <v>945</v>
      </c>
      <c r="R260" s="287" t="s">
        <v>943</v>
      </c>
      <c r="S260" s="287" t="s">
        <v>944</v>
      </c>
      <c r="T260" s="287" t="s">
        <v>945</v>
      </c>
      <c r="U260" s="287" t="s">
        <v>943</v>
      </c>
      <c r="V260" s="287" t="s">
        <v>944</v>
      </c>
      <c r="W260" s="287" t="s">
        <v>945</v>
      </c>
      <c r="X260" s="429"/>
      <c r="Y260" s="429"/>
      <c r="Z260" s="429"/>
      <c r="AA260" s="429"/>
      <c r="AB260" s="429"/>
      <c r="AC260" s="429"/>
    </row>
    <row r="261" spans="5:55" x14ac:dyDescent="0.25">
      <c r="E261" s="39" t="s">
        <v>246</v>
      </c>
      <c r="F261" s="65">
        <f>AVERAGEIF($C$36:$C$167,"=1",$K$36:$K$167)</f>
        <v>0.48176470588235293</v>
      </c>
      <c r="G261" s="65">
        <f>AVERAGEIF($C$36:$C$167,"=1",$J$36:$J$167)</f>
        <v>0.43470588235294116</v>
      </c>
      <c r="H261" s="65">
        <f>AVERAGEIF($C$36:$C$167,"=1",$L$36:$L$167)</f>
        <v>0.55941176470588239</v>
      </c>
      <c r="I261" s="65">
        <f>AVERAGEIF($C$36:$C$167,"=1",$T$36:$T$167)</f>
        <v>0.48000000000000004</v>
      </c>
      <c r="J261" s="65">
        <f>AVERAGEIF($C$36:$C$167,"=1",$S$36:$S$167)</f>
        <v>0.44624999999999992</v>
      </c>
      <c r="K261" s="65">
        <f>AVERAGEIF($C$36:$C$167,"=1",$U$36:$U$167)</f>
        <v>0.46562499999999996</v>
      </c>
      <c r="L261" s="65">
        <f>AVERAGEIF($C$36:$C$167,"=1",$AB$36:$AB$167)</f>
        <v>0.44058823529411767</v>
      </c>
      <c r="M261" s="65">
        <f>AVERAGEIF($C$36:$C$167,"=1",$AC$36:$AC$167)</f>
        <v>0.47352941176470592</v>
      </c>
      <c r="N261" s="65">
        <f>AVERAGEIF($C$36:$C$167,"=1",$AD$36:$AD$167)</f>
        <v>0.49941176470588228</v>
      </c>
      <c r="O261" s="65">
        <f>AVERAGEIF($C$36:$C$167,"=1",$AK$36:$AK$167)</f>
        <v>0.4205882352941176</v>
      </c>
      <c r="P261" s="65">
        <f>AVERAGEIF($C$36:$C$167,"=1",$AL$36:$AL$167)</f>
        <v>0.36588235294117644</v>
      </c>
      <c r="Q261" s="65">
        <f>AVERAGEIF($C$36:$C$167,"=1",$AM$36:$AM$167)</f>
        <v>0.42529411764705882</v>
      </c>
      <c r="R261" s="65">
        <f>AVERAGEIF($C$36:$C$167,"=1",$AT$36:$AT$167)</f>
        <v>0.46411764705882358</v>
      </c>
      <c r="S261" s="65">
        <f>AVERAGEIF($C$36:$C$167,"=1",$AV$36:$AV$167)</f>
        <v>0.43588235294117661</v>
      </c>
      <c r="T261" s="65">
        <f>AVERAGEIF($C$36:$C$167,"=1",$AU$36:$AU$167)</f>
        <v>0.3605882352941176</v>
      </c>
      <c r="U261" s="65">
        <f>AVERAGEIF($C$36:$C$167,"=1",$BE$36:$BE$167)</f>
        <v>0.43176470588235294</v>
      </c>
      <c r="V261" s="65">
        <f>AVERAGEIF($C$36:$C$167,"=1",$BF$36:$BF$167)</f>
        <v>0.32117647058823529</v>
      </c>
      <c r="W261" s="65">
        <f>AVERAGEIF($C$36:$C$167,"=1",$BG$36:$BG$167)</f>
        <v>0.53647058823529414</v>
      </c>
      <c r="X261" s="429"/>
      <c r="Y261" s="429"/>
      <c r="Z261" s="429"/>
      <c r="AA261" s="429"/>
      <c r="AB261" s="429"/>
      <c r="AC261" s="429"/>
    </row>
    <row r="262" spans="5:55" x14ac:dyDescent="0.25">
      <c r="E262" s="39" t="s">
        <v>247</v>
      </c>
      <c r="F262" s="65">
        <f>AVERAGEIF($C$36:$C$167,"=2",$K$36:$K$167)</f>
        <v>0.45600000000000013</v>
      </c>
      <c r="G262" s="65">
        <f>AVERAGEIF($C$36:$C$167,"=2",$J$36:$J$167)</f>
        <v>0.41249999999999992</v>
      </c>
      <c r="H262" s="65">
        <f>AVERAGEIF($C$36:$C$167,"=2",$L$36:$L$167)</f>
        <v>0.51300000000000001</v>
      </c>
      <c r="I262" s="65">
        <f>AVERAGEIF($C$36:$C$167,"=2",$T$36:$T$167)</f>
        <v>0.44789473684210523</v>
      </c>
      <c r="J262" s="65">
        <f>AVERAGEIF($C$36:$C$167,"=2",$S$36:$S$167)</f>
        <v>0.40842105263157902</v>
      </c>
      <c r="K262" s="65">
        <f>AVERAGEIF($C$36:$C$167,"=2",$U$36:$U$167)</f>
        <v>0.44263157894736832</v>
      </c>
      <c r="L262" s="65">
        <f>AVERAGEIF($C$36:$C$167,"=2",$AB$36:$AB$167)</f>
        <v>0.41526315789473683</v>
      </c>
      <c r="M262" s="65">
        <f>AVERAGEIF($C$36:$C$167,"=2",$AC$36:$AC$167)</f>
        <v>0.46631578947368429</v>
      </c>
      <c r="N262" s="65">
        <f>AVERAGEIF($C$36:$C$167,"=2",$AD$36:$AD$167)</f>
        <v>0.48052631578947363</v>
      </c>
      <c r="O262" s="65">
        <f>AVERAGEIF($C$36:$C$167,"=2",$AK$36:$AK$167)</f>
        <v>0.39000000000000007</v>
      </c>
      <c r="P262" s="65">
        <f>AVERAGEIF($C$36:$C$167,"=2",$AL$36:$AL$167)</f>
        <v>0.33999999999999997</v>
      </c>
      <c r="Q262" s="65">
        <f>AVERAGEIF($C$36:$C$167,"=2",$AM$36:$AM$167)</f>
        <v>0.39500000000000007</v>
      </c>
      <c r="R262" s="65">
        <f>AVERAGEIF($C$36:$C$167,"=2",$AT$36:$AT$167)</f>
        <v>0.43458333333333332</v>
      </c>
      <c r="S262" s="65">
        <f>AVERAGEIF($C$36:$C$167,"=2",$AV$36:$AV$167)</f>
        <v>0.41708333333333331</v>
      </c>
      <c r="T262" s="65">
        <f>AVERAGEIF($C$36:$C$167,"=2",$AU$36:$AU$167)</f>
        <v>0.36166666666666664</v>
      </c>
      <c r="U262" s="65">
        <f>AVERAGEIF($C$36:$C$167,"=2",$BE$36:$BE$167)</f>
        <v>0.43545454545454554</v>
      </c>
      <c r="V262" s="65">
        <f>AVERAGEIF($C$36:$C$167,"=2",$BF$36:$BF$167)</f>
        <v>0.33636363636363636</v>
      </c>
      <c r="W262" s="65">
        <f>AVERAGEIF($C$36:$C$167,"=2",$BG$36:$BG$167)</f>
        <v>0.52727272727272745</v>
      </c>
      <c r="X262" s="429"/>
      <c r="Y262" s="429"/>
      <c r="Z262" s="429"/>
      <c r="AA262" s="429"/>
      <c r="AB262" s="429"/>
      <c r="AC262" s="429"/>
    </row>
    <row r="263" spans="5:55" x14ac:dyDescent="0.25">
      <c r="E263" s="39" t="s">
        <v>248</v>
      </c>
      <c r="F263" s="65">
        <f>AVERAGEIF($C$36:$C$167,"=3",$K$36:$K$167)</f>
        <v>0.4694444444444445</v>
      </c>
      <c r="G263" s="65">
        <f>AVERAGEIF($C$36:$C$167,"=3",$J$36:$J$167)</f>
        <v>0.40444444444444438</v>
      </c>
      <c r="H263" s="65">
        <f>AVERAGEIF($C$36:$C$167,"=3",$L$36:$L$167)</f>
        <v>0.51888888888888884</v>
      </c>
      <c r="I263" s="65">
        <f>AVERAGEIF($C$36:$C$167,"=3",$T$36:$T$167)</f>
        <v>0.45789473684210524</v>
      </c>
      <c r="J263" s="65">
        <f>AVERAGEIF($C$36:$C$167,"=3",$S$36:$S$167)</f>
        <v>0.42000000000000004</v>
      </c>
      <c r="K263" s="65">
        <f>AVERAGEIF($C$36:$C$167,"=3",$U$36:$U$167)</f>
        <v>0.44631578947368422</v>
      </c>
      <c r="L263" s="65">
        <f>AVERAGEIF($C$36:$C$167,"=3",$AB$36:$AB$167)</f>
        <v>0.40473684210526323</v>
      </c>
      <c r="M263" s="65">
        <f>AVERAGEIF($C$36:$C$167,"=3",$AC$36:$AC$167)</f>
        <v>0.45631578947368423</v>
      </c>
      <c r="N263" s="65">
        <f>AVERAGEIF($C$36:$C$167,"=3",$AD$36:$AD$167)</f>
        <v>0.47842105263157886</v>
      </c>
      <c r="O263" s="65">
        <f>AVERAGEIF($C$36:$C$167,"=3",$AK$36:$AK$167)</f>
        <v>0.40052631578947373</v>
      </c>
      <c r="P263" s="65">
        <f>AVERAGEIF($C$36:$C$167,"=3",$AL$36:$AL$167)</f>
        <v>0.34894736842105267</v>
      </c>
      <c r="Q263" s="65">
        <f>AVERAGEIF($C$36:$C$167,"=3",$AM$36:$AM$167)</f>
        <v>0.39368421052631569</v>
      </c>
      <c r="R263" s="65">
        <f>AVERAGEIF($C$36:$C$167,"=3",$AT$36:$AT$167)</f>
        <v>0.44800000000000006</v>
      </c>
      <c r="S263" s="65">
        <f>AVERAGEIF($C$36:$C$167,"=3",$AV$36:$AV$167)</f>
        <v>0.40499999999999997</v>
      </c>
      <c r="T263" s="65">
        <f>AVERAGEIF($C$36:$C$167,"=3",$AU$36:$AU$167)</f>
        <v>0.34550000000000003</v>
      </c>
      <c r="U263" s="65">
        <f>AVERAGEIF($C$36:$C$167,"=3",$BE$36:$BE$167)</f>
        <v>0.41200000000000003</v>
      </c>
      <c r="V263" s="65">
        <f>AVERAGEIF($C$36:$C$167,"=3",$BF$36:$BF$167)</f>
        <v>0.32050000000000001</v>
      </c>
      <c r="W263" s="65">
        <f>AVERAGEIF($C$36:$C$167,"=3",$BG$36:$BG$167)</f>
        <v>0.51100000000000012</v>
      </c>
      <c r="X263" s="429"/>
      <c r="Y263" s="429"/>
      <c r="Z263" s="429"/>
      <c r="AA263" s="429"/>
      <c r="AB263" s="429"/>
      <c r="AC263" s="429"/>
    </row>
    <row r="264" spans="5:55" x14ac:dyDescent="0.25">
      <c r="E264" s="39" t="s">
        <v>249</v>
      </c>
      <c r="F264" s="65">
        <f>AVERAGEIF($C$36:$C$167,"=4",$K$36:$K$167)</f>
        <v>0.52357142857142858</v>
      </c>
      <c r="G264" s="65">
        <f>AVERAGEIF($C$36:$C$167,"=4",$J$36:$J$167)</f>
        <v>0.47857142857142859</v>
      </c>
      <c r="H264" s="65">
        <f>AVERAGEIF($C$36:$C$167,"=4",$L$36:$L$167)</f>
        <v>0.59214285714285708</v>
      </c>
      <c r="I264" s="65">
        <f>AVERAGEIF($C$36:$C$167,"=4",$T$36:$T$167)</f>
        <v>0.47500000000000003</v>
      </c>
      <c r="J264" s="65">
        <f>AVERAGEIF($C$36:$C$167,"=4",$S$36:$S$167)</f>
        <v>0.43571428571428567</v>
      </c>
      <c r="K264" s="65">
        <f>AVERAGEIF($C$36:$C$167,"=4",$U$36:$U$167)</f>
        <v>0.49071428571428577</v>
      </c>
      <c r="L264" s="65">
        <f>AVERAGEIF($C$36:$C$167,"=4",$AB$36:$AB$167)</f>
        <v>0.44333333333333325</v>
      </c>
      <c r="M264" s="65">
        <f>AVERAGEIF($C$36:$C$167,"=4",$AC$36:$AC$167)</f>
        <v>0.4966666666666667</v>
      </c>
      <c r="N264" s="65">
        <f>AVERAGEIF($C$36:$C$167,"=4",$AD$36:$AD$167)</f>
        <v>0.51733333333333342</v>
      </c>
      <c r="O264" s="65">
        <f>AVERAGEIF($C$36:$C$167,"=4",$AK$36:$AK$167)</f>
        <v>0.43785714285714289</v>
      </c>
      <c r="P264" s="65">
        <f>AVERAGEIF($C$36:$C$167,"=4",$AL$36:$AL$167)</f>
        <v>0.39857142857142858</v>
      </c>
      <c r="Q264" s="65">
        <f>AVERAGEIF($C$36:$C$167,"=4",$AM$36:$AM$167)</f>
        <v>0.43857142857142856</v>
      </c>
      <c r="R264" s="65">
        <f>AVERAGEIF($C$36:$C$167,"=4",$AT$36:$AT$167)</f>
        <v>0.50692307692307703</v>
      </c>
      <c r="S264" s="65">
        <f>AVERAGEIF($C$36:$C$167,"=4",$AV$36:$AV$167)</f>
        <v>0.46153846153846145</v>
      </c>
      <c r="T264" s="65">
        <f>AVERAGEIF($C$36:$C$167,"=4",$AU$36:$AU$167)</f>
        <v>0.41923076923076918</v>
      </c>
      <c r="U264" s="65">
        <f>AVERAGEIF($C$36:$C$167,"=4",$BE$36:$BE$167)</f>
        <v>0.46142857142857147</v>
      </c>
      <c r="V264" s="65">
        <f>AVERAGEIF($C$36:$C$167,"=4",$BF$36:$BF$167)</f>
        <v>0.38214285714285717</v>
      </c>
      <c r="W264" s="65">
        <f>AVERAGEIF($C$36:$C$167,"=4",$BG$36:$BG$167)</f>
        <v>0.56857142857142873</v>
      </c>
      <c r="X264" s="429"/>
      <c r="Y264" s="429"/>
      <c r="Z264" s="429"/>
      <c r="AA264" s="429"/>
      <c r="AB264" s="429"/>
      <c r="AC264" s="429"/>
    </row>
    <row r="265" spans="5:55" x14ac:dyDescent="0.25">
      <c r="E265" s="39" t="s">
        <v>250</v>
      </c>
      <c r="F265" s="65">
        <f>AVERAGEIF($C$36:$C$167,"=5",$K$36:$K$167)</f>
        <v>0.43588235294117644</v>
      </c>
      <c r="G265" s="65">
        <f>AVERAGEIF($C$36:$C$167,"=5",$J$36:$J$167)</f>
        <v>0.40941176470588236</v>
      </c>
      <c r="H265" s="65">
        <f>AVERAGEIF($C$36:$C$167,"=5",$L$36:$L$167)</f>
        <v>0.53117647058823536</v>
      </c>
      <c r="I265" s="65">
        <f>AVERAGEIF($C$36:$C$167,"=5",$T$36:$T$167)</f>
        <v>0.43111111111111111</v>
      </c>
      <c r="J265" s="65">
        <f>AVERAGEIF($C$36:$C$167,"=5",$S$36:$S$167)</f>
        <v>0.37388888888888883</v>
      </c>
      <c r="K265" s="65">
        <f>AVERAGEIF($C$36:$C$167,"=5",$U$36:$U$167)</f>
        <v>0.435</v>
      </c>
      <c r="L265" s="65">
        <f>AVERAGEIF($C$36:$C$167,"=5",$AB$36:$AB$167)</f>
        <v>0.39500000000000002</v>
      </c>
      <c r="M265" s="65">
        <f>AVERAGEIF($C$36:$C$167,"=5",$AC$36:$AC$167)</f>
        <v>0.4538888888888889</v>
      </c>
      <c r="N265" s="65">
        <f>AVERAGEIF($C$36:$C$167,"=5",$AD$36:$AD$167)</f>
        <v>0.46444444444444444</v>
      </c>
      <c r="O265" s="65">
        <f>AVERAGEIF($C$36:$C$167,"=5",$AK$36:$AK$167)</f>
        <v>0.37526315789473674</v>
      </c>
      <c r="P265" s="65">
        <f>AVERAGEIF($C$36:$C$167,"=5",$AL$36:$AL$167)</f>
        <v>0.32526315789473681</v>
      </c>
      <c r="Q265" s="65">
        <f>AVERAGEIF($C$36:$C$167,"=5",$AM$36:$AM$167)</f>
        <v>0.37894736842105264</v>
      </c>
      <c r="R265" s="65">
        <f>AVERAGEIF($C$36:$C$167,"=5",$AT$36:$AT$167)</f>
        <v>0.42777777777777781</v>
      </c>
      <c r="S265" s="65">
        <f>AVERAGEIF($C$36:$C$167,"=5",$AV$36:$AV$167)</f>
        <v>0.39166666666666672</v>
      </c>
      <c r="T265" s="65">
        <f>AVERAGEIF($C$36:$C$167,"=5",$AU$36:$AU$167)</f>
        <v>0.30444444444444441</v>
      </c>
      <c r="U265" s="65">
        <f>AVERAGEIF($C$36:$C$167,"=5",$BE$36:$BE$167)</f>
        <v>0.39111111111111119</v>
      </c>
      <c r="V265" s="65">
        <f>AVERAGEIF($C$36:$C$167,"=5",$BF$36:$BF$167)</f>
        <v>0.30111111111111105</v>
      </c>
      <c r="W265" s="65">
        <f>AVERAGEIF($C$36:$C$167,"=5",$BG$36:$BG$167)</f>
        <v>0.48444444444444446</v>
      </c>
      <c r="X265" s="429"/>
      <c r="Y265" s="429"/>
      <c r="Z265" s="429"/>
      <c r="AA265" s="429"/>
      <c r="AB265" s="429"/>
      <c r="AC265" s="429"/>
    </row>
    <row r="266" spans="5:55" x14ac:dyDescent="0.25">
      <c r="E266" s="39" t="s">
        <v>251</v>
      </c>
      <c r="F266" s="65">
        <f>AVERAGEIF($C$36:$C$167,"=6",$K$36:$K$167)</f>
        <v>0.47866666666666668</v>
      </c>
      <c r="G266" s="65">
        <f>AVERAGEIF($C$36:$C$167,"=6",$J$36:$J$167)</f>
        <v>0.4273333333333334</v>
      </c>
      <c r="H266" s="65">
        <f>AVERAGEIF($C$36:$C$167,"=6",$L$36:$L$167)</f>
        <v>0.53599999999999992</v>
      </c>
      <c r="I266" s="65">
        <f>AVERAGEIF($C$36:$C$167,"=6",$T$36:$T$167)</f>
        <v>0.47800000000000004</v>
      </c>
      <c r="J266" s="65">
        <f>AVERAGEIF($C$36:$C$167,"=6",$S$36:$S$167)</f>
        <v>0.44200000000000006</v>
      </c>
      <c r="K266" s="65">
        <f>AVERAGEIF($C$36:$C$167,"=6",$U$36:$U$167)</f>
        <v>0.47666666666666668</v>
      </c>
      <c r="L266" s="65">
        <f>AVERAGEIF($C$36:$C$167,"=6",$AB$36:$AB$167)</f>
        <v>0.42642857142857149</v>
      </c>
      <c r="M266" s="65">
        <f>AVERAGEIF($C$36:$C$167,"=6",$AC$36:$AC$167)</f>
        <v>0.46642857142857136</v>
      </c>
      <c r="N266" s="65">
        <f>AVERAGEIF($C$36:$C$167,"=6",$AD$36:$AD$167)</f>
        <v>0.50357142857142856</v>
      </c>
      <c r="O266" s="65">
        <f>AVERAGEIF($C$36:$C$167,"=6",$AK$36:$AK$167)</f>
        <v>0.41399999999999998</v>
      </c>
      <c r="P266" s="65">
        <f>AVERAGEIF($C$36:$C$167,"=6",$AL$36:$AL$167)</f>
        <v>0.36333333333333334</v>
      </c>
      <c r="Q266" s="65">
        <f>AVERAGEIF($C$36:$C$167,"=6",$AM$36:$AM$167)</f>
        <v>0.38933333333333336</v>
      </c>
      <c r="R266" s="65">
        <f>AVERAGEIF($C$36:$C$167,"=6",$AT$36:$AT$167)</f>
        <v>0.48529411764705882</v>
      </c>
      <c r="S266" s="65">
        <f>AVERAGEIF($C$36:$C$167,"=6",$AV$36:$AV$167)</f>
        <v>0.45294117647058824</v>
      </c>
      <c r="T266" s="65">
        <f>AVERAGEIF($C$36:$C$167,"=6",$AU$36:$AU$167)</f>
        <v>0.37882352941176473</v>
      </c>
      <c r="U266" s="65">
        <f>AVERAGEIF($C$36:$C$167,"=6",$BE$36:$BE$167)</f>
        <v>0.45058823529411773</v>
      </c>
      <c r="V266" s="65">
        <f>AVERAGEIF($C$36:$C$167,"=6",$BF$36:$BF$167)</f>
        <v>0.33588235294117647</v>
      </c>
      <c r="W266" s="65">
        <f>AVERAGEIF($C$36:$C$167,"=6",$BG$36:$BG$167)</f>
        <v>0.53117647058823536</v>
      </c>
      <c r="X266" s="429"/>
      <c r="Y266" s="429"/>
      <c r="Z266" s="429"/>
      <c r="AA266" s="429"/>
      <c r="AB266" s="429"/>
      <c r="AC266" s="429"/>
    </row>
    <row r="267" spans="5:55" x14ac:dyDescent="0.25">
      <c r="E267" s="429"/>
      <c r="F267" s="429"/>
      <c r="G267" s="429"/>
      <c r="H267" s="429"/>
      <c r="I267" s="429"/>
      <c r="J267" s="429"/>
      <c r="K267" s="429"/>
      <c r="L267" s="429"/>
      <c r="M267" s="429"/>
      <c r="N267" s="429"/>
      <c r="O267" s="429"/>
      <c r="P267" s="429"/>
      <c r="Q267" s="429"/>
      <c r="R267" s="429"/>
      <c r="S267" s="429"/>
      <c r="T267" s="429"/>
      <c r="U267" s="429"/>
      <c r="V267" s="429"/>
      <c r="W267" s="429"/>
      <c r="X267" s="429"/>
      <c r="Y267" s="429"/>
      <c r="Z267" s="429"/>
      <c r="AA267" s="429"/>
      <c r="AB267" s="429"/>
      <c r="AC267" s="429"/>
    </row>
    <row r="268" spans="5:55" x14ac:dyDescent="0.25">
      <c r="F268" s="853">
        <v>2016</v>
      </c>
      <c r="G268" s="853"/>
      <c r="H268" s="853"/>
      <c r="I268" s="853"/>
      <c r="J268" s="853"/>
      <c r="K268" s="853"/>
      <c r="L268" s="853">
        <v>2017</v>
      </c>
      <c r="M268" s="853"/>
      <c r="N268" s="853"/>
      <c r="O268" s="853"/>
      <c r="P268" s="853"/>
      <c r="Q268" s="853"/>
      <c r="R268" s="853">
        <v>2018</v>
      </c>
      <c r="S268" s="853"/>
      <c r="T268" s="853"/>
      <c r="U268" s="853"/>
      <c r="V268" s="853"/>
      <c r="W268" s="853"/>
      <c r="X268" s="853">
        <v>2019</v>
      </c>
      <c r="Y268" s="853"/>
      <c r="Z268" s="853"/>
      <c r="AA268" s="853"/>
      <c r="AB268" s="853"/>
      <c r="AC268" s="853"/>
      <c r="AD268" s="853">
        <v>2020</v>
      </c>
      <c r="AE268" s="853"/>
      <c r="AF268" s="853"/>
      <c r="AG268" s="853"/>
      <c r="AH268" s="853"/>
      <c r="AI268" s="853"/>
      <c r="AJ268" s="853">
        <v>2021</v>
      </c>
      <c r="AK268" s="853"/>
      <c r="AL268" s="853"/>
      <c r="AM268" s="853"/>
      <c r="AN268" s="853"/>
      <c r="AO268" s="853"/>
      <c r="AP268" s="291"/>
      <c r="AQ268" s="291"/>
      <c r="AR268" s="291"/>
      <c r="AS268" s="291"/>
      <c r="AT268" s="291"/>
      <c r="AU268" s="291"/>
      <c r="AV268" s="291"/>
      <c r="AW268" s="291"/>
      <c r="AX268" s="291"/>
      <c r="AY268" s="291"/>
      <c r="AZ268" s="291"/>
      <c r="BA268" s="291"/>
    </row>
    <row r="269" spans="5:55" x14ac:dyDescent="0.25">
      <c r="E269" s="429"/>
      <c r="F269" s="853" t="s">
        <v>254</v>
      </c>
      <c r="G269" s="853"/>
      <c r="H269" s="853"/>
      <c r="I269" s="853" t="s">
        <v>255</v>
      </c>
      <c r="J269" s="853"/>
      <c r="K269" s="853"/>
      <c r="L269" s="853" t="s">
        <v>254</v>
      </c>
      <c r="M269" s="853"/>
      <c r="N269" s="853"/>
      <c r="O269" s="853" t="s">
        <v>255</v>
      </c>
      <c r="P269" s="853"/>
      <c r="Q269" s="853"/>
      <c r="R269" s="853" t="s">
        <v>254</v>
      </c>
      <c r="S269" s="853"/>
      <c r="T269" s="853"/>
      <c r="U269" s="853" t="s">
        <v>255</v>
      </c>
      <c r="V269" s="853"/>
      <c r="W269" s="853"/>
      <c r="X269" s="853" t="s">
        <v>254</v>
      </c>
      <c r="Y269" s="853"/>
      <c r="Z269" s="853"/>
      <c r="AA269" s="853" t="s">
        <v>255</v>
      </c>
      <c r="AB269" s="853"/>
      <c r="AC269" s="853"/>
      <c r="AD269" s="853" t="s">
        <v>254</v>
      </c>
      <c r="AE269" s="853"/>
      <c r="AF269" s="853"/>
      <c r="AG269" s="853" t="s">
        <v>255</v>
      </c>
      <c r="AH269" s="853"/>
      <c r="AI269" s="853"/>
      <c r="AJ269" s="853" t="s">
        <v>254</v>
      </c>
      <c r="AK269" s="853"/>
      <c r="AL269" s="853"/>
      <c r="AM269" s="853" t="s">
        <v>255</v>
      </c>
      <c r="AN269" s="853"/>
      <c r="AO269" s="853"/>
      <c r="AP269" s="291"/>
      <c r="AQ269" s="291"/>
      <c r="AR269" s="291"/>
      <c r="AS269" s="291"/>
      <c r="AT269" s="291"/>
      <c r="AU269" s="291"/>
      <c r="AV269" s="291"/>
      <c r="AW269" s="291"/>
      <c r="AX269" s="291"/>
      <c r="AY269" s="291"/>
      <c r="AZ269" s="291"/>
      <c r="BA269" s="291"/>
    </row>
    <row r="270" spans="5:55" x14ac:dyDescent="0.25">
      <c r="E270" s="429"/>
      <c r="F270" s="287" t="s">
        <v>943</v>
      </c>
      <c r="G270" s="287" t="s">
        <v>944</v>
      </c>
      <c r="H270" s="287" t="s">
        <v>945</v>
      </c>
      <c r="I270" s="287" t="s">
        <v>943</v>
      </c>
      <c r="J270" s="287" t="s">
        <v>944</v>
      </c>
      <c r="K270" s="287" t="s">
        <v>945</v>
      </c>
      <c r="L270" s="287" t="s">
        <v>943</v>
      </c>
      <c r="M270" s="287" t="s">
        <v>944</v>
      </c>
      <c r="N270" s="287" t="s">
        <v>945</v>
      </c>
      <c r="O270" s="287" t="s">
        <v>943</v>
      </c>
      <c r="P270" s="287" t="s">
        <v>944</v>
      </c>
      <c r="Q270" s="287" t="s">
        <v>945</v>
      </c>
      <c r="R270" s="287" t="s">
        <v>943</v>
      </c>
      <c r="S270" s="287" t="s">
        <v>944</v>
      </c>
      <c r="T270" s="287" t="s">
        <v>945</v>
      </c>
      <c r="U270" s="287" t="s">
        <v>943</v>
      </c>
      <c r="V270" s="287" t="s">
        <v>944</v>
      </c>
      <c r="W270" s="287" t="s">
        <v>945</v>
      </c>
      <c r="X270" s="287" t="s">
        <v>943</v>
      </c>
      <c r="Y270" s="287" t="s">
        <v>944</v>
      </c>
      <c r="Z270" s="287" t="s">
        <v>945</v>
      </c>
      <c r="AA270" s="287" t="s">
        <v>943</v>
      </c>
      <c r="AB270" s="287" t="s">
        <v>944</v>
      </c>
      <c r="AC270" s="287" t="s">
        <v>945</v>
      </c>
      <c r="AD270" s="287" t="s">
        <v>943</v>
      </c>
      <c r="AE270" s="287" t="s">
        <v>944</v>
      </c>
      <c r="AF270" s="287" t="s">
        <v>945</v>
      </c>
      <c r="AG270" s="287" t="s">
        <v>943</v>
      </c>
      <c r="AH270" s="287" t="s">
        <v>944</v>
      </c>
      <c r="AI270" s="287" t="s">
        <v>945</v>
      </c>
      <c r="AJ270" s="287" t="s">
        <v>943</v>
      </c>
      <c r="AK270" s="287" t="s">
        <v>944</v>
      </c>
      <c r="AL270" s="287" t="s">
        <v>945</v>
      </c>
      <c r="AM270" s="287" t="s">
        <v>943</v>
      </c>
      <c r="AN270" s="287" t="s">
        <v>944</v>
      </c>
      <c r="AO270" s="287" t="s">
        <v>945</v>
      </c>
      <c r="AP270" s="291"/>
      <c r="AQ270" s="291"/>
      <c r="AR270" s="291"/>
      <c r="AS270" s="291"/>
      <c r="AT270" s="291"/>
      <c r="AU270" s="291"/>
      <c r="AV270" s="291"/>
      <c r="AW270" s="291"/>
      <c r="AX270" s="291"/>
      <c r="AY270" s="291"/>
      <c r="AZ270" s="291"/>
      <c r="BA270" s="291"/>
      <c r="BB270" s="291"/>
      <c r="BC270" s="291"/>
    </row>
    <row r="271" spans="5:55" x14ac:dyDescent="0.25">
      <c r="E271" s="39" t="s">
        <v>246</v>
      </c>
      <c r="F271" s="65">
        <f>AVERAGEIFS($K$36:$K$167,$C$36:$C$167,"=1", $B$36:$B$167,"OFICIAL")</f>
        <v>0.48749999999999999</v>
      </c>
      <c r="G271" s="65">
        <f>AVERAGEIFS($J$36:$J$167,$C$36:$C$167,"=1", $B$36:$B$167,"OFICIAL")</f>
        <v>0.43499999999999994</v>
      </c>
      <c r="H271" s="65">
        <f>AVERAGEIFS($L$36:$L$167,$C$36:$C$167,"=1", $B$36:$B$167,"OFICIAL")</f>
        <v>0.55000000000000004</v>
      </c>
      <c r="I271" s="65">
        <f>AVERAGEIFS($K$36:$K$167,$C$36:$C$167,"=1", $B$36:$B$167,"NO OFICIAL")</f>
        <v>0.47999999999999987</v>
      </c>
      <c r="J271" s="65">
        <f>AVERAGEIFS($J$36:$J$167,$C$36:$C$167,"=1", $B$36:$B$167,"NO OFICIAL")</f>
        <v>0.43461538461538463</v>
      </c>
      <c r="K271" s="65">
        <f>AVERAGEIFS($L$36:$L$167,$C$36:$C$167,"=1", $B$36:$B$167,"NO OFICIAL")</f>
        <v>0.56230769230769218</v>
      </c>
      <c r="L271" s="65">
        <f>AVERAGEIFS($T$36:$T$167,$C$36:$C$167,"=1", $B$36:$B$167,"OFICIAL")</f>
        <v>0.45500000000000002</v>
      </c>
      <c r="M271" s="65">
        <f>AVERAGEIFS($S$36:$S$167,$C$36:$C$167,"=1", $B$36:$B$167,"OFICIAL")</f>
        <v>0.42000000000000004</v>
      </c>
      <c r="N271" s="65">
        <f>AVERAGEIFS($U$36:$U$167,$C$36:$C$167,"=1", $B$36:$B$167,"OFICIAL")</f>
        <v>0.45249999999999996</v>
      </c>
      <c r="O271" s="65">
        <f>AVERAGEIFS($T$36:$T$167,$C$36:$C$167,"=1", $B$36:$B$167,"NO OFICIAL")</f>
        <v>0.48833333333333334</v>
      </c>
      <c r="P271" s="65">
        <f>AVERAGEIFS($S$36:$S$167,$C$36:$C$167,"=1", $B$36:$B$167,"NO OFICIAL")</f>
        <v>0.45500000000000007</v>
      </c>
      <c r="Q271" s="65">
        <f>AVERAGEIFS($U$36:$U$167,$C$36:$C$167,"=1", $B$36:$B$167,"NO OFICIAL")</f>
        <v>0.46999999999999992</v>
      </c>
      <c r="R271" s="65">
        <f>AVERAGEIFS($AB$36:$AB$167,$C$36:$C$167,"=1", $B$36:$B$167,"OFICIAL")</f>
        <v>0.4325</v>
      </c>
      <c r="S271" s="65">
        <f>AVERAGEIFS($AC$36:$AC$167,$C$36:$C$167,"=1", $B$36:$B$167,"OFICIAL")</f>
        <v>0.48499999999999999</v>
      </c>
      <c r="T271" s="65">
        <f>AVERAGEIFS($AD$36:$AD$167,$C$36:$C$167,"=1", $B$36:$B$167,"OFICIAL")</f>
        <v>0.505</v>
      </c>
      <c r="U271" s="65">
        <f>AVERAGEIFS($AB$36:$AB$167,$C$36:$C$167,"=1", $B$36:$B$167,"NO OFICIAL")</f>
        <v>0.44307692307692303</v>
      </c>
      <c r="V271" s="65">
        <f>AVERAGEIFS($AC$36:$AC$167,$C$36:$C$167,"=1", $B$36:$B$167,"NO OFICIAL")</f>
        <v>0.47000000000000003</v>
      </c>
      <c r="W271" s="65">
        <f>AVERAGEIFS($AD$36:$AD$167,$C$36:$C$167,"=1", $B$36:$B$167,"NO OFICIAL")</f>
        <v>0.49769230769230766</v>
      </c>
      <c r="X271" s="65">
        <f>AVERAGEIFS($AK$36:$AK$167,$C$36:$C$167,"=1", $B$36:$B$167,"OFICIAL")</f>
        <v>0.42249999999999999</v>
      </c>
      <c r="Y271" s="65">
        <f>AVERAGEIFS($AL$36:$AL$167,$C$36:$C$167,"=1", $B$36:$B$167,"OFICIAL")</f>
        <v>0.36250000000000004</v>
      </c>
      <c r="Z271" s="65">
        <f>AVERAGEIFS($AM$36:$AM$167,$C$36:$C$167,"=1", $B$36:$B$167,"OFICIAL")</f>
        <v>0.41500000000000004</v>
      </c>
      <c r="AA271" s="65">
        <f>AVERAGEIFS($AK$36:$AK$167,$C$36:$C$167,"=1", $B$36:$B$167,"NO OFICIAL")</f>
        <v>0.42</v>
      </c>
      <c r="AB271" s="65">
        <f>AVERAGEIFS($AL$36:$AL$167,$C$36:$C$167,"=1", $B$36:$B$167,"NO OFICIAL")</f>
        <v>0.36692307692307691</v>
      </c>
      <c r="AC271" s="65">
        <f>AVERAGEIFS($AM$36:$AM$167,$C$36:$C$167,"=1", $B$36:$B$167,"NO OFICIAL")</f>
        <v>0.4284615384615385</v>
      </c>
      <c r="AD271" s="65">
        <f>AVERAGEIFS($AT$36:$AT$167,$C$36:$C$167,"=1", $B$36:$B$167,"OFICIAL")</f>
        <v>0.46249999999999997</v>
      </c>
      <c r="AE271" s="65">
        <f>AVERAGEIFS($AV$36:$AV$167,$C$36:$C$167,"=1", $B$36:$B$167,"OFICIAL")</f>
        <v>0.41749999999999998</v>
      </c>
      <c r="AF271" s="65">
        <f>AVERAGEIFS($AU$36:$AU$167,$C$36:$C$167,"=1", $B$36:$B$167,"OFICIAL")</f>
        <v>0.35499999999999998</v>
      </c>
      <c r="AG271" s="65">
        <f>AVERAGEIFS($AT$36:$AT$167,$C$36:$C$167,"=1", $B$36:$B$167,"NO OFICIAL")</f>
        <v>0.4646153846153846</v>
      </c>
      <c r="AH271" s="65">
        <f>AVERAGEIFS($AV$36:$AV$167,$C$36:$C$167,"=1", $B$36:$B$167,"NO OFICIAL")</f>
        <v>0.44153846153846155</v>
      </c>
      <c r="AI271" s="65">
        <f>AVERAGEIFS($AU$36:$AU$167,$C$36:$C$167,"=1", $B$36:$B$167,"NO OFICIAL")</f>
        <v>0.36230769230769233</v>
      </c>
      <c r="AJ271" s="65">
        <f>AVERAGEIFS($BE$36:$BE$167,$C$36:$C$167,"=1", $B$36:$B$167,"OFICIAL")</f>
        <v>0.44749999999999995</v>
      </c>
      <c r="AK271" s="65">
        <f>AVERAGEIFS($BF$36:$BF$167,$C$36:$C$167,"=1", $B$36:$B$167,"OFICIAL")</f>
        <v>0.34</v>
      </c>
      <c r="AL271" s="65">
        <f>AVERAGEIFS($BG$36:$BG$167,$C$36:$C$167,"=1", $B$36:$B$167,"OFICIAL")</f>
        <v>0.54749999999999999</v>
      </c>
      <c r="AM271" s="65">
        <f>AVERAGEIFS($BE$36:$BE$167,$C$36:$C$167,"=1", $B$36:$B$167,"NO OFICIAL")</f>
        <v>0.42692307692307696</v>
      </c>
      <c r="AN271" s="65">
        <f>AVERAGEIFS($BF$36:$BF$167,$C$36:$C$167,"=1", $B$36:$B$167,"NO OFICIAL")</f>
        <v>0.31538461538461537</v>
      </c>
      <c r="AO271" s="65">
        <f>AVERAGEIFS($BG$36:$BG$167,$C$36:$C$167,"=1", $B$36:$B$167,"NO OFICIAL")</f>
        <v>0.53307692307692311</v>
      </c>
      <c r="AP271" s="291"/>
      <c r="AQ271" s="291"/>
      <c r="AR271" s="291"/>
      <c r="AS271" s="291"/>
      <c r="AT271" s="291"/>
      <c r="AU271" s="291"/>
      <c r="AV271" s="291"/>
      <c r="AW271" s="291"/>
      <c r="AX271" s="291"/>
      <c r="AY271" s="291"/>
      <c r="AZ271" s="291"/>
      <c r="BA271" s="291"/>
      <c r="BB271" s="291"/>
      <c r="BC271" s="291"/>
    </row>
    <row r="272" spans="5:55" x14ac:dyDescent="0.25">
      <c r="E272" s="39" t="s">
        <v>247</v>
      </c>
      <c r="F272" s="65">
        <f>AVERAGEIFS($K$36:$K$167,$C$36:$C$167,"=2", $B$36:$B$167,"OFICIAL")</f>
        <v>0.49</v>
      </c>
      <c r="G272" s="65">
        <f>AVERAGEIFS($J$36:$J$167,$C$36:$C$167,"=2", $B$36:$B$167,"OFICIAL")</f>
        <v>0.43</v>
      </c>
      <c r="H272" s="65">
        <f>AVERAGEIFS($L$36:$L$167,$C$36:$C$167,"=2", $B$36:$B$167,"OFICIAL")</f>
        <v>0.54499999999999993</v>
      </c>
      <c r="I272" s="65">
        <f>AVERAGEIFS($K$36:$K$167,$C$36:$C$167,"=2", $B$36:$B$167,"NO OFICIAL")</f>
        <v>0.45222222222222225</v>
      </c>
      <c r="J272" s="65">
        <f>AVERAGEIFS($J$36:$J$167,$C$36:$C$167,"=2", $B$36:$B$167,"NO OFICIAL")</f>
        <v>0.41055555555555551</v>
      </c>
      <c r="K272" s="65">
        <f>AVERAGEIFS($L$36:$L$167,$C$36:$C$167,"=2", $B$36:$B$167,"NO OFICIAL")</f>
        <v>0.50944444444444448</v>
      </c>
      <c r="L272" s="65">
        <f>AVERAGEIFS($T$36:$T$167,$C$36:$C$167,"=2", $B$36:$B$167,"OFICIAL")</f>
        <v>0.46499999999999997</v>
      </c>
      <c r="M272" s="65">
        <f>AVERAGEIFS($S$36:$S$167,$C$36:$C$167,"=2", $B$36:$B$167,"OFICIAL")</f>
        <v>0.43</v>
      </c>
      <c r="N272" s="65">
        <f>AVERAGEIFS($U$36:$U$167,$C$36:$C$167,"=2", $B$36:$B$167,"OFICIAL")</f>
        <v>0.47499999999999998</v>
      </c>
      <c r="O272" s="65">
        <f>AVERAGEIFS($T$36:$T$167,$C$36:$C$167,"=2", $B$36:$B$167,"NO OFICIAL")</f>
        <v>0.44588235294117651</v>
      </c>
      <c r="P272" s="65">
        <f>AVERAGEIFS($S$36:$S$167,$C$36:$C$167,"=2", $B$36:$B$167,"NO OFICIAL")</f>
        <v>0.40588235294117647</v>
      </c>
      <c r="Q272" s="65">
        <f>AVERAGEIFS($U$36:$U$167,$C$36:$C$167,"=2", $B$36:$B$167,"NO OFICIAL")</f>
        <v>0.43882352941176472</v>
      </c>
      <c r="R272" s="65">
        <f>AVERAGEIFS($AB$36:$AB$167,$C$36:$C$167,"=2", $B$36:$B$167,"OFICIAL")</f>
        <v>0.42499999999999999</v>
      </c>
      <c r="S272" s="65">
        <f>AVERAGEIFS($AC$36:$AC$167,$C$36:$C$167,"=2", $B$36:$B$167,"OFICIAL")</f>
        <v>0.495</v>
      </c>
      <c r="T272" s="65">
        <f>AVERAGEIFS($AD$36:$AD$167,$C$36:$C$167,"=2", $B$36:$B$167,"OFICIAL")</f>
        <v>0.505</v>
      </c>
      <c r="U272" s="65">
        <f>AVERAGEIFS($AB$36:$AB$167,$C$36:$C$167,"=2", $B$36:$B$167,"NO OFICIAL")</f>
        <v>0.41411764705882348</v>
      </c>
      <c r="V272" s="65">
        <f>AVERAGEIFS($AC$36:$AC$167,$C$36:$C$167,"=2", $B$36:$B$167,"NO OFICIAL")</f>
        <v>0.4629411764705883</v>
      </c>
      <c r="W272" s="65">
        <f>AVERAGEIFS($AD$36:$AD$167,$C$36:$C$167,"=2", $B$36:$B$167,"NO OFICIAL")</f>
        <v>0.47764705882352948</v>
      </c>
      <c r="X272" s="65">
        <f>AVERAGEIFS($AK$36:$AK$167,$C$36:$C$167,"=2", $B$36:$B$167,"OFICIAL")</f>
        <v>0.41000000000000003</v>
      </c>
      <c r="Y272" s="65">
        <f>AVERAGEIFS($AL$36:$AL$167,$C$36:$C$167,"=2", $B$36:$B$167,"OFICIAL")</f>
        <v>0.36</v>
      </c>
      <c r="Z272" s="65">
        <f>AVERAGEIFS($AM$36:$AM$167,$C$36:$C$167,"=2", $B$36:$B$167,"OFICIAL")</f>
        <v>0.42</v>
      </c>
      <c r="AA272" s="65">
        <f>AVERAGEIFS($AK$36:$AK$167,$C$36:$C$167,"=2", $B$36:$B$167,"NO OFICIAL")</f>
        <v>0.38777777777777783</v>
      </c>
      <c r="AB272" s="65">
        <f>AVERAGEIFS($AL$36:$AL$167,$C$36:$C$167,"=2", $B$36:$B$167,"NO OFICIAL")</f>
        <v>0.33777777777777779</v>
      </c>
      <c r="AC272" s="65">
        <f t="shared" ref="AC272:AC275" si="42">AVERAGEIFS($AM$36:$AM$167,$C$36:$C$167,"=1", $B$36:$B$167,"NO OFICIAL")</f>
        <v>0.4284615384615385</v>
      </c>
      <c r="AD272" s="65">
        <f>AVERAGEIFS($AT$36:$AT$167,$C$36:$C$167,"=2", $B$36:$B$167,"OFICIAL")</f>
        <v>0.47499999999999998</v>
      </c>
      <c r="AE272" s="65">
        <f>AVERAGEIFS($AV$36:$AV$167,$C$36:$C$167,"=2", $B$36:$B$167,"OFICIAL")</f>
        <v>0.42499999999999999</v>
      </c>
      <c r="AF272" s="65">
        <f>AVERAGEIFS($AU$36:$AU$167,$C$36:$C$167,"=2", $B$36:$B$167,"OFICIAL")</f>
        <v>0.36</v>
      </c>
      <c r="AG272" s="65">
        <f>AVERAGEIFS($AT$36:$AT$167,$C$36:$C$167,"=2", $B$36:$B$167,"NO OFICIAL")</f>
        <v>0.43090909090909091</v>
      </c>
      <c r="AH272" s="65">
        <f>AVERAGEIFS($AV$36:$AV$167,$C$36:$C$167,"=2", $B$36:$B$167,"NO OFICIAL")</f>
        <v>0.41636363636363638</v>
      </c>
      <c r="AI272" s="65">
        <f>AVERAGEIFS($AU$36:$AU$167,$C$36:$C$167,"=2", $B$36:$B$167,"NO OFICIAL")</f>
        <v>0.36181818181818176</v>
      </c>
      <c r="AJ272" s="65">
        <f>AVERAGEIFS($BE$36:$BE$167,$C$36:$C$167,"=2", $B$36:$B$167,"OFICIAL")</f>
        <v>0.45500000000000002</v>
      </c>
      <c r="AK272" s="65">
        <f>AVERAGEIFS($BF$36:$BF$167,$C$36:$C$167,"=2", $B$36:$B$167,"OFICIAL")</f>
        <v>0.36</v>
      </c>
      <c r="AL272" s="65">
        <f>AVERAGEIFS($BG$36:$BG$167,$C$36:$C$167,"=2", $B$36:$B$167,"OFICIAL")</f>
        <v>0.55000000000000004</v>
      </c>
      <c r="AM272" s="65">
        <f>AVERAGEIFS($BE$36:$BE$167,$C$36:$C$167,"=2", $B$36:$B$167,"NO OFICIAL")</f>
        <v>0.4335</v>
      </c>
      <c r="AN272" s="65">
        <f>AVERAGEIFS($BF$36:$BF$167,$C$36:$C$167,"=2", $B$36:$B$167,"NO OFICIAL")</f>
        <v>0.33399999999999996</v>
      </c>
      <c r="AO272" s="65">
        <f>AVERAGEIFS($BG$36:$BG$167,$C$36:$C$167,"=2", $B$36:$B$167,"NO OFICIAL")</f>
        <v>0.52500000000000013</v>
      </c>
      <c r="AP272" s="291"/>
      <c r="AQ272" s="291"/>
      <c r="AR272" s="291"/>
      <c r="AS272" s="291"/>
      <c r="AT272" s="291"/>
      <c r="AU272" s="291"/>
      <c r="AV272" s="291"/>
      <c r="AW272" s="291"/>
      <c r="AX272" s="291"/>
      <c r="AY272" s="291"/>
      <c r="AZ272" s="291"/>
      <c r="BA272" s="291"/>
      <c r="BB272" s="291"/>
      <c r="BC272" s="291"/>
    </row>
    <row r="273" spans="5:55" x14ac:dyDescent="0.25">
      <c r="E273" s="39" t="s">
        <v>248</v>
      </c>
      <c r="F273" s="65">
        <f>AVERAGEIFS($K$36:$K$167,$C$36:$C$167,"=3", $B$36:$B$167,"OFICIAL")</f>
        <v>0.48399999999999999</v>
      </c>
      <c r="G273" s="65">
        <f>AVERAGEIFS($J$36:$J$167,$C$36:$C$167,"=3", $B$36:$B$167,"OFICIAL")</f>
        <v>0.47400000000000003</v>
      </c>
      <c r="H273" s="65">
        <f>AVERAGEIFS($L$36:$L$167,$C$36:$C$167,"=3", $B$36:$B$167,"OFICIAL")</f>
        <v>0.53800000000000003</v>
      </c>
      <c r="I273" s="65">
        <f>AVERAGEIFS($K$36:$K$167,$C$36:$C$167,"=3", $B$36:$B$167,"NO OFICIAL")</f>
        <v>0.46384615384615385</v>
      </c>
      <c r="J273" s="65">
        <f>AVERAGEIFS($J$36:$J$167,$C$36:$C$167,"=3", $B$36:$B$167,"NO OFICIAL")</f>
        <v>0.37769230769230772</v>
      </c>
      <c r="K273" s="65">
        <f>AVERAGEIFS($L$36:$L$167,$C$36:$C$167,"=3", $B$36:$B$167,"NO OFICIAL")</f>
        <v>0.51153846153846161</v>
      </c>
      <c r="L273" s="65">
        <f>AVERAGEIFS($T$36:$T$167,$C$36:$C$167,"=3", $B$36:$B$167,"OFICIAL")</f>
        <v>0.48399999999999999</v>
      </c>
      <c r="M273" s="65">
        <f>AVERAGEIFS($S$36:$S$167,$C$36:$C$167,"=3", $B$36:$B$167,"OFICIAL")</f>
        <v>0.42599999999999999</v>
      </c>
      <c r="N273" s="65">
        <f>AVERAGEIFS($U$36:$U$167,$C$36:$C$167,"=3", $B$36:$B$167,"OFICIAL")</f>
        <v>0.46600000000000003</v>
      </c>
      <c r="O273" s="65">
        <f>AVERAGEIFS($T$36:$T$167,$C$36:$C$167,"=3", $B$36:$B$167,"NO OFICIAL")</f>
        <v>0.44857142857142851</v>
      </c>
      <c r="P273" s="65">
        <f>AVERAGEIFS($S$36:$S$167,$C$36:$C$167,"=3", $B$36:$B$167,"NO OFICIAL")</f>
        <v>0.41785714285714282</v>
      </c>
      <c r="Q273" s="65">
        <f>AVERAGEIFS($U$36:$U$167,$C$36:$C$167,"=3", $B$36:$B$167,"NO OFICIAL")</f>
        <v>0.43928571428571433</v>
      </c>
      <c r="R273" s="65">
        <f>AVERAGEIFS($AB$36:$AB$167,$C$36:$C$167,"=3", $B$36:$B$167,"OFICIAL")</f>
        <v>0.42400000000000004</v>
      </c>
      <c r="S273" s="65">
        <f>AVERAGEIFS($AC$36:$AC$167,$C$36:$C$167,"=3", $B$36:$B$167,"OFICIAL")</f>
        <v>0.47599999999999998</v>
      </c>
      <c r="T273" s="65">
        <f>AVERAGEIFS($AD$36:$AD$167,$C$36:$C$167,"=3", $B$36:$B$167,"OFICIAL")</f>
        <v>0.504</v>
      </c>
      <c r="U273" s="65">
        <f>AVERAGEIFS($AB$36:$AB$167,$C$36:$C$167,"=3", $B$36:$B$167,"NO OFICIAL")</f>
        <v>0.39785714285714296</v>
      </c>
      <c r="V273" s="65">
        <f>AVERAGEIFS($AC$36:$AC$167,$C$36:$C$167,"=3", $B$36:$B$167,"NO OFICIAL")</f>
        <v>0.44928571428571429</v>
      </c>
      <c r="W273" s="65">
        <f>AVERAGEIFS($AD$36:$AD$167,$C$36:$C$167,"=3", $B$36:$B$167,"NO OFICIAL")</f>
        <v>0.46928571428571431</v>
      </c>
      <c r="X273" s="65">
        <f>AVERAGEIFS($AK$36:$AK$167,$C$36:$C$167,"=3", $B$36:$B$167,"OFICIAL")</f>
        <v>0.42000000000000004</v>
      </c>
      <c r="Y273" s="65">
        <f>AVERAGEIFS($AL$36:$AL$167,$C$36:$C$167,"=3", $B$36:$B$167,"OFICIAL")</f>
        <v>0.38600000000000001</v>
      </c>
      <c r="Z273" s="65">
        <f>AVERAGEIFS($AM$36:$AM$167,$C$36:$C$167,"=3", $B$36:$B$167,"OFICIAL")</f>
        <v>0.42599999999999999</v>
      </c>
      <c r="AA273" s="65">
        <f>AVERAGEIFS($AK$36:$AK$167,$C$36:$C$167,"=3", $B$36:$B$167,"NO OFICIAL")</f>
        <v>0.39357142857142863</v>
      </c>
      <c r="AB273" s="65">
        <f>AVERAGEIFS($AL$36:$AL$167,$C$36:$C$167,"=3", $B$36:$B$167,"NO OFICIAL")</f>
        <v>0.33571428571428574</v>
      </c>
      <c r="AC273" s="65">
        <f t="shared" si="42"/>
        <v>0.4284615384615385</v>
      </c>
      <c r="AD273" s="65">
        <f>AVERAGEIFS($AT$36:$AT$167,$C$36:$C$167,"=3", $B$36:$B$167,"OFICIAL")</f>
        <v>0.47599999999999998</v>
      </c>
      <c r="AE273" s="65">
        <f>AVERAGEIFS($AV$36:$AV$167,$C$36:$C$167,"=3", $B$36:$B$167,"OFICIAL")</f>
        <v>0.43600000000000005</v>
      </c>
      <c r="AF273" s="65">
        <f>AVERAGEIFS($AU$36:$AU$167,$C$36:$C$167,"=3", $B$36:$B$167,"OFICIAL")</f>
        <v>0.37799999999999995</v>
      </c>
      <c r="AG273" s="65">
        <f>AVERAGEIFS($AT$36:$AT$167,$C$36:$C$167,"=3", $B$36:$B$167,"NO OFICIAL")</f>
        <v>0.4386666666666667</v>
      </c>
      <c r="AH273" s="65">
        <f>AVERAGEIFS($AV$36:$AV$167,$C$36:$C$167,"=3", $B$36:$B$167,"NO OFICIAL")</f>
        <v>0.39466666666666667</v>
      </c>
      <c r="AI273" s="65">
        <f>AVERAGEIFS($AU$36:$AU$167,$C$36:$C$167,"=3", $B$36:$B$167,"NO OFICIAL")</f>
        <v>0.33466666666666672</v>
      </c>
      <c r="AJ273" s="65">
        <f>AVERAGEIFS($BE$36:$BE$167,$C$36:$C$167,"=3", $B$36:$B$167,"OFICIAL")</f>
        <v>0.44800000000000006</v>
      </c>
      <c r="AK273" s="65">
        <f>AVERAGEIFS($BF$36:$BF$167,$C$36:$C$167,"=3", $B$36:$B$167,"OFICIAL")</f>
        <v>0.34799999999999998</v>
      </c>
      <c r="AL273" s="65">
        <f>AVERAGEIFS($BG$36:$BG$167,$C$36:$C$167,"=3", $B$36:$B$167,"OFICIAL")</f>
        <v>0.54600000000000004</v>
      </c>
      <c r="AM273" s="65">
        <f>AVERAGEIFS($BE$36:$BE$167,$C$36:$C$167,"=3", $B$36:$B$167,"NO OFICIAL")</f>
        <v>0.4</v>
      </c>
      <c r="AN273" s="65">
        <f>AVERAGEIFS($BF$36:$BF$167,$C$36:$C$167,"=3", $B$36:$B$167,"NO OFICIAL")</f>
        <v>0.31133333333333335</v>
      </c>
      <c r="AO273" s="65">
        <f>AVERAGEIFS($BG$36:$BG$167,$C$36:$C$167,"=3", $B$36:$B$167,"NO OFICIAL")</f>
        <v>0.49933333333333341</v>
      </c>
      <c r="AP273" s="291"/>
      <c r="AQ273" s="291"/>
      <c r="AR273" s="291"/>
      <c r="AS273" s="291"/>
      <c r="AT273" s="291"/>
      <c r="AU273" s="291"/>
      <c r="AV273" s="291"/>
      <c r="AW273" s="291"/>
      <c r="AX273" s="291"/>
      <c r="AY273" s="291"/>
      <c r="AZ273" s="291"/>
      <c r="BA273" s="291"/>
      <c r="BB273" s="291"/>
      <c r="BC273" s="291"/>
    </row>
    <row r="274" spans="5:55" x14ac:dyDescent="0.25">
      <c r="E274" s="39" t="s">
        <v>249</v>
      </c>
      <c r="F274" s="65">
        <f>AVERAGEIFS($K$36:$K$167,$C$36:$C$167,"=4", $B$36:$B$167,"OFICIAL")</f>
        <v>0.52666666666666673</v>
      </c>
      <c r="G274" s="65">
        <f>AVERAGEIFS($J$36:$J$167,$C$36:$C$167,"=4", $B$36:$B$167,"OFICIAL")</f>
        <v>0.48833333333333345</v>
      </c>
      <c r="H274" s="65">
        <f>AVERAGEIFS($L$36:$L$167,$C$36:$C$167,"=4", $B$36:$B$167,"OFICIAL")</f>
        <v>0.61833333333333329</v>
      </c>
      <c r="I274" s="65">
        <f>AVERAGEIFS($K$36:$K$167,$C$36:$C$167,"=4", $B$36:$B$167,"NO OFICIAL")</f>
        <v>0.52124999999999999</v>
      </c>
      <c r="J274" s="65">
        <f>AVERAGEIFS($J$36:$J$167,$C$36:$C$167,"=4", $B$36:$B$167,"NO OFICIAL")</f>
        <v>0.47125</v>
      </c>
      <c r="K274" s="65">
        <f>AVERAGEIFS($L$36:$L$167,$C$36:$C$167,"=4", $B$36:$B$167,"NO OFICIAL")</f>
        <v>0.57250000000000001</v>
      </c>
      <c r="L274" s="65">
        <f>AVERAGEIFS($T$36:$T$167,$C$36:$C$167,"=4", $B$36:$B$167,"OFICIAL")</f>
        <v>0.51666666666666672</v>
      </c>
      <c r="M274" s="65">
        <f>AVERAGEIFS($S$36:$S$167,$C$36:$C$167,"=4", $B$36:$B$167,"OFICIAL")</f>
        <v>0.47833333333333333</v>
      </c>
      <c r="N274" s="65">
        <f>AVERAGEIFS($U$36:$U$167,$C$36:$C$167,"=4", $B$36:$B$167,"OFICIAL")</f>
        <v>0.52166666666666661</v>
      </c>
      <c r="O274" s="65">
        <f>AVERAGEIFS($T$36:$T$167,$C$36:$C$167,"=4", $B$36:$B$167,"NO OFICIAL")</f>
        <v>0.44375000000000003</v>
      </c>
      <c r="P274" s="65">
        <f>AVERAGEIFS($S$36:$S$167,$C$36:$C$167,"=4", $B$36:$B$167,"NO OFICIAL")</f>
        <v>0.40374999999999994</v>
      </c>
      <c r="Q274" s="65">
        <f>AVERAGEIFS($U$36:$U$167,$C$36:$C$167,"=4", $B$36:$B$167,"NO OFICIAL")</f>
        <v>0.46750000000000003</v>
      </c>
      <c r="R274" s="65">
        <f>AVERAGEIFS($AB$36:$AB$167,$C$36:$C$167,"=4", $B$36:$B$167,"OFICIAL")</f>
        <v>0.505</v>
      </c>
      <c r="S274" s="65">
        <f>AVERAGEIFS($AC$36:$AC$167,$C$36:$C$167,"=4", $B$36:$B$167,"OFICIAL")</f>
        <v>0.53833333333333333</v>
      </c>
      <c r="T274" s="65">
        <f>AVERAGEIFS($AD$36:$AD$167,$C$36:$C$167,"=4", $B$36:$B$167,"OFICIAL")</f>
        <v>0.55333333333333334</v>
      </c>
      <c r="U274" s="65">
        <f>AVERAGEIFS($AB$36:$AB$167,$C$36:$C$167,"=4", $B$36:$B$167,"NO OFICIAL")</f>
        <v>0.4022222222222222</v>
      </c>
      <c r="V274" s="65">
        <f>AVERAGEIFS($AC$36:$AC$167,$C$36:$C$167,"=4", $B$36:$B$167,"NO OFICIAL")</f>
        <v>0.46888888888888886</v>
      </c>
      <c r="W274" s="65">
        <f>AVERAGEIFS($AD$36:$AD$167,$C$36:$C$167,"=4", $B$36:$B$167,"NO OFICIAL")</f>
        <v>0.4933333333333334</v>
      </c>
      <c r="X274" s="65">
        <f>AVERAGEIFS($AK$36:$AK$167,$C$36:$C$167,"=4", $B$36:$B$167,"OFICIAL")</f>
        <v>0.48833333333333345</v>
      </c>
      <c r="Y274" s="65">
        <f>AVERAGEIFS($AL$36:$AL$167,$C$36:$C$167,"=4", $B$36:$B$167,"OFICIAL")</f>
        <v>0.435</v>
      </c>
      <c r="Z274" s="65">
        <f>AVERAGEIFS($AM$36:$AM$167,$C$36:$C$167,"=4", $B$36:$B$167,"OFICIAL")</f>
        <v>0.47499999999999992</v>
      </c>
      <c r="AA274" s="65">
        <f>AVERAGEIFS($AK$36:$AK$167,$C$36:$C$167,"=4", $B$36:$B$167,"NO OFICIAL")</f>
        <v>0.39999999999999997</v>
      </c>
      <c r="AB274" s="65">
        <f>AVERAGEIFS($AL$36:$AL$167,$C$36:$C$167,"=4", $B$36:$B$167,"NO OFICIAL")</f>
        <v>0.37124999999999997</v>
      </c>
      <c r="AC274" s="65">
        <f t="shared" si="42"/>
        <v>0.4284615384615385</v>
      </c>
      <c r="AD274" s="65">
        <f>AVERAGEIFS($AT$36:$AT$167,$C$36:$C$167,"=4", $B$36:$B$167,"OFICIAL")</f>
        <v>0.52833333333333343</v>
      </c>
      <c r="AE274" s="65">
        <f>AVERAGEIFS($AV$36:$AV$167,$C$36:$C$167,"=4", $B$36:$B$167,"OFICIAL")</f>
        <v>0.48833333333333334</v>
      </c>
      <c r="AF274" s="65">
        <f>AVERAGEIFS($AU$36:$AU$167,$C$36:$C$167,"=4", $B$36:$B$167,"OFICIAL")</f>
        <v>0.4316666666666667</v>
      </c>
      <c r="AG274" s="65">
        <f>AVERAGEIFS($AT$36:$AT$167,$C$36:$C$167,"=4", $B$36:$B$167,"NO OFICIAL")</f>
        <v>0.48857142857142855</v>
      </c>
      <c r="AH274" s="65">
        <f>AVERAGEIFS($AV$36:$AV$167,$C$36:$C$167,"=4", $B$36:$B$167,"NO OFICIAL")</f>
        <v>0.43857142857142856</v>
      </c>
      <c r="AI274" s="65">
        <f>AVERAGEIFS($AU$36:$AU$167,$C$36:$C$167,"=4", $B$36:$B$167,"NO OFICIAL")</f>
        <v>0.40857142857142853</v>
      </c>
      <c r="AJ274" s="65">
        <f>AVERAGEIFS($BE$36:$BE$167,$C$36:$C$167,"=4", $B$36:$B$167,"OFICIAL")</f>
        <v>0.4916666666666667</v>
      </c>
      <c r="AK274" s="65">
        <f>AVERAGEIFS($BF$36:$BF$167,$C$36:$C$167,"=4", $B$36:$B$167,"OFICIAL")</f>
        <v>0.42</v>
      </c>
      <c r="AL274" s="65">
        <f>AVERAGEIFS($BG$36:$BG$167,$C$36:$C$167,"=4", $B$36:$B$167,"OFICIAL")</f>
        <v>0.59499999999999997</v>
      </c>
      <c r="AM274" s="65">
        <f>AVERAGEIFS($BE$36:$BE$167,$C$36:$C$167,"=4", $B$36:$B$167,"NO OFICIAL")</f>
        <v>0.43875000000000003</v>
      </c>
      <c r="AN274" s="65">
        <f>AVERAGEIFS($BF$36:$BF$167,$C$36:$C$167,"=4", $B$36:$B$167,"NO OFICIAL")</f>
        <v>0.35375000000000001</v>
      </c>
      <c r="AO274" s="65">
        <f>AVERAGEIFS($BG$36:$BG$167,$C$36:$C$167,"=4", $B$36:$B$167,"NO OFICIAL")</f>
        <v>0.54874999999999996</v>
      </c>
      <c r="AP274" s="291"/>
      <c r="AQ274" s="291"/>
      <c r="AR274" s="291"/>
      <c r="AS274" s="291"/>
      <c r="AT274" s="291"/>
      <c r="AU274" s="291"/>
      <c r="AV274" s="291"/>
      <c r="AW274" s="291"/>
      <c r="AX274" s="291"/>
      <c r="AY274" s="291"/>
      <c r="AZ274" s="291"/>
      <c r="BA274" s="291"/>
      <c r="BB274" s="291"/>
      <c r="BC274" s="291"/>
    </row>
    <row r="275" spans="5:55" x14ac:dyDescent="0.25">
      <c r="E275" s="39" t="s">
        <v>250</v>
      </c>
      <c r="F275" s="65">
        <f>AVERAGEIFS($K$36:$K$167,$C$36:$C$167,"=5", $B$36:$B$167,"OFICIAL")</f>
        <v>0.46499999999999997</v>
      </c>
      <c r="G275" s="65">
        <f>AVERAGEIFS($J$36:$J$167,$C$36:$C$167,"=5", $B$36:$B$167,"OFICIAL")</f>
        <v>0.43</v>
      </c>
      <c r="H275" s="65">
        <f>AVERAGEIFS($L$36:$L$167,$C$36:$C$167,"=5", $B$36:$B$167,"OFICIAL")</f>
        <v>0.53500000000000003</v>
      </c>
      <c r="I275" s="65">
        <f>AVERAGEIFS($K$36:$K$167,$C$36:$C$167,"=5", $B$36:$B$167,"NO OFICIAL")</f>
        <v>0.43200000000000005</v>
      </c>
      <c r="J275" s="65">
        <f>AVERAGEIFS($J$36:$J$167,$C$36:$C$167,"=5", $B$36:$B$167,"NO OFICIAL")</f>
        <v>0.40666666666666668</v>
      </c>
      <c r="K275" s="65">
        <f>AVERAGEIFS($L$36:$L$167,$C$36:$C$167,"=5", $B$36:$B$167,"NO OFICIAL")</f>
        <v>0.53066666666666673</v>
      </c>
      <c r="L275" s="65">
        <f>AVERAGEIFS($T$36:$T$167,$C$36:$C$167,"=5", $B$36:$B$167,"OFICIAL")</f>
        <v>0.46499999999999997</v>
      </c>
      <c r="M275" s="65">
        <f>AVERAGEIFS($S$36:$S$167,$C$36:$C$167,"=5", $B$36:$B$167,"OFICIAL")</f>
        <v>0.435</v>
      </c>
      <c r="N275" s="65">
        <f>AVERAGEIFS($U$36:$U$167,$C$36:$C$167,"=5", $B$36:$B$167,"OFICIAL")</f>
        <v>0.48499999999999999</v>
      </c>
      <c r="O275" s="65">
        <f>AVERAGEIFS($T$36:$T$167,$C$36:$C$167,"=5", $B$36:$B$167,"NO OFICIAL")</f>
        <v>0.426875</v>
      </c>
      <c r="P275" s="65">
        <f>AVERAGEIFS($S$36:$S$167,$C$36:$C$167,"=5", $B$36:$B$167,"NO OFICIAL")</f>
        <v>0.36624999999999996</v>
      </c>
      <c r="Q275" s="65">
        <f>AVERAGEIFS($U$36:$U$167,$C$36:$C$167,"=5", $B$36:$B$167,"NO OFICIAL")</f>
        <v>0.42875000000000002</v>
      </c>
      <c r="R275" s="65">
        <f>AVERAGEIFS($AB$36:$AB$167,$C$36:$C$167,"=5", $B$36:$B$167,"OFICIAL")</f>
        <v>0.45499999999999996</v>
      </c>
      <c r="S275" s="65">
        <f>AVERAGEIFS($AC$36:$AC$167,$C$36:$C$167,"=5", $B$36:$B$167,"OFICIAL")</f>
        <v>0.495</v>
      </c>
      <c r="T275" s="65">
        <f>AVERAGEIFS($AD$36:$AD$167,$C$36:$C$167,"=5", $B$36:$B$167,"OFICIAL")</f>
        <v>0.52500000000000002</v>
      </c>
      <c r="U275" s="65">
        <f>AVERAGEIFS($AB$36:$AB$167,$C$36:$C$167,"=5", $B$36:$B$167,"NO OFICIAL")</f>
        <v>0.38750000000000001</v>
      </c>
      <c r="V275" s="65">
        <f>AVERAGEIFS($AC$36:$AC$167,$C$36:$C$167,"=5", $B$36:$B$167,"NO OFICIAL")</f>
        <v>0.44874999999999998</v>
      </c>
      <c r="W275" s="65">
        <f>AVERAGEIFS($AD$36:$AD$167,$C$36:$C$167,"=5", $B$36:$B$167,"NO OFICIAL")</f>
        <v>0.45687500000000003</v>
      </c>
      <c r="X275" s="65">
        <f>AVERAGEIFS($AK$36:$AK$167,$C$36:$C$167,"=5", $B$36:$B$167,"OFICIAL")</f>
        <v>0.42499999999999999</v>
      </c>
      <c r="Y275" s="65">
        <f>AVERAGEIFS($AL$36:$AL$167,$C$36:$C$167,"=5", $B$36:$B$167,"OFICIAL")</f>
        <v>0.36499999999999999</v>
      </c>
      <c r="Z275" s="65">
        <f>AVERAGEIFS($AM$36:$AM$167,$C$36:$C$167,"=5", $B$36:$B$167,"OFICIAL")</f>
        <v>0.43</v>
      </c>
      <c r="AA275" s="65">
        <f>AVERAGEIFS($AK$36:$AK$167,$C$36:$C$167,"=5", $B$36:$B$167,"NO OFICIAL")</f>
        <v>0.36941176470588233</v>
      </c>
      <c r="AB275" s="65">
        <f>AVERAGEIFS($AL$36:$AL$167,$C$36:$C$167,"=5", $B$36:$B$167,"NO OFICIAL")</f>
        <v>0.32058823529411767</v>
      </c>
      <c r="AC275" s="65">
        <f t="shared" si="42"/>
        <v>0.4284615384615385</v>
      </c>
      <c r="AD275" s="65">
        <f>AVERAGEIFS($AT$36:$AT$167,$C$36:$C$167,"=5", $B$36:$B$167,"OFICIAL")</f>
        <v>0.47</v>
      </c>
      <c r="AE275" s="65">
        <f>AVERAGEIFS($AV$36:$AV$167,$C$36:$C$167,"=5", $B$36:$B$167,"OFICIAL")</f>
        <v>0.44500000000000001</v>
      </c>
      <c r="AF275" s="65">
        <f>AVERAGEIFS($AU$36:$AU$167,$C$36:$C$167,"=5", $B$36:$B$167,"OFICIAL")</f>
        <v>0.36499999999999999</v>
      </c>
      <c r="AG275" s="65">
        <f>AVERAGEIFS($AT$36:$AT$167,$C$36:$C$167,"=5", $B$36:$B$167,"NO OFICIAL")</f>
        <v>0.42250000000000004</v>
      </c>
      <c r="AH275" s="65">
        <f>AVERAGEIFS($AV$36:$AV$167,$C$36:$C$167,"=5", $B$36:$B$167,"NO OFICIAL")</f>
        <v>0.38500000000000001</v>
      </c>
      <c r="AI275" s="65">
        <f>AVERAGEIFS($AU$36:$AU$167,$C$36:$C$167,"=5", $B$36:$B$167,"NO OFICIAL")</f>
        <v>0.29687499999999994</v>
      </c>
      <c r="AJ275" s="65">
        <f>AVERAGEIFS($BE$36:$BE$167,$C$36:$C$167,"=5", $B$36:$B$167,"OFICIAL")</f>
        <v>0.44</v>
      </c>
      <c r="AK275" s="65">
        <f>AVERAGEIFS($BF$36:$BF$167,$C$36:$C$167,"=5", $B$36:$B$167,"OFICIAL")</f>
        <v>0.33999999999999997</v>
      </c>
      <c r="AL275" s="65">
        <f>AVERAGEIFS($BG$36:$BG$167,$C$36:$C$167,"=5", $B$36:$B$167,"OFICIAL")</f>
        <v>0.54500000000000004</v>
      </c>
      <c r="AM275" s="65">
        <f>AVERAGEIFS($BE$36:$BE$167,$C$36:$C$167,"=5", $B$36:$B$167,"NO OFICIAL")</f>
        <v>0.38500000000000001</v>
      </c>
      <c r="AN275" s="65">
        <f>AVERAGEIFS($BF$36:$BF$167,$C$36:$C$167,"=5", $B$36:$B$167,"NO OFICIAL")</f>
        <v>0.29624999999999996</v>
      </c>
      <c r="AO275" s="65">
        <f>AVERAGEIFS($BG$36:$BG$167,$C$36:$C$167,"=5", $B$36:$B$167,"NO OFICIAL")</f>
        <v>0.47687499999999999</v>
      </c>
      <c r="AP275" s="291"/>
      <c r="AQ275" s="291"/>
      <c r="AR275" s="291"/>
      <c r="AS275" s="291"/>
      <c r="AT275" s="291"/>
      <c r="AU275" s="291"/>
      <c r="AV275" s="291"/>
      <c r="AW275" s="291"/>
      <c r="AX275" s="291"/>
      <c r="AY275" s="291"/>
      <c r="AZ275" s="291"/>
      <c r="BA275" s="291"/>
      <c r="BB275" s="291"/>
      <c r="BC275" s="291"/>
    </row>
    <row r="276" spans="5:55" x14ac:dyDescent="0.25">
      <c r="E276" s="39" t="s">
        <v>251</v>
      </c>
      <c r="F276" s="65">
        <f>AVERAGEIFS($K$36:$K$167,$C$36:$C$167,"=6", $B$36:$B$167,"OFICIAL")</f>
        <v>0.5033333333333333</v>
      </c>
      <c r="G276" s="65">
        <f>AVERAGEIFS($J$36:$J$167,$C$36:$C$167,"=6", $B$36:$B$167,"OFICIAL")</f>
        <v>0.46666666666666662</v>
      </c>
      <c r="H276" s="65">
        <f>AVERAGEIFS($L$36:$L$167,$C$36:$C$167,"=6", $B$36:$B$167,"OFICIAL")</f>
        <v>0.54666666666666652</v>
      </c>
      <c r="I276" s="65">
        <f>AVERAGEIFS($K$36:$K$167,$C$36:$C$167,"=6", $B$36:$B$167,"NO OFICIAL")</f>
        <v>0.47250000000000009</v>
      </c>
      <c r="J276" s="65">
        <f>AVERAGEIFS($J$36:$J$167,$C$36:$C$167,"=6", $B$36:$B$167,"NO OFICIAL")</f>
        <v>0.41749999999999998</v>
      </c>
      <c r="K276" s="65">
        <f>AVERAGEIFS($L$36:$L$167,$C$36:$C$167,"=6", $B$36:$B$167,"NO OFICIAL")</f>
        <v>0.53333333333333333</v>
      </c>
      <c r="L276" s="65">
        <f>AVERAGEIFS($T$36:$T$167,$C$36:$C$167,"=6", $B$36:$B$167,"OFICIAL")</f>
        <v>0.49666666666666665</v>
      </c>
      <c r="M276" s="65">
        <f>AVERAGEIFS($S$36:$S$167,$C$36:$C$167,"=6", $B$36:$B$167,"OFICIAL")</f>
        <v>0.4466666666666666</v>
      </c>
      <c r="N276" s="65">
        <f>AVERAGEIFS($U$36:$U$167,$C$36:$C$167,"=6", $B$36:$B$167,"OFICIAL")</f>
        <v>0.49666666666666665</v>
      </c>
      <c r="O276" s="65">
        <f>AVERAGEIFS($T$36:$T$167,$C$36:$C$167,"=6", $B$36:$B$167,"NO OFICIAL")</f>
        <v>0.47333333333333338</v>
      </c>
      <c r="P276" s="65">
        <f>AVERAGEIFS($S$36:$S$167,$C$36:$C$167,"=6", $B$36:$B$167,"NO OFICIAL")</f>
        <v>0.44083333333333335</v>
      </c>
      <c r="Q276" s="65">
        <f>AVERAGEIFS($U$36:$U$167,$C$36:$C$167,"=6", $B$36:$B$167,"NO OFICIAL")</f>
        <v>0.47166666666666668</v>
      </c>
      <c r="R276" s="65">
        <f>AVERAGEIFS($AB$36:$AB$167,$C$36:$C$167,"=6", $B$36:$B$167,"OFICIAL")</f>
        <v>0.45999999999999996</v>
      </c>
      <c r="S276" s="65">
        <f>AVERAGEIFS($AC$36:$AC$167,$C$36:$C$167,"=6", $B$36:$B$167,"OFICIAL")</f>
        <v>0.49666666666666665</v>
      </c>
      <c r="T276" s="65">
        <f>AVERAGEIFS($AD$36:$AD$167,$C$36:$C$167,"=6", $B$36:$B$167,"OFICIAL")</f>
        <v>0.51333333333333331</v>
      </c>
      <c r="U276" s="65">
        <f>AVERAGEIFS($AB$36:$AB$167,$C$36:$C$167,"=6", $B$36:$B$167,"NO OFICIAL")</f>
        <v>0.41727272727272724</v>
      </c>
      <c r="V276" s="65">
        <f>AVERAGEIFS($AC$36:$AC$167,$C$36:$C$167,"=6", $B$36:$B$167,"NO OFICIAL")</f>
        <v>0.45818181818181808</v>
      </c>
      <c r="W276" s="65">
        <f>AVERAGEIFS($AD$36:$AD$167,$C$36:$C$167,"=6", $B$36:$B$167,"NO OFICIAL")</f>
        <v>0.50090909090909086</v>
      </c>
      <c r="X276" s="65">
        <f>AVERAGEIFS($AK$36:$AK$167,$C$36:$C$167,"=6", $B$36:$B$167,"OFICIAL")</f>
        <v>0.44</v>
      </c>
      <c r="Y276" s="65">
        <f>AVERAGEIFS($AL$36:$AL$167,$C$36:$C$167,"=6", $B$36:$B$167,"OFICIAL")</f>
        <v>0.3833333333333333</v>
      </c>
      <c r="Z276" s="65">
        <f>AVERAGEIFS($AM$36:$AM$167,$C$36:$C$167,"=6", $B$36:$B$167,"OFICIAL")</f>
        <v>0.43</v>
      </c>
      <c r="AA276" s="65">
        <f>AVERAGEIFS($AK$36:$AK$167,$C$36:$C$167,"=6", $B$36:$B$167,"NO OFICIAL")</f>
        <v>0.40749999999999997</v>
      </c>
      <c r="AB276" s="65">
        <f>AVERAGEIFS($AL$36:$AL$167,$C$36:$C$167,"=6", $B$36:$B$167,"NO OFICIAL")</f>
        <v>0.35833333333333334</v>
      </c>
      <c r="AC276" s="65">
        <f>AVERAGEIFS($AM$36:$AM$167,$C$36:$C$167,"=1", $B$36:$B$167,"NO OFICIAL")</f>
        <v>0.4284615384615385</v>
      </c>
      <c r="AD276" s="65">
        <f>AVERAGEIFS($AT$36:$AT$167,$C$36:$C$167,"=6", $B$36:$B$167,"OFICIAL")</f>
        <v>0.46666666666666662</v>
      </c>
      <c r="AE276" s="65">
        <f>AVERAGEIFS($AV$36:$AV$167,$C$36:$C$167,"=6", $B$36:$B$167,"OFICIAL")</f>
        <v>0.45</v>
      </c>
      <c r="AF276" s="65">
        <f>AVERAGEIFS($AU$36:$AU$167,$C$36:$C$167,"=6", $B$36:$B$167,"OFICIAL")</f>
        <v>0.38000000000000006</v>
      </c>
      <c r="AG276" s="65">
        <f>AVERAGEIFS($AT$36:$AT$167,$C$36:$C$167,"=6", $B$36:$B$167,"NO OFICIAL")</f>
        <v>0.48928571428571427</v>
      </c>
      <c r="AH276" s="65">
        <f>AVERAGEIFS($AV$36:$AV$167,$C$36:$C$167,"=6", $B$36:$B$167,"NO OFICIAL")</f>
        <v>0.45357142857142863</v>
      </c>
      <c r="AI276" s="65">
        <f>AVERAGEIFS($AU$36:$AU$167,$C$36:$C$167,"=6", $B$36:$B$167,"NO OFICIAL")</f>
        <v>0.37857142857142861</v>
      </c>
      <c r="AJ276" s="65">
        <f>AVERAGEIFS($BE$36:$BE$167,$C$36:$C$167,"=6", $B$36:$B$167,"OFICIAL")</f>
        <v>0.47666666666666663</v>
      </c>
      <c r="AK276" s="65">
        <f>AVERAGEIFS($BF$36:$BF$167,$C$36:$C$167,"=6", $B$36:$B$167,"OFICIAL")</f>
        <v>0.36999999999999994</v>
      </c>
      <c r="AL276" s="65">
        <f>AVERAGEIFS($BG$36:$BG$167,$C$36:$C$167,"=6", $B$36:$B$167,"OFICIAL")</f>
        <v>0.56666666666666676</v>
      </c>
      <c r="AM276" s="65">
        <f>AVERAGEIFS($BE$36:$BE$167,$C$36:$C$167,"=6", $B$36:$B$167,"NO OFICIAL")</f>
        <v>0.44499999999999995</v>
      </c>
      <c r="AN276" s="65">
        <f>AVERAGEIFS($BF$36:$BF$167,$C$36:$C$167,"=6", $B$36:$B$167,"NO OFICIAL")</f>
        <v>0.32857142857142857</v>
      </c>
      <c r="AO276" s="65">
        <f>AVERAGEIFS($BG$36:$BG$167,$C$36:$C$167,"=6", $B$36:$B$167,"NO OFICIAL")</f>
        <v>0.52357142857142847</v>
      </c>
      <c r="AP276" s="291"/>
      <c r="AQ276" s="291"/>
      <c r="AR276" s="291"/>
      <c r="AS276" s="291"/>
      <c r="AT276" s="291"/>
      <c r="AU276" s="291"/>
      <c r="AV276" s="291"/>
      <c r="AW276" s="291"/>
      <c r="AX276" s="291"/>
      <c r="AY276" s="291"/>
      <c r="AZ276" s="291"/>
      <c r="BA276" s="291"/>
      <c r="BB276" s="291"/>
      <c r="BC276" s="291"/>
    </row>
    <row r="277" spans="5:55" x14ac:dyDescent="0.25">
      <c r="AP277" s="291"/>
      <c r="AQ277" s="291"/>
      <c r="AR277" s="291"/>
      <c r="AS277" s="291"/>
      <c r="AT277" s="291"/>
      <c r="AU277" s="291"/>
      <c r="AV277" s="291"/>
      <c r="AW277" s="291"/>
      <c r="AX277" s="291"/>
      <c r="AY277" s="291"/>
      <c r="AZ277" s="291"/>
      <c r="BA277" s="291"/>
      <c r="BB277" s="291"/>
      <c r="BC277" s="291"/>
    </row>
    <row r="278" spans="5:55" x14ac:dyDescent="0.25">
      <c r="AP278" s="291"/>
      <c r="AQ278" s="291"/>
      <c r="AR278" s="291"/>
      <c r="AS278" s="291"/>
      <c r="AT278" s="291"/>
      <c r="AU278" s="291"/>
      <c r="AV278" s="291"/>
      <c r="AW278" s="291"/>
      <c r="AX278" s="291"/>
      <c r="AY278" s="291"/>
      <c r="AZ278" s="291"/>
      <c r="BA278" s="291"/>
      <c r="BB278" s="291"/>
      <c r="BC278" s="291"/>
    </row>
    <row r="281" spans="5:55" x14ac:dyDescent="0.25">
      <c r="F281" s="53">
        <v>2016</v>
      </c>
      <c r="G281" s="53">
        <v>2017</v>
      </c>
      <c r="H281" s="53">
        <v>2018</v>
      </c>
      <c r="I281" s="53">
        <v>2019</v>
      </c>
      <c r="J281" s="53">
        <v>2020</v>
      </c>
      <c r="K281" s="53">
        <v>2021</v>
      </c>
    </row>
    <row r="282" spans="5:55" x14ac:dyDescent="0.25">
      <c r="F282" s="53" t="s">
        <v>943</v>
      </c>
      <c r="G282" s="287" t="s">
        <v>943</v>
      </c>
      <c r="H282" s="287" t="s">
        <v>943</v>
      </c>
      <c r="I282" s="287" t="s">
        <v>943</v>
      </c>
      <c r="J282" s="287" t="s">
        <v>943</v>
      </c>
      <c r="K282" s="287" t="s">
        <v>943</v>
      </c>
    </row>
    <row r="283" spans="5:55" x14ac:dyDescent="0.25">
      <c r="E283" t="s">
        <v>246</v>
      </c>
      <c r="F283" s="442">
        <v>0.48176470588235293</v>
      </c>
      <c r="G283" s="65">
        <v>0.48000000000000004</v>
      </c>
      <c r="H283" s="65">
        <v>0.44058823529411767</v>
      </c>
      <c r="I283" s="65">
        <v>0.4205882352941176</v>
      </c>
      <c r="J283" s="65">
        <v>0.46411764705882358</v>
      </c>
      <c r="K283" s="65">
        <v>0.43176470588235294</v>
      </c>
    </row>
    <row r="284" spans="5:55" x14ac:dyDescent="0.25">
      <c r="E284" t="s">
        <v>247</v>
      </c>
      <c r="F284" s="442">
        <v>0.45600000000000013</v>
      </c>
      <c r="G284" s="65">
        <v>0.44789473684210523</v>
      </c>
      <c r="H284" s="65">
        <v>0.41526315789473683</v>
      </c>
      <c r="I284" s="65">
        <v>0.39000000000000007</v>
      </c>
      <c r="J284" s="65">
        <v>0.43458333333333332</v>
      </c>
      <c r="K284" s="65">
        <v>0.43545454545454554</v>
      </c>
    </row>
    <row r="285" spans="5:55" x14ac:dyDescent="0.25">
      <c r="E285" t="s">
        <v>248</v>
      </c>
      <c r="F285" s="442">
        <v>0.4694444444444445</v>
      </c>
      <c r="G285" s="65">
        <v>0.45789473684210524</v>
      </c>
      <c r="H285" s="65">
        <v>0.40473684210526323</v>
      </c>
      <c r="I285" s="65">
        <v>0.40052631578947373</v>
      </c>
      <c r="J285" s="65">
        <v>0.44800000000000006</v>
      </c>
      <c r="K285" s="65">
        <v>0.41200000000000003</v>
      </c>
    </row>
    <row r="286" spans="5:55" x14ac:dyDescent="0.25">
      <c r="E286" t="s">
        <v>249</v>
      </c>
      <c r="F286" s="442">
        <v>0.52357142857142858</v>
      </c>
      <c r="G286" s="65">
        <v>0.47500000000000003</v>
      </c>
      <c r="H286" s="65">
        <v>0.44333333333333325</v>
      </c>
      <c r="I286" s="65">
        <v>0.43785714285714289</v>
      </c>
      <c r="J286" s="65">
        <v>0.50692307692307703</v>
      </c>
      <c r="K286" s="65">
        <v>0.46142857142857147</v>
      </c>
    </row>
    <row r="287" spans="5:55" x14ac:dyDescent="0.25">
      <c r="E287" t="s">
        <v>250</v>
      </c>
      <c r="F287" s="442">
        <v>0.43588235294117644</v>
      </c>
      <c r="G287" s="65">
        <v>0.43111111111111111</v>
      </c>
      <c r="H287" s="65">
        <v>0.39500000000000002</v>
      </c>
      <c r="I287" s="65">
        <v>0.37526315789473674</v>
      </c>
      <c r="J287" s="65">
        <v>0.42777777777777781</v>
      </c>
      <c r="K287" s="65">
        <v>0.39111111111111119</v>
      </c>
    </row>
    <row r="288" spans="5:55" x14ac:dyDescent="0.25">
      <c r="E288" t="s">
        <v>251</v>
      </c>
      <c r="F288" s="442">
        <v>0.47866666666666668</v>
      </c>
      <c r="G288" s="65">
        <v>0.47800000000000004</v>
      </c>
      <c r="H288" s="65">
        <v>0.42642857142857149</v>
      </c>
      <c r="I288" s="65">
        <v>0.41399999999999998</v>
      </c>
      <c r="J288" s="65">
        <v>0.48529411764705882</v>
      </c>
      <c r="K288" s="65">
        <v>0.45437499999999992</v>
      </c>
    </row>
    <row r="290" spans="5:11" x14ac:dyDescent="0.25">
      <c r="F290" s="429">
        <v>2016</v>
      </c>
      <c r="G290" s="429">
        <v>2017</v>
      </c>
      <c r="H290" s="429">
        <v>2018</v>
      </c>
      <c r="I290" s="429">
        <v>2019</v>
      </c>
      <c r="J290" s="429">
        <v>2020</v>
      </c>
      <c r="K290" s="429">
        <v>2021</v>
      </c>
    </row>
    <row r="291" spans="5:11" x14ac:dyDescent="0.25">
      <c r="F291" s="287" t="s">
        <v>944</v>
      </c>
      <c r="G291" s="287" t="s">
        <v>944</v>
      </c>
      <c r="H291" s="287" t="s">
        <v>944</v>
      </c>
      <c r="I291" s="287" t="s">
        <v>944</v>
      </c>
      <c r="J291" s="287" t="s">
        <v>944</v>
      </c>
      <c r="K291" s="287" t="s">
        <v>944</v>
      </c>
    </row>
    <row r="292" spans="5:11" x14ac:dyDescent="0.25">
      <c r="E292" s="39" t="s">
        <v>246</v>
      </c>
      <c r="F292" s="65">
        <v>0.43470588235294116</v>
      </c>
      <c r="G292" s="65">
        <v>0.44624999999999992</v>
      </c>
      <c r="H292" s="65">
        <v>0.47352941176470592</v>
      </c>
      <c r="I292" s="65">
        <v>0.36588235294117644</v>
      </c>
      <c r="J292" s="65">
        <v>0.43588235294117661</v>
      </c>
      <c r="K292" s="65">
        <v>0.32117647058823529</v>
      </c>
    </row>
    <row r="293" spans="5:11" x14ac:dyDescent="0.25">
      <c r="E293" s="39" t="s">
        <v>247</v>
      </c>
      <c r="F293" s="65">
        <v>0.41249999999999992</v>
      </c>
      <c r="G293" s="65">
        <v>0.40842105263157902</v>
      </c>
      <c r="H293" s="65">
        <v>0.46631578947368429</v>
      </c>
      <c r="I293" s="65">
        <v>0.33999999999999997</v>
      </c>
      <c r="J293" s="65">
        <v>0.41708333333333331</v>
      </c>
      <c r="K293" s="65">
        <v>0.33636363636363636</v>
      </c>
    </row>
    <row r="294" spans="5:11" x14ac:dyDescent="0.25">
      <c r="E294" s="39" t="s">
        <v>248</v>
      </c>
      <c r="F294" s="65">
        <v>0.40444444444444438</v>
      </c>
      <c r="G294" s="65">
        <v>0.42000000000000004</v>
      </c>
      <c r="H294" s="65">
        <v>0.45631578947368423</v>
      </c>
      <c r="I294" s="65">
        <v>0.34894736842105267</v>
      </c>
      <c r="J294" s="65">
        <v>0.40499999999999997</v>
      </c>
      <c r="K294" s="65">
        <v>0.32050000000000001</v>
      </c>
    </row>
    <row r="295" spans="5:11" x14ac:dyDescent="0.25">
      <c r="E295" s="39" t="s">
        <v>249</v>
      </c>
      <c r="F295" s="65">
        <v>0.47857142857142859</v>
      </c>
      <c r="G295" s="65">
        <v>0.43571428571428567</v>
      </c>
      <c r="H295" s="65">
        <v>0.4966666666666667</v>
      </c>
      <c r="I295" s="65">
        <v>0.39857142857142858</v>
      </c>
      <c r="J295" s="65">
        <v>0.46153846153846145</v>
      </c>
      <c r="K295" s="65">
        <v>0.38214285714285717</v>
      </c>
    </row>
    <row r="296" spans="5:11" x14ac:dyDescent="0.25">
      <c r="E296" s="39" t="s">
        <v>250</v>
      </c>
      <c r="F296" s="65">
        <v>0.40941176470588236</v>
      </c>
      <c r="G296" s="65">
        <v>0.37388888888888883</v>
      </c>
      <c r="H296" s="65">
        <v>0.4538888888888889</v>
      </c>
      <c r="I296" s="65">
        <v>0.32526315789473681</v>
      </c>
      <c r="J296" s="65">
        <v>0.39166666666666672</v>
      </c>
      <c r="K296" s="65">
        <v>0.30111111111111105</v>
      </c>
    </row>
    <row r="297" spans="5:11" x14ac:dyDescent="0.25">
      <c r="E297" s="39" t="s">
        <v>251</v>
      </c>
      <c r="F297" s="65">
        <v>0.4273333333333334</v>
      </c>
      <c r="G297" s="65">
        <v>0.44200000000000006</v>
      </c>
      <c r="H297" s="65">
        <v>0.46642857142857136</v>
      </c>
      <c r="I297" s="65">
        <v>0.36333333333333334</v>
      </c>
      <c r="J297" s="65">
        <v>0.45294117647058824</v>
      </c>
      <c r="K297" s="65">
        <v>0.33437499999999998</v>
      </c>
    </row>
    <row r="299" spans="5:11" x14ac:dyDescent="0.25">
      <c r="F299" s="429">
        <v>2016</v>
      </c>
      <c r="G299" s="429">
        <v>2017</v>
      </c>
      <c r="H299" s="429">
        <v>2018</v>
      </c>
      <c r="I299" s="429">
        <v>2019</v>
      </c>
      <c r="J299" s="429">
        <v>2020</v>
      </c>
      <c r="K299" s="429">
        <v>2021</v>
      </c>
    </row>
    <row r="300" spans="5:11" x14ac:dyDescent="0.25">
      <c r="F300" s="287" t="s">
        <v>945</v>
      </c>
      <c r="G300" s="287" t="s">
        <v>945</v>
      </c>
      <c r="H300" s="287" t="s">
        <v>945</v>
      </c>
      <c r="I300" s="287" t="s">
        <v>945</v>
      </c>
      <c r="J300" s="287" t="s">
        <v>945</v>
      </c>
      <c r="K300" s="287" t="s">
        <v>945</v>
      </c>
    </row>
    <row r="301" spans="5:11" x14ac:dyDescent="0.25">
      <c r="E301" s="39" t="s">
        <v>246</v>
      </c>
      <c r="F301" s="65">
        <v>0.55941176470588239</v>
      </c>
      <c r="G301" s="65">
        <v>0.46562499999999996</v>
      </c>
      <c r="H301" s="65">
        <v>0.49941176470588228</v>
      </c>
      <c r="I301" s="65">
        <v>0.42529411764705882</v>
      </c>
      <c r="J301" s="65">
        <v>0.3605882352941176</v>
      </c>
      <c r="K301" s="65">
        <v>0.53647058823529414</v>
      </c>
    </row>
    <row r="302" spans="5:11" x14ac:dyDescent="0.25">
      <c r="E302" s="39" t="s">
        <v>247</v>
      </c>
      <c r="F302" s="65">
        <v>0.51300000000000001</v>
      </c>
      <c r="G302" s="65">
        <v>0.44263157894736832</v>
      </c>
      <c r="H302" s="65">
        <v>0.48052631578947363</v>
      </c>
      <c r="I302" s="65">
        <v>0.39500000000000007</v>
      </c>
      <c r="J302" s="65">
        <v>0.36166666666666664</v>
      </c>
      <c r="K302" s="65">
        <v>0.52727272727272745</v>
      </c>
    </row>
    <row r="303" spans="5:11" x14ac:dyDescent="0.25">
      <c r="E303" s="39" t="s">
        <v>248</v>
      </c>
      <c r="F303" s="65">
        <v>0.51888888888888884</v>
      </c>
      <c r="G303" s="65">
        <v>0.44631578947368422</v>
      </c>
      <c r="H303" s="65">
        <v>0.47842105263157886</v>
      </c>
      <c r="I303" s="65">
        <v>0.39368421052631569</v>
      </c>
      <c r="J303" s="65">
        <v>0.34550000000000003</v>
      </c>
      <c r="K303" s="65">
        <v>0.51100000000000012</v>
      </c>
    </row>
    <row r="304" spans="5:11" x14ac:dyDescent="0.25">
      <c r="E304" s="39" t="s">
        <v>249</v>
      </c>
      <c r="F304" s="65">
        <v>0.59214285714285708</v>
      </c>
      <c r="G304" s="65">
        <v>0.49071428571428577</v>
      </c>
      <c r="H304" s="65">
        <v>0.51733333333333342</v>
      </c>
      <c r="I304" s="65">
        <v>0.43857142857142856</v>
      </c>
      <c r="J304" s="65">
        <v>0.41923076923076918</v>
      </c>
      <c r="K304" s="65">
        <v>0.56857142857142873</v>
      </c>
    </row>
    <row r="305" spans="5:11" x14ac:dyDescent="0.25">
      <c r="E305" s="39" t="s">
        <v>250</v>
      </c>
      <c r="F305" s="65">
        <v>0.53117647058823536</v>
      </c>
      <c r="G305" s="65">
        <v>0.435</v>
      </c>
      <c r="H305" s="65">
        <v>0.46444444444444444</v>
      </c>
      <c r="I305" s="65">
        <v>0.37894736842105264</v>
      </c>
      <c r="J305" s="65">
        <v>0.30444444444444441</v>
      </c>
      <c r="K305" s="65">
        <v>0.48444444444444446</v>
      </c>
    </row>
    <row r="306" spans="5:11" x14ac:dyDescent="0.25">
      <c r="E306" s="39" t="s">
        <v>251</v>
      </c>
      <c r="F306" s="65">
        <v>0.53599999999999992</v>
      </c>
      <c r="G306" s="65">
        <v>0.47666666666666668</v>
      </c>
      <c r="H306" s="65">
        <v>0.50357142857142856</v>
      </c>
      <c r="I306" s="65">
        <v>0.38933333333333336</v>
      </c>
      <c r="J306" s="65">
        <v>0.37882352941176473</v>
      </c>
      <c r="K306" s="65">
        <v>0.53437500000000004</v>
      </c>
    </row>
    <row r="308" spans="5:11" x14ac:dyDescent="0.25">
      <c r="F308" s="287" t="s">
        <v>254</v>
      </c>
    </row>
    <row r="309" spans="5:11" x14ac:dyDescent="0.25">
      <c r="F309" s="429">
        <v>2016</v>
      </c>
      <c r="G309" s="429">
        <v>2017</v>
      </c>
      <c r="H309" s="429">
        <v>2018</v>
      </c>
      <c r="I309" s="429">
        <v>2019</v>
      </c>
      <c r="J309" s="429">
        <v>2020</v>
      </c>
      <c r="K309" s="429">
        <v>2021</v>
      </c>
    </row>
    <row r="310" spans="5:11" x14ac:dyDescent="0.25">
      <c r="F310" s="287" t="s">
        <v>943</v>
      </c>
      <c r="G310" s="287" t="s">
        <v>943</v>
      </c>
      <c r="H310" s="287" t="s">
        <v>943</v>
      </c>
      <c r="I310" s="287" t="s">
        <v>943</v>
      </c>
      <c r="J310" s="287" t="s">
        <v>943</v>
      </c>
      <c r="K310" s="287" t="s">
        <v>943</v>
      </c>
    </row>
    <row r="311" spans="5:11" x14ac:dyDescent="0.25">
      <c r="E311" s="39" t="s">
        <v>246</v>
      </c>
      <c r="F311" s="65">
        <v>0.48749999999999999</v>
      </c>
      <c r="G311" s="65">
        <v>0.45500000000000002</v>
      </c>
      <c r="H311" s="65">
        <v>0.4325</v>
      </c>
      <c r="I311" s="65">
        <v>0.42249999999999999</v>
      </c>
      <c r="J311" s="65">
        <v>0.46249999999999997</v>
      </c>
      <c r="K311" s="65">
        <v>0.44749999999999995</v>
      </c>
    </row>
    <row r="312" spans="5:11" x14ac:dyDescent="0.25">
      <c r="E312" s="39" t="s">
        <v>247</v>
      </c>
      <c r="F312" s="65">
        <v>0.49</v>
      </c>
      <c r="G312" s="65">
        <v>0.46499999999999997</v>
      </c>
      <c r="H312" s="65">
        <v>0.42499999999999999</v>
      </c>
      <c r="I312" s="65">
        <v>0.41000000000000003</v>
      </c>
      <c r="J312" s="65">
        <v>0.47499999999999998</v>
      </c>
      <c r="K312" s="65">
        <v>0.45500000000000002</v>
      </c>
    </row>
    <row r="313" spans="5:11" x14ac:dyDescent="0.25">
      <c r="E313" s="39" t="s">
        <v>248</v>
      </c>
      <c r="F313" s="65">
        <v>0.48399999999999999</v>
      </c>
      <c r="G313" s="65">
        <v>0.48399999999999999</v>
      </c>
      <c r="H313" s="65">
        <v>0.42400000000000004</v>
      </c>
      <c r="I313" s="65">
        <v>0.42000000000000004</v>
      </c>
      <c r="J313" s="65">
        <v>0.47599999999999998</v>
      </c>
      <c r="K313" s="65">
        <v>0.44800000000000006</v>
      </c>
    </row>
    <row r="314" spans="5:11" x14ac:dyDescent="0.25">
      <c r="E314" s="39" t="s">
        <v>249</v>
      </c>
      <c r="F314" s="65">
        <v>0.52666666666666673</v>
      </c>
      <c r="G314" s="65">
        <v>0.51666666666666672</v>
      </c>
      <c r="H314" s="65">
        <v>0.505</v>
      </c>
      <c r="I314" s="65">
        <v>0.48833333333333345</v>
      </c>
      <c r="J314" s="65">
        <v>0.52833333333333343</v>
      </c>
      <c r="K314" s="65">
        <v>0.4916666666666667</v>
      </c>
    </row>
    <row r="315" spans="5:11" x14ac:dyDescent="0.25">
      <c r="E315" s="39" t="s">
        <v>250</v>
      </c>
      <c r="F315" s="65">
        <v>0.46499999999999997</v>
      </c>
      <c r="G315" s="65">
        <v>0.46499999999999997</v>
      </c>
      <c r="H315" s="65">
        <v>0.45499999999999996</v>
      </c>
      <c r="I315" s="65">
        <v>0.42499999999999999</v>
      </c>
      <c r="J315" s="65">
        <v>0.47</v>
      </c>
      <c r="K315" s="65">
        <v>0.44</v>
      </c>
    </row>
    <row r="316" spans="5:11" x14ac:dyDescent="0.25">
      <c r="E316" s="39" t="s">
        <v>251</v>
      </c>
      <c r="F316" s="65">
        <v>0.5033333333333333</v>
      </c>
      <c r="G316" s="65">
        <v>0.49666666666666665</v>
      </c>
      <c r="H316" s="65">
        <v>0.45999999999999996</v>
      </c>
      <c r="I316" s="65">
        <v>0.44</v>
      </c>
      <c r="J316" s="65">
        <v>0.46666666666666662</v>
      </c>
      <c r="K316" s="65">
        <v>0.47666666666666663</v>
      </c>
    </row>
    <row r="318" spans="5:11" x14ac:dyDescent="0.25">
      <c r="F318" s="287" t="s">
        <v>254</v>
      </c>
      <c r="G318" s="429"/>
      <c r="H318" s="429"/>
      <c r="I318" s="429"/>
      <c r="J318" s="429"/>
      <c r="K318" s="429"/>
    </row>
    <row r="319" spans="5:11" x14ac:dyDescent="0.25">
      <c r="F319" s="429">
        <v>2016</v>
      </c>
      <c r="G319" s="429">
        <v>2017</v>
      </c>
      <c r="H319" s="429">
        <v>2018</v>
      </c>
      <c r="I319" s="429">
        <v>2019</v>
      </c>
      <c r="J319" s="429">
        <v>2020</v>
      </c>
      <c r="K319" s="429">
        <v>2021</v>
      </c>
    </row>
    <row r="320" spans="5:11" x14ac:dyDescent="0.25">
      <c r="F320" s="287" t="s">
        <v>944</v>
      </c>
      <c r="G320" s="287" t="s">
        <v>944</v>
      </c>
      <c r="H320" s="287" t="s">
        <v>944</v>
      </c>
      <c r="I320" s="287" t="s">
        <v>944</v>
      </c>
      <c r="J320" s="53" t="s">
        <v>944</v>
      </c>
      <c r="K320" s="287" t="s">
        <v>944</v>
      </c>
    </row>
    <row r="321" spans="5:11" x14ac:dyDescent="0.25">
      <c r="E321" s="39" t="s">
        <v>246</v>
      </c>
      <c r="F321" s="65">
        <v>0.43499999999999994</v>
      </c>
      <c r="G321" s="65">
        <v>0.42000000000000004</v>
      </c>
      <c r="H321" s="65">
        <v>0.48499999999999999</v>
      </c>
      <c r="I321" s="65">
        <v>0.36250000000000004</v>
      </c>
      <c r="J321" s="65">
        <v>0.41749999999999998</v>
      </c>
      <c r="K321" s="65">
        <v>0.34</v>
      </c>
    </row>
    <row r="322" spans="5:11" x14ac:dyDescent="0.25">
      <c r="E322" s="39" t="s">
        <v>247</v>
      </c>
      <c r="F322" s="65">
        <v>0.43</v>
      </c>
      <c r="G322" s="65">
        <v>0.43</v>
      </c>
      <c r="H322" s="65">
        <v>0.495</v>
      </c>
      <c r="I322" s="65">
        <v>0.36</v>
      </c>
      <c r="J322" s="65">
        <v>0.42499999999999999</v>
      </c>
      <c r="K322" s="65">
        <v>0.36</v>
      </c>
    </row>
    <row r="323" spans="5:11" x14ac:dyDescent="0.25">
      <c r="E323" s="39" t="s">
        <v>248</v>
      </c>
      <c r="F323" s="65">
        <v>0.47400000000000003</v>
      </c>
      <c r="G323" s="65">
        <v>0.42599999999999999</v>
      </c>
      <c r="H323" s="65">
        <v>0.47599999999999998</v>
      </c>
      <c r="I323" s="65">
        <v>0.38600000000000001</v>
      </c>
      <c r="J323" s="65">
        <v>0.43600000000000005</v>
      </c>
      <c r="K323" s="65">
        <v>0.34799999999999998</v>
      </c>
    </row>
    <row r="324" spans="5:11" x14ac:dyDescent="0.25">
      <c r="E324" s="39" t="s">
        <v>249</v>
      </c>
      <c r="F324" s="65">
        <v>0.48833333333333345</v>
      </c>
      <c r="G324" s="65">
        <v>0.47833333333333333</v>
      </c>
      <c r="H324" s="65">
        <v>0.53833333333333333</v>
      </c>
      <c r="I324" s="65">
        <v>0.435</v>
      </c>
      <c r="J324" s="65">
        <v>0.48833333333333334</v>
      </c>
      <c r="K324" s="65">
        <v>0.42</v>
      </c>
    </row>
    <row r="325" spans="5:11" x14ac:dyDescent="0.25">
      <c r="E325" s="39" t="s">
        <v>250</v>
      </c>
      <c r="F325" s="65">
        <v>0.43</v>
      </c>
      <c r="G325" s="65">
        <v>0.435</v>
      </c>
      <c r="H325" s="65">
        <v>0.495</v>
      </c>
      <c r="I325" s="65">
        <v>0.36499999999999999</v>
      </c>
      <c r="J325" s="65">
        <v>0.44500000000000001</v>
      </c>
      <c r="K325" s="65">
        <v>0.33999999999999997</v>
      </c>
    </row>
    <row r="326" spans="5:11" x14ac:dyDescent="0.25">
      <c r="E326" s="39" t="s">
        <v>251</v>
      </c>
      <c r="F326" s="65">
        <v>0.46666666666666662</v>
      </c>
      <c r="G326" s="65">
        <v>0.4466666666666666</v>
      </c>
      <c r="H326" s="65">
        <v>0.49666666666666665</v>
      </c>
      <c r="I326" s="65">
        <v>0.3833333333333333</v>
      </c>
      <c r="J326" s="65">
        <v>0.45</v>
      </c>
      <c r="K326" s="65">
        <v>0.36999999999999994</v>
      </c>
    </row>
    <row r="328" spans="5:11" x14ac:dyDescent="0.25">
      <c r="F328" s="287" t="s">
        <v>254</v>
      </c>
      <c r="G328" s="429"/>
      <c r="H328" s="429"/>
      <c r="I328" s="429"/>
      <c r="J328" s="429"/>
      <c r="K328" s="429"/>
    </row>
    <row r="329" spans="5:11" x14ac:dyDescent="0.25">
      <c r="F329" s="429">
        <v>2016</v>
      </c>
      <c r="G329" s="429">
        <v>2017</v>
      </c>
      <c r="H329" s="429">
        <v>2018</v>
      </c>
      <c r="I329" s="429">
        <v>2019</v>
      </c>
      <c r="J329" s="429">
        <v>2020</v>
      </c>
      <c r="K329" s="429">
        <v>2021</v>
      </c>
    </row>
    <row r="330" spans="5:11" x14ac:dyDescent="0.25">
      <c r="F330" s="287" t="s">
        <v>945</v>
      </c>
      <c r="G330" s="287" t="s">
        <v>945</v>
      </c>
      <c r="H330" s="287" t="s">
        <v>945</v>
      </c>
      <c r="I330" s="287" t="s">
        <v>945</v>
      </c>
      <c r="J330" s="53" t="s">
        <v>945</v>
      </c>
      <c r="K330" s="287" t="s">
        <v>945</v>
      </c>
    </row>
    <row r="331" spans="5:11" x14ac:dyDescent="0.25">
      <c r="E331" s="39" t="s">
        <v>246</v>
      </c>
      <c r="F331" s="65">
        <v>0.55000000000000004</v>
      </c>
      <c r="G331" s="65">
        <v>0.45249999999999996</v>
      </c>
      <c r="H331" s="65">
        <v>0.505</v>
      </c>
      <c r="I331" s="65">
        <v>0.41500000000000004</v>
      </c>
      <c r="J331" s="65">
        <v>0.35499999999999998</v>
      </c>
      <c r="K331" s="65">
        <v>0.54749999999999999</v>
      </c>
    </row>
    <row r="332" spans="5:11" x14ac:dyDescent="0.25">
      <c r="E332" s="39" t="s">
        <v>247</v>
      </c>
      <c r="F332" s="65">
        <v>0.54499999999999993</v>
      </c>
      <c r="G332" s="65">
        <v>0.47499999999999998</v>
      </c>
      <c r="H332" s="65">
        <v>0.505</v>
      </c>
      <c r="I332" s="65">
        <v>0.42</v>
      </c>
      <c r="J332" s="65">
        <v>0.36</v>
      </c>
      <c r="K332" s="65">
        <v>0.55000000000000004</v>
      </c>
    </row>
    <row r="333" spans="5:11" x14ac:dyDescent="0.25">
      <c r="E333" s="39" t="s">
        <v>248</v>
      </c>
      <c r="F333" s="65">
        <v>0.53800000000000003</v>
      </c>
      <c r="G333" s="65">
        <v>0.46600000000000003</v>
      </c>
      <c r="H333" s="65">
        <v>0.504</v>
      </c>
      <c r="I333" s="65">
        <v>0.42599999999999999</v>
      </c>
      <c r="J333" s="65">
        <v>0.37799999999999995</v>
      </c>
      <c r="K333" s="65">
        <v>0.54600000000000004</v>
      </c>
    </row>
    <row r="334" spans="5:11" x14ac:dyDescent="0.25">
      <c r="E334" s="39" t="s">
        <v>249</v>
      </c>
      <c r="F334" s="65">
        <v>0.61833333333333329</v>
      </c>
      <c r="G334" s="65">
        <v>0.52166666666666661</v>
      </c>
      <c r="H334" s="65">
        <v>0.55333333333333334</v>
      </c>
      <c r="I334" s="65">
        <v>0.47499999999999992</v>
      </c>
      <c r="J334" s="65">
        <v>0.4316666666666667</v>
      </c>
      <c r="K334" s="65">
        <v>0.59499999999999997</v>
      </c>
    </row>
    <row r="335" spans="5:11" x14ac:dyDescent="0.25">
      <c r="E335" s="39" t="s">
        <v>250</v>
      </c>
      <c r="F335" s="65">
        <v>0.53500000000000003</v>
      </c>
      <c r="G335" s="65">
        <v>0.48499999999999999</v>
      </c>
      <c r="H335" s="65">
        <v>0.52500000000000002</v>
      </c>
      <c r="I335" s="65">
        <v>0.43</v>
      </c>
      <c r="J335" s="65">
        <v>0.36499999999999999</v>
      </c>
      <c r="K335" s="65">
        <v>0.54500000000000004</v>
      </c>
    </row>
    <row r="336" spans="5:11" x14ac:dyDescent="0.25">
      <c r="E336" s="39" t="s">
        <v>251</v>
      </c>
      <c r="F336" s="65">
        <v>0.54666666666666652</v>
      </c>
      <c r="G336" s="65">
        <v>0.49666666666666665</v>
      </c>
      <c r="H336" s="65">
        <v>0.51333333333333331</v>
      </c>
      <c r="I336" s="65">
        <v>0.43</v>
      </c>
      <c r="J336" s="65">
        <v>0.38000000000000006</v>
      </c>
      <c r="K336" s="65">
        <v>0.56666666666666676</v>
      </c>
    </row>
    <row r="338" spans="5:11" x14ac:dyDescent="0.25">
      <c r="F338" s="287" t="s">
        <v>255</v>
      </c>
      <c r="G338" s="429"/>
      <c r="H338" s="429"/>
      <c r="I338" s="429"/>
      <c r="J338" s="429"/>
      <c r="K338" s="429"/>
    </row>
    <row r="339" spans="5:11" x14ac:dyDescent="0.25">
      <c r="F339" s="429">
        <v>2016</v>
      </c>
      <c r="G339" s="429">
        <v>2017</v>
      </c>
      <c r="H339" s="429">
        <v>2018</v>
      </c>
      <c r="I339" s="429">
        <v>2019</v>
      </c>
      <c r="J339" s="429">
        <v>2020</v>
      </c>
      <c r="K339" s="429">
        <v>2021</v>
      </c>
    </row>
    <row r="340" spans="5:11" x14ac:dyDescent="0.25">
      <c r="F340" s="287" t="s">
        <v>943</v>
      </c>
      <c r="G340" s="287" t="s">
        <v>943</v>
      </c>
      <c r="H340" s="287" t="s">
        <v>943</v>
      </c>
      <c r="I340" s="287" t="s">
        <v>943</v>
      </c>
      <c r="J340" s="287" t="s">
        <v>943</v>
      </c>
      <c r="K340" s="287" t="s">
        <v>943</v>
      </c>
    </row>
    <row r="341" spans="5:11" x14ac:dyDescent="0.25">
      <c r="E341" s="39" t="s">
        <v>246</v>
      </c>
      <c r="F341" s="65">
        <v>0.47999999999999987</v>
      </c>
      <c r="G341" s="65">
        <v>0.48833333333333334</v>
      </c>
      <c r="H341" s="65">
        <v>0.44307692307692303</v>
      </c>
      <c r="I341" s="65">
        <v>0.42</v>
      </c>
      <c r="J341" s="65">
        <v>0.4646153846153846</v>
      </c>
      <c r="K341" s="65">
        <v>0.42692307692307696</v>
      </c>
    </row>
    <row r="342" spans="5:11" x14ac:dyDescent="0.25">
      <c r="E342" s="39" t="s">
        <v>247</v>
      </c>
      <c r="F342" s="65">
        <v>0.45222222222222225</v>
      </c>
      <c r="G342" s="65">
        <v>0.44588235294117651</v>
      </c>
      <c r="H342" s="65">
        <v>0.41411764705882348</v>
      </c>
      <c r="I342" s="65">
        <v>0.38777777777777783</v>
      </c>
      <c r="J342" s="65">
        <v>0.43090909090909091</v>
      </c>
      <c r="K342" s="65">
        <v>0.4335</v>
      </c>
    </row>
    <row r="343" spans="5:11" x14ac:dyDescent="0.25">
      <c r="E343" s="39" t="s">
        <v>248</v>
      </c>
      <c r="F343" s="65">
        <v>0.46384615384615385</v>
      </c>
      <c r="G343" s="65">
        <v>0.44857142857142851</v>
      </c>
      <c r="H343" s="65">
        <v>0.39785714285714296</v>
      </c>
      <c r="I343" s="65">
        <v>0.39357142857142863</v>
      </c>
      <c r="J343" s="65">
        <v>0.4386666666666667</v>
      </c>
      <c r="K343" s="65">
        <v>0.4</v>
      </c>
    </row>
    <row r="344" spans="5:11" x14ac:dyDescent="0.25">
      <c r="E344" s="39" t="s">
        <v>249</v>
      </c>
      <c r="F344" s="65">
        <v>0.52124999999999999</v>
      </c>
      <c r="G344" s="65">
        <v>0.44375000000000003</v>
      </c>
      <c r="H344" s="65">
        <v>0.4022222222222222</v>
      </c>
      <c r="I344" s="65">
        <v>0.39999999999999997</v>
      </c>
      <c r="J344" s="65">
        <v>0.48857142857142855</v>
      </c>
      <c r="K344" s="65">
        <v>0.43875000000000003</v>
      </c>
    </row>
    <row r="345" spans="5:11" x14ac:dyDescent="0.25">
      <c r="E345" s="39" t="s">
        <v>250</v>
      </c>
      <c r="F345" s="65">
        <v>0.43200000000000005</v>
      </c>
      <c r="G345" s="65">
        <v>0.426875</v>
      </c>
      <c r="H345" s="65">
        <v>0.38750000000000001</v>
      </c>
      <c r="I345" s="65">
        <v>0.36941176470588233</v>
      </c>
      <c r="J345" s="65">
        <v>0.42250000000000004</v>
      </c>
      <c r="K345" s="65">
        <v>0.38500000000000001</v>
      </c>
    </row>
    <row r="346" spans="5:11" x14ac:dyDescent="0.25">
      <c r="E346" s="39" t="s">
        <v>251</v>
      </c>
      <c r="F346" s="65">
        <v>0.47250000000000009</v>
      </c>
      <c r="G346" s="65">
        <v>0.47333333333333338</v>
      </c>
      <c r="H346" s="65">
        <v>0.41727272727272724</v>
      </c>
      <c r="I346" s="65">
        <v>0.40749999999999997</v>
      </c>
      <c r="J346" s="65">
        <v>0.48928571428571427</v>
      </c>
      <c r="K346" s="65">
        <v>0.44923076923076916</v>
      </c>
    </row>
    <row r="348" spans="5:11" x14ac:dyDescent="0.25">
      <c r="F348" s="287" t="s">
        <v>255</v>
      </c>
      <c r="G348" s="429"/>
      <c r="H348" s="429"/>
      <c r="I348" s="429"/>
      <c r="J348" s="429"/>
      <c r="K348" s="429"/>
    </row>
    <row r="349" spans="5:11" x14ac:dyDescent="0.25">
      <c r="F349" s="429">
        <v>2016</v>
      </c>
      <c r="G349" s="429">
        <v>2017</v>
      </c>
      <c r="H349" s="429">
        <v>2018</v>
      </c>
      <c r="I349" s="429">
        <v>2019</v>
      </c>
      <c r="J349" s="429">
        <v>2020</v>
      </c>
      <c r="K349" s="429">
        <v>2021</v>
      </c>
    </row>
    <row r="350" spans="5:11" x14ac:dyDescent="0.25">
      <c r="F350" s="287" t="s">
        <v>944</v>
      </c>
      <c r="G350" s="287" t="s">
        <v>944</v>
      </c>
      <c r="H350" s="287" t="s">
        <v>944</v>
      </c>
      <c r="I350" s="287" t="s">
        <v>944</v>
      </c>
      <c r="J350" s="287" t="s">
        <v>944</v>
      </c>
      <c r="K350" s="287" t="s">
        <v>944</v>
      </c>
    </row>
    <row r="351" spans="5:11" x14ac:dyDescent="0.25">
      <c r="E351" s="39" t="s">
        <v>246</v>
      </c>
      <c r="F351" s="65">
        <v>0.43461538461538463</v>
      </c>
      <c r="G351" s="65">
        <v>0.45500000000000007</v>
      </c>
      <c r="H351" s="65">
        <v>0.47000000000000003</v>
      </c>
      <c r="I351" s="65">
        <v>0.36692307692307691</v>
      </c>
      <c r="J351" s="65">
        <v>0.44153846153846155</v>
      </c>
      <c r="K351" s="65">
        <v>0.31538461538461537</v>
      </c>
    </row>
    <row r="352" spans="5:11" x14ac:dyDescent="0.25">
      <c r="E352" s="39" t="s">
        <v>247</v>
      </c>
      <c r="F352" s="65">
        <v>0.41055555555555551</v>
      </c>
      <c r="G352" s="65">
        <v>0.40588235294117647</v>
      </c>
      <c r="H352" s="65">
        <v>0.4629411764705883</v>
      </c>
      <c r="I352" s="65">
        <v>0.33777777777777779</v>
      </c>
      <c r="J352" s="65">
        <v>0.41636363636363638</v>
      </c>
      <c r="K352" s="65">
        <v>0.33399999999999996</v>
      </c>
    </row>
    <row r="353" spans="5:30" x14ac:dyDescent="0.25">
      <c r="E353" s="39" t="s">
        <v>248</v>
      </c>
      <c r="F353" s="65">
        <v>0.37769230769230772</v>
      </c>
      <c r="G353" s="65">
        <v>0.41785714285714282</v>
      </c>
      <c r="H353" s="65">
        <v>0.44928571428571429</v>
      </c>
      <c r="I353" s="65">
        <v>0.33571428571428574</v>
      </c>
      <c r="J353" s="65">
        <v>0.39466666666666667</v>
      </c>
      <c r="K353" s="65">
        <v>0.31133333333333335</v>
      </c>
    </row>
    <row r="354" spans="5:30" x14ac:dyDescent="0.25">
      <c r="E354" s="39" t="s">
        <v>249</v>
      </c>
      <c r="F354" s="65">
        <v>0.47125</v>
      </c>
      <c r="G354" s="65">
        <v>0.40374999999999994</v>
      </c>
      <c r="H354" s="65">
        <v>0.46888888888888886</v>
      </c>
      <c r="I354" s="65">
        <v>0.37124999999999997</v>
      </c>
      <c r="J354" s="65">
        <v>0.43857142857142856</v>
      </c>
      <c r="K354" s="65">
        <v>0.35375000000000001</v>
      </c>
    </row>
    <row r="355" spans="5:30" x14ac:dyDescent="0.25">
      <c r="E355" s="39" t="s">
        <v>250</v>
      </c>
      <c r="F355" s="65">
        <v>0.40666666666666668</v>
      </c>
      <c r="G355" s="65">
        <v>0.36624999999999996</v>
      </c>
      <c r="H355" s="65">
        <v>0.44874999999999998</v>
      </c>
      <c r="I355" s="65">
        <v>0.32058823529411767</v>
      </c>
      <c r="J355" s="65">
        <v>0.38500000000000001</v>
      </c>
      <c r="K355" s="65">
        <v>0.29624999999999996</v>
      </c>
    </row>
    <row r="356" spans="5:30" x14ac:dyDescent="0.25">
      <c r="E356" s="39" t="s">
        <v>251</v>
      </c>
      <c r="F356" s="65">
        <v>0.41749999999999998</v>
      </c>
      <c r="G356" s="65">
        <v>0.44083333333333335</v>
      </c>
      <c r="H356" s="65">
        <v>0.45818181818181808</v>
      </c>
      <c r="I356" s="65">
        <v>0.35833333333333334</v>
      </c>
      <c r="J356" s="65">
        <v>0.45357142857142863</v>
      </c>
      <c r="K356" s="65">
        <v>0.32615384615384618</v>
      </c>
    </row>
    <row r="357" spans="5:30" s="429" customFormat="1" x14ac:dyDescent="0.25">
      <c r="X357" s="433"/>
      <c r="Y357" s="433"/>
      <c r="Z357" s="433"/>
      <c r="AA357" s="433"/>
      <c r="AB357" s="433"/>
      <c r="AC357" s="433"/>
      <c r="AD357" s="433"/>
    </row>
    <row r="358" spans="5:30" x14ac:dyDescent="0.25">
      <c r="F358" s="287" t="s">
        <v>255</v>
      </c>
      <c r="G358" s="429"/>
      <c r="H358" s="429"/>
      <c r="I358" s="429"/>
      <c r="J358" s="429"/>
      <c r="K358" s="429"/>
    </row>
    <row r="359" spans="5:30" x14ac:dyDescent="0.25">
      <c r="F359" s="429">
        <v>2016</v>
      </c>
      <c r="G359" s="429">
        <v>2017</v>
      </c>
      <c r="H359" s="429">
        <v>2018</v>
      </c>
      <c r="I359" s="429">
        <v>2019</v>
      </c>
      <c r="J359" s="429">
        <v>2020</v>
      </c>
      <c r="K359" s="429">
        <v>2021</v>
      </c>
    </row>
    <row r="360" spans="5:30" x14ac:dyDescent="0.25">
      <c r="F360" s="287" t="s">
        <v>945</v>
      </c>
      <c r="G360" s="287" t="s">
        <v>945</v>
      </c>
      <c r="H360" s="287" t="s">
        <v>945</v>
      </c>
      <c r="I360" s="287" t="s">
        <v>945</v>
      </c>
      <c r="J360" s="287" t="s">
        <v>945</v>
      </c>
      <c r="K360" s="287" t="s">
        <v>945</v>
      </c>
    </row>
    <row r="361" spans="5:30" x14ac:dyDescent="0.25">
      <c r="E361" s="39" t="s">
        <v>246</v>
      </c>
      <c r="F361" s="65">
        <v>0.56230769230769218</v>
      </c>
      <c r="G361" s="65">
        <v>0.46999999999999992</v>
      </c>
      <c r="H361" s="65">
        <v>0.49769230769230766</v>
      </c>
      <c r="I361" s="65">
        <v>0.4284615384615385</v>
      </c>
      <c r="J361" s="65">
        <v>0.36230769230769233</v>
      </c>
      <c r="K361" s="65">
        <v>0.53307692307692311</v>
      </c>
    </row>
    <row r="362" spans="5:30" x14ac:dyDescent="0.25">
      <c r="E362" s="39" t="s">
        <v>247</v>
      </c>
      <c r="F362" s="65">
        <v>0.50944444444444448</v>
      </c>
      <c r="G362" s="65">
        <v>0.43882352941176472</v>
      </c>
      <c r="H362" s="65">
        <v>0.47764705882352948</v>
      </c>
      <c r="I362" s="65">
        <v>0.4284615384615385</v>
      </c>
      <c r="J362" s="65">
        <v>0.36181818181818176</v>
      </c>
      <c r="K362" s="65">
        <v>0.52500000000000013</v>
      </c>
    </row>
    <row r="363" spans="5:30" x14ac:dyDescent="0.25">
      <c r="E363" s="39" t="s">
        <v>248</v>
      </c>
      <c r="F363" s="65">
        <v>0.51153846153846161</v>
      </c>
      <c r="G363" s="65">
        <v>0.43928571428571433</v>
      </c>
      <c r="H363" s="65">
        <v>0.46928571428571431</v>
      </c>
      <c r="I363" s="65">
        <v>0.4284615384615385</v>
      </c>
      <c r="J363" s="65">
        <v>0.33466666666666672</v>
      </c>
      <c r="K363" s="65">
        <v>0.49933333333333341</v>
      </c>
    </row>
    <row r="364" spans="5:30" x14ac:dyDescent="0.25">
      <c r="E364" s="39" t="s">
        <v>249</v>
      </c>
      <c r="F364" s="65">
        <v>0.57250000000000001</v>
      </c>
      <c r="G364" s="65">
        <v>0.46750000000000003</v>
      </c>
      <c r="H364" s="65">
        <v>0.4933333333333334</v>
      </c>
      <c r="I364" s="65">
        <v>0.4284615384615385</v>
      </c>
      <c r="J364" s="65">
        <v>0.40857142857142853</v>
      </c>
      <c r="K364" s="65">
        <v>0.54874999999999996</v>
      </c>
    </row>
    <row r="365" spans="5:30" x14ac:dyDescent="0.25">
      <c r="E365" s="39" t="s">
        <v>250</v>
      </c>
      <c r="F365" s="65">
        <v>0.53066666666666673</v>
      </c>
      <c r="G365" s="65">
        <v>0.42875000000000002</v>
      </c>
      <c r="H365" s="65">
        <v>0.45687500000000003</v>
      </c>
      <c r="I365" s="65">
        <v>0.4284615384615385</v>
      </c>
      <c r="J365" s="65">
        <v>0.29687499999999994</v>
      </c>
      <c r="K365" s="65">
        <v>0.47687499999999999</v>
      </c>
    </row>
    <row r="366" spans="5:30" x14ac:dyDescent="0.25">
      <c r="E366" s="39" t="s">
        <v>251</v>
      </c>
      <c r="F366" s="65">
        <v>0.53333333333333333</v>
      </c>
      <c r="G366" s="65">
        <v>0.47166666666666668</v>
      </c>
      <c r="H366" s="65">
        <v>0.50090909090909086</v>
      </c>
      <c r="I366" s="65">
        <v>0.4284615384615385</v>
      </c>
      <c r="J366" s="65">
        <v>0.37857142857142861</v>
      </c>
      <c r="K366" s="65">
        <v>0.52692307692307683</v>
      </c>
    </row>
  </sheetData>
  <sheetProtection algorithmName="SHA-512" hashValue="8DLg9qspuxp4/1c8exgYYxdmTjNWnvIGn6p+v6KmjXCibWyeGYGF61mfV53M1nWUNNQtxM1PcfXAaZ2JzOj9bg==" saltValue="unoJTqytds+HOBoqyeidyQ==" spinCount="100000" sheet="1" objects="1" scenarios="1"/>
  <sortState ref="A36:AV167">
    <sortCondition ref="A36:A167"/>
  </sortState>
  <mergeCells count="160">
    <mergeCell ref="BS7:CC7"/>
    <mergeCell ref="BS8:BS9"/>
    <mergeCell ref="BT8:BT9"/>
    <mergeCell ref="BU8:BU9"/>
    <mergeCell ref="BV8:BV9"/>
    <mergeCell ref="BW8:BZ8"/>
    <mergeCell ref="CA8:CC8"/>
    <mergeCell ref="BH7:BR7"/>
    <mergeCell ref="BH8:BH9"/>
    <mergeCell ref="BI8:BI9"/>
    <mergeCell ref="BJ8:BJ9"/>
    <mergeCell ref="BK8:BK9"/>
    <mergeCell ref="BL8:BO8"/>
    <mergeCell ref="BP8:BR8"/>
    <mergeCell ref="AW7:BG7"/>
    <mergeCell ref="AW8:AW9"/>
    <mergeCell ref="AY8:AY9"/>
    <mergeCell ref="BA8:BD8"/>
    <mergeCell ref="BE8:BG8"/>
    <mergeCell ref="AZ8:AZ9"/>
    <mergeCell ref="AX8:AX9"/>
    <mergeCell ref="AE7:AM7"/>
    <mergeCell ref="AE8:AE9"/>
    <mergeCell ref="AF8:AF9"/>
    <mergeCell ref="W8:W9"/>
    <mergeCell ref="AL174:AM174"/>
    <mergeCell ref="AN174:AO174"/>
    <mergeCell ref="AP174:AQ174"/>
    <mergeCell ref="AG173:AQ173"/>
    <mergeCell ref="AN7:AV7"/>
    <mergeCell ref="AN8:AN9"/>
    <mergeCell ref="AO8:AO9"/>
    <mergeCell ref="AG8:AJ8"/>
    <mergeCell ref="AK8:AM8"/>
    <mergeCell ref="X8:AA8"/>
    <mergeCell ref="AB8:AD8"/>
    <mergeCell ref="AP8:AS8"/>
    <mergeCell ref="AT8:AV8"/>
    <mergeCell ref="AH174:AI174"/>
    <mergeCell ref="AJ174:AK174"/>
    <mergeCell ref="AR174:AS174"/>
    <mergeCell ref="A1:N1"/>
    <mergeCell ref="A3:N3"/>
    <mergeCell ref="D7:L7"/>
    <mergeCell ref="M7:U7"/>
    <mergeCell ref="V7:AD7"/>
    <mergeCell ref="A4:N4"/>
    <mergeCell ref="B174:B175"/>
    <mergeCell ref="C174:D174"/>
    <mergeCell ref="F8:I8"/>
    <mergeCell ref="E174:F174"/>
    <mergeCell ref="G174:H174"/>
    <mergeCell ref="N8:N9"/>
    <mergeCell ref="M8:M9"/>
    <mergeCell ref="E8:E9"/>
    <mergeCell ref="B173:L173"/>
    <mergeCell ref="A7:A9"/>
    <mergeCell ref="D8:D9"/>
    <mergeCell ref="C7:C9"/>
    <mergeCell ref="B7:B9"/>
    <mergeCell ref="J8:L8"/>
    <mergeCell ref="O8:R8"/>
    <mergeCell ref="S8:U8"/>
    <mergeCell ref="V8:V9"/>
    <mergeCell ref="U173:Z173"/>
    <mergeCell ref="E186:F186"/>
    <mergeCell ref="G186:H186"/>
    <mergeCell ref="I186:J186"/>
    <mergeCell ref="K186:L186"/>
    <mergeCell ref="C185:F185"/>
    <mergeCell ref="G185:J185"/>
    <mergeCell ref="K185:N185"/>
    <mergeCell ref="M186:N186"/>
    <mergeCell ref="O186:P186"/>
    <mergeCell ref="X269:Z269"/>
    <mergeCell ref="AA269:AC269"/>
    <mergeCell ref="F259:H259"/>
    <mergeCell ref="I259:K259"/>
    <mergeCell ref="AL249:AS249"/>
    <mergeCell ref="I174:J174"/>
    <mergeCell ref="K174:L174"/>
    <mergeCell ref="C196:I196"/>
    <mergeCell ref="M174:N174"/>
    <mergeCell ref="AL185:AM185"/>
    <mergeCell ref="AN185:AO185"/>
    <mergeCell ref="AP185:AQ185"/>
    <mergeCell ref="AR185:AS185"/>
    <mergeCell ref="Q186:R186"/>
    <mergeCell ref="C186:D186"/>
    <mergeCell ref="O185:R185"/>
    <mergeCell ref="W185:Z185"/>
    <mergeCell ref="W186:X186"/>
    <mergeCell ref="Y186:Z186"/>
    <mergeCell ref="S185:V185"/>
    <mergeCell ref="S186:T186"/>
    <mergeCell ref="U186:V186"/>
    <mergeCell ref="AA185:AD185"/>
    <mergeCell ref="AA186:AB186"/>
    <mergeCell ref="F240:I240"/>
    <mergeCell ref="BE198:BH198"/>
    <mergeCell ref="BI198:BL198"/>
    <mergeCell ref="Z240:AC240"/>
    <mergeCell ref="J240:M240"/>
    <mergeCell ref="AD269:AF269"/>
    <mergeCell ref="AG269:AI269"/>
    <mergeCell ref="AJ268:AO268"/>
    <mergeCell ref="AJ269:AL269"/>
    <mergeCell ref="AM269:AO269"/>
    <mergeCell ref="F250:I250"/>
    <mergeCell ref="F249:M249"/>
    <mergeCell ref="J250:M250"/>
    <mergeCell ref="N249:U249"/>
    <mergeCell ref="N250:Q250"/>
    <mergeCell ref="R250:U250"/>
    <mergeCell ref="V249:AC249"/>
    <mergeCell ref="X268:AC268"/>
    <mergeCell ref="F269:H269"/>
    <mergeCell ref="I269:K269"/>
    <mergeCell ref="L269:N269"/>
    <mergeCell ref="O269:Q269"/>
    <mergeCell ref="R269:T269"/>
    <mergeCell ref="U269:W269"/>
    <mergeCell ref="F268:K268"/>
    <mergeCell ref="L268:Q268"/>
    <mergeCell ref="R268:W268"/>
    <mergeCell ref="AD268:AI268"/>
    <mergeCell ref="AL250:AO250"/>
    <mergeCell ref="AP250:AS250"/>
    <mergeCell ref="AT249:BA249"/>
    <mergeCell ref="AT250:AW250"/>
    <mergeCell ref="AX250:BA250"/>
    <mergeCell ref="V250:Y250"/>
    <mergeCell ref="Z250:AC250"/>
    <mergeCell ref="AD249:AK249"/>
    <mergeCell ref="AD250:AG250"/>
    <mergeCell ref="AH250:AK250"/>
    <mergeCell ref="BQ198:BT198"/>
    <mergeCell ref="AX185:AY185"/>
    <mergeCell ref="AZ185:BA185"/>
    <mergeCell ref="AT174:AU174"/>
    <mergeCell ref="AV174:AW174"/>
    <mergeCell ref="BM198:BP198"/>
    <mergeCell ref="L259:N259"/>
    <mergeCell ref="O259:Q259"/>
    <mergeCell ref="R259:T259"/>
    <mergeCell ref="U259:W259"/>
    <mergeCell ref="AC186:AD186"/>
    <mergeCell ref="AE185:AH185"/>
    <mergeCell ref="AE186:AF186"/>
    <mergeCell ref="AG186:AH186"/>
    <mergeCell ref="AT185:AU185"/>
    <mergeCell ref="AS198:AV198"/>
    <mergeCell ref="AO198:AR198"/>
    <mergeCell ref="AN197:BJ197"/>
    <mergeCell ref="AV185:AW185"/>
    <mergeCell ref="V240:Y240"/>
    <mergeCell ref="AW198:AZ198"/>
    <mergeCell ref="BA198:BD198"/>
    <mergeCell ref="R240:U240"/>
    <mergeCell ref="N240:Q240"/>
  </mergeCells>
  <pageMargins left="0.75" right="0.75" top="1" bottom="1" header="0.5" footer="0.5"/>
  <pageSetup orientation="portrait" horizontalDpi="300" verticalDpi="300" r:id="rId1"/>
  <headerFooter alignWithMargins="0"/>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7"/>
  <dimension ref="A1:DA270"/>
  <sheetViews>
    <sheetView zoomScale="58" zoomScaleNormal="58" workbookViewId="0">
      <pane xSplit="1" ySplit="9" topLeftCell="P235" activePane="bottomRight" state="frozen"/>
      <selection activeCell="AW12" sqref="AW12"/>
      <selection pane="topRight" activeCell="AW12" sqref="AW12"/>
      <selection pane="bottomLeft" activeCell="AW12" sqref="AW12"/>
      <selection pane="bottomRight" activeCell="AT232" sqref="AT232"/>
    </sheetView>
  </sheetViews>
  <sheetFormatPr baseColWidth="10" defaultColWidth="9.109375" defaultRowHeight="13.2" x14ac:dyDescent="0.25"/>
  <cols>
    <col min="1" max="1" width="60.6640625" customWidth="1"/>
    <col min="2" max="2" width="14.33203125" customWidth="1"/>
    <col min="3" max="3" width="18" customWidth="1"/>
    <col min="4" max="4" width="14" customWidth="1"/>
    <col min="5" max="5" width="16.5546875" customWidth="1"/>
    <col min="6" max="12" width="16.5546875" style="53" customWidth="1"/>
    <col min="13" max="13" width="17" customWidth="1"/>
    <col min="14" max="14" width="16.88671875" customWidth="1"/>
    <col min="15" max="21" width="16.88671875" style="53" customWidth="1"/>
    <col min="22" max="23" width="14.5546875" customWidth="1"/>
    <col min="24" max="28" width="14.5546875" style="53" customWidth="1"/>
    <col min="29" max="29" width="15.6640625" style="53" customWidth="1"/>
    <col min="30" max="30" width="14.5546875" style="53" customWidth="1"/>
    <col min="31" max="31" width="12.33203125" customWidth="1"/>
    <col min="32" max="32" width="15.44140625" customWidth="1"/>
    <col min="33" max="39" width="15.44140625" style="53" customWidth="1"/>
    <col min="40" max="40" width="13" customWidth="1"/>
    <col min="41" max="41" width="14" customWidth="1"/>
    <col min="42" max="42" width="13" customWidth="1"/>
    <col min="43" max="43" width="10.88671875" customWidth="1"/>
    <col min="44" max="44" width="11.6640625" customWidth="1"/>
    <col min="45" max="45" width="12.33203125" customWidth="1"/>
    <col min="46" max="46" width="18" customWidth="1"/>
    <col min="47" max="47" width="16.6640625" customWidth="1"/>
    <col min="48" max="48" width="18.88671875" customWidth="1"/>
    <col min="49" max="49" width="10.33203125" customWidth="1"/>
    <col min="50" max="50" width="10.33203125" style="336" customWidth="1"/>
    <col min="51" max="51" width="14.109375" customWidth="1"/>
    <col min="52" max="52" width="14.109375" style="336" customWidth="1"/>
    <col min="57" max="57" width="16.33203125" customWidth="1"/>
    <col min="58" max="58" width="15.33203125" customWidth="1"/>
    <col min="59" max="59" width="23.109375" customWidth="1"/>
    <col min="68" max="68" width="16.21875" customWidth="1"/>
    <col min="69" max="69" width="16.88671875" customWidth="1"/>
    <col min="70" max="70" width="17.109375" customWidth="1"/>
    <col min="79" max="79" width="14.33203125" customWidth="1"/>
    <col min="80" max="81" width="17.6640625" customWidth="1"/>
  </cols>
  <sheetData>
    <row r="1" spans="1:81" x14ac:dyDescent="0.25">
      <c r="A1" s="739"/>
      <c r="B1" s="739"/>
      <c r="C1" s="739"/>
      <c r="D1" s="739"/>
      <c r="E1" s="739"/>
      <c r="F1" s="739"/>
      <c r="G1" s="739"/>
      <c r="H1" s="739"/>
      <c r="I1" s="739"/>
      <c r="J1" s="739"/>
      <c r="K1" s="739"/>
      <c r="L1" s="739"/>
      <c r="M1" s="739"/>
      <c r="N1" s="739"/>
    </row>
    <row r="3" spans="1:81" x14ac:dyDescent="0.25">
      <c r="A3" s="739"/>
      <c r="B3" s="739"/>
      <c r="C3" s="739"/>
      <c r="D3" s="739"/>
      <c r="E3" s="739"/>
      <c r="F3" s="739"/>
      <c r="G3" s="739"/>
      <c r="H3" s="739"/>
      <c r="I3" s="739"/>
      <c r="J3" s="739"/>
      <c r="K3" s="739"/>
      <c r="L3" s="739"/>
      <c r="M3" s="739"/>
      <c r="N3" s="739"/>
    </row>
    <row r="4" spans="1:81" x14ac:dyDescent="0.25">
      <c r="A4" s="739"/>
      <c r="B4" s="739"/>
      <c r="C4" s="739"/>
      <c r="D4" s="739"/>
      <c r="E4" s="739"/>
      <c r="F4" s="739"/>
      <c r="G4" s="739"/>
      <c r="H4" s="739"/>
      <c r="I4" s="739"/>
      <c r="J4" s="739"/>
      <c r="K4" s="739"/>
      <c r="L4" s="739"/>
      <c r="M4" s="739"/>
      <c r="N4" s="739"/>
    </row>
    <row r="6" spans="1:81" x14ac:dyDescent="0.25">
      <c r="A6">
        <v>1</v>
      </c>
      <c r="B6">
        <v>2</v>
      </c>
      <c r="C6">
        <v>3</v>
      </c>
      <c r="D6" s="329">
        <v>4</v>
      </c>
      <c r="E6" s="329">
        <v>5</v>
      </c>
      <c r="F6" s="329">
        <v>6</v>
      </c>
      <c r="G6" s="329">
        <v>7</v>
      </c>
      <c r="H6" s="329">
        <v>8</v>
      </c>
      <c r="I6" s="329">
        <v>9</v>
      </c>
      <c r="J6" s="329">
        <v>10</v>
      </c>
      <c r="K6" s="329">
        <v>11</v>
      </c>
      <c r="L6" s="329">
        <v>12</v>
      </c>
      <c r="M6" s="329">
        <v>13</v>
      </c>
      <c r="N6" s="329">
        <v>14</v>
      </c>
      <c r="O6" s="329">
        <v>15</v>
      </c>
      <c r="P6" s="329">
        <v>16</v>
      </c>
      <c r="Q6" s="329">
        <v>17</v>
      </c>
      <c r="R6" s="329">
        <v>18</v>
      </c>
      <c r="S6" s="329">
        <v>19</v>
      </c>
      <c r="T6" s="329">
        <v>20</v>
      </c>
      <c r="U6" s="329">
        <v>21</v>
      </c>
      <c r="V6" s="329">
        <v>22</v>
      </c>
      <c r="W6" s="329">
        <v>23</v>
      </c>
      <c r="X6" s="329">
        <v>24</v>
      </c>
      <c r="Y6" s="329">
        <v>25</v>
      </c>
      <c r="Z6" s="329">
        <v>26</v>
      </c>
      <c r="AA6" s="329">
        <v>27</v>
      </c>
      <c r="AB6" s="329">
        <v>28</v>
      </c>
      <c r="AC6" s="329">
        <v>29</v>
      </c>
      <c r="AD6" s="329">
        <v>30</v>
      </c>
      <c r="AE6" s="329">
        <v>31</v>
      </c>
      <c r="AF6" s="329">
        <v>32</v>
      </c>
      <c r="AG6" s="329">
        <v>33</v>
      </c>
      <c r="AH6" s="329">
        <v>34</v>
      </c>
      <c r="AI6" s="329">
        <v>35</v>
      </c>
      <c r="AJ6" s="329">
        <v>36</v>
      </c>
      <c r="AK6" s="329">
        <v>37</v>
      </c>
      <c r="AL6" s="329">
        <v>38</v>
      </c>
      <c r="AM6" s="329">
        <v>39</v>
      </c>
      <c r="AN6" s="329">
        <v>40</v>
      </c>
      <c r="AO6" s="329">
        <v>41</v>
      </c>
      <c r="AP6" s="329">
        <v>42</v>
      </c>
      <c r="AQ6" s="329">
        <v>43</v>
      </c>
      <c r="AR6" s="329">
        <v>44</v>
      </c>
      <c r="AS6" s="329">
        <v>45</v>
      </c>
      <c r="AT6" s="329">
        <v>46</v>
      </c>
      <c r="AU6" s="329">
        <v>47</v>
      </c>
      <c r="AV6" s="329">
        <v>48</v>
      </c>
      <c r="AW6">
        <v>49</v>
      </c>
      <c r="AX6" s="336">
        <v>50</v>
      </c>
      <c r="AY6">
        <v>51</v>
      </c>
      <c r="AZ6" s="336">
        <v>52</v>
      </c>
      <c r="BA6">
        <v>53</v>
      </c>
      <c r="BB6">
        <v>54</v>
      </c>
      <c r="BC6">
        <v>55</v>
      </c>
      <c r="BD6">
        <v>56</v>
      </c>
      <c r="BE6">
        <v>57</v>
      </c>
      <c r="BF6">
        <v>58</v>
      </c>
      <c r="BG6">
        <v>59</v>
      </c>
      <c r="BH6">
        <v>60</v>
      </c>
      <c r="BI6">
        <v>61</v>
      </c>
      <c r="BJ6">
        <v>62</v>
      </c>
      <c r="BK6">
        <v>63</v>
      </c>
      <c r="BL6">
        <v>64</v>
      </c>
      <c r="BM6">
        <v>65</v>
      </c>
      <c r="BN6">
        <v>66</v>
      </c>
      <c r="BO6">
        <v>67</v>
      </c>
      <c r="BP6">
        <v>68</v>
      </c>
      <c r="BQ6">
        <v>69</v>
      </c>
      <c r="BR6">
        <v>70</v>
      </c>
      <c r="BS6" s="645">
        <v>71</v>
      </c>
      <c r="BT6" s="645">
        <v>72</v>
      </c>
      <c r="BU6" s="645">
        <v>73</v>
      </c>
      <c r="BV6" s="645">
        <v>74</v>
      </c>
      <c r="BW6" s="645">
        <v>75</v>
      </c>
      <c r="BX6" s="645">
        <v>76</v>
      </c>
      <c r="BY6" s="645">
        <v>77</v>
      </c>
      <c r="BZ6" s="645">
        <v>78</v>
      </c>
      <c r="CA6" s="645">
        <v>79</v>
      </c>
      <c r="CB6" s="645">
        <v>80</v>
      </c>
      <c r="CC6" s="645">
        <v>81</v>
      </c>
    </row>
    <row r="7" spans="1:81" x14ac:dyDescent="0.25">
      <c r="A7" s="737" t="s">
        <v>5</v>
      </c>
      <c r="B7" s="737" t="s">
        <v>244</v>
      </c>
      <c r="C7" s="737" t="s">
        <v>245</v>
      </c>
      <c r="D7" s="873">
        <v>2016</v>
      </c>
      <c r="E7" s="874"/>
      <c r="F7" s="874"/>
      <c r="G7" s="874"/>
      <c r="H7" s="874"/>
      <c r="I7" s="874"/>
      <c r="J7" s="874"/>
      <c r="K7" s="874"/>
      <c r="L7" s="875"/>
      <c r="M7" s="873">
        <v>2017</v>
      </c>
      <c r="N7" s="874"/>
      <c r="O7" s="874"/>
      <c r="P7" s="874"/>
      <c r="Q7" s="874"/>
      <c r="R7" s="874"/>
      <c r="S7" s="874"/>
      <c r="T7" s="874"/>
      <c r="U7" s="875"/>
      <c r="V7" s="873">
        <v>2018</v>
      </c>
      <c r="W7" s="874"/>
      <c r="X7" s="874"/>
      <c r="Y7" s="874"/>
      <c r="Z7" s="874"/>
      <c r="AA7" s="874"/>
      <c r="AB7" s="874"/>
      <c r="AC7" s="874"/>
      <c r="AD7" s="875"/>
      <c r="AE7" s="873">
        <v>2019</v>
      </c>
      <c r="AF7" s="874"/>
      <c r="AG7" s="874"/>
      <c r="AH7" s="874"/>
      <c r="AI7" s="874"/>
      <c r="AJ7" s="874"/>
      <c r="AK7" s="874"/>
      <c r="AL7" s="874"/>
      <c r="AM7" s="875"/>
      <c r="AN7" s="873">
        <v>2020</v>
      </c>
      <c r="AO7" s="874"/>
      <c r="AP7" s="874"/>
      <c r="AQ7" s="874"/>
      <c r="AR7" s="874"/>
      <c r="AS7" s="874"/>
      <c r="AT7" s="874"/>
      <c r="AU7" s="874"/>
      <c r="AV7" s="875"/>
      <c r="AW7" s="873">
        <v>2021</v>
      </c>
      <c r="AX7" s="877"/>
      <c r="AY7" s="874"/>
      <c r="AZ7" s="877"/>
      <c r="BA7" s="874"/>
      <c r="BB7" s="874"/>
      <c r="BC7" s="874"/>
      <c r="BD7" s="874"/>
      <c r="BE7" s="874"/>
      <c r="BF7" s="874"/>
      <c r="BG7" s="875"/>
      <c r="BH7" s="873">
        <v>2022</v>
      </c>
      <c r="BI7" s="877"/>
      <c r="BJ7" s="874"/>
      <c r="BK7" s="877"/>
      <c r="BL7" s="874"/>
      <c r="BM7" s="874"/>
      <c r="BN7" s="874"/>
      <c r="BO7" s="874"/>
      <c r="BP7" s="874"/>
      <c r="BQ7" s="874"/>
      <c r="BR7" s="875"/>
      <c r="BS7" s="873">
        <v>2023</v>
      </c>
      <c r="BT7" s="877"/>
      <c r="BU7" s="874"/>
      <c r="BV7" s="877"/>
      <c r="BW7" s="874"/>
      <c r="BX7" s="874"/>
      <c r="BY7" s="874"/>
      <c r="BZ7" s="874"/>
      <c r="CA7" s="874"/>
      <c r="CB7" s="874"/>
      <c r="CC7" s="875"/>
    </row>
    <row r="8" spans="1:81" ht="24.75" customHeight="1" x14ac:dyDescent="0.25">
      <c r="A8" s="737"/>
      <c r="B8" s="737"/>
      <c r="C8" s="737"/>
      <c r="D8" s="864" t="s">
        <v>219</v>
      </c>
      <c r="E8" s="862" t="s">
        <v>218</v>
      </c>
      <c r="F8" s="860" t="s">
        <v>282</v>
      </c>
      <c r="G8" s="867"/>
      <c r="H8" s="867"/>
      <c r="I8" s="867"/>
      <c r="J8" s="860" t="s">
        <v>283</v>
      </c>
      <c r="K8" s="867"/>
      <c r="L8" s="867"/>
      <c r="M8" s="864" t="s">
        <v>219</v>
      </c>
      <c r="N8" s="862" t="s">
        <v>218</v>
      </c>
      <c r="O8" s="866" t="s">
        <v>282</v>
      </c>
      <c r="P8" s="739"/>
      <c r="Q8" s="739"/>
      <c r="R8" s="739"/>
      <c r="S8" s="866" t="s">
        <v>283</v>
      </c>
      <c r="T8" s="739"/>
      <c r="U8" s="739"/>
      <c r="V8" s="864" t="s">
        <v>219</v>
      </c>
      <c r="W8" s="862" t="s">
        <v>218</v>
      </c>
      <c r="X8" s="860" t="s">
        <v>282</v>
      </c>
      <c r="Y8" s="867"/>
      <c r="Z8" s="867"/>
      <c r="AA8" s="867"/>
      <c r="AB8" s="860" t="s">
        <v>283</v>
      </c>
      <c r="AC8" s="867"/>
      <c r="AD8" s="867"/>
      <c r="AE8" s="864" t="s">
        <v>219</v>
      </c>
      <c r="AF8" s="862" t="s">
        <v>218</v>
      </c>
      <c r="AG8" s="860" t="s">
        <v>282</v>
      </c>
      <c r="AH8" s="739"/>
      <c r="AI8" s="739"/>
      <c r="AJ8" s="739"/>
      <c r="AK8" s="860" t="s">
        <v>283</v>
      </c>
      <c r="AL8" s="739"/>
      <c r="AM8" s="739"/>
      <c r="AN8" s="864" t="s">
        <v>219</v>
      </c>
      <c r="AO8" s="862" t="s">
        <v>218</v>
      </c>
      <c r="AP8" s="80" t="s">
        <v>282</v>
      </c>
      <c r="AQ8" s="81"/>
      <c r="AR8" s="81"/>
      <c r="AS8" s="82"/>
      <c r="AT8" s="80" t="s">
        <v>283</v>
      </c>
      <c r="AU8" s="81"/>
      <c r="AV8" s="82"/>
      <c r="AW8" s="864" t="s">
        <v>219</v>
      </c>
      <c r="AX8" s="862" t="s">
        <v>918</v>
      </c>
      <c r="AY8" s="862" t="s">
        <v>218</v>
      </c>
      <c r="AZ8" s="862" t="s">
        <v>919</v>
      </c>
      <c r="BA8" s="80" t="s">
        <v>282</v>
      </c>
      <c r="BB8" s="81"/>
      <c r="BC8" s="81"/>
      <c r="BD8" s="82"/>
      <c r="BE8" s="80" t="s">
        <v>283</v>
      </c>
      <c r="BF8" s="81"/>
      <c r="BG8" s="82"/>
      <c r="BH8" s="864" t="s">
        <v>219</v>
      </c>
      <c r="BI8" s="862" t="s">
        <v>918</v>
      </c>
      <c r="BJ8" s="862" t="s">
        <v>218</v>
      </c>
      <c r="BK8" s="862" t="s">
        <v>919</v>
      </c>
      <c r="BL8" s="80" t="s">
        <v>282</v>
      </c>
      <c r="BM8" s="81"/>
      <c r="BN8" s="81"/>
      <c r="BO8" s="82"/>
      <c r="BP8" s="80" t="s">
        <v>283</v>
      </c>
      <c r="BQ8" s="81"/>
      <c r="BR8" s="82"/>
      <c r="BS8" s="864" t="s">
        <v>219</v>
      </c>
      <c r="BT8" s="862" t="s">
        <v>918</v>
      </c>
      <c r="BU8" s="862" t="s">
        <v>218</v>
      </c>
      <c r="BV8" s="862" t="s">
        <v>919</v>
      </c>
      <c r="BW8" s="80" t="s">
        <v>282</v>
      </c>
      <c r="BX8" s="81"/>
      <c r="BY8" s="81"/>
      <c r="BZ8" s="82"/>
      <c r="CA8" s="80" t="s">
        <v>283</v>
      </c>
      <c r="CB8" s="81"/>
      <c r="CC8" s="82"/>
    </row>
    <row r="9" spans="1:81" ht="24.9" customHeight="1" x14ac:dyDescent="0.25">
      <c r="A9" s="745"/>
      <c r="B9" s="745"/>
      <c r="C9" s="745"/>
      <c r="D9" s="865"/>
      <c r="E9" s="863"/>
      <c r="F9" s="52" t="s">
        <v>191</v>
      </c>
      <c r="G9" s="52" t="s">
        <v>79</v>
      </c>
      <c r="H9" s="52" t="s">
        <v>156</v>
      </c>
      <c r="I9" s="52" t="s">
        <v>95</v>
      </c>
      <c r="J9" s="52" t="s">
        <v>336</v>
      </c>
      <c r="K9" s="52" t="s">
        <v>337</v>
      </c>
      <c r="L9" s="52" t="s">
        <v>344</v>
      </c>
      <c r="M9" s="865"/>
      <c r="N9" s="863"/>
      <c r="O9" s="22" t="s">
        <v>191</v>
      </c>
      <c r="P9" s="22" t="s">
        <v>79</v>
      </c>
      <c r="Q9" s="22" t="s">
        <v>156</v>
      </c>
      <c r="R9" s="22" t="s">
        <v>95</v>
      </c>
      <c r="S9" s="22" t="s">
        <v>338</v>
      </c>
      <c r="T9" s="22" t="s">
        <v>342</v>
      </c>
      <c r="U9" s="22" t="s">
        <v>345</v>
      </c>
      <c r="V9" s="865"/>
      <c r="W9" s="863"/>
      <c r="X9" s="52" t="s">
        <v>191</v>
      </c>
      <c r="Y9" s="52" t="s">
        <v>79</v>
      </c>
      <c r="Z9" s="52" t="s">
        <v>156</v>
      </c>
      <c r="AA9" s="52" t="s">
        <v>95</v>
      </c>
      <c r="AB9" s="52" t="s">
        <v>343</v>
      </c>
      <c r="AC9" s="52" t="s">
        <v>340</v>
      </c>
      <c r="AD9" s="52" t="s">
        <v>339</v>
      </c>
      <c r="AE9" s="865"/>
      <c r="AF9" s="863"/>
      <c r="AG9" s="52" t="s">
        <v>191</v>
      </c>
      <c r="AH9" s="52" t="s">
        <v>79</v>
      </c>
      <c r="AI9" s="52" t="s">
        <v>156</v>
      </c>
      <c r="AJ9" s="52" t="s">
        <v>95</v>
      </c>
      <c r="AK9" s="52" t="s">
        <v>343</v>
      </c>
      <c r="AL9" s="52" t="s">
        <v>337</v>
      </c>
      <c r="AM9" s="52" t="s">
        <v>341</v>
      </c>
      <c r="AN9" s="865"/>
      <c r="AO9" s="863"/>
      <c r="AP9" s="83" t="s">
        <v>191</v>
      </c>
      <c r="AQ9" s="83" t="s">
        <v>79</v>
      </c>
      <c r="AR9" s="83" t="s">
        <v>156</v>
      </c>
      <c r="AS9" s="83" t="s">
        <v>95</v>
      </c>
      <c r="AT9" s="153" t="s">
        <v>336</v>
      </c>
      <c r="AU9" s="131" t="s">
        <v>342</v>
      </c>
      <c r="AV9" s="153" t="s">
        <v>339</v>
      </c>
      <c r="AW9" s="865"/>
      <c r="AX9" s="863"/>
      <c r="AY9" s="863"/>
      <c r="AZ9" s="863"/>
      <c r="BA9" s="83" t="s">
        <v>191</v>
      </c>
      <c r="BB9" s="83" t="s">
        <v>79</v>
      </c>
      <c r="BC9" s="83" t="s">
        <v>156</v>
      </c>
      <c r="BD9" s="83" t="s">
        <v>95</v>
      </c>
      <c r="BE9" s="153" t="s">
        <v>336</v>
      </c>
      <c r="BF9" s="338" t="s">
        <v>342</v>
      </c>
      <c r="BG9" s="153" t="s">
        <v>339</v>
      </c>
      <c r="BH9" s="865"/>
      <c r="BI9" s="863"/>
      <c r="BJ9" s="863"/>
      <c r="BK9" s="863"/>
      <c r="BL9" s="83" t="s">
        <v>191</v>
      </c>
      <c r="BM9" s="83" t="s">
        <v>79</v>
      </c>
      <c r="BN9" s="83" t="s">
        <v>156</v>
      </c>
      <c r="BO9" s="83" t="s">
        <v>95</v>
      </c>
      <c r="BP9" s="462" t="s">
        <v>343</v>
      </c>
      <c r="BQ9" s="462" t="s">
        <v>337</v>
      </c>
      <c r="BR9" s="462" t="s">
        <v>341</v>
      </c>
      <c r="BS9" s="865"/>
      <c r="BT9" s="863"/>
      <c r="BU9" s="863"/>
      <c r="BV9" s="863"/>
      <c r="BW9" s="83" t="s">
        <v>191</v>
      </c>
      <c r="BX9" s="83" t="s">
        <v>79</v>
      </c>
      <c r="BY9" s="83" t="s">
        <v>156</v>
      </c>
      <c r="BZ9" s="83" t="s">
        <v>95</v>
      </c>
      <c r="CA9" s="625" t="s">
        <v>337</v>
      </c>
      <c r="CB9" s="625" t="s">
        <v>341</v>
      </c>
      <c r="CC9" s="625" t="s">
        <v>343</v>
      </c>
    </row>
    <row r="10" spans="1:81" ht="24.9" customHeight="1" x14ac:dyDescent="0.25">
      <c r="A10" s="185" t="s">
        <v>10</v>
      </c>
      <c r="B10" s="3"/>
      <c r="C10" s="3"/>
      <c r="D10" s="25">
        <v>52</v>
      </c>
      <c r="E10" s="25">
        <v>11</v>
      </c>
      <c r="F10" s="97">
        <v>0.08</v>
      </c>
      <c r="G10" s="97">
        <v>0.37</v>
      </c>
      <c r="H10" s="97">
        <v>0.5</v>
      </c>
      <c r="I10" s="97">
        <v>0.05</v>
      </c>
      <c r="J10" s="97">
        <v>0.54</v>
      </c>
      <c r="K10" s="97">
        <v>0.46</v>
      </c>
      <c r="L10" s="97">
        <v>0.53</v>
      </c>
      <c r="M10" s="25">
        <v>52</v>
      </c>
      <c r="N10" s="27">
        <v>12</v>
      </c>
      <c r="O10" s="84">
        <v>0.09</v>
      </c>
      <c r="P10" s="84">
        <v>0.38</v>
      </c>
      <c r="Q10" s="84">
        <v>0.48</v>
      </c>
      <c r="R10" s="84">
        <v>0.05</v>
      </c>
      <c r="S10" s="84">
        <v>0.48</v>
      </c>
      <c r="T10" s="84">
        <v>0.54</v>
      </c>
      <c r="U10" s="84">
        <v>0.37</v>
      </c>
      <c r="V10" s="25">
        <v>52</v>
      </c>
      <c r="W10" s="25">
        <v>12</v>
      </c>
      <c r="X10" s="97">
        <v>0.08</v>
      </c>
      <c r="Y10" s="97">
        <v>0.38</v>
      </c>
      <c r="Z10" s="97">
        <v>0.49</v>
      </c>
      <c r="AA10" s="97">
        <v>0.05</v>
      </c>
      <c r="AB10" s="97">
        <v>0.48</v>
      </c>
      <c r="AC10" s="97">
        <v>0.38</v>
      </c>
      <c r="AD10" s="97">
        <v>0.51</v>
      </c>
      <c r="AE10" s="25">
        <v>52</v>
      </c>
      <c r="AF10" s="25">
        <v>12</v>
      </c>
      <c r="AG10" s="97">
        <v>0.08</v>
      </c>
      <c r="AH10" s="97">
        <v>0.36</v>
      </c>
      <c r="AI10" s="97">
        <v>0.51</v>
      </c>
      <c r="AJ10" s="97">
        <v>0.06</v>
      </c>
      <c r="AK10" s="97">
        <v>0.52</v>
      </c>
      <c r="AL10" s="97">
        <v>0.47</v>
      </c>
      <c r="AM10" s="97">
        <v>0.3</v>
      </c>
      <c r="AN10" s="26">
        <v>52</v>
      </c>
      <c r="AO10" s="26">
        <v>11</v>
      </c>
      <c r="AP10" s="87">
        <v>7.0000000000000007E-2</v>
      </c>
      <c r="AQ10" s="87">
        <v>0.37</v>
      </c>
      <c r="AR10" s="87">
        <v>0.5</v>
      </c>
      <c r="AS10" s="87">
        <v>0.05</v>
      </c>
      <c r="AT10" s="87">
        <v>0.3</v>
      </c>
      <c r="AU10" s="87">
        <v>0.5</v>
      </c>
      <c r="AV10" s="87">
        <v>0.51</v>
      </c>
      <c r="AW10" s="345">
        <v>51</v>
      </c>
      <c r="AX10" s="344" t="s">
        <v>910</v>
      </c>
      <c r="AY10" s="345">
        <v>11</v>
      </c>
      <c r="AZ10" s="344" t="s">
        <v>910</v>
      </c>
      <c r="BA10" s="368">
        <v>0.1</v>
      </c>
      <c r="BB10" s="368">
        <v>0.4</v>
      </c>
      <c r="BC10" s="368">
        <v>0.46</v>
      </c>
      <c r="BD10" s="368">
        <v>0.04</v>
      </c>
      <c r="BE10" s="368">
        <v>0.31</v>
      </c>
      <c r="BF10" s="368">
        <v>0.52</v>
      </c>
      <c r="BG10" s="368">
        <v>0.49</v>
      </c>
      <c r="BH10" s="478">
        <v>52</v>
      </c>
      <c r="BI10" s="481" t="s">
        <v>910</v>
      </c>
      <c r="BJ10" s="478">
        <v>12</v>
      </c>
      <c r="BK10" s="481" t="s">
        <v>911</v>
      </c>
      <c r="BL10" s="422">
        <v>0.1</v>
      </c>
      <c r="BM10" s="422">
        <v>0.35</v>
      </c>
      <c r="BN10" s="422">
        <v>0.49</v>
      </c>
      <c r="BO10" s="422">
        <v>0.05</v>
      </c>
      <c r="BP10" s="422">
        <v>0.52</v>
      </c>
      <c r="BQ10" s="422">
        <v>0.59</v>
      </c>
      <c r="BR10" s="422">
        <v>0.39</v>
      </c>
      <c r="BS10" s="626">
        <v>52</v>
      </c>
      <c r="BT10" s="637" t="s">
        <v>910</v>
      </c>
      <c r="BU10" s="626">
        <v>12</v>
      </c>
      <c r="BV10" s="637" t="s">
        <v>911</v>
      </c>
      <c r="BW10" s="641">
        <v>0.09</v>
      </c>
      <c r="BX10" s="641">
        <v>0.35</v>
      </c>
      <c r="BY10" s="641">
        <v>0.49</v>
      </c>
      <c r="BZ10" s="641">
        <v>7.0000000000000007E-2</v>
      </c>
      <c r="CA10" s="641">
        <v>0.6</v>
      </c>
      <c r="CB10" s="641">
        <v>0.39</v>
      </c>
      <c r="CC10" s="641">
        <v>0.56999999999999995</v>
      </c>
    </row>
    <row r="11" spans="1:81" ht="24.9" customHeight="1" x14ac:dyDescent="0.25">
      <c r="A11" s="186" t="s">
        <v>0</v>
      </c>
      <c r="B11" s="4"/>
      <c r="C11" s="4"/>
      <c r="D11" s="28">
        <v>52</v>
      </c>
      <c r="E11" s="28">
        <v>9</v>
      </c>
      <c r="F11" s="93">
        <v>0.04</v>
      </c>
      <c r="G11" s="93">
        <v>0.39</v>
      </c>
      <c r="H11" s="93">
        <v>0.55000000000000004</v>
      </c>
      <c r="I11" s="93">
        <v>0.02</v>
      </c>
      <c r="J11" s="93">
        <v>0.53</v>
      </c>
      <c r="K11" s="93">
        <v>0.46</v>
      </c>
      <c r="L11" s="93">
        <v>0.53</v>
      </c>
      <c r="M11" s="28">
        <v>52</v>
      </c>
      <c r="N11" s="29">
        <v>10</v>
      </c>
      <c r="O11" s="85">
        <v>0.05</v>
      </c>
      <c r="P11" s="85">
        <v>0.38</v>
      </c>
      <c r="Q11" s="85">
        <v>0.54</v>
      </c>
      <c r="R11" s="85">
        <v>0.03</v>
      </c>
      <c r="S11" s="85">
        <v>0.47</v>
      </c>
      <c r="T11" s="85">
        <v>0.55000000000000004</v>
      </c>
      <c r="U11" s="85">
        <v>0.35</v>
      </c>
      <c r="V11" s="28">
        <v>52</v>
      </c>
      <c r="W11" s="28">
        <v>9</v>
      </c>
      <c r="X11" s="93">
        <v>0.04</v>
      </c>
      <c r="Y11" s="93">
        <v>0.38</v>
      </c>
      <c r="Z11" s="93">
        <v>0.55000000000000004</v>
      </c>
      <c r="AA11" s="93">
        <v>0.02</v>
      </c>
      <c r="AB11" s="93">
        <v>0.49</v>
      </c>
      <c r="AC11" s="93">
        <v>0.37</v>
      </c>
      <c r="AD11" s="93">
        <v>0.51</v>
      </c>
      <c r="AE11" s="28">
        <v>53</v>
      </c>
      <c r="AF11" s="28">
        <v>10</v>
      </c>
      <c r="AG11" s="93">
        <v>0.04</v>
      </c>
      <c r="AH11" s="93">
        <v>0.36</v>
      </c>
      <c r="AI11" s="93">
        <v>0.56999999999999995</v>
      </c>
      <c r="AJ11" s="93">
        <v>0.03</v>
      </c>
      <c r="AK11" s="93">
        <v>0.52</v>
      </c>
      <c r="AL11" s="93">
        <v>0.46</v>
      </c>
      <c r="AM11" s="93">
        <v>0.28999999999999998</v>
      </c>
      <c r="AN11" s="79">
        <v>53</v>
      </c>
      <c r="AO11" s="79">
        <v>10</v>
      </c>
      <c r="AP11" s="88">
        <v>0.04</v>
      </c>
      <c r="AQ11" s="88">
        <v>0.34</v>
      </c>
      <c r="AR11" s="88">
        <v>0.59</v>
      </c>
      <c r="AS11" s="88">
        <v>0.03</v>
      </c>
      <c r="AT11" s="88">
        <v>0.27</v>
      </c>
      <c r="AU11" s="88">
        <v>0.49</v>
      </c>
      <c r="AV11" s="88">
        <v>0.5</v>
      </c>
      <c r="AW11" s="346">
        <v>52</v>
      </c>
      <c r="AX11" s="342" t="s">
        <v>11</v>
      </c>
      <c r="AY11" s="346">
        <v>10</v>
      </c>
      <c r="AZ11" s="342" t="s">
        <v>11</v>
      </c>
      <c r="BA11" s="369">
        <v>0.05</v>
      </c>
      <c r="BB11" s="369">
        <v>0.39</v>
      </c>
      <c r="BC11" s="369">
        <v>0.54</v>
      </c>
      <c r="BD11" s="369">
        <v>0.03</v>
      </c>
      <c r="BE11" s="369">
        <v>0.28999999999999998</v>
      </c>
      <c r="BF11" s="369">
        <v>0.51</v>
      </c>
      <c r="BG11" s="369">
        <v>0.47</v>
      </c>
      <c r="BH11" s="479">
        <v>53</v>
      </c>
      <c r="BI11" s="482" t="s">
        <v>11</v>
      </c>
      <c r="BJ11" s="479">
        <v>10</v>
      </c>
      <c r="BK11" s="482" t="s">
        <v>11</v>
      </c>
      <c r="BL11" s="423">
        <v>0.05</v>
      </c>
      <c r="BM11" s="423">
        <v>0.33</v>
      </c>
      <c r="BN11" s="423">
        <v>0.57999999999999996</v>
      </c>
      <c r="BO11" s="423">
        <v>0.03</v>
      </c>
      <c r="BP11" s="423">
        <v>0.51</v>
      </c>
      <c r="BQ11" s="423">
        <v>0.57999999999999996</v>
      </c>
      <c r="BR11" s="423">
        <v>0.38</v>
      </c>
      <c r="BS11" s="627">
        <v>53</v>
      </c>
      <c r="BT11" s="638" t="s">
        <v>11</v>
      </c>
      <c r="BU11" s="627">
        <v>10</v>
      </c>
      <c r="BV11" s="638" t="s">
        <v>11</v>
      </c>
      <c r="BW11" s="642">
        <v>0.05</v>
      </c>
      <c r="BX11" s="642">
        <v>0.34</v>
      </c>
      <c r="BY11" s="642">
        <v>0.56000000000000005</v>
      </c>
      <c r="BZ11" s="642">
        <v>0.04</v>
      </c>
      <c r="CA11" s="642">
        <v>0.61</v>
      </c>
      <c r="CB11" s="642">
        <v>0.37</v>
      </c>
      <c r="CC11" s="642">
        <v>0.56999999999999995</v>
      </c>
    </row>
    <row r="12" spans="1:81" ht="24.9" customHeight="1" x14ac:dyDescent="0.25">
      <c r="A12" s="187" t="s">
        <v>12</v>
      </c>
      <c r="B12" s="6"/>
      <c r="C12" s="6"/>
      <c r="D12" s="30">
        <v>51</v>
      </c>
      <c r="E12" s="30">
        <v>9</v>
      </c>
      <c r="F12" s="98">
        <v>0.05</v>
      </c>
      <c r="G12" s="98">
        <v>0.44</v>
      </c>
      <c r="H12" s="98">
        <v>0.5</v>
      </c>
      <c r="I12" s="98">
        <v>0.02</v>
      </c>
      <c r="J12" s="65">
        <f>AVERAGEIFS(J$36:J$167,$B$36:$B$167,"=oficial")</f>
        <v>0.55217391304347818</v>
      </c>
      <c r="K12" s="65">
        <f>AVERAGEIFS(K$36:K$167,$B$36:$B$167,"=oficial")</f>
        <v>0.48565217391304338</v>
      </c>
      <c r="L12" s="65">
        <f>AVERAGEIFS(L$36:L$167,$B$36:$B$167,"=oficial")</f>
        <v>0.56043478260869573</v>
      </c>
      <c r="M12" s="30">
        <v>51</v>
      </c>
      <c r="N12" s="31">
        <v>10</v>
      </c>
      <c r="O12" s="86">
        <v>0.06</v>
      </c>
      <c r="P12" s="86">
        <v>0.42</v>
      </c>
      <c r="Q12" s="86">
        <v>0.5</v>
      </c>
      <c r="R12" s="86">
        <v>0.02</v>
      </c>
      <c r="S12" s="65">
        <f>AVERAGEIFS(S$36:S$167,$B$36:$B$167,"=oficial")</f>
        <v>0.4978260869565217</v>
      </c>
      <c r="T12" s="65">
        <f>AVERAGEIFS(T$36:T$167,$B$36:$B$167,"=oficial")</f>
        <v>0.57869565217391306</v>
      </c>
      <c r="U12" s="65">
        <f>AVERAGEIFS(U$36:U$167,$B$36:$B$167,"=oficial")</f>
        <v>0.3865217391304348</v>
      </c>
      <c r="V12" s="30">
        <v>51</v>
      </c>
      <c r="W12" s="30">
        <v>9</v>
      </c>
      <c r="X12" s="98">
        <v>0.06</v>
      </c>
      <c r="Y12" s="98">
        <v>0.43</v>
      </c>
      <c r="Z12" s="98">
        <v>0.5</v>
      </c>
      <c r="AA12" s="98">
        <v>0.01</v>
      </c>
      <c r="AB12" s="65">
        <f>AVERAGEIFS(AB$36:AB$167,$B$36:$B$167,"=oficial")</f>
        <v>0.51739130434782599</v>
      </c>
      <c r="AC12" s="65">
        <f>AVERAGEIFS(AC$36:AC$167,$B$36:$B$167,"=oficial")</f>
        <v>0.3973913043478261</v>
      </c>
      <c r="AD12" s="65">
        <f>AVERAGEIFS(AD$36:AD$167,$B$36:$B$167,"=oficial")</f>
        <v>0.54391304347826097</v>
      </c>
      <c r="AE12" s="30">
        <v>51</v>
      </c>
      <c r="AF12" s="30">
        <v>10</v>
      </c>
      <c r="AG12" s="98">
        <v>0.05</v>
      </c>
      <c r="AH12" s="98">
        <v>0.41</v>
      </c>
      <c r="AI12" s="98">
        <v>0.52</v>
      </c>
      <c r="AJ12" s="98">
        <v>0.02</v>
      </c>
      <c r="AK12" s="65">
        <f>AVERAGEIFS(AK$36:AK$167,$B$36:$B$167,"=oficial")</f>
        <v>0.55565217391304345</v>
      </c>
      <c r="AL12" s="65">
        <f>AVERAGEIFS(AL$36:AL$167,$B$36:$B$167,"=oficial")</f>
        <v>0.49130434782608706</v>
      </c>
      <c r="AM12" s="65">
        <f>AVERAGEIFS(AM$36:AM$167,$B$36:$B$167,"=oficial")</f>
        <v>0.31999999999999995</v>
      </c>
      <c r="AN12" s="78">
        <v>52</v>
      </c>
      <c r="AO12" s="78">
        <v>9</v>
      </c>
      <c r="AP12" s="89">
        <v>0.04</v>
      </c>
      <c r="AQ12" s="89">
        <v>0.39</v>
      </c>
      <c r="AR12" s="89">
        <v>0.54</v>
      </c>
      <c r="AS12" s="89">
        <v>0.02</v>
      </c>
      <c r="AT12" s="65">
        <f>AVERAGEIFS(AT$36:AT$167,$B$36:$B$167,"=oficial")</f>
        <v>0.30173913043478268</v>
      </c>
      <c r="AU12" s="65">
        <f>AVERAGEIFS(AU$36:AU$167,$B$36:$B$167,"=oficial")</f>
        <v>0.52391304347826095</v>
      </c>
      <c r="AV12" s="65">
        <f>AVERAGEIFS(AV$36:AV$167,$B$36:$B$167,"=oficial")</f>
        <v>0.52913043478260868</v>
      </c>
      <c r="AW12" s="347">
        <v>50</v>
      </c>
      <c r="AX12" s="343" t="s">
        <v>910</v>
      </c>
      <c r="AY12" s="347">
        <v>9</v>
      </c>
      <c r="AZ12" s="343" t="s">
        <v>910</v>
      </c>
      <c r="BA12" s="370">
        <v>0.06</v>
      </c>
      <c r="BB12" s="370">
        <v>0.45</v>
      </c>
      <c r="BC12" s="370">
        <v>0.48</v>
      </c>
      <c r="BD12" s="370">
        <v>0.01</v>
      </c>
      <c r="BE12" s="65">
        <f>AVERAGEIFS(BE$36:BE$167,$B$36:$B$167,"=oficial")</f>
        <v>0.31652173913043474</v>
      </c>
      <c r="BF12" s="65">
        <f>AVERAGEIFS(BF$36:BF$167,$B$36:$B$167,"=oficial")</f>
        <v>0.54043478260869571</v>
      </c>
      <c r="BG12" s="65">
        <f>AVERAGEIFS(BG$36:BG$167,$B$36:$B$167,"=oficial")</f>
        <v>0.50347826086956526</v>
      </c>
      <c r="BH12" s="480">
        <v>51</v>
      </c>
      <c r="BI12" s="483" t="s">
        <v>910</v>
      </c>
      <c r="BJ12" s="480">
        <v>10</v>
      </c>
      <c r="BK12" s="483" t="s">
        <v>910</v>
      </c>
      <c r="BL12" s="426">
        <v>7.0000000000000007E-2</v>
      </c>
      <c r="BM12" s="426">
        <v>0.39</v>
      </c>
      <c r="BN12" s="426">
        <v>0.52</v>
      </c>
      <c r="BO12" s="426">
        <v>0.02</v>
      </c>
      <c r="BP12" s="65">
        <f>AVERAGEIFS(BP$36:BP$167,$B$36:$B$167,"=oficial")</f>
        <v>0.54814814814814816</v>
      </c>
      <c r="BQ12" s="65">
        <f>AVERAGEIFS(BQ$36:BQ$167,$B$36:$B$167,"=oficial")</f>
        <v>0.61740740740740752</v>
      </c>
      <c r="BR12" s="65">
        <f>AVERAGEIFS(BR$36:BR$167,$B$36:$B$167,"=oficial")</f>
        <v>0.41111111111111115</v>
      </c>
      <c r="BS12" s="628">
        <v>51</v>
      </c>
      <c r="BT12" s="639" t="s">
        <v>910</v>
      </c>
      <c r="BU12" s="628">
        <v>10</v>
      </c>
      <c r="BV12" s="639" t="s">
        <v>910</v>
      </c>
      <c r="BW12" s="643">
        <v>7.0000000000000007E-2</v>
      </c>
      <c r="BX12" s="643">
        <v>0.4</v>
      </c>
      <c r="BY12" s="643">
        <v>0.51</v>
      </c>
      <c r="BZ12" s="643">
        <v>0.03</v>
      </c>
      <c r="CA12" s="639" t="s">
        <v>287</v>
      </c>
      <c r="CB12" s="639" t="s">
        <v>287</v>
      </c>
      <c r="CC12" s="639" t="s">
        <v>287</v>
      </c>
    </row>
    <row r="13" spans="1:81" ht="24.9" customHeight="1" x14ac:dyDescent="0.25">
      <c r="A13" s="187" t="s">
        <v>13</v>
      </c>
      <c r="B13" s="6"/>
      <c r="C13" s="6"/>
      <c r="D13" s="30">
        <v>52</v>
      </c>
      <c r="E13" s="30">
        <v>9</v>
      </c>
      <c r="F13" s="98">
        <v>0.05</v>
      </c>
      <c r="G13" s="98">
        <v>0.37</v>
      </c>
      <c r="H13" s="98">
        <v>0.56000000000000005</v>
      </c>
      <c r="I13" s="98">
        <v>0.02</v>
      </c>
      <c r="J13" s="65">
        <f>J95</f>
        <v>0.56000000000000005</v>
      </c>
      <c r="K13" s="65">
        <f t="shared" ref="K13:L13" si="0">K95</f>
        <v>0.48</v>
      </c>
      <c r="L13" s="65">
        <f t="shared" si="0"/>
        <v>0.52</v>
      </c>
      <c r="M13" s="30">
        <v>50</v>
      </c>
      <c r="N13" s="31">
        <v>9</v>
      </c>
      <c r="O13" s="86">
        <v>7.0000000000000007E-2</v>
      </c>
      <c r="P13" s="86">
        <v>0.48</v>
      </c>
      <c r="Q13" s="86">
        <v>0.45</v>
      </c>
      <c r="R13" s="86">
        <v>0</v>
      </c>
      <c r="S13" s="65">
        <f>S95</f>
        <v>0.53</v>
      </c>
      <c r="T13" s="65">
        <f t="shared" ref="T13:U13" si="1">T95</f>
        <v>0.56999999999999995</v>
      </c>
      <c r="U13" s="65">
        <f t="shared" si="1"/>
        <v>0.41</v>
      </c>
      <c r="V13" s="30">
        <v>53</v>
      </c>
      <c r="W13" s="30">
        <v>9</v>
      </c>
      <c r="X13" s="98">
        <v>0</v>
      </c>
      <c r="Y13" s="98">
        <v>0.47</v>
      </c>
      <c r="Z13" s="98">
        <v>0.47</v>
      </c>
      <c r="AA13" s="98">
        <v>0.06</v>
      </c>
      <c r="AB13" s="65">
        <f>AB95</f>
        <v>0.47</v>
      </c>
      <c r="AC13" s="65">
        <f t="shared" ref="AC13:AD13" si="2">AC95</f>
        <v>0.36</v>
      </c>
      <c r="AD13" s="65">
        <f t="shared" si="2"/>
        <v>0.54</v>
      </c>
      <c r="AE13" s="30">
        <v>54</v>
      </c>
      <c r="AF13" s="30">
        <v>9</v>
      </c>
      <c r="AG13" s="98">
        <v>0.02</v>
      </c>
      <c r="AH13" s="98">
        <v>0.27</v>
      </c>
      <c r="AI13" s="98">
        <v>0.69</v>
      </c>
      <c r="AJ13" s="98">
        <v>0.02</v>
      </c>
      <c r="AK13" s="65">
        <f>AK95</f>
        <v>0.5</v>
      </c>
      <c r="AL13" s="65">
        <f t="shared" ref="AL13:AM13" si="3">AL95</f>
        <v>0.45</v>
      </c>
      <c r="AM13" s="65">
        <f t="shared" si="3"/>
        <v>0.27</v>
      </c>
      <c r="AN13" s="78">
        <v>53</v>
      </c>
      <c r="AO13" s="78">
        <v>12</v>
      </c>
      <c r="AP13" s="89">
        <v>0.05</v>
      </c>
      <c r="AQ13" s="89">
        <v>0.39</v>
      </c>
      <c r="AR13" s="89">
        <v>0.45</v>
      </c>
      <c r="AS13" s="89">
        <v>0.11</v>
      </c>
      <c r="AT13" s="65">
        <f>AT95</f>
        <v>0.26</v>
      </c>
      <c r="AU13" s="65">
        <f t="shared" ref="AU13:AV13" si="4">AU95</f>
        <v>0.47</v>
      </c>
      <c r="AV13" s="65">
        <f t="shared" si="4"/>
        <v>0.5</v>
      </c>
      <c r="AW13" s="347">
        <v>52</v>
      </c>
      <c r="AX13" s="343" t="s">
        <v>910</v>
      </c>
      <c r="AY13" s="347">
        <v>10</v>
      </c>
      <c r="AZ13" s="343" t="s">
        <v>910</v>
      </c>
      <c r="BA13" s="370">
        <v>0.02</v>
      </c>
      <c r="BB13" s="370">
        <v>0.39</v>
      </c>
      <c r="BC13" s="370">
        <v>0.59</v>
      </c>
      <c r="BD13" s="370">
        <v>0</v>
      </c>
      <c r="BE13" s="65">
        <f>BE95</f>
        <v>0.27</v>
      </c>
      <c r="BF13" s="65">
        <f t="shared" ref="BF13:BG13" si="5">BF95</f>
        <v>0.51</v>
      </c>
      <c r="BG13" s="65">
        <f t="shared" si="5"/>
        <v>0.47</v>
      </c>
      <c r="BH13" s="480">
        <v>51</v>
      </c>
      <c r="BI13" s="483" t="s">
        <v>910</v>
      </c>
      <c r="BJ13" s="480">
        <v>11</v>
      </c>
      <c r="BK13" s="483" t="s">
        <v>910</v>
      </c>
      <c r="BL13" s="426">
        <v>0.05</v>
      </c>
      <c r="BM13" s="426">
        <v>0.45</v>
      </c>
      <c r="BN13" s="426">
        <v>0.48</v>
      </c>
      <c r="BO13" s="426">
        <v>0.03</v>
      </c>
      <c r="BP13" s="65">
        <f>BP95</f>
        <v>0.52</v>
      </c>
      <c r="BQ13" s="65">
        <f>BQ95</f>
        <v>0.6</v>
      </c>
      <c r="BR13" s="65">
        <f>BR95</f>
        <v>0.38</v>
      </c>
      <c r="BS13" s="628">
        <v>50</v>
      </c>
      <c r="BT13" s="639" t="s">
        <v>910</v>
      </c>
      <c r="BU13" s="628">
        <v>11</v>
      </c>
      <c r="BV13" s="639" t="s">
        <v>910</v>
      </c>
      <c r="BW13" s="643">
        <v>0.08</v>
      </c>
      <c r="BX13" s="643">
        <v>0.4</v>
      </c>
      <c r="BY13" s="643">
        <v>0.52</v>
      </c>
      <c r="BZ13" s="643">
        <v>0</v>
      </c>
      <c r="CA13" s="639" t="s">
        <v>287</v>
      </c>
      <c r="CB13" s="639" t="s">
        <v>287</v>
      </c>
      <c r="CC13" s="639" t="s">
        <v>287</v>
      </c>
    </row>
    <row r="14" spans="1:81" ht="24.9" customHeight="1" x14ac:dyDescent="0.25">
      <c r="A14" s="187" t="s">
        <v>14</v>
      </c>
      <c r="B14" s="6"/>
      <c r="C14" s="6"/>
      <c r="D14" s="30">
        <v>54</v>
      </c>
      <c r="E14" s="30">
        <v>9</v>
      </c>
      <c r="F14" s="98">
        <v>0.04</v>
      </c>
      <c r="G14" s="98">
        <v>0.34</v>
      </c>
      <c r="H14" s="98">
        <v>0.6</v>
      </c>
      <c r="I14" s="98">
        <v>0.02</v>
      </c>
      <c r="J14" s="65">
        <f>AVERAGEIFS(J$36:J$167,$B$36:$B$167,"=no oficial")</f>
        <v>0.51886075949367105</v>
      </c>
      <c r="K14" s="65">
        <f>AVERAGEIFS(K$36:K$167,$B$36:$B$167,"=no oficial")</f>
        <v>0.44670886075949345</v>
      </c>
      <c r="L14" s="65">
        <f>AVERAGEIFS(L$36:L$167,$B$36:$B$167,"=no oficial")</f>
        <v>0.52392405063291136</v>
      </c>
      <c r="M14" s="30">
        <v>53</v>
      </c>
      <c r="N14" s="31">
        <v>10</v>
      </c>
      <c r="O14" s="86">
        <v>0.04</v>
      </c>
      <c r="P14" s="86">
        <v>0.33</v>
      </c>
      <c r="Q14" s="86">
        <v>0.59</v>
      </c>
      <c r="R14" s="86">
        <v>0.03</v>
      </c>
      <c r="S14" s="65">
        <f>AVERAGEIFS(S$36:S$167,$B$36:$B$167,"=no oficial")</f>
        <v>0.46924050632911413</v>
      </c>
      <c r="T14" s="65">
        <f>AVERAGEIFS(T$36:T$167,$B$36:$B$167,"=no oficial")</f>
        <v>0.53936708860759497</v>
      </c>
      <c r="U14" s="65">
        <f>AVERAGEIFS(U$36:U$167,$B$36:$B$167,"=no oficial")</f>
        <v>0.34531645569620262</v>
      </c>
      <c r="V14" s="30">
        <v>54</v>
      </c>
      <c r="W14" s="30">
        <v>9</v>
      </c>
      <c r="X14" s="98">
        <v>0.02</v>
      </c>
      <c r="Y14" s="98">
        <v>0.32</v>
      </c>
      <c r="Z14" s="98">
        <v>0.62</v>
      </c>
      <c r="AA14" s="98">
        <v>0.03</v>
      </c>
      <c r="AB14" s="65">
        <f>AVERAGEIFS(AB$36:AB$167,$B$36:$B$167,"=no oficial")</f>
        <v>0.46700000000000008</v>
      </c>
      <c r="AC14" s="65">
        <f>AVERAGEIFS(AC$36:AC$167,$B$36:$B$167,"=no oficial")</f>
        <v>0.36224999999999985</v>
      </c>
      <c r="AD14" s="65">
        <f>AVERAGEIFS(AD$36:AD$167,$B$36:$B$167,"=no oficial")</f>
        <v>0.501</v>
      </c>
      <c r="AE14" s="30">
        <v>55</v>
      </c>
      <c r="AF14" s="30">
        <v>10</v>
      </c>
      <c r="AG14" s="98">
        <v>0.03</v>
      </c>
      <c r="AH14" s="98">
        <v>0.28999999999999998</v>
      </c>
      <c r="AI14" s="98">
        <v>0.64</v>
      </c>
      <c r="AJ14" s="98">
        <v>0.04</v>
      </c>
      <c r="AK14" s="65">
        <f>AVERAGEIFS(AK$36:AK$167,$B$36:$B$167,"=no oficial")</f>
        <v>0.50914634146341453</v>
      </c>
      <c r="AL14" s="65">
        <f>AVERAGEIFS(AL$36:AL$167,$B$36:$B$167,"=no oficial")</f>
        <v>0.44670731707317068</v>
      </c>
      <c r="AM14" s="65">
        <f>AVERAGEIFS(AM$36:AM$167,$B$36:$B$167,"=no oficial")</f>
        <v>0.27207317073170734</v>
      </c>
      <c r="AN14" s="78">
        <v>55</v>
      </c>
      <c r="AO14" s="78">
        <v>10</v>
      </c>
      <c r="AP14" s="89">
        <v>0.03</v>
      </c>
      <c r="AQ14" s="89">
        <v>0.3</v>
      </c>
      <c r="AR14" s="89">
        <v>0.64</v>
      </c>
      <c r="AS14" s="89">
        <v>0.04</v>
      </c>
      <c r="AT14" s="65">
        <f>AVERAGEIFS(AT$36:AT$167,$B$36:$B$167,"=no oficial")</f>
        <v>0.26241379310344848</v>
      </c>
      <c r="AU14" s="65">
        <f>AVERAGEIFS(AU$36:AU$167,$B$36:$B$167,"=no oficial")</f>
        <v>0.4874712643678159</v>
      </c>
      <c r="AV14" s="65">
        <f>AVERAGEIFS(AV$36:AV$167,$B$36:$B$167,"=no oficial")</f>
        <v>0.4906896551724137</v>
      </c>
      <c r="AW14" s="347">
        <v>54</v>
      </c>
      <c r="AX14" s="343" t="s">
        <v>910</v>
      </c>
      <c r="AY14" s="347">
        <v>10</v>
      </c>
      <c r="AZ14" s="343" t="s">
        <v>910</v>
      </c>
      <c r="BA14" s="370">
        <v>0.04</v>
      </c>
      <c r="BB14" s="370">
        <v>0.32</v>
      </c>
      <c r="BC14" s="370">
        <v>0.6</v>
      </c>
      <c r="BD14" s="370">
        <v>0.04</v>
      </c>
      <c r="BE14" s="65">
        <f>AVERAGEIFS(BE$36:BE$167,$B$36:$B$167,"=no oficial")</f>
        <v>0.27186046511627909</v>
      </c>
      <c r="BF14" s="65">
        <f>AVERAGEIFS(BF$36:BF$167,$B$36:$B$167,"=no oficial")</f>
        <v>0.49372093023255809</v>
      </c>
      <c r="BG14" s="65">
        <f>AVERAGEIFS(BG$36:BG$167,$B$36:$B$167,"=no oficial")</f>
        <v>0.45558139534883713</v>
      </c>
      <c r="BH14" s="480">
        <v>55</v>
      </c>
      <c r="BI14" s="483" t="s">
        <v>910</v>
      </c>
      <c r="BJ14" s="480">
        <v>10</v>
      </c>
      <c r="BK14" s="483" t="s">
        <v>910</v>
      </c>
      <c r="BL14" s="426">
        <v>0.04</v>
      </c>
      <c r="BM14" s="426">
        <v>0.27</v>
      </c>
      <c r="BN14" s="426">
        <v>0.64</v>
      </c>
      <c r="BO14" s="426">
        <v>0.05</v>
      </c>
      <c r="BP14" s="65">
        <f>AVERAGEIFS(BP$36:BP$167,$B$36:$B$167,"=no oficial")</f>
        <v>0.48483146067415728</v>
      </c>
      <c r="BQ14" s="65">
        <f>AVERAGEIFS(BQ$36:BQ$167,$B$36:$B$167,"=no oficial")</f>
        <v>0.55988764044943828</v>
      </c>
      <c r="BR14" s="65">
        <f>AVERAGEIFS(BR$36:BR$167,$B$36:$B$167,"=no oficial")</f>
        <v>0.35629213483146066</v>
      </c>
      <c r="BS14" s="628">
        <v>55</v>
      </c>
      <c r="BT14" s="639" t="s">
        <v>910</v>
      </c>
      <c r="BU14" s="628">
        <v>10</v>
      </c>
      <c r="BV14" s="639" t="s">
        <v>910</v>
      </c>
      <c r="BW14" s="643">
        <v>0.04</v>
      </c>
      <c r="BX14" s="643">
        <v>0.27</v>
      </c>
      <c r="BY14" s="643">
        <v>0.63</v>
      </c>
      <c r="BZ14" s="643">
        <v>0.06</v>
      </c>
      <c r="CA14" s="639" t="s">
        <v>287</v>
      </c>
      <c r="CB14" s="639" t="s">
        <v>287</v>
      </c>
      <c r="CC14" s="639" t="s">
        <v>287</v>
      </c>
    </row>
    <row r="15" spans="1:81" ht="24.9" customHeight="1" x14ac:dyDescent="0.25">
      <c r="A15" s="187" t="s">
        <v>15</v>
      </c>
      <c r="B15" s="6"/>
      <c r="C15" s="6"/>
      <c r="D15" s="30">
        <v>50</v>
      </c>
      <c r="E15" s="30">
        <v>9</v>
      </c>
      <c r="F15" s="98">
        <v>0.06</v>
      </c>
      <c r="G15" s="98">
        <v>0.47</v>
      </c>
      <c r="H15" s="98">
        <v>0.46</v>
      </c>
      <c r="I15" s="98">
        <v>0.01</v>
      </c>
      <c r="J15" s="11" t="s">
        <v>287</v>
      </c>
      <c r="K15" s="11" t="s">
        <v>287</v>
      </c>
      <c r="L15" s="11" t="s">
        <v>287</v>
      </c>
      <c r="M15" s="30">
        <v>50</v>
      </c>
      <c r="N15" s="31">
        <v>10</v>
      </c>
      <c r="O15" s="86">
        <v>7.0000000000000007E-2</v>
      </c>
      <c r="P15" s="86">
        <v>0.45</v>
      </c>
      <c r="Q15" s="86">
        <v>0.47</v>
      </c>
      <c r="R15" s="86">
        <v>0.01</v>
      </c>
      <c r="S15" s="11" t="s">
        <v>287</v>
      </c>
      <c r="T15" s="11" t="s">
        <v>287</v>
      </c>
      <c r="U15" s="11" t="s">
        <v>287</v>
      </c>
      <c r="V15" s="30">
        <v>51</v>
      </c>
      <c r="W15" s="30">
        <v>9</v>
      </c>
      <c r="X15" s="98">
        <v>0.06</v>
      </c>
      <c r="Y15" s="98">
        <v>0.43</v>
      </c>
      <c r="Z15" s="98">
        <v>0.5</v>
      </c>
      <c r="AA15" s="98">
        <v>0.01</v>
      </c>
      <c r="AB15" s="11" t="s">
        <v>287</v>
      </c>
      <c r="AC15" s="11" t="s">
        <v>287</v>
      </c>
      <c r="AD15" s="11" t="s">
        <v>287</v>
      </c>
      <c r="AE15" s="30">
        <v>51</v>
      </c>
      <c r="AF15" s="30">
        <v>10</v>
      </c>
      <c r="AG15" s="98">
        <v>0.06</v>
      </c>
      <c r="AH15" s="98">
        <v>0.41</v>
      </c>
      <c r="AI15" s="98">
        <v>0.51</v>
      </c>
      <c r="AJ15" s="98">
        <v>0.02</v>
      </c>
      <c r="AK15" s="11" t="s">
        <v>287</v>
      </c>
      <c r="AL15" s="11" t="s">
        <v>287</v>
      </c>
      <c r="AM15" s="11" t="s">
        <v>287</v>
      </c>
      <c r="AN15" s="78">
        <v>51</v>
      </c>
      <c r="AO15" s="78">
        <v>9</v>
      </c>
      <c r="AP15" s="89">
        <v>0.05</v>
      </c>
      <c r="AQ15" s="89">
        <v>0.41</v>
      </c>
      <c r="AR15" s="89">
        <v>0.52</v>
      </c>
      <c r="AS15" s="89">
        <v>0.02</v>
      </c>
      <c r="AT15" s="11" t="s">
        <v>287</v>
      </c>
      <c r="AU15" s="11" t="s">
        <v>287</v>
      </c>
      <c r="AV15" s="11" t="s">
        <v>287</v>
      </c>
      <c r="AW15" s="347">
        <v>49</v>
      </c>
      <c r="AX15" s="343" t="s">
        <v>910</v>
      </c>
      <c r="AY15" s="347">
        <v>9</v>
      </c>
      <c r="AZ15" s="343" t="s">
        <v>910</v>
      </c>
      <c r="BA15" s="370">
        <v>0.08</v>
      </c>
      <c r="BB15" s="370">
        <v>0.46</v>
      </c>
      <c r="BC15" s="370">
        <v>0.45</v>
      </c>
      <c r="BD15" s="370">
        <v>0.01</v>
      </c>
      <c r="BE15" s="343" t="s">
        <v>287</v>
      </c>
      <c r="BF15" s="343" t="s">
        <v>287</v>
      </c>
      <c r="BG15" s="343" t="s">
        <v>287</v>
      </c>
      <c r="BH15" s="480">
        <v>50</v>
      </c>
      <c r="BI15" s="483" t="s">
        <v>910</v>
      </c>
      <c r="BJ15" s="480">
        <v>10</v>
      </c>
      <c r="BK15" s="483" t="s">
        <v>910</v>
      </c>
      <c r="BL15" s="426">
        <v>0.08</v>
      </c>
      <c r="BM15" s="426">
        <v>0.41</v>
      </c>
      <c r="BN15" s="426">
        <v>0.49</v>
      </c>
      <c r="BO15" s="426">
        <v>0.01</v>
      </c>
      <c r="BP15" s="483" t="s">
        <v>287</v>
      </c>
      <c r="BQ15" s="483" t="s">
        <v>287</v>
      </c>
      <c r="BR15" s="483" t="s">
        <v>287</v>
      </c>
      <c r="BS15" s="628">
        <v>51</v>
      </c>
      <c r="BT15" s="639" t="s">
        <v>910</v>
      </c>
      <c r="BU15" s="628">
        <v>10</v>
      </c>
      <c r="BV15" s="639" t="s">
        <v>910</v>
      </c>
      <c r="BW15" s="643">
        <v>7.0000000000000007E-2</v>
      </c>
      <c r="BX15" s="643">
        <v>0.41</v>
      </c>
      <c r="BY15" s="643">
        <v>0.5</v>
      </c>
      <c r="BZ15" s="643">
        <v>0.02</v>
      </c>
      <c r="CA15" s="639" t="s">
        <v>287</v>
      </c>
      <c r="CB15" s="639" t="s">
        <v>287</v>
      </c>
      <c r="CC15" s="639" t="s">
        <v>287</v>
      </c>
    </row>
    <row r="16" spans="1:81" ht="24.9" customHeight="1" x14ac:dyDescent="0.25">
      <c r="A16" s="187" t="s">
        <v>16</v>
      </c>
      <c r="B16" s="6"/>
      <c r="C16" s="6"/>
      <c r="D16" s="30">
        <v>53</v>
      </c>
      <c r="E16" s="30">
        <v>9</v>
      </c>
      <c r="F16" s="98">
        <v>0.03</v>
      </c>
      <c r="G16" s="98">
        <v>0.35</v>
      </c>
      <c r="H16" s="98">
        <v>0.59</v>
      </c>
      <c r="I16" s="98">
        <v>0.02</v>
      </c>
      <c r="J16" s="11" t="s">
        <v>287</v>
      </c>
      <c r="K16" s="11" t="s">
        <v>287</v>
      </c>
      <c r="L16" s="11" t="s">
        <v>287</v>
      </c>
      <c r="M16" s="30">
        <v>53</v>
      </c>
      <c r="N16" s="31">
        <v>10</v>
      </c>
      <c r="O16" s="86">
        <v>0.04</v>
      </c>
      <c r="P16" s="86">
        <v>0.33</v>
      </c>
      <c r="Q16" s="86">
        <v>0.59</v>
      </c>
      <c r="R16" s="86">
        <v>0.03</v>
      </c>
      <c r="S16" s="11" t="s">
        <v>287</v>
      </c>
      <c r="T16" s="11" t="s">
        <v>287</v>
      </c>
      <c r="U16" s="11" t="s">
        <v>287</v>
      </c>
      <c r="V16" s="30">
        <v>53</v>
      </c>
      <c r="W16" s="30">
        <v>9</v>
      </c>
      <c r="X16" s="98">
        <v>0.03</v>
      </c>
      <c r="Y16" s="98">
        <v>0.36</v>
      </c>
      <c r="Z16" s="98">
        <v>0.57999999999999996</v>
      </c>
      <c r="AA16" s="98">
        <v>0.03</v>
      </c>
      <c r="AB16" s="11" t="s">
        <v>287</v>
      </c>
      <c r="AC16" s="11" t="s">
        <v>287</v>
      </c>
      <c r="AD16" s="11" t="s">
        <v>287</v>
      </c>
      <c r="AE16" s="30">
        <v>54</v>
      </c>
      <c r="AF16" s="30">
        <v>10</v>
      </c>
      <c r="AG16" s="98">
        <v>0.03</v>
      </c>
      <c r="AH16" s="98">
        <v>0.32</v>
      </c>
      <c r="AI16" s="98">
        <v>0.61</v>
      </c>
      <c r="AJ16" s="98">
        <v>0.04</v>
      </c>
      <c r="AK16" s="11" t="s">
        <v>287</v>
      </c>
      <c r="AL16" s="11" t="s">
        <v>287</v>
      </c>
      <c r="AM16" s="11" t="s">
        <v>287</v>
      </c>
      <c r="AN16" s="78">
        <v>54</v>
      </c>
      <c r="AO16" s="78">
        <v>10</v>
      </c>
      <c r="AP16" s="89">
        <v>0.03</v>
      </c>
      <c r="AQ16" s="89">
        <v>0.32</v>
      </c>
      <c r="AR16" s="89">
        <v>0.62</v>
      </c>
      <c r="AS16" s="89">
        <v>0.03</v>
      </c>
      <c r="AT16" s="11" t="s">
        <v>287</v>
      </c>
      <c r="AU16" s="11" t="s">
        <v>287</v>
      </c>
      <c r="AV16" s="11" t="s">
        <v>287</v>
      </c>
      <c r="AW16" s="347">
        <v>53</v>
      </c>
      <c r="AX16" s="343" t="s">
        <v>910</v>
      </c>
      <c r="AY16" s="347">
        <v>9</v>
      </c>
      <c r="AZ16" s="343" t="s">
        <v>910</v>
      </c>
      <c r="BA16" s="370">
        <v>0.04</v>
      </c>
      <c r="BB16" s="370">
        <v>0.36</v>
      </c>
      <c r="BC16" s="370">
        <v>0.56999999999999995</v>
      </c>
      <c r="BD16" s="370">
        <v>0.03</v>
      </c>
      <c r="BE16" s="343" t="s">
        <v>287</v>
      </c>
      <c r="BF16" s="343" t="s">
        <v>287</v>
      </c>
      <c r="BG16" s="343" t="s">
        <v>287</v>
      </c>
      <c r="BH16" s="480">
        <v>54</v>
      </c>
      <c r="BI16" s="483" t="s">
        <v>910</v>
      </c>
      <c r="BJ16" s="480">
        <v>10</v>
      </c>
      <c r="BK16" s="483" t="s">
        <v>910</v>
      </c>
      <c r="BL16" s="426">
        <v>0.04</v>
      </c>
      <c r="BM16" s="426">
        <v>0.3</v>
      </c>
      <c r="BN16" s="426">
        <v>0.62</v>
      </c>
      <c r="BO16" s="426">
        <v>0.04</v>
      </c>
      <c r="BP16" s="483" t="s">
        <v>287</v>
      </c>
      <c r="BQ16" s="483" t="s">
        <v>287</v>
      </c>
      <c r="BR16" s="483" t="s">
        <v>287</v>
      </c>
      <c r="BS16" s="628">
        <v>54</v>
      </c>
      <c r="BT16" s="639" t="s">
        <v>910</v>
      </c>
      <c r="BU16" s="628">
        <v>10</v>
      </c>
      <c r="BV16" s="639" t="s">
        <v>910</v>
      </c>
      <c r="BW16" s="643">
        <v>0.04</v>
      </c>
      <c r="BX16" s="643">
        <v>0.3</v>
      </c>
      <c r="BY16" s="643">
        <v>0.6</v>
      </c>
      <c r="BZ16" s="643">
        <v>0.05</v>
      </c>
      <c r="CA16" s="639" t="s">
        <v>287</v>
      </c>
      <c r="CB16" s="639" t="s">
        <v>287</v>
      </c>
      <c r="CC16" s="639" t="s">
        <v>287</v>
      </c>
    </row>
    <row r="17" spans="1:81" s="461" customFormat="1" ht="24.9" customHeight="1" x14ac:dyDescent="0.25">
      <c r="A17" s="427" t="s">
        <v>17</v>
      </c>
      <c r="B17" s="427"/>
      <c r="C17" s="427"/>
      <c r="D17" s="495"/>
      <c r="E17" s="495"/>
      <c r="F17" s="499"/>
      <c r="G17" s="499"/>
      <c r="H17" s="499"/>
      <c r="I17" s="499"/>
      <c r="J17" s="483"/>
      <c r="K17" s="483"/>
      <c r="L17" s="483"/>
      <c r="M17" s="495"/>
      <c r="N17" s="496"/>
      <c r="O17" s="510"/>
      <c r="P17" s="510"/>
      <c r="Q17" s="510"/>
      <c r="R17" s="510"/>
      <c r="S17" s="483"/>
      <c r="T17" s="483"/>
      <c r="U17" s="483"/>
      <c r="V17" s="495"/>
      <c r="W17" s="495"/>
      <c r="X17" s="499"/>
      <c r="Y17" s="499"/>
      <c r="Z17" s="499"/>
      <c r="AA17" s="499"/>
      <c r="AB17" s="483"/>
      <c r="AC17" s="483"/>
      <c r="AD17" s="483"/>
      <c r="AE17" s="495"/>
      <c r="AF17" s="495"/>
      <c r="AG17" s="499"/>
      <c r="AH17" s="499"/>
      <c r="AI17" s="499"/>
      <c r="AJ17" s="499"/>
      <c r="AK17" s="483"/>
      <c r="AL17" s="483"/>
      <c r="AM17" s="483"/>
      <c r="AN17" s="511"/>
      <c r="AO17" s="511"/>
      <c r="AP17" s="497"/>
      <c r="AQ17" s="497"/>
      <c r="AR17" s="497"/>
      <c r="AS17" s="497"/>
      <c r="AT17" s="483"/>
      <c r="AU17" s="483"/>
      <c r="AV17" s="483"/>
      <c r="AW17" s="488"/>
      <c r="AX17" s="489"/>
      <c r="AY17" s="488"/>
      <c r="AZ17" s="489"/>
      <c r="BA17" s="500"/>
      <c r="BB17" s="500"/>
      <c r="BC17" s="500"/>
      <c r="BD17" s="500"/>
      <c r="BE17" s="489"/>
      <c r="BF17" s="489"/>
      <c r="BG17" s="489"/>
      <c r="BH17" s="480">
        <v>62</v>
      </c>
      <c r="BI17" s="483" t="s">
        <v>911</v>
      </c>
      <c r="BJ17" s="480">
        <v>4</v>
      </c>
      <c r="BK17" s="483" t="s">
        <v>912</v>
      </c>
      <c r="BL17" s="426">
        <v>0</v>
      </c>
      <c r="BM17" s="426">
        <v>0</v>
      </c>
      <c r="BN17" s="426">
        <v>1</v>
      </c>
      <c r="BO17" s="426">
        <v>0</v>
      </c>
      <c r="BP17" s="483" t="s">
        <v>287</v>
      </c>
      <c r="BQ17" s="483" t="s">
        <v>287</v>
      </c>
      <c r="BR17" s="483" t="s">
        <v>287</v>
      </c>
    </row>
    <row r="18" spans="1:81" s="267" customFormat="1" ht="24.9" customHeight="1" x14ac:dyDescent="0.25">
      <c r="A18" s="283" t="s">
        <v>246</v>
      </c>
      <c r="B18" s="6"/>
      <c r="C18" s="6"/>
      <c r="D18" s="192">
        <f t="shared" ref="D18:AW18" si="6">AVERAGEIF($C$36:$C$167,"=1",D$36:D$167)</f>
        <v>51.823529411764703</v>
      </c>
      <c r="E18" s="192">
        <f t="shared" si="6"/>
        <v>9</v>
      </c>
      <c r="F18" s="65">
        <f t="shared" si="6"/>
        <v>5.4117647058823541E-2</v>
      </c>
      <c r="G18" s="65">
        <f t="shared" si="6"/>
        <v>0.39411764705882346</v>
      </c>
      <c r="H18" s="65">
        <f t="shared" si="6"/>
        <v>0.54294117647058826</v>
      </c>
      <c r="I18" s="65">
        <f t="shared" si="6"/>
        <v>9.4117647058823539E-3</v>
      </c>
      <c r="J18" s="65">
        <f t="shared" si="6"/>
        <v>0.53235294117647058</v>
      </c>
      <c r="K18" s="65">
        <f t="shared" si="6"/>
        <v>0.4594117647058823</v>
      </c>
      <c r="L18" s="65">
        <f t="shared" si="6"/>
        <v>0.53941176470588237</v>
      </c>
      <c r="M18" s="192">
        <f t="shared" si="6"/>
        <v>51.625</v>
      </c>
      <c r="N18" s="192">
        <f t="shared" si="6"/>
        <v>9.0625</v>
      </c>
      <c r="O18" s="65">
        <f t="shared" si="6"/>
        <v>5.7222222222222209E-2</v>
      </c>
      <c r="P18" s="65">
        <f t="shared" si="6"/>
        <v>0.40166666666666667</v>
      </c>
      <c r="Q18" s="65">
        <f t="shared" si="6"/>
        <v>0.51555555555555566</v>
      </c>
      <c r="R18" s="65">
        <f t="shared" si="6"/>
        <v>2.6111111111111116E-2</v>
      </c>
      <c r="S18" s="65">
        <f t="shared" si="6"/>
        <v>0.48388888888888892</v>
      </c>
      <c r="T18" s="65">
        <f t="shared" si="6"/>
        <v>0.56166666666666676</v>
      </c>
      <c r="U18" s="65">
        <f t="shared" si="6"/>
        <v>0.36000000000000004</v>
      </c>
      <c r="V18" s="192">
        <f t="shared" si="6"/>
        <v>51.823529411764703</v>
      </c>
      <c r="W18" s="192">
        <f t="shared" si="6"/>
        <v>8.9411764705882355</v>
      </c>
      <c r="X18" s="65">
        <f t="shared" si="6"/>
        <v>4.2777777777777783E-2</v>
      </c>
      <c r="Y18" s="65">
        <f t="shared" si="6"/>
        <v>0.39777777777777773</v>
      </c>
      <c r="Z18" s="65">
        <f t="shared" si="6"/>
        <v>0.52555555555555555</v>
      </c>
      <c r="AA18" s="65">
        <f t="shared" si="6"/>
        <v>3.4444444444444451E-2</v>
      </c>
      <c r="AB18" s="65">
        <f t="shared" si="6"/>
        <v>0.4861111111111111</v>
      </c>
      <c r="AC18" s="65">
        <f t="shared" si="6"/>
        <v>0.37111111111111111</v>
      </c>
      <c r="AD18" s="65">
        <f t="shared" si="6"/>
        <v>0.52444444444444449</v>
      </c>
      <c r="AE18" s="192">
        <f t="shared" si="6"/>
        <v>52.647058823529413</v>
      </c>
      <c r="AF18" s="192">
        <f t="shared" si="6"/>
        <v>9.235294117647058</v>
      </c>
      <c r="AG18" s="65">
        <f t="shared" si="6"/>
        <v>3.2777777777777781E-2</v>
      </c>
      <c r="AH18" s="65">
        <f t="shared" si="6"/>
        <v>0.34333333333333338</v>
      </c>
      <c r="AI18" s="65">
        <f t="shared" si="6"/>
        <v>0.60055555555555562</v>
      </c>
      <c r="AJ18" s="65">
        <f t="shared" si="6"/>
        <v>2.4444444444444446E-2</v>
      </c>
      <c r="AK18" s="65">
        <f t="shared" si="6"/>
        <v>0.51777777777777789</v>
      </c>
      <c r="AL18" s="65">
        <f t="shared" si="6"/>
        <v>0.45944444444444454</v>
      </c>
      <c r="AM18" s="65">
        <f t="shared" si="6"/>
        <v>0.28222222222222221</v>
      </c>
      <c r="AN18" s="192">
        <f t="shared" si="6"/>
        <v>53.294117647058826</v>
      </c>
      <c r="AO18" s="192">
        <f t="shared" si="6"/>
        <v>9.117647058823529</v>
      </c>
      <c r="AP18" s="65">
        <f t="shared" si="6"/>
        <v>3.529411764705883E-2</v>
      </c>
      <c r="AQ18" s="65">
        <f t="shared" si="6"/>
        <v>0.36000000000000004</v>
      </c>
      <c r="AR18" s="65">
        <f t="shared" si="6"/>
        <v>0.57352941176470584</v>
      </c>
      <c r="AS18" s="65">
        <f t="shared" si="6"/>
        <v>3.2941176470588238E-2</v>
      </c>
      <c r="AT18" s="65">
        <f t="shared" si="6"/>
        <v>0.26647058823529413</v>
      </c>
      <c r="AU18" s="65">
        <f t="shared" si="6"/>
        <v>0.48882352941176471</v>
      </c>
      <c r="AV18" s="65">
        <f t="shared" si="6"/>
        <v>0.50235294117647056</v>
      </c>
      <c r="AW18" s="192">
        <f t="shared" si="6"/>
        <v>52.470588235294116</v>
      </c>
      <c r="AX18" s="343"/>
      <c r="AY18" s="192">
        <f>AVERAGEIF($C$36:$C$167,"=1",AY$36:AY$167)</f>
        <v>8.8235294117647065</v>
      </c>
      <c r="AZ18" s="343"/>
      <c r="BA18" s="65">
        <f t="shared" ref="BA18:BH18" si="7">AVERAGEIF($C$36:$C$167,"=1",BA$36:BA$167)</f>
        <v>4.3529411764705886E-2</v>
      </c>
      <c r="BB18" s="65">
        <f t="shared" si="7"/>
        <v>0.36764705882352944</v>
      </c>
      <c r="BC18" s="65">
        <f t="shared" si="7"/>
        <v>0.56176470588235294</v>
      </c>
      <c r="BD18" s="65">
        <f t="shared" si="7"/>
        <v>2.7058823529411767E-2</v>
      </c>
      <c r="BE18" s="65">
        <f t="shared" si="7"/>
        <v>0.27411764705882347</v>
      </c>
      <c r="BF18" s="65">
        <f t="shared" si="7"/>
        <v>0.50000000000000011</v>
      </c>
      <c r="BG18" s="65">
        <f t="shared" si="7"/>
        <v>0.45941176470588241</v>
      </c>
      <c r="BH18" s="192">
        <f t="shared" si="7"/>
        <v>52.444444444444443</v>
      </c>
      <c r="BJ18" s="192">
        <f t="shared" ref="BJ18" si="8">AVERAGEIF($C$36:$C$167,"=1",BJ$36:BJ$167)</f>
        <v>9.2777777777777786</v>
      </c>
      <c r="BL18" s="521">
        <f t="shared" ref="BL18:BS18" si="9">AVERAGEIF($C$36:$C$167,"=1",BL$36:BL$167)</f>
        <v>4.9444444444444444E-2</v>
      </c>
      <c r="BM18" s="521">
        <f t="shared" si="9"/>
        <v>0.35777777777777781</v>
      </c>
      <c r="BN18" s="521">
        <f t="shared" si="9"/>
        <v>0.57055555555555559</v>
      </c>
      <c r="BO18" s="521">
        <f t="shared" si="9"/>
        <v>2.3333333333333331E-2</v>
      </c>
      <c r="BP18" s="521">
        <f t="shared" si="9"/>
        <v>0.51888888888888884</v>
      </c>
      <c r="BQ18" s="521">
        <f t="shared" si="9"/>
        <v>0.59</v>
      </c>
      <c r="BR18" s="521">
        <f t="shared" si="9"/>
        <v>0.37666666666666671</v>
      </c>
      <c r="BS18" s="192">
        <f t="shared" si="9"/>
        <v>53.647058823529413</v>
      </c>
      <c r="BU18" s="192">
        <f t="shared" ref="BU18" si="10">AVERAGEIF($C$36:$C$167,"=1",BU$36:BU$167)</f>
        <v>9.117647058823529</v>
      </c>
      <c r="BW18" s="521">
        <f t="shared" ref="BW18:CC18" si="11">AVERAGEIF($C$36:$C$167,"=1",BW$36:BW$167)</f>
        <v>3.5882352941176476E-2</v>
      </c>
      <c r="BX18" s="521">
        <f t="shared" si="11"/>
        <v>0.35235294117647059</v>
      </c>
      <c r="BY18" s="521">
        <f t="shared" si="11"/>
        <v>0.56294117647058817</v>
      </c>
      <c r="BZ18" s="521">
        <f t="shared" si="11"/>
        <v>4.8235294117647071E-2</v>
      </c>
      <c r="CA18" s="521">
        <f t="shared" si="11"/>
        <v>0.59941176470588231</v>
      </c>
      <c r="CB18" s="521">
        <f t="shared" si="11"/>
        <v>0.35705882352941171</v>
      </c>
      <c r="CC18" s="521">
        <f t="shared" si="11"/>
        <v>0.55294117647058838</v>
      </c>
    </row>
    <row r="19" spans="1:81" s="267" customFormat="1" ht="24.9" customHeight="1" x14ac:dyDescent="0.25">
      <c r="A19" s="283" t="s">
        <v>247</v>
      </c>
      <c r="B19" s="6"/>
      <c r="C19" s="6"/>
      <c r="D19" s="192">
        <f t="shared" ref="D19:AW19" si="12">AVERAGEIF($C$36:$C$167,"=2",D$36:D$167)</f>
        <v>52.6</v>
      </c>
      <c r="E19" s="192">
        <f t="shared" si="12"/>
        <v>8.65</v>
      </c>
      <c r="F19" s="65">
        <f t="shared" si="12"/>
        <v>0.05</v>
      </c>
      <c r="G19" s="65">
        <f t="shared" si="12"/>
        <v>0.36700000000000005</v>
      </c>
      <c r="H19" s="65">
        <f t="shared" si="12"/>
        <v>0.5675</v>
      </c>
      <c r="I19" s="65">
        <f t="shared" si="12"/>
        <v>1.7000000000000001E-2</v>
      </c>
      <c r="J19" s="65">
        <f t="shared" si="12"/>
        <v>0.52899999999999991</v>
      </c>
      <c r="K19" s="65">
        <f t="shared" si="12"/>
        <v>0.44950000000000012</v>
      </c>
      <c r="L19" s="65">
        <f t="shared" si="12"/>
        <v>0.52600000000000002</v>
      </c>
      <c r="M19" s="192">
        <f t="shared" si="12"/>
        <v>52.157894736842103</v>
      </c>
      <c r="N19" s="192">
        <f t="shared" si="12"/>
        <v>9.2631578947368425</v>
      </c>
      <c r="O19" s="65">
        <f t="shared" si="12"/>
        <v>5.7368421052631582E-2</v>
      </c>
      <c r="P19" s="65">
        <f t="shared" si="12"/>
        <v>0.34894736842105273</v>
      </c>
      <c r="Q19" s="65">
        <f t="shared" si="12"/>
        <v>0.55157894736842095</v>
      </c>
      <c r="R19" s="65">
        <f t="shared" si="12"/>
        <v>4.0000000000000008E-2</v>
      </c>
      <c r="S19" s="65">
        <f t="shared" si="12"/>
        <v>0.47000000000000008</v>
      </c>
      <c r="T19" s="65">
        <f t="shared" si="12"/>
        <v>0.54315789473684217</v>
      </c>
      <c r="U19" s="65">
        <f t="shared" si="12"/>
        <v>0.36526315789473685</v>
      </c>
      <c r="V19" s="192">
        <f t="shared" si="12"/>
        <v>52.842105263157897</v>
      </c>
      <c r="W19" s="192">
        <f t="shared" si="12"/>
        <v>8.6315789473684212</v>
      </c>
      <c r="X19" s="65">
        <f t="shared" si="12"/>
        <v>3.6315789473684218E-2</v>
      </c>
      <c r="Y19" s="65">
        <f t="shared" si="12"/>
        <v>0.34789473684210526</v>
      </c>
      <c r="Z19" s="65">
        <f t="shared" si="12"/>
        <v>0.60210526315789459</v>
      </c>
      <c r="AA19" s="65">
        <f t="shared" si="12"/>
        <v>1.6315789473684207E-2</v>
      </c>
      <c r="AB19" s="65">
        <f t="shared" si="12"/>
        <v>0.47210526315789469</v>
      </c>
      <c r="AC19" s="65">
        <f t="shared" si="12"/>
        <v>0.37157894736842106</v>
      </c>
      <c r="AD19" s="65">
        <f t="shared" si="12"/>
        <v>0.50421052631578944</v>
      </c>
      <c r="AE19" s="192">
        <f t="shared" si="12"/>
        <v>53.75</v>
      </c>
      <c r="AF19" s="192">
        <f t="shared" si="12"/>
        <v>9.1</v>
      </c>
      <c r="AG19" s="65">
        <f t="shared" si="12"/>
        <v>3.7000000000000005E-2</v>
      </c>
      <c r="AH19" s="65">
        <f t="shared" si="12"/>
        <v>0.32049999999999995</v>
      </c>
      <c r="AI19" s="65">
        <f t="shared" si="12"/>
        <v>0.60650000000000015</v>
      </c>
      <c r="AJ19" s="65">
        <f t="shared" si="12"/>
        <v>3.7500000000000012E-2</v>
      </c>
      <c r="AK19" s="65">
        <f t="shared" si="12"/>
        <v>0.51800000000000002</v>
      </c>
      <c r="AL19" s="65">
        <f t="shared" si="12"/>
        <v>0.45650000000000002</v>
      </c>
      <c r="AM19" s="65">
        <f t="shared" si="12"/>
        <v>0.26900000000000002</v>
      </c>
      <c r="AN19" s="192">
        <f t="shared" si="12"/>
        <v>52.791666666666664</v>
      </c>
      <c r="AO19" s="192">
        <f t="shared" si="12"/>
        <v>7.833333333333333</v>
      </c>
      <c r="AP19" s="65">
        <f t="shared" si="12"/>
        <v>2.7500000000000007E-2</v>
      </c>
      <c r="AQ19" s="65">
        <f t="shared" si="12"/>
        <v>0.35749999999999998</v>
      </c>
      <c r="AR19" s="65">
        <f t="shared" si="12"/>
        <v>0.57791666666666675</v>
      </c>
      <c r="AS19" s="65">
        <f t="shared" si="12"/>
        <v>3.5833333333333342E-2</v>
      </c>
      <c r="AT19" s="65">
        <f t="shared" si="12"/>
        <v>0.27666666666666667</v>
      </c>
      <c r="AU19" s="65">
        <f t="shared" si="12"/>
        <v>0.49874999999999997</v>
      </c>
      <c r="AV19" s="65">
        <f t="shared" si="12"/>
        <v>0.50833333333333341</v>
      </c>
      <c r="AW19" s="192">
        <f t="shared" si="12"/>
        <v>52.18181818181818</v>
      </c>
      <c r="AX19" s="343"/>
      <c r="AY19" s="192">
        <f>AVERAGEIF($C$36:$C$167,"=2",AY$36:AY$167)</f>
        <v>8</v>
      </c>
      <c r="AZ19" s="343"/>
      <c r="BA19" s="65">
        <f t="shared" ref="BA19:BH19" si="13">AVERAGEIF($C$36:$C$167,"=2",BA$36:BA$167)</f>
        <v>5.9545454545454561E-2</v>
      </c>
      <c r="BB19" s="65">
        <f t="shared" si="13"/>
        <v>0.35272727272727278</v>
      </c>
      <c r="BC19" s="65">
        <f t="shared" si="13"/>
        <v>0.56318181818181823</v>
      </c>
      <c r="BD19" s="65">
        <f t="shared" si="13"/>
        <v>2.5909090909090913E-2</v>
      </c>
      <c r="BE19" s="65">
        <f t="shared" si="13"/>
        <v>0.28590909090909089</v>
      </c>
      <c r="BF19" s="65">
        <f t="shared" si="13"/>
        <v>0.5027272727272728</v>
      </c>
      <c r="BG19" s="65">
        <f t="shared" si="13"/>
        <v>0.46318181818181831</v>
      </c>
      <c r="BH19" s="192">
        <f t="shared" si="13"/>
        <v>53.96</v>
      </c>
      <c r="BJ19" s="192">
        <f t="shared" ref="BJ19" si="14">AVERAGEIF($C$36:$C$167,"=2",BJ$36:BJ$167)</f>
        <v>9.48</v>
      </c>
      <c r="BL19" s="521">
        <f t="shared" ref="BL19:BS19" si="15">AVERAGEIF($C$36:$C$167,"=2",BL$36:BL$167)</f>
        <v>7.0400000000000018E-2</v>
      </c>
      <c r="BM19" s="521">
        <f t="shared" si="15"/>
        <v>0.26039999999999996</v>
      </c>
      <c r="BN19" s="521">
        <f t="shared" si="15"/>
        <v>0.63200000000000001</v>
      </c>
      <c r="BO19" s="521">
        <f t="shared" si="15"/>
        <v>3.8000000000000006E-2</v>
      </c>
      <c r="BP19" s="521">
        <f t="shared" si="15"/>
        <v>0.48560000000000003</v>
      </c>
      <c r="BQ19" s="521">
        <f t="shared" si="15"/>
        <v>0.56320000000000003</v>
      </c>
      <c r="BR19" s="521">
        <f t="shared" si="15"/>
        <v>0.37719999999999998</v>
      </c>
      <c r="BS19" s="192">
        <f t="shared" si="15"/>
        <v>52.807692307692307</v>
      </c>
      <c r="BU19" s="192">
        <f t="shared" ref="BU19" si="16">AVERAGEIF($C$36:$C$167,"=2",BU$36:BU$167)</f>
        <v>8.8076923076923084</v>
      </c>
      <c r="BW19" s="521">
        <f t="shared" ref="BW19:CC19" si="17">AVERAGEIF($C$36:$C$167,"=2",BW$36:BW$167)</f>
        <v>6.26923076923077E-2</v>
      </c>
      <c r="BX19" s="521">
        <f t="shared" si="17"/>
        <v>0.35423076923076918</v>
      </c>
      <c r="BY19" s="521">
        <f t="shared" si="17"/>
        <v>0.53730769230769237</v>
      </c>
      <c r="BZ19" s="521">
        <f t="shared" si="17"/>
        <v>4.615384615384617E-2</v>
      </c>
      <c r="CA19" s="521">
        <f t="shared" si="17"/>
        <v>0.59923076923076923</v>
      </c>
      <c r="CB19" s="521">
        <f t="shared" si="17"/>
        <v>0.39076923076923065</v>
      </c>
      <c r="CC19" s="521">
        <f t="shared" si="17"/>
        <v>0.55615384615384622</v>
      </c>
    </row>
    <row r="20" spans="1:81" s="267" customFormat="1" ht="24.9" customHeight="1" x14ac:dyDescent="0.25">
      <c r="A20" s="283" t="s">
        <v>248</v>
      </c>
      <c r="B20" s="6"/>
      <c r="C20" s="6"/>
      <c r="D20" s="192">
        <f t="shared" ref="D20:AW20" si="18">AVERAGEIF($C$36:$C$167,"=3",D$36:D$167)</f>
        <v>53</v>
      </c>
      <c r="E20" s="192">
        <f t="shared" si="18"/>
        <v>8.6666666666666661</v>
      </c>
      <c r="F20" s="65">
        <f t="shared" si="18"/>
        <v>3.2777777777777781E-2</v>
      </c>
      <c r="G20" s="65">
        <f t="shared" si="18"/>
        <v>0.37333333333333335</v>
      </c>
      <c r="H20" s="65">
        <f t="shared" si="18"/>
        <v>0.56666666666666687</v>
      </c>
      <c r="I20" s="65">
        <f t="shared" si="18"/>
        <v>2.8888888888888891E-2</v>
      </c>
      <c r="J20" s="65">
        <f t="shared" si="18"/>
        <v>0.51444444444444448</v>
      </c>
      <c r="K20" s="65">
        <f t="shared" si="18"/>
        <v>0.44611111111111107</v>
      </c>
      <c r="L20" s="65">
        <f t="shared" si="18"/>
        <v>0.51777777777777778</v>
      </c>
      <c r="M20" s="192">
        <f t="shared" si="18"/>
        <v>51.89473684210526</v>
      </c>
      <c r="N20" s="192">
        <f t="shared" si="18"/>
        <v>9.2105263157894743</v>
      </c>
      <c r="O20" s="65">
        <f t="shared" si="18"/>
        <v>3.7222222222222226E-2</v>
      </c>
      <c r="P20" s="65">
        <f t="shared" si="18"/>
        <v>0.38388888888888889</v>
      </c>
      <c r="Q20" s="65">
        <f t="shared" si="18"/>
        <v>0.55111111111111111</v>
      </c>
      <c r="R20" s="65">
        <f t="shared" si="18"/>
        <v>2.7777777777777776E-2</v>
      </c>
      <c r="S20" s="65">
        <f t="shared" si="18"/>
        <v>0.46666666666666667</v>
      </c>
      <c r="T20" s="65">
        <f t="shared" si="18"/>
        <v>0.54722222222222228</v>
      </c>
      <c r="U20" s="65">
        <f t="shared" si="18"/>
        <v>0.33999999999999997</v>
      </c>
      <c r="V20" s="192">
        <f t="shared" si="18"/>
        <v>52.684210526315788</v>
      </c>
      <c r="W20" s="192">
        <f t="shared" si="18"/>
        <v>9.2105263157894743</v>
      </c>
      <c r="X20" s="65">
        <f t="shared" si="18"/>
        <v>3.6666666666666667E-2</v>
      </c>
      <c r="Y20" s="65">
        <f t="shared" si="18"/>
        <v>0.35777777777777781</v>
      </c>
      <c r="Z20" s="65">
        <f t="shared" si="18"/>
        <v>0.57111111111111112</v>
      </c>
      <c r="AA20" s="65">
        <f t="shared" si="18"/>
        <v>3.5000000000000003E-2</v>
      </c>
      <c r="AB20" s="65">
        <f t="shared" si="18"/>
        <v>0.47222222222222221</v>
      </c>
      <c r="AC20" s="65">
        <f t="shared" si="18"/>
        <v>0.36222222222222222</v>
      </c>
      <c r="AD20" s="65">
        <f t="shared" si="18"/>
        <v>0.50111111111111117</v>
      </c>
      <c r="AE20" s="192">
        <f t="shared" si="18"/>
        <v>52.789473684210527</v>
      </c>
      <c r="AF20" s="192">
        <f t="shared" si="18"/>
        <v>9.2105263157894743</v>
      </c>
      <c r="AG20" s="65">
        <f t="shared" si="18"/>
        <v>4.222222222222223E-2</v>
      </c>
      <c r="AH20" s="65">
        <f t="shared" si="18"/>
        <v>0.36166666666666675</v>
      </c>
      <c r="AI20" s="65">
        <f t="shared" si="18"/>
        <v>0.57222222222222208</v>
      </c>
      <c r="AJ20" s="65">
        <f t="shared" si="18"/>
        <v>2.6111111111111116E-2</v>
      </c>
      <c r="AK20" s="65">
        <f t="shared" si="18"/>
        <v>0.51944444444444438</v>
      </c>
      <c r="AL20" s="65">
        <f t="shared" si="18"/>
        <v>0.45777777777777778</v>
      </c>
      <c r="AM20" s="65">
        <f t="shared" si="18"/>
        <v>0.27555555555555561</v>
      </c>
      <c r="AN20" s="192">
        <f t="shared" si="18"/>
        <v>53.9</v>
      </c>
      <c r="AO20" s="192">
        <f t="shared" si="18"/>
        <v>8.65</v>
      </c>
      <c r="AP20" s="65">
        <f t="shared" si="18"/>
        <v>2.4E-2</v>
      </c>
      <c r="AQ20" s="65">
        <f t="shared" si="18"/>
        <v>0.3175</v>
      </c>
      <c r="AR20" s="65">
        <f t="shared" si="18"/>
        <v>0.62450000000000006</v>
      </c>
      <c r="AS20" s="65">
        <f t="shared" si="18"/>
        <v>3.3500000000000009E-2</v>
      </c>
      <c r="AT20" s="65">
        <f t="shared" si="18"/>
        <v>0.26149999999999995</v>
      </c>
      <c r="AU20" s="65">
        <f t="shared" si="18"/>
        <v>0.47400000000000003</v>
      </c>
      <c r="AV20" s="65">
        <f t="shared" si="18"/>
        <v>0.4955</v>
      </c>
      <c r="AW20" s="192">
        <f t="shared" si="18"/>
        <v>52.6</v>
      </c>
      <c r="AX20" s="343"/>
      <c r="AY20" s="192">
        <f>AVERAGEIF($C$36:$C$167,"=3",AY$36:AY$167)</f>
        <v>8.5500000000000007</v>
      </c>
      <c r="AZ20" s="343"/>
      <c r="BA20" s="65">
        <f t="shared" ref="BA20:BH20" si="19">AVERAGEIF($C$36:$C$167,"=3",BA$36:BA$167)</f>
        <v>3.7000000000000012E-2</v>
      </c>
      <c r="BB20" s="65">
        <f t="shared" si="19"/>
        <v>0.35</v>
      </c>
      <c r="BC20" s="65">
        <f t="shared" si="19"/>
        <v>0.58350000000000013</v>
      </c>
      <c r="BD20" s="65">
        <f t="shared" si="19"/>
        <v>2.9000000000000005E-2</v>
      </c>
      <c r="BE20" s="65">
        <f t="shared" si="19"/>
        <v>0.27449999999999991</v>
      </c>
      <c r="BF20" s="65">
        <f t="shared" si="19"/>
        <v>0.49199999999999999</v>
      </c>
      <c r="BG20" s="65">
        <f t="shared" si="19"/>
        <v>0.45150000000000007</v>
      </c>
      <c r="BH20" s="192">
        <f t="shared" si="19"/>
        <v>53.81818181818182</v>
      </c>
      <c r="BJ20" s="192">
        <f t="shared" ref="BJ20" si="20">AVERAGEIF($C$36:$C$167,"=3",BJ$36:BJ$167)</f>
        <v>9.5</v>
      </c>
      <c r="BL20" s="521">
        <f t="shared" ref="BL20:BS20" si="21">AVERAGEIF($C$36:$C$167,"=3",BL$36:BL$167)</f>
        <v>4.9090909090909102E-2</v>
      </c>
      <c r="BM20" s="521">
        <f t="shared" si="21"/>
        <v>0.30272727272727268</v>
      </c>
      <c r="BN20" s="521">
        <f t="shared" si="21"/>
        <v>0.60272727272727289</v>
      </c>
      <c r="BO20" s="521">
        <f t="shared" si="21"/>
        <v>4.8181818181818194E-2</v>
      </c>
      <c r="BP20" s="521">
        <f t="shared" si="21"/>
        <v>0.49136363636363645</v>
      </c>
      <c r="BQ20" s="521">
        <f t="shared" si="21"/>
        <v>0.55909090909090908</v>
      </c>
      <c r="BR20" s="521">
        <f t="shared" si="21"/>
        <v>0.34636363636363643</v>
      </c>
      <c r="BS20" s="192">
        <f t="shared" si="21"/>
        <v>53.772727272727273</v>
      </c>
      <c r="BU20" s="192">
        <f t="shared" ref="BU20" si="22">AVERAGEIF($C$36:$C$167,"=3",BU$36:BU$167)</f>
        <v>9.8636363636363633</v>
      </c>
      <c r="BW20" s="521">
        <f t="shared" ref="BW20:CC20" si="23">AVERAGEIF($C$36:$C$167,"=3",BW$36:BW$167)</f>
        <v>5.5000000000000007E-2</v>
      </c>
      <c r="BX20" s="521">
        <f t="shared" si="23"/>
        <v>0.30409090909090908</v>
      </c>
      <c r="BY20" s="521">
        <f t="shared" si="23"/>
        <v>0.59363636363636363</v>
      </c>
      <c r="BZ20" s="521">
        <f t="shared" si="23"/>
        <v>4.8181818181818194E-2</v>
      </c>
      <c r="CA20" s="521">
        <f t="shared" si="23"/>
        <v>0.60318181818181826</v>
      </c>
      <c r="CB20" s="521">
        <f t="shared" si="23"/>
        <v>0.33999999999999991</v>
      </c>
      <c r="CC20" s="521">
        <f t="shared" si="23"/>
        <v>0.56181818181818177</v>
      </c>
    </row>
    <row r="21" spans="1:81" s="267" customFormat="1" ht="24.9" customHeight="1" x14ac:dyDescent="0.25">
      <c r="A21" s="283" t="s">
        <v>249</v>
      </c>
      <c r="B21" s="6"/>
      <c r="C21" s="6"/>
      <c r="D21" s="192">
        <f t="shared" ref="D21:AW21" si="24">AVERAGEIF($C$36:$C$167,"=4",D$36:D$167)</f>
        <v>48.357142857142854</v>
      </c>
      <c r="E21" s="192">
        <f t="shared" si="24"/>
        <v>8.7857142857142865</v>
      </c>
      <c r="F21" s="65">
        <f t="shared" si="24"/>
        <v>0.12142857142857144</v>
      </c>
      <c r="G21" s="65">
        <f t="shared" si="24"/>
        <v>0.46285714285714291</v>
      </c>
      <c r="H21" s="65">
        <f t="shared" si="24"/>
        <v>0.41142857142857142</v>
      </c>
      <c r="I21" s="65">
        <f t="shared" si="24"/>
        <v>2.8571428571428571E-3</v>
      </c>
      <c r="J21" s="65">
        <f t="shared" si="24"/>
        <v>0.57285714285714284</v>
      </c>
      <c r="K21" s="65">
        <f t="shared" si="24"/>
        <v>0.50428571428571434</v>
      </c>
      <c r="L21" s="65">
        <f t="shared" si="24"/>
        <v>0.59785714285714298</v>
      </c>
      <c r="M21" s="192">
        <f t="shared" si="24"/>
        <v>49.666666666666664</v>
      </c>
      <c r="N21" s="192">
        <f t="shared" si="24"/>
        <v>8.6666666666666661</v>
      </c>
      <c r="O21" s="65">
        <f t="shared" si="24"/>
        <v>0.10142857142857144</v>
      </c>
      <c r="P21" s="65">
        <f t="shared" si="24"/>
        <v>0.42642857142857143</v>
      </c>
      <c r="Q21" s="65">
        <f t="shared" si="24"/>
        <v>0.4628571428571428</v>
      </c>
      <c r="R21" s="65">
        <f t="shared" si="24"/>
        <v>1.0714285714285714E-2</v>
      </c>
      <c r="S21" s="65">
        <f t="shared" si="24"/>
        <v>0.50642857142857134</v>
      </c>
      <c r="T21" s="65">
        <f t="shared" si="24"/>
        <v>0.57928571428571429</v>
      </c>
      <c r="U21" s="65">
        <f t="shared" si="24"/>
        <v>0.38071428571428573</v>
      </c>
      <c r="V21" s="192">
        <f t="shared" si="24"/>
        <v>50.466666666666669</v>
      </c>
      <c r="W21" s="192">
        <f t="shared" si="24"/>
        <v>8.7333333333333325</v>
      </c>
      <c r="X21" s="65">
        <f t="shared" si="24"/>
        <v>8.0714285714285711E-2</v>
      </c>
      <c r="Y21" s="65">
        <f t="shared" si="24"/>
        <v>0.38785714285714284</v>
      </c>
      <c r="Z21" s="65">
        <f t="shared" si="24"/>
        <v>0.52142857142857146</v>
      </c>
      <c r="AA21" s="65">
        <f t="shared" si="24"/>
        <v>9.285714285714286E-3</v>
      </c>
      <c r="AB21" s="65">
        <f t="shared" si="24"/>
        <v>0.50642857142857145</v>
      </c>
      <c r="AC21" s="65">
        <f t="shared" si="24"/>
        <v>0.40571428571428569</v>
      </c>
      <c r="AD21" s="65">
        <f t="shared" si="24"/>
        <v>0.5407142857142857</v>
      </c>
      <c r="AE21" s="192">
        <f t="shared" si="24"/>
        <v>49.714285714285715</v>
      </c>
      <c r="AF21" s="192">
        <f t="shared" si="24"/>
        <v>8.7857142857142865</v>
      </c>
      <c r="AG21" s="65">
        <f t="shared" si="24"/>
        <v>7.0000000000000007E-2</v>
      </c>
      <c r="AH21" s="65">
        <f t="shared" si="24"/>
        <v>0.48923076923076919</v>
      </c>
      <c r="AI21" s="65">
        <f t="shared" si="24"/>
        <v>0.42153846153846153</v>
      </c>
      <c r="AJ21" s="65">
        <f t="shared" si="24"/>
        <v>1.846153846153846E-2</v>
      </c>
      <c r="AK21" s="65">
        <f t="shared" si="24"/>
        <v>0.57538461538461538</v>
      </c>
      <c r="AL21" s="65">
        <f t="shared" si="24"/>
        <v>0.51153846153846161</v>
      </c>
      <c r="AM21" s="65">
        <f t="shared" si="24"/>
        <v>0.34461538461538466</v>
      </c>
      <c r="AN21" s="192">
        <f t="shared" si="24"/>
        <v>49.153846153846153</v>
      </c>
      <c r="AO21" s="192">
        <f t="shared" si="24"/>
        <v>9.1538461538461533</v>
      </c>
      <c r="AP21" s="65">
        <f t="shared" si="24"/>
        <v>7.2307692307692309E-2</v>
      </c>
      <c r="AQ21" s="65">
        <f t="shared" si="24"/>
        <v>0.47846153846153844</v>
      </c>
      <c r="AR21" s="65">
        <f t="shared" si="24"/>
        <v>0.42615384615384611</v>
      </c>
      <c r="AS21" s="65">
        <f t="shared" si="24"/>
        <v>2.5384615384615387E-2</v>
      </c>
      <c r="AT21" s="65">
        <f t="shared" si="24"/>
        <v>0.31769230769230777</v>
      </c>
      <c r="AU21" s="65">
        <f t="shared" si="24"/>
        <v>0.56384615384615389</v>
      </c>
      <c r="AV21" s="65">
        <f t="shared" si="24"/>
        <v>0.54846153846153856</v>
      </c>
      <c r="AW21" s="192">
        <f t="shared" si="24"/>
        <v>48.5</v>
      </c>
      <c r="AX21" s="343"/>
      <c r="AY21" s="192">
        <f>AVERAGEIF($C$36:$C$167,"=4",AY$36:AY$167)</f>
        <v>8.5714285714285712</v>
      </c>
      <c r="AZ21" s="343"/>
      <c r="BA21" s="65">
        <f t="shared" ref="BA21:BH21" si="25">AVERAGEIF($C$36:$C$167,"=4",BA$36:BA$167)</f>
        <v>8.2857142857142865E-2</v>
      </c>
      <c r="BB21" s="65">
        <f t="shared" si="25"/>
        <v>0.46500000000000002</v>
      </c>
      <c r="BC21" s="65">
        <f t="shared" si="25"/>
        <v>0.43999999999999995</v>
      </c>
      <c r="BD21" s="65">
        <f t="shared" si="25"/>
        <v>1.2142857142857144E-2</v>
      </c>
      <c r="BE21" s="65">
        <f t="shared" si="25"/>
        <v>0.35857142857142854</v>
      </c>
      <c r="BF21" s="65">
        <f t="shared" si="25"/>
        <v>0.54214285714285715</v>
      </c>
      <c r="BG21" s="65">
        <f t="shared" si="25"/>
        <v>0.51928571428571424</v>
      </c>
      <c r="BH21" s="192">
        <f t="shared" si="25"/>
        <v>50.714285714285715</v>
      </c>
      <c r="BJ21" s="192">
        <f t="shared" ref="BJ21" si="26">AVERAGEIF($C$36:$C$167,"=4",BJ$36:BJ$167)</f>
        <v>9.5714285714285712</v>
      </c>
      <c r="BL21" s="521">
        <f t="shared" ref="BL21:BS21" si="27">AVERAGEIF($C$36:$C$167,"=4",BL$36:BL$167)</f>
        <v>6.7142857142857143E-2</v>
      </c>
      <c r="BM21" s="521">
        <f t="shared" si="27"/>
        <v>0.41071428571428575</v>
      </c>
      <c r="BN21" s="521">
        <f t="shared" si="27"/>
        <v>0.50000000000000011</v>
      </c>
      <c r="BO21" s="521">
        <f t="shared" si="27"/>
        <v>2.1428571428571432E-2</v>
      </c>
      <c r="BP21" s="521">
        <f t="shared" si="27"/>
        <v>0.54142857142857148</v>
      </c>
      <c r="BQ21" s="521">
        <f t="shared" si="27"/>
        <v>0.6171428571428571</v>
      </c>
      <c r="BR21" s="521">
        <f t="shared" si="27"/>
        <v>0.40857142857142853</v>
      </c>
      <c r="BS21" s="192">
        <f t="shared" si="27"/>
        <v>49.93333333333333</v>
      </c>
      <c r="BU21" s="192">
        <f t="shared" ref="BU21" si="28">AVERAGEIF($C$36:$C$167,"=4",BU$36:BU$167)</f>
        <v>9.6666666666666661</v>
      </c>
      <c r="BW21" s="521">
        <f t="shared" ref="BW21:CC21" si="29">AVERAGEIF($C$36:$C$167,"=4",BW$36:BW$167)</f>
        <v>7.3333333333333334E-2</v>
      </c>
      <c r="BX21" s="521">
        <f t="shared" si="29"/>
        <v>0.43533333333333335</v>
      </c>
      <c r="BY21" s="521">
        <f t="shared" si="29"/>
        <v>0.47333333333333338</v>
      </c>
      <c r="BZ21" s="521">
        <f t="shared" si="29"/>
        <v>2.0000000000000004E-2</v>
      </c>
      <c r="CA21" s="521">
        <f t="shared" si="29"/>
        <v>0.62533333333333341</v>
      </c>
      <c r="CB21" s="521">
        <f t="shared" si="29"/>
        <v>0.41866666666666663</v>
      </c>
      <c r="CC21" s="521">
        <f t="shared" si="29"/>
        <v>0.61466666666666669</v>
      </c>
    </row>
    <row r="22" spans="1:81" s="267" customFormat="1" ht="24.9" customHeight="1" x14ac:dyDescent="0.25">
      <c r="A22" s="283" t="s">
        <v>250</v>
      </c>
      <c r="B22" s="6"/>
      <c r="C22" s="6"/>
      <c r="D22" s="192">
        <f t="shared" ref="D22:AW22" si="30">AVERAGEIF($C$36:$C$167,"=5",D$36:D$167)</f>
        <v>54.470588235294116</v>
      </c>
      <c r="E22" s="192">
        <f t="shared" si="30"/>
        <v>8.2941176470588243</v>
      </c>
      <c r="F22" s="65">
        <f t="shared" si="30"/>
        <v>2.4117647058823532E-2</v>
      </c>
      <c r="G22" s="65">
        <f t="shared" si="30"/>
        <v>0.30647058823529411</v>
      </c>
      <c r="H22" s="65">
        <f t="shared" si="30"/>
        <v>0.64411764705882346</v>
      </c>
      <c r="I22" s="65">
        <f t="shared" si="30"/>
        <v>2.4705882352941178E-2</v>
      </c>
      <c r="J22" s="65">
        <f t="shared" si="30"/>
        <v>0.49294117647058816</v>
      </c>
      <c r="K22" s="65">
        <f t="shared" si="30"/>
        <v>0.44117647058823528</v>
      </c>
      <c r="L22" s="65">
        <f t="shared" si="30"/>
        <v>0.49882352941176472</v>
      </c>
      <c r="M22" s="192">
        <f t="shared" si="30"/>
        <v>54.705882352941174</v>
      </c>
      <c r="N22" s="192">
        <f t="shared" si="30"/>
        <v>9.4705882352941178</v>
      </c>
      <c r="O22" s="65">
        <f t="shared" si="30"/>
        <v>3.8823529411764715E-2</v>
      </c>
      <c r="P22" s="65">
        <f t="shared" si="30"/>
        <v>0.28176470588235292</v>
      </c>
      <c r="Q22" s="65">
        <f t="shared" si="30"/>
        <v>0.6352941176470589</v>
      </c>
      <c r="R22" s="65">
        <f t="shared" si="30"/>
        <v>4.2941176470588246E-2</v>
      </c>
      <c r="S22" s="65">
        <f t="shared" si="30"/>
        <v>0.44058823529411761</v>
      </c>
      <c r="T22" s="65">
        <f t="shared" si="30"/>
        <v>0.50352941176470589</v>
      </c>
      <c r="U22" s="65">
        <f t="shared" si="30"/>
        <v>0.31882352941176478</v>
      </c>
      <c r="V22" s="192">
        <f t="shared" si="30"/>
        <v>54.777777777777779</v>
      </c>
      <c r="W22" s="192">
        <f t="shared" si="30"/>
        <v>8.4444444444444446</v>
      </c>
      <c r="X22" s="65">
        <f t="shared" si="30"/>
        <v>2.2352941176470589E-2</v>
      </c>
      <c r="Y22" s="65">
        <f t="shared" si="30"/>
        <v>0.32647058823529418</v>
      </c>
      <c r="Z22" s="65">
        <f t="shared" si="30"/>
        <v>0.60647058823529409</v>
      </c>
      <c r="AA22" s="65">
        <f t="shared" si="30"/>
        <v>4.5294117647058825E-2</v>
      </c>
      <c r="AB22" s="65">
        <f t="shared" si="30"/>
        <v>0.43999999999999995</v>
      </c>
      <c r="AC22" s="65">
        <f t="shared" si="30"/>
        <v>0.34823529411764703</v>
      </c>
      <c r="AD22" s="65">
        <f t="shared" si="30"/>
        <v>0.47882352941176465</v>
      </c>
      <c r="AE22" s="192">
        <f t="shared" si="30"/>
        <v>55.368421052631582</v>
      </c>
      <c r="AF22" s="192">
        <f t="shared" si="30"/>
        <v>8.526315789473685</v>
      </c>
      <c r="AG22" s="65">
        <f t="shared" si="30"/>
        <v>1.666666666666667E-2</v>
      </c>
      <c r="AH22" s="65">
        <f t="shared" si="30"/>
        <v>0.28055555555555556</v>
      </c>
      <c r="AI22" s="65">
        <f t="shared" si="30"/>
        <v>0.65555555555555556</v>
      </c>
      <c r="AJ22" s="65">
        <f t="shared" si="30"/>
        <v>4.7222222222222228E-2</v>
      </c>
      <c r="AK22" s="65">
        <f t="shared" si="30"/>
        <v>0.48222222222222222</v>
      </c>
      <c r="AL22" s="65">
        <f t="shared" si="30"/>
        <v>0.41555555555555557</v>
      </c>
      <c r="AM22" s="65">
        <f t="shared" si="30"/>
        <v>0.25000000000000006</v>
      </c>
      <c r="AN22" s="192">
        <f t="shared" si="30"/>
        <v>55.944444444444443</v>
      </c>
      <c r="AO22" s="192">
        <f t="shared" si="30"/>
        <v>9.0555555555555554</v>
      </c>
      <c r="AP22" s="65">
        <f t="shared" si="30"/>
        <v>1.8888888888888889E-2</v>
      </c>
      <c r="AQ22" s="65">
        <f t="shared" si="30"/>
        <v>0.25944444444444437</v>
      </c>
      <c r="AR22" s="65">
        <f t="shared" si="30"/>
        <v>0.68111111111111122</v>
      </c>
      <c r="AS22" s="65">
        <f t="shared" si="30"/>
        <v>4.1666666666666671E-2</v>
      </c>
      <c r="AT22" s="65">
        <f t="shared" si="30"/>
        <v>0.22444444444444439</v>
      </c>
      <c r="AU22" s="65">
        <f t="shared" si="30"/>
        <v>0.45499999999999996</v>
      </c>
      <c r="AV22" s="65">
        <f t="shared" si="30"/>
        <v>0.44555555555555554</v>
      </c>
      <c r="AW22" s="192">
        <f t="shared" si="30"/>
        <v>54.277777777777779</v>
      </c>
      <c r="AX22" s="343"/>
      <c r="AY22" s="192">
        <f>AVERAGEIF($C$36:$C$167,"=5",AY$36:AY$167)</f>
        <v>9</v>
      </c>
      <c r="AZ22" s="343"/>
      <c r="BA22" s="65">
        <f t="shared" ref="BA22:BH22" si="31">AVERAGEIF($C$36:$C$167,"=5",BA$36:BA$167)</f>
        <v>2.6666666666666668E-2</v>
      </c>
      <c r="BB22" s="65">
        <f t="shared" si="31"/>
        <v>0.32944444444444443</v>
      </c>
      <c r="BC22" s="65">
        <f t="shared" si="31"/>
        <v>0.59777777777777785</v>
      </c>
      <c r="BD22" s="65">
        <f t="shared" si="31"/>
        <v>4.444444444444446E-2</v>
      </c>
      <c r="BE22" s="65">
        <f t="shared" si="31"/>
        <v>0.24500000000000005</v>
      </c>
      <c r="BF22" s="65">
        <f t="shared" si="31"/>
        <v>0.47500000000000003</v>
      </c>
      <c r="BG22" s="65">
        <f t="shared" si="31"/>
        <v>0.42888888888888893</v>
      </c>
      <c r="BH22" s="192">
        <f t="shared" si="31"/>
        <v>55.882352941176471</v>
      </c>
      <c r="BJ22" s="192">
        <f t="shared" ref="BJ22" si="32">AVERAGEIF($C$36:$C$167,"=5",BJ$36:BJ$167)</f>
        <v>9.117647058823529</v>
      </c>
      <c r="BL22" s="521">
        <f t="shared" ref="BL22:BS22" si="33">AVERAGEIF($C$36:$C$167,"=5",BL$36:BL$167)</f>
        <v>2.6470588235294114E-2</v>
      </c>
      <c r="BM22" s="521">
        <f t="shared" si="33"/>
        <v>0.23235294117647062</v>
      </c>
      <c r="BN22" s="521">
        <f t="shared" si="33"/>
        <v>0.69529411764705884</v>
      </c>
      <c r="BO22" s="521">
        <f t="shared" si="33"/>
        <v>4.7058823529411764E-2</v>
      </c>
      <c r="BP22" s="521">
        <f t="shared" si="33"/>
        <v>0.45117647058823529</v>
      </c>
      <c r="BQ22" s="521">
        <f t="shared" si="33"/>
        <v>0.52647058823529402</v>
      </c>
      <c r="BR22" s="521">
        <f t="shared" si="33"/>
        <v>0.32176470588235295</v>
      </c>
      <c r="BS22" s="192">
        <f t="shared" si="33"/>
        <v>55.823529411764703</v>
      </c>
      <c r="BU22" s="192">
        <f t="shared" ref="BU22" si="34">AVERAGEIF($C$36:$C$167,"=5",BU$36:BU$167)</f>
        <v>9.1764705882352935</v>
      </c>
      <c r="BW22" s="521">
        <f t="shared" ref="BW22:CC22" si="35">AVERAGEIF($C$36:$C$167,"=5",BW$36:BW$167)</f>
        <v>2.7647058823529417E-2</v>
      </c>
      <c r="BX22" s="521">
        <f t="shared" si="35"/>
        <v>0.27588235294117652</v>
      </c>
      <c r="BY22" s="521">
        <f t="shared" si="35"/>
        <v>0.62235294117647055</v>
      </c>
      <c r="BZ22" s="521">
        <f t="shared" si="35"/>
        <v>7.3529411764705899E-2</v>
      </c>
      <c r="CA22" s="521">
        <f t="shared" si="35"/>
        <v>0.57588235294117629</v>
      </c>
      <c r="CB22" s="521">
        <f t="shared" si="35"/>
        <v>0.30588235294117649</v>
      </c>
      <c r="CC22" s="521">
        <f t="shared" si="35"/>
        <v>0.53764705882352937</v>
      </c>
    </row>
    <row r="23" spans="1:81" ht="24.9" customHeight="1" x14ac:dyDescent="0.25">
      <c r="A23" s="283" t="s">
        <v>251</v>
      </c>
      <c r="B23" s="6"/>
      <c r="C23" s="6"/>
      <c r="D23" s="192">
        <f t="shared" ref="D23:AW23" si="36">AVERAGEIF($C$36:$C$167,"=6",D$36:D$167)</f>
        <v>52.266666666666666</v>
      </c>
      <c r="E23" s="192">
        <f t="shared" si="36"/>
        <v>7.8666666666666663</v>
      </c>
      <c r="F23" s="65">
        <f t="shared" si="36"/>
        <v>8.7333333333333332E-2</v>
      </c>
      <c r="G23" s="65">
        <f t="shared" si="36"/>
        <v>0.34133333333333327</v>
      </c>
      <c r="H23" s="65">
        <f t="shared" si="36"/>
        <v>0.56000000000000005</v>
      </c>
      <c r="I23" s="65">
        <f t="shared" si="36"/>
        <v>1.0666666666666666E-2</v>
      </c>
      <c r="J23" s="65">
        <f t="shared" si="36"/>
        <v>0.52266666666666672</v>
      </c>
      <c r="K23" s="65">
        <f t="shared" si="36"/>
        <v>0.4393333333333333</v>
      </c>
      <c r="L23" s="65">
        <f t="shared" si="36"/>
        <v>0.52666666666666673</v>
      </c>
      <c r="M23" s="192">
        <f t="shared" si="36"/>
        <v>51</v>
      </c>
      <c r="N23" s="192">
        <f t="shared" si="36"/>
        <v>9.8666666666666671</v>
      </c>
      <c r="O23" s="65">
        <f t="shared" si="36"/>
        <v>8.1333333333333327E-2</v>
      </c>
      <c r="P23" s="65">
        <f t="shared" si="36"/>
        <v>0.38866666666666666</v>
      </c>
      <c r="Q23" s="65">
        <f t="shared" si="36"/>
        <v>0.51133333333333331</v>
      </c>
      <c r="R23" s="65">
        <f t="shared" si="36"/>
        <v>2.0000000000000004E-2</v>
      </c>
      <c r="S23" s="65">
        <f t="shared" si="36"/>
        <v>0.4913333333333334</v>
      </c>
      <c r="T23" s="65">
        <f t="shared" si="36"/>
        <v>0.56000000000000016</v>
      </c>
      <c r="U23" s="65">
        <f t="shared" si="36"/>
        <v>0.36466666666666664</v>
      </c>
      <c r="V23" s="192">
        <f t="shared" si="36"/>
        <v>52.142857142857146</v>
      </c>
      <c r="W23" s="192">
        <f t="shared" si="36"/>
        <v>8.7142857142857135</v>
      </c>
      <c r="X23" s="65">
        <f t="shared" si="36"/>
        <v>3.0000000000000002E-2</v>
      </c>
      <c r="Y23" s="65">
        <f t="shared" si="36"/>
        <v>0.41250000000000003</v>
      </c>
      <c r="Z23" s="65">
        <f t="shared" si="36"/>
        <v>0.541875</v>
      </c>
      <c r="AA23" s="65">
        <f t="shared" si="36"/>
        <v>1.7500000000000002E-2</v>
      </c>
      <c r="AB23" s="65">
        <f t="shared" si="36"/>
        <v>0.49999999999999994</v>
      </c>
      <c r="AC23" s="65">
        <f t="shared" si="36"/>
        <v>0.36874999999999997</v>
      </c>
      <c r="AD23" s="65">
        <f t="shared" si="36"/>
        <v>0.51875000000000004</v>
      </c>
      <c r="AE23" s="192">
        <f t="shared" si="36"/>
        <v>53.6</v>
      </c>
      <c r="AF23" s="192">
        <f t="shared" si="36"/>
        <v>10.6</v>
      </c>
      <c r="AG23" s="65">
        <f t="shared" si="36"/>
        <v>4.2941176470588246E-2</v>
      </c>
      <c r="AH23" s="65">
        <f t="shared" si="36"/>
        <v>0.35588235294117654</v>
      </c>
      <c r="AI23" s="65">
        <f t="shared" si="36"/>
        <v>0.56882352941176473</v>
      </c>
      <c r="AJ23" s="65">
        <f t="shared" si="36"/>
        <v>3.2941176470588238E-2</v>
      </c>
      <c r="AK23" s="65">
        <f t="shared" si="36"/>
        <v>0.52</v>
      </c>
      <c r="AL23" s="65">
        <f t="shared" si="36"/>
        <v>0.4535294117647059</v>
      </c>
      <c r="AM23" s="65">
        <f t="shared" si="36"/>
        <v>0.29411764705882359</v>
      </c>
      <c r="AN23" s="192">
        <f t="shared" si="36"/>
        <v>52.117647058823529</v>
      </c>
      <c r="AO23" s="192">
        <f t="shared" si="36"/>
        <v>8.9411764705882355</v>
      </c>
      <c r="AP23" s="65">
        <f t="shared" si="36"/>
        <v>0.03</v>
      </c>
      <c r="AQ23" s="65">
        <f t="shared" si="36"/>
        <v>0.37470588235294117</v>
      </c>
      <c r="AR23" s="65">
        <f t="shared" si="36"/>
        <v>0.56588235294117639</v>
      </c>
      <c r="AS23" s="65">
        <f t="shared" si="36"/>
        <v>2.9411764705882359E-2</v>
      </c>
      <c r="AT23" s="65">
        <f t="shared" si="36"/>
        <v>0.29058823529411759</v>
      </c>
      <c r="AU23" s="65">
        <f t="shared" si="36"/>
        <v>0.51235294117647079</v>
      </c>
      <c r="AV23" s="65">
        <f t="shared" si="36"/>
        <v>0.50352941176470589</v>
      </c>
      <c r="AW23" s="192">
        <f t="shared" si="36"/>
        <v>51.647058823529413</v>
      </c>
      <c r="AX23" s="343"/>
      <c r="AY23" s="192">
        <f>AVERAGEIF($C$36:$C$167,"=6",AY$36:AY$167)</f>
        <v>7.5294117647058822</v>
      </c>
      <c r="AZ23" s="343"/>
      <c r="BA23" s="65">
        <f t="shared" ref="BA23:BH23" si="37">AVERAGEIF($C$36:$C$167,"=6",BA$36:BA$167)</f>
        <v>3.5882352941176476E-2</v>
      </c>
      <c r="BB23" s="65">
        <f t="shared" si="37"/>
        <v>0.44764705882352945</v>
      </c>
      <c r="BC23" s="65">
        <f t="shared" si="37"/>
        <v>0.4864705882352941</v>
      </c>
      <c r="BD23" s="65">
        <f t="shared" si="37"/>
        <v>3.0588235294117649E-2</v>
      </c>
      <c r="BE23" s="65">
        <f t="shared" si="37"/>
        <v>0.26588235294117646</v>
      </c>
      <c r="BF23" s="65">
        <f t="shared" si="37"/>
        <v>0.52000000000000013</v>
      </c>
      <c r="BG23" s="65">
        <f t="shared" si="37"/>
        <v>0.4864705882352941</v>
      </c>
      <c r="BH23" s="192">
        <f t="shared" si="37"/>
        <v>52.05263157894737</v>
      </c>
      <c r="BJ23" s="192">
        <f t="shared" ref="BJ23" si="38">AVERAGEIF($C$36:$C$167,"=6",BJ$36:BJ$167)</f>
        <v>10.105263157894736</v>
      </c>
      <c r="BL23" s="521">
        <f t="shared" ref="BL23:BS23" si="39">AVERAGEIF($C$36:$C$167,"=6",BL$36:BL$167)</f>
        <v>8.0526315789473696E-2</v>
      </c>
      <c r="BM23" s="521">
        <f t="shared" si="39"/>
        <v>0.36157894736842106</v>
      </c>
      <c r="BN23" s="521">
        <f t="shared" si="39"/>
        <v>0.51315789473684204</v>
      </c>
      <c r="BO23" s="521">
        <f t="shared" si="39"/>
        <v>4.68421052631579E-2</v>
      </c>
      <c r="BP23" s="521">
        <f t="shared" si="39"/>
        <v>0.52052631578947361</v>
      </c>
      <c r="BQ23" s="521">
        <f t="shared" si="39"/>
        <v>0.59526315789473694</v>
      </c>
      <c r="BR23" s="521">
        <f t="shared" si="39"/>
        <v>0.38999999999999996</v>
      </c>
      <c r="BS23" s="192">
        <f t="shared" si="39"/>
        <v>53.5</v>
      </c>
      <c r="BU23" s="192">
        <f t="shared" ref="BU23" si="40">AVERAGEIF($C$36:$C$167,"=6",BU$36:BU$167)</f>
        <v>8.85</v>
      </c>
      <c r="BW23" s="521">
        <f t="shared" ref="BW23:CC23" si="41">AVERAGEIF($C$36:$C$167,"=6",BW$36:BW$167)</f>
        <v>4.5500000000000013E-2</v>
      </c>
      <c r="BX23" s="521">
        <f t="shared" si="41"/>
        <v>0.28799999999999998</v>
      </c>
      <c r="BY23" s="521">
        <f t="shared" si="41"/>
        <v>0.62400000000000011</v>
      </c>
      <c r="BZ23" s="521">
        <f t="shared" si="41"/>
        <v>4.4000000000000004E-2</v>
      </c>
      <c r="CA23" s="521">
        <f t="shared" si="41"/>
        <v>0.60499999999999987</v>
      </c>
      <c r="CB23" s="521">
        <f t="shared" si="41"/>
        <v>0.35299999999999998</v>
      </c>
      <c r="CC23" s="521">
        <f t="shared" si="41"/>
        <v>0.56850000000000001</v>
      </c>
    </row>
    <row r="24" spans="1:81" s="434" customFormat="1" ht="24.9" customHeight="1" x14ac:dyDescent="0.25">
      <c r="A24" s="6" t="s">
        <v>931</v>
      </c>
      <c r="B24" s="447"/>
      <c r="C24" s="447"/>
      <c r="D24" s="192">
        <f t="shared" ref="D24:AW24" si="42">AVERAGEIFS(D$36:D$167,$C$36:$C$167,"=1", $B$36:$B$167,"OFICIAL")</f>
        <v>52.5</v>
      </c>
      <c r="E24" s="192">
        <f t="shared" si="42"/>
        <v>9.5</v>
      </c>
      <c r="F24" s="65">
        <f t="shared" si="42"/>
        <v>4.5000000000000005E-2</v>
      </c>
      <c r="G24" s="65">
        <f t="shared" si="42"/>
        <v>0.36749999999999999</v>
      </c>
      <c r="H24" s="65">
        <f t="shared" si="42"/>
        <v>0.57250000000000001</v>
      </c>
      <c r="I24" s="65">
        <f t="shared" si="42"/>
        <v>1.7500000000000002E-2</v>
      </c>
      <c r="J24" s="65">
        <f t="shared" si="42"/>
        <v>0.53500000000000003</v>
      </c>
      <c r="K24" s="65">
        <f t="shared" si="42"/>
        <v>0.45749999999999996</v>
      </c>
      <c r="L24" s="65">
        <f t="shared" si="42"/>
        <v>0.5475000000000001</v>
      </c>
      <c r="M24" s="192">
        <f t="shared" si="42"/>
        <v>51.75</v>
      </c>
      <c r="N24" s="192">
        <f t="shared" si="42"/>
        <v>9.25</v>
      </c>
      <c r="O24" s="65">
        <f t="shared" si="42"/>
        <v>4.2500000000000003E-2</v>
      </c>
      <c r="P24" s="65">
        <f t="shared" si="42"/>
        <v>0.39249999999999996</v>
      </c>
      <c r="Q24" s="65">
        <f t="shared" si="42"/>
        <v>0.53749999999999998</v>
      </c>
      <c r="R24" s="65">
        <f t="shared" si="42"/>
        <v>2.5000000000000001E-2</v>
      </c>
      <c r="S24" s="65">
        <f t="shared" si="42"/>
        <v>0.47749999999999998</v>
      </c>
      <c r="T24" s="65">
        <f t="shared" si="42"/>
        <v>0.55499999999999994</v>
      </c>
      <c r="U24" s="65">
        <f t="shared" si="42"/>
        <v>0.35500000000000004</v>
      </c>
      <c r="V24" s="192">
        <f t="shared" si="42"/>
        <v>51.75</v>
      </c>
      <c r="W24" s="192">
        <f t="shared" si="42"/>
        <v>8.75</v>
      </c>
      <c r="X24" s="65">
        <f t="shared" si="42"/>
        <v>3.2500000000000001E-2</v>
      </c>
      <c r="Y24" s="65">
        <f t="shared" si="42"/>
        <v>0.41249999999999998</v>
      </c>
      <c r="Z24" s="65">
        <f t="shared" si="42"/>
        <v>0.54249999999999998</v>
      </c>
      <c r="AA24" s="65">
        <f t="shared" si="42"/>
        <v>1.2500000000000001E-2</v>
      </c>
      <c r="AB24" s="65">
        <f t="shared" si="42"/>
        <v>0.49249999999999999</v>
      </c>
      <c r="AC24" s="65">
        <f t="shared" si="42"/>
        <v>0.3775</v>
      </c>
      <c r="AD24" s="65">
        <f t="shared" si="42"/>
        <v>0.53249999999999997</v>
      </c>
      <c r="AE24" s="192">
        <f t="shared" si="42"/>
        <v>52.5</v>
      </c>
      <c r="AF24" s="192">
        <f t="shared" si="42"/>
        <v>9.5</v>
      </c>
      <c r="AG24" s="65">
        <f t="shared" si="42"/>
        <v>3.7499999999999999E-2</v>
      </c>
      <c r="AH24" s="65">
        <f t="shared" si="42"/>
        <v>0.34249999999999997</v>
      </c>
      <c r="AI24" s="65">
        <f t="shared" si="42"/>
        <v>0.59749999999999992</v>
      </c>
      <c r="AJ24" s="65">
        <f t="shared" si="42"/>
        <v>2.2499999999999999E-2</v>
      </c>
      <c r="AK24" s="65">
        <f t="shared" si="42"/>
        <v>0.53</v>
      </c>
      <c r="AL24" s="65">
        <f t="shared" si="42"/>
        <v>0.45750000000000002</v>
      </c>
      <c r="AM24" s="65">
        <f t="shared" si="42"/>
        <v>0.28749999999999998</v>
      </c>
      <c r="AN24" s="192">
        <f t="shared" si="42"/>
        <v>52.5</v>
      </c>
      <c r="AO24" s="192">
        <f t="shared" si="42"/>
        <v>9.25</v>
      </c>
      <c r="AP24" s="65">
        <f t="shared" si="42"/>
        <v>4.7499999999999994E-2</v>
      </c>
      <c r="AQ24" s="65">
        <f t="shared" si="42"/>
        <v>0.36249999999999999</v>
      </c>
      <c r="AR24" s="65">
        <f t="shared" si="42"/>
        <v>0.5625</v>
      </c>
      <c r="AS24" s="65">
        <f t="shared" si="42"/>
        <v>0.03</v>
      </c>
      <c r="AT24" s="65">
        <f t="shared" si="42"/>
        <v>0.28250000000000003</v>
      </c>
      <c r="AU24" s="65">
        <f t="shared" si="42"/>
        <v>0.495</v>
      </c>
      <c r="AV24" s="65">
        <f t="shared" si="42"/>
        <v>0.51250000000000007</v>
      </c>
      <c r="AW24" s="192">
        <f t="shared" si="42"/>
        <v>51.25</v>
      </c>
      <c r="AX24" s="343"/>
      <c r="AY24" s="192">
        <f>AVERAGEIFS(AY$36:AY$167,$C$36:$C$167,"=1", $B$36:$B$167,"OFICIAL")</f>
        <v>9</v>
      </c>
      <c r="AZ24" s="343"/>
      <c r="BA24" s="65">
        <f t="shared" ref="BA24:BH24" si="43">AVERAGEIFS(BA$36:BA$167,$C$36:$C$167,"=1", $B$36:$B$167,"OFICIAL")</f>
        <v>4.5000000000000005E-2</v>
      </c>
      <c r="BB24" s="65">
        <f t="shared" si="43"/>
        <v>0.40500000000000003</v>
      </c>
      <c r="BC24" s="65">
        <f t="shared" si="43"/>
        <v>0.53249999999999997</v>
      </c>
      <c r="BD24" s="65">
        <f t="shared" si="43"/>
        <v>1.4999999999999999E-2</v>
      </c>
      <c r="BE24" s="65">
        <f t="shared" si="43"/>
        <v>0.29499999999999998</v>
      </c>
      <c r="BF24" s="65">
        <f t="shared" si="43"/>
        <v>0.52</v>
      </c>
      <c r="BG24" s="65">
        <f t="shared" si="43"/>
        <v>0.48</v>
      </c>
      <c r="BH24" s="192">
        <f t="shared" si="43"/>
        <v>51</v>
      </c>
      <c r="BJ24" s="192">
        <f t="shared" ref="BJ24" si="44">AVERAGEIFS(BJ$36:BJ$167,$C$36:$C$167,"=1", $B$36:$B$167,"OFICIAL")</f>
        <v>9</v>
      </c>
      <c r="BL24" s="521">
        <f t="shared" ref="BL24:BS24" si="45">AVERAGEIFS(BL$36:BL$167,$C$36:$C$167,"=1", $B$36:$B$167,"OFICIAL")</f>
        <v>5.2000000000000005E-2</v>
      </c>
      <c r="BM24" s="521">
        <f t="shared" si="45"/>
        <v>0.39600000000000002</v>
      </c>
      <c r="BN24" s="521">
        <f t="shared" si="45"/>
        <v>0.53999999999999992</v>
      </c>
      <c r="BO24" s="521">
        <f t="shared" si="45"/>
        <v>1.4000000000000002E-2</v>
      </c>
      <c r="BP24" s="521">
        <f t="shared" si="45"/>
        <v>0.54</v>
      </c>
      <c r="BQ24" s="521">
        <f t="shared" si="45"/>
        <v>0.61599999999999999</v>
      </c>
      <c r="BR24" s="521">
        <f t="shared" si="45"/>
        <v>0.4</v>
      </c>
      <c r="BS24" s="192">
        <f t="shared" si="45"/>
        <v>52.2</v>
      </c>
      <c r="BU24" s="192">
        <f t="shared" ref="BU24" si="46">AVERAGEIFS(BU$36:BU$167,$C$36:$C$167,"=1", $B$36:$B$167,"OFICIAL")</f>
        <v>9.1999999999999993</v>
      </c>
      <c r="BW24" s="521">
        <f t="shared" ref="BW24:CC24" si="47">AVERAGEIFS(BW$36:BW$167,$C$36:$C$167,"=1", $B$36:$B$167,"OFICIAL")</f>
        <v>4.4000000000000004E-2</v>
      </c>
      <c r="BX24" s="521">
        <f t="shared" si="47"/>
        <v>0.35799999999999998</v>
      </c>
      <c r="BY24" s="521">
        <f t="shared" si="47"/>
        <v>0.58200000000000007</v>
      </c>
      <c r="BZ24" s="521">
        <f t="shared" si="47"/>
        <v>1.5999999999999997E-2</v>
      </c>
      <c r="CA24" s="521">
        <f t="shared" si="47"/>
        <v>0.61</v>
      </c>
      <c r="CB24" s="521">
        <f t="shared" si="47"/>
        <v>0.372</v>
      </c>
      <c r="CC24" s="521">
        <f t="shared" si="47"/>
        <v>0.58199999999999996</v>
      </c>
    </row>
    <row r="25" spans="1:81" s="434" customFormat="1" ht="24.9" customHeight="1" x14ac:dyDescent="0.25">
      <c r="A25" s="6" t="s">
        <v>932</v>
      </c>
      <c r="B25" s="447"/>
      <c r="C25" s="447"/>
      <c r="D25" s="192">
        <f t="shared" ref="D25:AW25" si="48">AVERAGEIFS(D$36:D$167,$C$36:$C$167,"=2", $B$36:$B$167,"OFICIAL")</f>
        <v>52</v>
      </c>
      <c r="E25" s="192">
        <f t="shared" si="48"/>
        <v>8.5</v>
      </c>
      <c r="F25" s="65">
        <f t="shared" si="48"/>
        <v>2.5000000000000001E-2</v>
      </c>
      <c r="G25" s="65">
        <f t="shared" si="48"/>
        <v>0.44</v>
      </c>
      <c r="H25" s="65">
        <f t="shared" si="48"/>
        <v>0.52</v>
      </c>
      <c r="I25" s="65">
        <f t="shared" si="48"/>
        <v>2.5000000000000001E-2</v>
      </c>
      <c r="J25" s="65">
        <f t="shared" si="48"/>
        <v>0.54500000000000004</v>
      </c>
      <c r="K25" s="65">
        <f t="shared" si="48"/>
        <v>0.48</v>
      </c>
      <c r="L25" s="65">
        <f t="shared" si="48"/>
        <v>0.53</v>
      </c>
      <c r="M25" s="192">
        <f t="shared" si="48"/>
        <v>51</v>
      </c>
      <c r="N25" s="192">
        <f t="shared" si="48"/>
        <v>10</v>
      </c>
      <c r="O25" s="65">
        <f t="shared" si="48"/>
        <v>5.5E-2</v>
      </c>
      <c r="P25" s="65">
        <f t="shared" si="48"/>
        <v>0.4</v>
      </c>
      <c r="Q25" s="65">
        <f t="shared" si="48"/>
        <v>0.52499999999999991</v>
      </c>
      <c r="R25" s="65">
        <f t="shared" si="48"/>
        <v>0.02</v>
      </c>
      <c r="S25" s="65">
        <f t="shared" si="48"/>
        <v>0.48</v>
      </c>
      <c r="T25" s="65">
        <f t="shared" si="48"/>
        <v>0.55499999999999994</v>
      </c>
      <c r="U25" s="65">
        <f t="shared" si="48"/>
        <v>0.375</v>
      </c>
      <c r="V25" s="192">
        <f t="shared" si="48"/>
        <v>52.5</v>
      </c>
      <c r="W25" s="192">
        <f t="shared" si="48"/>
        <v>9.5</v>
      </c>
      <c r="X25" s="65">
        <f t="shared" si="48"/>
        <v>0.05</v>
      </c>
      <c r="Y25" s="65">
        <f t="shared" si="48"/>
        <v>0.38</v>
      </c>
      <c r="Z25" s="65">
        <f t="shared" si="48"/>
        <v>0.54500000000000004</v>
      </c>
      <c r="AA25" s="65">
        <f t="shared" si="48"/>
        <v>2.5000000000000001E-2</v>
      </c>
      <c r="AB25" s="65">
        <f t="shared" si="48"/>
        <v>0.49</v>
      </c>
      <c r="AC25" s="65">
        <f t="shared" si="48"/>
        <v>0.37</v>
      </c>
      <c r="AD25" s="65">
        <f t="shared" si="48"/>
        <v>0.51</v>
      </c>
      <c r="AE25" s="192">
        <f t="shared" si="48"/>
        <v>52</v>
      </c>
      <c r="AF25" s="192">
        <f t="shared" si="48"/>
        <v>10</v>
      </c>
      <c r="AG25" s="65">
        <f t="shared" si="48"/>
        <v>0.05</v>
      </c>
      <c r="AH25" s="65">
        <f t="shared" si="48"/>
        <v>0.38500000000000001</v>
      </c>
      <c r="AI25" s="65">
        <f t="shared" si="48"/>
        <v>0.54500000000000004</v>
      </c>
      <c r="AJ25" s="65">
        <f t="shared" si="48"/>
        <v>0.03</v>
      </c>
      <c r="AK25" s="65">
        <f t="shared" si="48"/>
        <v>0.53</v>
      </c>
      <c r="AL25" s="65">
        <f t="shared" si="48"/>
        <v>0.47499999999999998</v>
      </c>
      <c r="AM25" s="65">
        <f t="shared" si="48"/>
        <v>0.3</v>
      </c>
      <c r="AN25" s="192">
        <f t="shared" si="48"/>
        <v>52.5</v>
      </c>
      <c r="AO25" s="192">
        <f t="shared" si="48"/>
        <v>9</v>
      </c>
      <c r="AP25" s="65">
        <f t="shared" si="48"/>
        <v>2.5000000000000001E-2</v>
      </c>
      <c r="AQ25" s="65">
        <f t="shared" si="48"/>
        <v>0.36499999999999999</v>
      </c>
      <c r="AR25" s="65">
        <f t="shared" si="48"/>
        <v>0.58499999999999996</v>
      </c>
      <c r="AS25" s="65">
        <f t="shared" si="48"/>
        <v>2.5000000000000001E-2</v>
      </c>
      <c r="AT25" s="65">
        <f t="shared" si="48"/>
        <v>0.28500000000000003</v>
      </c>
      <c r="AU25" s="65">
        <f t="shared" si="48"/>
        <v>0.51</v>
      </c>
      <c r="AV25" s="65">
        <f t="shared" si="48"/>
        <v>0.51</v>
      </c>
      <c r="AW25" s="192">
        <f t="shared" si="48"/>
        <v>50</v>
      </c>
      <c r="AX25" s="343"/>
      <c r="AY25" s="192">
        <f>AVERAGEIFS(AY$36:AY$167,$C$36:$C$167,"=2", $B$36:$B$167,"OFICIAL")</f>
        <v>9</v>
      </c>
      <c r="AZ25" s="343"/>
      <c r="BA25" s="65">
        <f t="shared" ref="BA25:BH25" si="49">AVERAGEIFS(BA$36:BA$167,$C$36:$C$167,"=2", $B$36:$B$167,"OFICIAL")</f>
        <v>0.06</v>
      </c>
      <c r="BB25" s="65">
        <f t="shared" si="49"/>
        <v>0.435</v>
      </c>
      <c r="BC25" s="65">
        <f t="shared" si="49"/>
        <v>0.5</v>
      </c>
      <c r="BD25" s="65">
        <f t="shared" si="49"/>
        <v>5.0000000000000001E-3</v>
      </c>
      <c r="BE25" s="65">
        <f t="shared" si="49"/>
        <v>0.315</v>
      </c>
      <c r="BF25" s="65">
        <f t="shared" si="49"/>
        <v>0.54</v>
      </c>
      <c r="BG25" s="65">
        <f t="shared" si="49"/>
        <v>0.5</v>
      </c>
      <c r="BH25" s="192">
        <f t="shared" si="49"/>
        <v>50.75</v>
      </c>
      <c r="BJ25" s="192">
        <f t="shared" ref="BJ25" si="50">AVERAGEIFS(BJ$36:BJ$167,$C$36:$C$167,"=2", $B$36:$B$167,"OFICIAL")</f>
        <v>10</v>
      </c>
      <c r="BL25" s="521">
        <f t="shared" ref="BL25:BS25" si="51">AVERAGEIFS(BL$36:BL$167,$C$36:$C$167,"=2", $B$36:$B$167,"OFICIAL")</f>
        <v>8.4999999999999992E-2</v>
      </c>
      <c r="BM25" s="521">
        <f t="shared" si="51"/>
        <v>0.375</v>
      </c>
      <c r="BN25" s="521">
        <f t="shared" si="51"/>
        <v>0.52749999999999997</v>
      </c>
      <c r="BO25" s="521">
        <f t="shared" si="51"/>
        <v>1.4999999999999999E-2</v>
      </c>
      <c r="BP25" s="521">
        <f t="shared" si="51"/>
        <v>0.57250000000000001</v>
      </c>
      <c r="BQ25" s="521">
        <f t="shared" si="51"/>
        <v>0.62750000000000006</v>
      </c>
      <c r="BR25" s="521">
        <f t="shared" si="51"/>
        <v>0.42</v>
      </c>
      <c r="BS25" s="192">
        <f t="shared" si="51"/>
        <v>51.5</v>
      </c>
      <c r="BU25" s="192">
        <f t="shared" ref="BU25" si="52">AVERAGEIFS(BU$36:BU$167,$C$36:$C$167,"=2", $B$36:$B$167,"OFICIAL")</f>
        <v>9.5</v>
      </c>
      <c r="BW25" s="521">
        <f t="shared" ref="BW25:CC25" si="53">AVERAGEIFS(BW$36:BW$167,$C$36:$C$167,"=2", $B$36:$B$167,"OFICIAL")</f>
        <v>5.5000000000000007E-2</v>
      </c>
      <c r="BX25" s="521">
        <f t="shared" si="53"/>
        <v>0.38250000000000006</v>
      </c>
      <c r="BY25" s="521">
        <f t="shared" si="53"/>
        <v>0.54249999999999998</v>
      </c>
      <c r="BZ25" s="521">
        <f t="shared" si="53"/>
        <v>2.2499999999999999E-2</v>
      </c>
      <c r="CA25" s="521">
        <f t="shared" si="53"/>
        <v>0.63750000000000007</v>
      </c>
      <c r="CB25" s="521">
        <f t="shared" si="53"/>
        <v>0.38749999999999996</v>
      </c>
      <c r="CC25" s="521">
        <f t="shared" si="53"/>
        <v>0.58750000000000002</v>
      </c>
    </row>
    <row r="26" spans="1:81" s="434" customFormat="1" ht="24.9" customHeight="1" x14ac:dyDescent="0.25">
      <c r="A26" s="6" t="s">
        <v>933</v>
      </c>
      <c r="B26" s="447"/>
      <c r="C26" s="447"/>
      <c r="D26" s="192">
        <f t="shared" ref="D26:AW26" si="54">AVERAGEIFS(D$36:D$167,$C$36:$C$167,"=3", $B$36:$B$167,"OFICIAL")</f>
        <v>51</v>
      </c>
      <c r="E26" s="192">
        <f t="shared" si="54"/>
        <v>8.8000000000000007</v>
      </c>
      <c r="F26" s="65">
        <f t="shared" si="54"/>
        <v>3.7999999999999999E-2</v>
      </c>
      <c r="G26" s="65">
        <f t="shared" si="54"/>
        <v>0.46600000000000003</v>
      </c>
      <c r="H26" s="65">
        <f t="shared" si="54"/>
        <v>0.48200000000000004</v>
      </c>
      <c r="I26" s="65">
        <f t="shared" si="54"/>
        <v>1.6E-2</v>
      </c>
      <c r="J26" s="65">
        <f t="shared" si="54"/>
        <v>0.53800000000000003</v>
      </c>
      <c r="K26" s="65">
        <f t="shared" si="54"/>
        <v>0.496</v>
      </c>
      <c r="L26" s="65">
        <f t="shared" si="54"/>
        <v>0.56199999999999994</v>
      </c>
      <c r="M26" s="192">
        <f t="shared" si="54"/>
        <v>50.2</v>
      </c>
      <c r="N26" s="192">
        <f t="shared" si="54"/>
        <v>9</v>
      </c>
      <c r="O26" s="65">
        <f t="shared" si="54"/>
        <v>5.5999999999999994E-2</v>
      </c>
      <c r="P26" s="65">
        <f t="shared" si="54"/>
        <v>0.43599999999999994</v>
      </c>
      <c r="Q26" s="65">
        <f t="shared" si="54"/>
        <v>0.502</v>
      </c>
      <c r="R26" s="65">
        <f t="shared" si="54"/>
        <v>6.0000000000000001E-3</v>
      </c>
      <c r="S26" s="65">
        <f t="shared" si="54"/>
        <v>0.49199999999999999</v>
      </c>
      <c r="T26" s="65">
        <f t="shared" si="54"/>
        <v>0.58599999999999997</v>
      </c>
      <c r="U26" s="65">
        <f t="shared" si="54"/>
        <v>0.38400000000000001</v>
      </c>
      <c r="V26" s="192">
        <f t="shared" si="54"/>
        <v>51</v>
      </c>
      <c r="W26" s="192">
        <f t="shared" si="54"/>
        <v>9.1999999999999993</v>
      </c>
      <c r="X26" s="65">
        <f t="shared" si="54"/>
        <v>4.4000000000000004E-2</v>
      </c>
      <c r="Y26" s="65">
        <f t="shared" si="54"/>
        <v>0.41799999999999998</v>
      </c>
      <c r="Z26" s="65">
        <f t="shared" si="54"/>
        <v>0.53199999999999992</v>
      </c>
      <c r="AA26" s="65">
        <f t="shared" si="54"/>
        <v>8.0000000000000002E-3</v>
      </c>
      <c r="AB26" s="65">
        <f t="shared" si="54"/>
        <v>0.51</v>
      </c>
      <c r="AC26" s="65">
        <f t="shared" si="54"/>
        <v>0.39200000000000002</v>
      </c>
      <c r="AD26" s="65">
        <f t="shared" si="54"/>
        <v>0.52800000000000002</v>
      </c>
      <c r="AE26" s="192">
        <f t="shared" si="54"/>
        <v>51</v>
      </c>
      <c r="AF26" s="192">
        <f t="shared" si="54"/>
        <v>9.4</v>
      </c>
      <c r="AG26" s="65">
        <f t="shared" si="54"/>
        <v>5.5999999999999994E-2</v>
      </c>
      <c r="AH26" s="65">
        <f t="shared" si="54"/>
        <v>0.41600000000000004</v>
      </c>
      <c r="AI26" s="65">
        <f t="shared" si="54"/>
        <v>0.52000000000000013</v>
      </c>
      <c r="AJ26" s="65">
        <f t="shared" si="54"/>
        <v>0.01</v>
      </c>
      <c r="AK26" s="65">
        <f t="shared" si="54"/>
        <v>0.55399999999999994</v>
      </c>
      <c r="AL26" s="65">
        <f t="shared" si="54"/>
        <v>0.49000000000000005</v>
      </c>
      <c r="AM26" s="65">
        <f t="shared" si="54"/>
        <v>0.314</v>
      </c>
      <c r="AN26" s="192">
        <f t="shared" si="54"/>
        <v>51.6</v>
      </c>
      <c r="AO26" s="192">
        <f t="shared" si="54"/>
        <v>9</v>
      </c>
      <c r="AP26" s="65">
        <f t="shared" si="54"/>
        <v>4.4000000000000004E-2</v>
      </c>
      <c r="AQ26" s="65">
        <f t="shared" si="54"/>
        <v>0.372</v>
      </c>
      <c r="AR26" s="65">
        <f t="shared" si="54"/>
        <v>0.56400000000000006</v>
      </c>
      <c r="AS26" s="65">
        <f t="shared" si="54"/>
        <v>1.9999999999999997E-2</v>
      </c>
      <c r="AT26" s="65">
        <f t="shared" si="54"/>
        <v>0.28999999999999998</v>
      </c>
      <c r="AU26" s="65">
        <f t="shared" si="54"/>
        <v>0.51600000000000001</v>
      </c>
      <c r="AV26" s="65">
        <f t="shared" si="54"/>
        <v>0.51800000000000002</v>
      </c>
      <c r="AW26" s="192">
        <f t="shared" si="54"/>
        <v>50.2</v>
      </c>
      <c r="AX26" s="343"/>
      <c r="AY26" s="192">
        <f>AVERAGEIFS(AY$36:AY$167,$C$36:$C$167,"=3", $B$36:$B$167,"OFICIAL")</f>
        <v>8.6</v>
      </c>
      <c r="AZ26" s="343"/>
      <c r="BA26" s="65">
        <f t="shared" ref="BA26:BH26" si="55">AVERAGEIFS(BA$36:BA$167,$C$36:$C$167,"=3", $B$36:$B$167,"OFICIAL")</f>
        <v>0.05</v>
      </c>
      <c r="BB26" s="65">
        <f t="shared" si="55"/>
        <v>0.44800000000000006</v>
      </c>
      <c r="BC26" s="65">
        <f t="shared" si="55"/>
        <v>0.48599999999999993</v>
      </c>
      <c r="BD26" s="65">
        <f t="shared" si="55"/>
        <v>1.2E-2</v>
      </c>
      <c r="BE26" s="65">
        <f t="shared" si="55"/>
        <v>0.30000000000000004</v>
      </c>
      <c r="BF26" s="65">
        <f t="shared" si="55"/>
        <v>0.53600000000000003</v>
      </c>
      <c r="BG26" s="65">
        <f t="shared" si="55"/>
        <v>0.49800000000000005</v>
      </c>
      <c r="BH26" s="192">
        <f t="shared" si="55"/>
        <v>52.333333333333336</v>
      </c>
      <c r="BJ26" s="192">
        <f t="shared" ref="BJ26" si="56">AVERAGEIFS(BJ$36:BJ$167,$C$36:$C$167,"=3", $B$36:$B$167,"OFICIAL")</f>
        <v>9.5</v>
      </c>
      <c r="BL26" s="521">
        <f t="shared" ref="BL26:BS26" si="57">AVERAGEIFS(BL$36:BL$167,$C$36:$C$167,"=3", $B$36:$B$167,"OFICIAL")</f>
        <v>5.5E-2</v>
      </c>
      <c r="BM26" s="521">
        <f t="shared" si="57"/>
        <v>0.35166666666666663</v>
      </c>
      <c r="BN26" s="521">
        <f t="shared" si="57"/>
        <v>0.56999999999999995</v>
      </c>
      <c r="BO26" s="521">
        <f t="shared" si="57"/>
        <v>2.1666666666666667E-2</v>
      </c>
      <c r="BP26" s="521">
        <f t="shared" si="57"/>
        <v>0.51833333333333331</v>
      </c>
      <c r="BQ26" s="521">
        <f t="shared" si="57"/>
        <v>0.60499999999999998</v>
      </c>
      <c r="BR26" s="521">
        <f t="shared" si="57"/>
        <v>0.39500000000000002</v>
      </c>
      <c r="BS26" s="192">
        <f t="shared" si="57"/>
        <v>51.333333333333336</v>
      </c>
      <c r="BU26" s="192">
        <f t="shared" ref="BU26" si="58">AVERAGEIFS(BU$36:BU$167,$C$36:$C$167,"=3", $B$36:$B$167,"OFICIAL")</f>
        <v>9.6666666666666661</v>
      </c>
      <c r="BW26" s="521">
        <f t="shared" ref="BW26:CC26" si="59">AVERAGEIFS(BW$36:BW$167,$C$36:$C$167,"=3", $B$36:$B$167,"OFICIAL")</f>
        <v>5.5E-2</v>
      </c>
      <c r="BX26" s="521">
        <f t="shared" si="59"/>
        <v>0.40666666666666668</v>
      </c>
      <c r="BY26" s="521">
        <f t="shared" si="59"/>
        <v>0.51333333333333342</v>
      </c>
      <c r="BZ26" s="521">
        <f t="shared" si="59"/>
        <v>2.8333333333333332E-2</v>
      </c>
      <c r="CA26" s="521">
        <f t="shared" si="59"/>
        <v>0.6216666666666667</v>
      </c>
      <c r="CB26" s="521">
        <f t="shared" si="59"/>
        <v>0.375</v>
      </c>
      <c r="CC26" s="521">
        <f t="shared" si="59"/>
        <v>0.61333333333333329</v>
      </c>
    </row>
    <row r="27" spans="1:81" s="434" customFormat="1" ht="24.9" customHeight="1" x14ac:dyDescent="0.25">
      <c r="A27" s="6" t="s">
        <v>934</v>
      </c>
      <c r="B27" s="447"/>
      <c r="C27" s="447"/>
      <c r="D27" s="192">
        <f t="shared" ref="D27:AW27" si="60">AVERAGEIFS(D$36:D$167,$C$36:$C$167,"=4", $B$36:$B$167,"OFICIAL")</f>
        <v>47.166666666666664</v>
      </c>
      <c r="E27" s="192">
        <f t="shared" si="60"/>
        <v>9.1666666666666661</v>
      </c>
      <c r="F27" s="65">
        <f t="shared" si="60"/>
        <v>9.9999999999999992E-2</v>
      </c>
      <c r="G27" s="65">
        <f t="shared" si="60"/>
        <v>0.54333333333333333</v>
      </c>
      <c r="H27" s="65">
        <f t="shared" si="60"/>
        <v>0.34666666666666662</v>
      </c>
      <c r="I27" s="65">
        <f t="shared" si="60"/>
        <v>6.6666666666666671E-3</v>
      </c>
      <c r="J27" s="65">
        <f t="shared" si="60"/>
        <v>0.59666666666666668</v>
      </c>
      <c r="K27" s="65">
        <f t="shared" si="60"/>
        <v>0.5149999999999999</v>
      </c>
      <c r="L27" s="65">
        <f t="shared" si="60"/>
        <v>0.60666666666666669</v>
      </c>
      <c r="M27" s="192">
        <f t="shared" si="60"/>
        <v>47.5</v>
      </c>
      <c r="N27" s="192">
        <f t="shared" si="60"/>
        <v>9.8333333333333339</v>
      </c>
      <c r="O27" s="65">
        <f t="shared" si="60"/>
        <v>0.115</v>
      </c>
      <c r="P27" s="65">
        <f t="shared" si="60"/>
        <v>0.51666666666666672</v>
      </c>
      <c r="Q27" s="65">
        <f t="shared" si="60"/>
        <v>0.35833333333333334</v>
      </c>
      <c r="R27" s="65">
        <f t="shared" si="60"/>
        <v>1.1666666666666667E-2</v>
      </c>
      <c r="S27" s="65">
        <f t="shared" si="60"/>
        <v>0.52666666666666673</v>
      </c>
      <c r="T27" s="65">
        <f t="shared" si="60"/>
        <v>0.61166666666666669</v>
      </c>
      <c r="U27" s="65">
        <f t="shared" si="60"/>
        <v>0.43166666666666664</v>
      </c>
      <c r="V27" s="192">
        <f t="shared" si="60"/>
        <v>47.166666666666664</v>
      </c>
      <c r="W27" s="192">
        <f t="shared" si="60"/>
        <v>9.5</v>
      </c>
      <c r="X27" s="65">
        <f t="shared" si="60"/>
        <v>0.13500000000000001</v>
      </c>
      <c r="Y27" s="65">
        <f t="shared" si="60"/>
        <v>0.48</v>
      </c>
      <c r="Z27" s="65">
        <f t="shared" si="60"/>
        <v>0.375</v>
      </c>
      <c r="AA27" s="65">
        <f t="shared" si="60"/>
        <v>8.3333333333333332E-3</v>
      </c>
      <c r="AB27" s="65">
        <f t="shared" si="60"/>
        <v>0.56166666666666665</v>
      </c>
      <c r="AC27" s="65">
        <f t="shared" si="60"/>
        <v>0.44</v>
      </c>
      <c r="AD27" s="65">
        <f t="shared" si="60"/>
        <v>0.58333333333333337</v>
      </c>
      <c r="AE27" s="192">
        <f t="shared" si="60"/>
        <v>47</v>
      </c>
      <c r="AF27" s="192">
        <f t="shared" si="60"/>
        <v>9.3333333333333339</v>
      </c>
      <c r="AG27" s="65">
        <f t="shared" si="60"/>
        <v>9.9999999999999992E-2</v>
      </c>
      <c r="AH27" s="65">
        <f t="shared" si="60"/>
        <v>0.56166666666666665</v>
      </c>
      <c r="AI27" s="65">
        <f t="shared" si="60"/>
        <v>0.33166666666666667</v>
      </c>
      <c r="AJ27" s="65">
        <f t="shared" si="60"/>
        <v>6.6666666666666671E-3</v>
      </c>
      <c r="AK27" s="65">
        <f t="shared" si="60"/>
        <v>0.60666666666666669</v>
      </c>
      <c r="AL27" s="65">
        <f t="shared" si="60"/>
        <v>0.54</v>
      </c>
      <c r="AM27" s="65">
        <f t="shared" si="60"/>
        <v>0.37666666666666665</v>
      </c>
      <c r="AN27" s="192">
        <f t="shared" si="60"/>
        <v>47.333333333333336</v>
      </c>
      <c r="AO27" s="192">
        <f t="shared" si="60"/>
        <v>9.1666666666666661</v>
      </c>
      <c r="AP27" s="65">
        <f t="shared" si="60"/>
        <v>0.10833333333333334</v>
      </c>
      <c r="AQ27" s="65">
        <f t="shared" si="60"/>
        <v>0.48166666666666663</v>
      </c>
      <c r="AR27" s="65">
        <f t="shared" si="60"/>
        <v>0.41000000000000009</v>
      </c>
      <c r="AS27" s="65">
        <f t="shared" si="60"/>
        <v>3.3333333333333335E-3</v>
      </c>
      <c r="AT27" s="65">
        <f t="shared" si="60"/>
        <v>0.35833333333333334</v>
      </c>
      <c r="AU27" s="65">
        <f t="shared" si="60"/>
        <v>0.57666666666666666</v>
      </c>
      <c r="AV27" s="65">
        <f t="shared" si="60"/>
        <v>0.57333333333333336</v>
      </c>
      <c r="AW27" s="192">
        <f t="shared" si="60"/>
        <v>47.166666666666664</v>
      </c>
      <c r="AX27" s="343"/>
      <c r="AY27" s="192">
        <f>AVERAGEIFS(AY$36:AY$167,$C$36:$C$167,"=4", $B$36:$B$167,"OFICIAL")</f>
        <v>9</v>
      </c>
      <c r="AZ27" s="343"/>
      <c r="BA27" s="65">
        <f t="shared" ref="BA27:BH27" si="61">AVERAGEIFS(BA$36:BA$167,$C$36:$C$167,"=4", $B$36:$B$167,"OFICIAL")</f>
        <v>0.10666666666666667</v>
      </c>
      <c r="BB27" s="65">
        <f t="shared" si="61"/>
        <v>0.49499999999999994</v>
      </c>
      <c r="BC27" s="65">
        <f t="shared" si="61"/>
        <v>0.38999999999999996</v>
      </c>
      <c r="BD27" s="65">
        <f t="shared" si="61"/>
        <v>3.3333333333333335E-3</v>
      </c>
      <c r="BE27" s="65">
        <f t="shared" si="61"/>
        <v>0.36000000000000004</v>
      </c>
      <c r="BF27" s="65">
        <f t="shared" si="61"/>
        <v>0.57166666666666677</v>
      </c>
      <c r="BG27" s="65">
        <f t="shared" si="61"/>
        <v>0.53500000000000003</v>
      </c>
      <c r="BH27" s="192">
        <f t="shared" si="61"/>
        <v>48.333333333333336</v>
      </c>
      <c r="BJ27" s="192">
        <f t="shared" ref="BJ27" si="62">AVERAGEIFS(BJ$36:BJ$167,$C$36:$C$167,"=4", $B$36:$B$167,"OFICIAL")</f>
        <v>10</v>
      </c>
      <c r="BL27" s="521">
        <f t="shared" ref="BL27:BS27" si="63">AVERAGEIFS(BL$36:BL$167,$C$36:$C$167,"=4", $B$36:$B$167,"OFICIAL")</f>
        <v>9.1666666666666674E-2</v>
      </c>
      <c r="BM27" s="521">
        <f t="shared" si="63"/>
        <v>0.48333333333333334</v>
      </c>
      <c r="BN27" s="521">
        <f t="shared" si="63"/>
        <v>0.40333333333333332</v>
      </c>
      <c r="BO27" s="521">
        <f t="shared" si="63"/>
        <v>1.8333333333333333E-2</v>
      </c>
      <c r="BP27" s="521">
        <f t="shared" si="63"/>
        <v>0.59</v>
      </c>
      <c r="BQ27" s="521">
        <f t="shared" si="63"/>
        <v>0.65166666666666673</v>
      </c>
      <c r="BR27" s="521">
        <f t="shared" si="63"/>
        <v>0.45500000000000002</v>
      </c>
      <c r="BS27" s="192">
        <f t="shared" si="63"/>
        <v>48.333333333333336</v>
      </c>
      <c r="BU27" s="192">
        <f t="shared" ref="BU27" si="64">AVERAGEIFS(BU$36:BU$167,$C$36:$C$167,"=4", $B$36:$B$167,"OFICIAL")</f>
        <v>10.666666666666666</v>
      </c>
      <c r="BW27" s="521">
        <f t="shared" ref="BW27:CC27" si="65">AVERAGEIFS(BW$36:BW$167,$C$36:$C$167,"=4", $B$36:$B$167,"OFICIAL")</f>
        <v>0.11666666666666668</v>
      </c>
      <c r="BX27" s="521">
        <f t="shared" si="65"/>
        <v>0.47500000000000009</v>
      </c>
      <c r="BY27" s="521">
        <f t="shared" si="65"/>
        <v>0.39500000000000002</v>
      </c>
      <c r="BZ27" s="521">
        <f t="shared" si="65"/>
        <v>1.6666666666666666E-2</v>
      </c>
      <c r="CA27" s="521">
        <f t="shared" si="65"/>
        <v>0.65833333333333333</v>
      </c>
      <c r="CB27" s="521">
        <f t="shared" si="65"/>
        <v>0.44</v>
      </c>
      <c r="CC27" s="521">
        <f t="shared" si="65"/>
        <v>0.63</v>
      </c>
    </row>
    <row r="28" spans="1:81" s="434" customFormat="1" ht="24.9" customHeight="1" x14ac:dyDescent="0.25">
      <c r="A28" s="6" t="s">
        <v>935</v>
      </c>
      <c r="B28" s="447"/>
      <c r="C28" s="447"/>
      <c r="D28" s="192">
        <f t="shared" ref="D28:AW28" si="66">AVERAGEIFS(D$36:D$167,$C$36:$C$167,"=5", $B$36:$B$167,"OFICIAL")</f>
        <v>52</v>
      </c>
      <c r="E28" s="192">
        <f t="shared" si="66"/>
        <v>9</v>
      </c>
      <c r="F28" s="65">
        <f t="shared" si="66"/>
        <v>4.4999999999999998E-2</v>
      </c>
      <c r="G28" s="65">
        <f t="shared" si="66"/>
        <v>0.39500000000000002</v>
      </c>
      <c r="H28" s="65">
        <f t="shared" si="66"/>
        <v>0.54</v>
      </c>
      <c r="I28" s="65">
        <f t="shared" si="66"/>
        <v>1.4999999999999999E-2</v>
      </c>
      <c r="J28" s="65">
        <f t="shared" si="66"/>
        <v>0.53</v>
      </c>
      <c r="K28" s="65">
        <f t="shared" si="66"/>
        <v>0.48</v>
      </c>
      <c r="L28" s="65">
        <f t="shared" si="66"/>
        <v>0.52</v>
      </c>
      <c r="M28" s="192">
        <f t="shared" si="66"/>
        <v>51.5</v>
      </c>
      <c r="N28" s="192">
        <f t="shared" si="66"/>
        <v>9.5</v>
      </c>
      <c r="O28" s="65">
        <f t="shared" si="66"/>
        <v>7.0000000000000007E-2</v>
      </c>
      <c r="P28" s="65">
        <f t="shared" si="66"/>
        <v>0.38500000000000001</v>
      </c>
      <c r="Q28" s="65">
        <f t="shared" si="66"/>
        <v>0.52</v>
      </c>
      <c r="R28" s="65">
        <f t="shared" si="66"/>
        <v>0.02</v>
      </c>
      <c r="S28" s="65">
        <f t="shared" si="66"/>
        <v>0.48</v>
      </c>
      <c r="T28" s="65">
        <f t="shared" si="66"/>
        <v>0.56000000000000005</v>
      </c>
      <c r="U28" s="65">
        <f t="shared" si="66"/>
        <v>0.37</v>
      </c>
      <c r="V28" s="192">
        <f t="shared" si="66"/>
        <v>50.5</v>
      </c>
      <c r="W28" s="192">
        <f t="shared" si="66"/>
        <v>8.5</v>
      </c>
      <c r="X28" s="65">
        <f t="shared" si="66"/>
        <v>4.4999999999999998E-2</v>
      </c>
      <c r="Y28" s="65">
        <f t="shared" si="66"/>
        <v>0.46499999999999997</v>
      </c>
      <c r="Z28" s="65">
        <f t="shared" si="66"/>
        <v>0.48</v>
      </c>
      <c r="AA28" s="65">
        <f t="shared" si="66"/>
        <v>1.4999999999999999E-2</v>
      </c>
      <c r="AB28" s="65">
        <f t="shared" si="66"/>
        <v>0.52500000000000002</v>
      </c>
      <c r="AC28" s="65">
        <f t="shared" si="66"/>
        <v>0.39</v>
      </c>
      <c r="AD28" s="65">
        <f t="shared" si="66"/>
        <v>0.53500000000000003</v>
      </c>
      <c r="AE28" s="192">
        <f t="shared" si="66"/>
        <v>52</v>
      </c>
      <c r="AF28" s="192">
        <f t="shared" si="66"/>
        <v>9</v>
      </c>
      <c r="AG28" s="65">
        <f t="shared" si="66"/>
        <v>0.04</v>
      </c>
      <c r="AH28" s="65">
        <f t="shared" si="66"/>
        <v>0.40500000000000003</v>
      </c>
      <c r="AI28" s="65">
        <f t="shared" si="66"/>
        <v>0.53</v>
      </c>
      <c r="AJ28" s="65">
        <f t="shared" si="66"/>
        <v>2.5000000000000001E-2</v>
      </c>
      <c r="AK28" s="65">
        <f t="shared" si="66"/>
        <v>0.54</v>
      </c>
      <c r="AL28" s="65">
        <f t="shared" si="66"/>
        <v>0.48</v>
      </c>
      <c r="AM28" s="65">
        <f t="shared" si="66"/>
        <v>0.30000000000000004</v>
      </c>
      <c r="AN28" s="192">
        <f t="shared" si="66"/>
        <v>52</v>
      </c>
      <c r="AO28" s="192">
        <f t="shared" si="66"/>
        <v>8.5</v>
      </c>
      <c r="AP28" s="65">
        <f t="shared" si="66"/>
        <v>3.5000000000000003E-2</v>
      </c>
      <c r="AQ28" s="65">
        <f t="shared" si="66"/>
        <v>0.39</v>
      </c>
      <c r="AR28" s="65">
        <f t="shared" si="66"/>
        <v>0.56000000000000005</v>
      </c>
      <c r="AS28" s="65">
        <f t="shared" si="66"/>
        <v>1.4999999999999999E-2</v>
      </c>
      <c r="AT28" s="65">
        <f t="shared" si="66"/>
        <v>0.29000000000000004</v>
      </c>
      <c r="AU28" s="65">
        <f t="shared" si="66"/>
        <v>0.51500000000000001</v>
      </c>
      <c r="AV28" s="65">
        <f t="shared" si="66"/>
        <v>0.51500000000000001</v>
      </c>
      <c r="AW28" s="192">
        <f t="shared" si="66"/>
        <v>50.5</v>
      </c>
      <c r="AX28" s="343"/>
      <c r="AY28" s="192">
        <f>AVERAGEIFS(AY$36:AY$167,$C$36:$C$167,"=5", $B$36:$B$167,"OFICIAL")</f>
        <v>9.5</v>
      </c>
      <c r="AZ28" s="343"/>
      <c r="BA28" s="65">
        <f t="shared" ref="BA28:BH28" si="67">AVERAGEIFS(BA$36:BA$167,$C$36:$C$167,"=5", $B$36:$B$167,"OFICIAL")</f>
        <v>5.5E-2</v>
      </c>
      <c r="BB28" s="65">
        <f t="shared" si="67"/>
        <v>0.43000000000000005</v>
      </c>
      <c r="BC28" s="65">
        <f t="shared" si="67"/>
        <v>0.48499999999999999</v>
      </c>
      <c r="BD28" s="65">
        <f t="shared" si="67"/>
        <v>2.5000000000000001E-2</v>
      </c>
      <c r="BE28" s="65">
        <f t="shared" si="67"/>
        <v>0.29500000000000004</v>
      </c>
      <c r="BF28" s="65">
        <f t="shared" si="67"/>
        <v>0.52500000000000002</v>
      </c>
      <c r="BG28" s="65">
        <f t="shared" si="67"/>
        <v>0.49</v>
      </c>
      <c r="BH28" s="192">
        <f t="shared" si="67"/>
        <v>52.5</v>
      </c>
      <c r="BJ28" s="192">
        <f t="shared" ref="BJ28" si="68">AVERAGEIFS(BJ$36:BJ$167,$C$36:$C$167,"=5", $B$36:$B$167,"OFICIAL")</f>
        <v>9.5</v>
      </c>
      <c r="BL28" s="521">
        <f t="shared" ref="BL28:BS28" si="69">AVERAGEIFS(BL$36:BL$167,$C$36:$C$167,"=5", $B$36:$B$167,"OFICIAL")</f>
        <v>4.4999999999999998E-2</v>
      </c>
      <c r="BM28" s="521">
        <f t="shared" si="69"/>
        <v>0.34499999999999997</v>
      </c>
      <c r="BN28" s="521">
        <f t="shared" si="69"/>
        <v>0.60499999999999998</v>
      </c>
      <c r="BO28" s="521">
        <f t="shared" si="69"/>
        <v>0.01</v>
      </c>
      <c r="BP28" s="521">
        <f t="shared" si="69"/>
        <v>0.54500000000000004</v>
      </c>
      <c r="BQ28" s="521">
        <f t="shared" si="69"/>
        <v>0.57499999999999996</v>
      </c>
      <c r="BR28" s="521">
        <f t="shared" si="69"/>
        <v>0.39</v>
      </c>
      <c r="BS28" s="192">
        <f t="shared" si="69"/>
        <v>51.5</v>
      </c>
      <c r="BU28" s="192">
        <f t="shared" ref="BU28" si="70">AVERAGEIFS(BU$36:BU$167,$C$36:$C$167,"=5", $B$36:$B$167,"OFICIAL")</f>
        <v>10.5</v>
      </c>
      <c r="BW28" s="521">
        <f t="shared" ref="BW28:CC28" si="71">AVERAGEIFS(BW$36:BW$167,$C$36:$C$167,"=5", $B$36:$B$167,"OFICIAL")</f>
        <v>7.5000000000000011E-2</v>
      </c>
      <c r="BX28" s="521">
        <f t="shared" si="71"/>
        <v>0.38</v>
      </c>
      <c r="BY28" s="521">
        <f t="shared" si="71"/>
        <v>0.505</v>
      </c>
      <c r="BZ28" s="521">
        <f t="shared" si="71"/>
        <v>3.5000000000000003E-2</v>
      </c>
      <c r="CA28" s="521">
        <f t="shared" si="71"/>
        <v>0.63</v>
      </c>
      <c r="CB28" s="521">
        <f t="shared" si="71"/>
        <v>0.41000000000000003</v>
      </c>
      <c r="CC28" s="521">
        <f t="shared" si="71"/>
        <v>0.59499999999999997</v>
      </c>
    </row>
    <row r="29" spans="1:81" s="434" customFormat="1" ht="24.9" customHeight="1" x14ac:dyDescent="0.25">
      <c r="A29" s="6" t="s">
        <v>936</v>
      </c>
      <c r="B29" s="447"/>
      <c r="C29" s="447"/>
      <c r="D29" s="192">
        <f t="shared" ref="D29:AW29" si="72">AVERAGEIFS(D$36:D$167,$C$36:$C$167,"=6", $B$36:$B$167,"OFICIAL")</f>
        <v>51</v>
      </c>
      <c r="E29" s="192">
        <f t="shared" si="72"/>
        <v>9.3333333333333339</v>
      </c>
      <c r="F29" s="65">
        <f t="shared" si="72"/>
        <v>3.3333333333333333E-2</v>
      </c>
      <c r="G29" s="65">
        <f t="shared" si="72"/>
        <v>0.48666666666666664</v>
      </c>
      <c r="H29" s="65">
        <f t="shared" si="72"/>
        <v>0.47</v>
      </c>
      <c r="I29" s="65">
        <f t="shared" si="72"/>
        <v>0.01</v>
      </c>
      <c r="J29" s="65">
        <f t="shared" si="72"/>
        <v>0.52666666666666673</v>
      </c>
      <c r="K29" s="65">
        <f t="shared" si="72"/>
        <v>0.45666666666666672</v>
      </c>
      <c r="L29" s="65">
        <f t="shared" si="72"/>
        <v>0.54333333333333333</v>
      </c>
      <c r="M29" s="192">
        <f t="shared" si="72"/>
        <v>51.333333333333336</v>
      </c>
      <c r="N29" s="192">
        <f t="shared" si="72"/>
        <v>9.3333333333333339</v>
      </c>
      <c r="O29" s="65">
        <f t="shared" si="72"/>
        <v>5.000000000000001E-2</v>
      </c>
      <c r="P29" s="65">
        <f t="shared" si="72"/>
        <v>0.41</v>
      </c>
      <c r="Q29" s="65">
        <f t="shared" si="72"/>
        <v>0.52333333333333332</v>
      </c>
      <c r="R29" s="65">
        <f t="shared" si="72"/>
        <v>0.02</v>
      </c>
      <c r="S29" s="65">
        <f t="shared" si="72"/>
        <v>0.49</v>
      </c>
      <c r="T29" s="65">
        <f t="shared" si="72"/>
        <v>0.56333333333333335</v>
      </c>
      <c r="U29" s="65">
        <f t="shared" si="72"/>
        <v>0.35333333333333333</v>
      </c>
      <c r="V29" s="192">
        <f t="shared" si="72"/>
        <v>51</v>
      </c>
      <c r="W29" s="192">
        <f t="shared" si="72"/>
        <v>9.3333333333333339</v>
      </c>
      <c r="X29" s="65">
        <f t="shared" si="72"/>
        <v>4.9999999999999996E-2</v>
      </c>
      <c r="Y29" s="65">
        <f t="shared" si="72"/>
        <v>0.4366666666666667</v>
      </c>
      <c r="Z29" s="65">
        <f t="shared" si="72"/>
        <v>0.5</v>
      </c>
      <c r="AA29" s="65">
        <f t="shared" si="72"/>
        <v>1.6666666666666666E-2</v>
      </c>
      <c r="AB29" s="65">
        <f t="shared" si="72"/>
        <v>0.5033333333333333</v>
      </c>
      <c r="AC29" s="65">
        <f t="shared" si="72"/>
        <v>0.38333333333333336</v>
      </c>
      <c r="AD29" s="65">
        <f t="shared" si="72"/>
        <v>0.53666666666666663</v>
      </c>
      <c r="AE29" s="192">
        <f t="shared" si="72"/>
        <v>52</v>
      </c>
      <c r="AF29" s="192">
        <f t="shared" si="72"/>
        <v>9.3333333333333339</v>
      </c>
      <c r="AG29" s="65">
        <f t="shared" si="72"/>
        <v>5.000000000000001E-2</v>
      </c>
      <c r="AH29" s="65">
        <f t="shared" si="72"/>
        <v>0.36333333333333334</v>
      </c>
      <c r="AI29" s="65">
        <f t="shared" si="72"/>
        <v>0.58333333333333337</v>
      </c>
      <c r="AJ29" s="65">
        <f t="shared" si="72"/>
        <v>1.3333333333333334E-2</v>
      </c>
      <c r="AK29" s="65">
        <f t="shared" si="72"/>
        <v>0.53666666666666674</v>
      </c>
      <c r="AL29" s="65">
        <f t="shared" si="72"/>
        <v>0.47333333333333333</v>
      </c>
      <c r="AM29" s="65">
        <f t="shared" si="72"/>
        <v>0.30333333333333329</v>
      </c>
      <c r="AN29" s="192">
        <f t="shared" si="72"/>
        <v>52.666666666666664</v>
      </c>
      <c r="AO29" s="192">
        <f t="shared" si="72"/>
        <v>9</v>
      </c>
      <c r="AP29" s="65">
        <f t="shared" si="72"/>
        <v>0.02</v>
      </c>
      <c r="AQ29" s="65">
        <f t="shared" si="72"/>
        <v>0.38333333333333336</v>
      </c>
      <c r="AR29" s="65">
        <f t="shared" si="72"/>
        <v>0.56000000000000005</v>
      </c>
      <c r="AS29" s="65">
        <f t="shared" si="72"/>
        <v>3.6666666666666667E-2</v>
      </c>
      <c r="AT29" s="65">
        <f t="shared" si="72"/>
        <v>0.26666666666666666</v>
      </c>
      <c r="AU29" s="65">
        <f t="shared" si="72"/>
        <v>0.5033333333333333</v>
      </c>
      <c r="AV29" s="65">
        <f t="shared" si="72"/>
        <v>0.51333333333333331</v>
      </c>
      <c r="AW29" s="192">
        <f t="shared" si="72"/>
        <v>50.333333333333336</v>
      </c>
      <c r="AX29" s="343"/>
      <c r="AY29" s="192">
        <f>AVERAGEIFS(AY$36:AY$167,$C$36:$C$167,"=6", $B$36:$B$167,"OFICIAL")</f>
        <v>8.6666666666666661</v>
      </c>
      <c r="AZ29" s="343"/>
      <c r="BA29" s="65">
        <f t="shared" ref="BA29:BH29" si="73">AVERAGEIFS(BA$36:BA$167,$C$36:$C$167,"=6", $B$36:$B$167,"OFICIAL")</f>
        <v>4.9999999999999996E-2</v>
      </c>
      <c r="BB29" s="65">
        <f t="shared" si="73"/>
        <v>0.47333333333333333</v>
      </c>
      <c r="BC29" s="65">
        <f t="shared" si="73"/>
        <v>0.46333333333333332</v>
      </c>
      <c r="BD29" s="65">
        <f t="shared" si="73"/>
        <v>0.02</v>
      </c>
      <c r="BE29" s="65">
        <f t="shared" si="73"/>
        <v>0.31666666666666665</v>
      </c>
      <c r="BF29" s="65">
        <f t="shared" si="73"/>
        <v>0.53333333333333333</v>
      </c>
      <c r="BG29" s="65">
        <f t="shared" si="73"/>
        <v>0.5033333333333333</v>
      </c>
      <c r="BH29" s="192">
        <f t="shared" si="73"/>
        <v>51.333333333333336</v>
      </c>
      <c r="BJ29" s="192">
        <f t="shared" ref="BJ29" si="74">AVERAGEIFS(BJ$36:BJ$167,$C$36:$C$167,"=6", $B$36:$B$167,"OFICIAL")</f>
        <v>10.666666666666666</v>
      </c>
      <c r="BL29" s="521">
        <f t="shared" ref="BL29:BS29" si="75">AVERAGEIFS(BL$36:BL$167,$C$36:$C$167,"=6", $B$36:$B$167,"OFICIAL")</f>
        <v>8.666666666666667E-2</v>
      </c>
      <c r="BM29" s="521">
        <f t="shared" si="75"/>
        <v>0.38000000000000006</v>
      </c>
      <c r="BN29" s="521">
        <f t="shared" si="75"/>
        <v>0.51666666666666672</v>
      </c>
      <c r="BO29" s="521">
        <f t="shared" si="75"/>
        <v>1.3333333333333334E-2</v>
      </c>
      <c r="BP29" s="521">
        <f t="shared" si="75"/>
        <v>0.51666666666666672</v>
      </c>
      <c r="BQ29" s="521">
        <f t="shared" si="75"/>
        <v>0.59666666666666668</v>
      </c>
      <c r="BR29" s="521">
        <f t="shared" si="75"/>
        <v>0.38666666666666666</v>
      </c>
      <c r="BS29" s="192">
        <f t="shared" si="75"/>
        <v>51</v>
      </c>
      <c r="BU29" s="192">
        <f t="shared" ref="BU29" si="76">AVERAGEIFS(BU$36:BU$167,$C$36:$C$167,"=6", $B$36:$B$167,"OFICIAL")</f>
        <v>10.666666666666666</v>
      </c>
      <c r="BW29" s="521">
        <f t="shared" ref="BW29:CC29" si="77">AVERAGEIFS(BW$36:BW$167,$C$36:$C$167,"=6", $B$36:$B$167,"OFICIAL")</f>
        <v>7.6666666666666675E-2</v>
      </c>
      <c r="BX29" s="521">
        <f t="shared" si="77"/>
        <v>0.41</v>
      </c>
      <c r="BY29" s="521">
        <f t="shared" si="77"/>
        <v>0.48</v>
      </c>
      <c r="BZ29" s="521">
        <f t="shared" si="77"/>
        <v>0.04</v>
      </c>
      <c r="CA29" s="521">
        <f t="shared" si="77"/>
        <v>0.63</v>
      </c>
      <c r="CB29" s="521">
        <f t="shared" si="77"/>
        <v>0.39999999999999997</v>
      </c>
      <c r="CC29" s="521">
        <f t="shared" si="77"/>
        <v>0.59</v>
      </c>
    </row>
    <row r="30" spans="1:81" s="434" customFormat="1" ht="24.9" customHeight="1" x14ac:dyDescent="0.25">
      <c r="A30" s="6" t="s">
        <v>937</v>
      </c>
      <c r="B30" s="447"/>
      <c r="C30" s="447"/>
      <c r="D30" s="192">
        <f t="shared" ref="D30:AW30" si="78">AVERAGEIFS(D$36:D$167,$C$36:$C$167,"=1", $B$36:$B$167,"NO OFICIAL")</f>
        <v>51.615384615384613</v>
      </c>
      <c r="E30" s="192">
        <f t="shared" si="78"/>
        <v>8.8461538461538467</v>
      </c>
      <c r="F30" s="65">
        <f t="shared" si="78"/>
        <v>5.692307692307693E-2</v>
      </c>
      <c r="G30" s="65">
        <f t="shared" si="78"/>
        <v>0.40230769230769226</v>
      </c>
      <c r="H30" s="65">
        <f t="shared" si="78"/>
        <v>0.53384615384615386</v>
      </c>
      <c r="I30" s="65">
        <f t="shared" si="78"/>
        <v>6.9230769230769224E-3</v>
      </c>
      <c r="J30" s="65">
        <f t="shared" si="78"/>
        <v>0.53153846153846152</v>
      </c>
      <c r="K30" s="65">
        <f t="shared" si="78"/>
        <v>0.45999999999999996</v>
      </c>
      <c r="L30" s="65">
        <f t="shared" si="78"/>
        <v>0.53692307692307695</v>
      </c>
      <c r="M30" s="192">
        <f t="shared" si="78"/>
        <v>51.583333333333336</v>
      </c>
      <c r="N30" s="192">
        <f t="shared" si="78"/>
        <v>9</v>
      </c>
      <c r="O30" s="65">
        <f t="shared" si="78"/>
        <v>6.1428571428571423E-2</v>
      </c>
      <c r="P30" s="65">
        <f t="shared" si="78"/>
        <v>0.4042857142857143</v>
      </c>
      <c r="Q30" s="65">
        <f t="shared" si="78"/>
        <v>0.50928571428571434</v>
      </c>
      <c r="R30" s="65">
        <f t="shared" si="78"/>
        <v>2.6428571428571433E-2</v>
      </c>
      <c r="S30" s="65">
        <f t="shared" si="78"/>
        <v>0.48571428571428577</v>
      </c>
      <c r="T30" s="65">
        <f t="shared" si="78"/>
        <v>0.56357142857142861</v>
      </c>
      <c r="U30" s="65">
        <f t="shared" si="78"/>
        <v>0.36142857142857149</v>
      </c>
      <c r="V30" s="192">
        <f t="shared" si="78"/>
        <v>51.846153846153847</v>
      </c>
      <c r="W30" s="192">
        <f t="shared" si="78"/>
        <v>9</v>
      </c>
      <c r="X30" s="65">
        <f t="shared" si="78"/>
        <v>4.5714285714285714E-2</v>
      </c>
      <c r="Y30" s="65">
        <f t="shared" si="78"/>
        <v>0.39357142857142857</v>
      </c>
      <c r="Z30" s="65">
        <f t="shared" si="78"/>
        <v>0.5207142857142858</v>
      </c>
      <c r="AA30" s="65">
        <f t="shared" si="78"/>
        <v>4.0714285714285717E-2</v>
      </c>
      <c r="AB30" s="65">
        <f t="shared" si="78"/>
        <v>0.48428571428571437</v>
      </c>
      <c r="AC30" s="65">
        <f t="shared" si="78"/>
        <v>0.36928571428571427</v>
      </c>
      <c r="AD30" s="65">
        <f t="shared" si="78"/>
        <v>0.52214285714285713</v>
      </c>
      <c r="AE30" s="192">
        <f t="shared" si="78"/>
        <v>52.692307692307693</v>
      </c>
      <c r="AF30" s="192">
        <f t="shared" si="78"/>
        <v>9.1538461538461533</v>
      </c>
      <c r="AG30" s="65">
        <f t="shared" si="78"/>
        <v>3.1428571428571431E-2</v>
      </c>
      <c r="AH30" s="65">
        <f t="shared" si="78"/>
        <v>0.34357142857142853</v>
      </c>
      <c r="AI30" s="65">
        <f t="shared" si="78"/>
        <v>0.60142857142857153</v>
      </c>
      <c r="AJ30" s="65">
        <f t="shared" si="78"/>
        <v>2.5000000000000001E-2</v>
      </c>
      <c r="AK30" s="65">
        <f t="shared" si="78"/>
        <v>0.51428571428571435</v>
      </c>
      <c r="AL30" s="65">
        <f t="shared" si="78"/>
        <v>0.46000000000000008</v>
      </c>
      <c r="AM30" s="65">
        <f t="shared" si="78"/>
        <v>0.28071428571428569</v>
      </c>
      <c r="AN30" s="192">
        <f t="shared" si="78"/>
        <v>53.53846153846154</v>
      </c>
      <c r="AO30" s="192">
        <f t="shared" si="78"/>
        <v>9.0769230769230766</v>
      </c>
      <c r="AP30" s="65">
        <f t="shared" si="78"/>
        <v>3.1538461538461543E-2</v>
      </c>
      <c r="AQ30" s="65">
        <f t="shared" si="78"/>
        <v>0.35923076923076924</v>
      </c>
      <c r="AR30" s="65">
        <f t="shared" si="78"/>
        <v>0.57692307692307687</v>
      </c>
      <c r="AS30" s="65">
        <f t="shared" si="78"/>
        <v>3.3846153846153845E-2</v>
      </c>
      <c r="AT30" s="65">
        <f t="shared" si="78"/>
        <v>0.26153846153846155</v>
      </c>
      <c r="AU30" s="65">
        <f t="shared" si="78"/>
        <v>0.4869230769230769</v>
      </c>
      <c r="AV30" s="65">
        <f t="shared" si="78"/>
        <v>0.4992307692307692</v>
      </c>
      <c r="AW30" s="192">
        <f t="shared" si="78"/>
        <v>52.846153846153847</v>
      </c>
      <c r="AX30" s="343"/>
      <c r="AY30" s="192">
        <f>AVERAGEIFS(AY$36:AY$167,$C$36:$C$167,"=1", $B$36:$B$167,"NO OFICIAL")</f>
        <v>8.7692307692307701</v>
      </c>
      <c r="AZ30" s="343"/>
      <c r="BA30" s="65">
        <f t="shared" ref="BA30:BH30" si="79">AVERAGEIFS(BA$36:BA$167,$C$36:$C$167,"=1", $B$36:$B$167,"NO OFICIAL")</f>
        <v>4.3076923076923082E-2</v>
      </c>
      <c r="BB30" s="65">
        <f t="shared" si="79"/>
        <v>0.35615384615384621</v>
      </c>
      <c r="BC30" s="65">
        <f t="shared" si="79"/>
        <v>0.57076923076923081</v>
      </c>
      <c r="BD30" s="65">
        <f t="shared" si="79"/>
        <v>3.0769230769230774E-2</v>
      </c>
      <c r="BE30" s="65">
        <f t="shared" si="79"/>
        <v>0.26769230769230767</v>
      </c>
      <c r="BF30" s="65">
        <f t="shared" si="79"/>
        <v>0.49384615384615399</v>
      </c>
      <c r="BG30" s="65">
        <f t="shared" si="79"/>
        <v>0.4530769230769231</v>
      </c>
      <c r="BH30" s="192">
        <f t="shared" si="79"/>
        <v>53</v>
      </c>
      <c r="BJ30" s="192">
        <f t="shared" ref="BJ30" si="80">AVERAGEIFS(BJ$36:BJ$167,$C$36:$C$167,"=1", $B$36:$B$167,"NO OFICIAL")</f>
        <v>9.384615384615385</v>
      </c>
      <c r="BL30" s="521">
        <f t="shared" ref="BL30:BS30" si="81">AVERAGEIFS(BL$36:BL$167,$C$36:$C$167,"=1", $B$36:$B$167,"NO OFICIAL")</f>
        <v>4.8461538461538459E-2</v>
      </c>
      <c r="BM30" s="521">
        <f t="shared" si="81"/>
        <v>0.34307692307692306</v>
      </c>
      <c r="BN30" s="521">
        <f t="shared" si="81"/>
        <v>0.58230769230769219</v>
      </c>
      <c r="BO30" s="521">
        <f t="shared" si="81"/>
        <v>2.6923076923076925E-2</v>
      </c>
      <c r="BP30" s="521">
        <f t="shared" si="81"/>
        <v>0.51076923076923086</v>
      </c>
      <c r="BQ30" s="521">
        <f t="shared" si="81"/>
        <v>0.57999999999999996</v>
      </c>
      <c r="BR30" s="521">
        <f t="shared" si="81"/>
        <v>0.36769230769230771</v>
      </c>
      <c r="BS30" s="192">
        <f t="shared" si="81"/>
        <v>54.25</v>
      </c>
      <c r="BU30" s="192">
        <f t="shared" ref="BU30" si="82">AVERAGEIFS(BU$36:BU$167,$C$36:$C$167,"=1", $B$36:$B$167,"NO OFICIAL")</f>
        <v>9.0833333333333339</v>
      </c>
      <c r="BW30" s="521">
        <f t="shared" ref="BW30:CC30" si="83">AVERAGEIFS(BW$36:BW$167,$C$36:$C$167,"=1", $B$36:$B$167,"NO OFICIAL")</f>
        <v>3.2500000000000008E-2</v>
      </c>
      <c r="BX30" s="521">
        <f t="shared" si="83"/>
        <v>0.35000000000000003</v>
      </c>
      <c r="BY30" s="521">
        <f t="shared" si="83"/>
        <v>0.55499999999999994</v>
      </c>
      <c r="BZ30" s="521">
        <f t="shared" si="83"/>
        <v>6.1666666666666675E-2</v>
      </c>
      <c r="CA30" s="521">
        <f t="shared" si="83"/>
        <v>0.59500000000000008</v>
      </c>
      <c r="CB30" s="521">
        <f t="shared" si="83"/>
        <v>0.35083333333333327</v>
      </c>
      <c r="CC30" s="521">
        <f t="shared" si="83"/>
        <v>0.54083333333333339</v>
      </c>
    </row>
    <row r="31" spans="1:81" s="434" customFormat="1" ht="24.9" customHeight="1" x14ac:dyDescent="0.25">
      <c r="A31" s="6" t="s">
        <v>938</v>
      </c>
      <c r="B31" s="447"/>
      <c r="C31" s="447"/>
      <c r="D31" s="192">
        <f t="shared" ref="D31:AW31" si="84">AVERAGEIFS(D$36:D$167,$C$36:$C$167,"=2", $B$36:$B$167,"NO OFICIAL")</f>
        <v>52.666666666666664</v>
      </c>
      <c r="E31" s="192">
        <f t="shared" si="84"/>
        <v>8.6666666666666661</v>
      </c>
      <c r="F31" s="65">
        <f t="shared" si="84"/>
        <v>5.2777777777777785E-2</v>
      </c>
      <c r="G31" s="65">
        <f t="shared" si="84"/>
        <v>0.35888888888888887</v>
      </c>
      <c r="H31" s="65">
        <f t="shared" si="84"/>
        <v>0.57277777777777783</v>
      </c>
      <c r="I31" s="65">
        <f t="shared" si="84"/>
        <v>1.6111111111111114E-2</v>
      </c>
      <c r="J31" s="65">
        <f t="shared" si="84"/>
        <v>0.52722222222222215</v>
      </c>
      <c r="K31" s="65">
        <f t="shared" si="84"/>
        <v>0.44611111111111118</v>
      </c>
      <c r="L31" s="65">
        <f t="shared" si="84"/>
        <v>0.52555555555555555</v>
      </c>
      <c r="M31" s="192">
        <f t="shared" si="84"/>
        <v>52.294117647058826</v>
      </c>
      <c r="N31" s="192">
        <f t="shared" si="84"/>
        <v>9.1764705882352935</v>
      </c>
      <c r="O31" s="65">
        <f t="shared" si="84"/>
        <v>5.7647058823529412E-2</v>
      </c>
      <c r="P31" s="65">
        <f t="shared" si="84"/>
        <v>0.34294117647058836</v>
      </c>
      <c r="Q31" s="65">
        <f t="shared" si="84"/>
        <v>0.55470588235294116</v>
      </c>
      <c r="R31" s="65">
        <f t="shared" si="84"/>
        <v>4.2352941176470593E-2</v>
      </c>
      <c r="S31" s="65">
        <f t="shared" si="84"/>
        <v>0.46882352941176475</v>
      </c>
      <c r="T31" s="65">
        <f t="shared" si="84"/>
        <v>0.54176470588235293</v>
      </c>
      <c r="U31" s="65">
        <f t="shared" si="84"/>
        <v>0.36411764705882355</v>
      </c>
      <c r="V31" s="192">
        <f t="shared" si="84"/>
        <v>52.882352941176471</v>
      </c>
      <c r="W31" s="192">
        <f t="shared" si="84"/>
        <v>8.5294117647058822</v>
      </c>
      <c r="X31" s="65">
        <f t="shared" si="84"/>
        <v>3.4705882352941184E-2</v>
      </c>
      <c r="Y31" s="65">
        <f t="shared" si="84"/>
        <v>0.34411764705882353</v>
      </c>
      <c r="Z31" s="65">
        <f t="shared" si="84"/>
        <v>0.60882352941176465</v>
      </c>
      <c r="AA31" s="65">
        <f t="shared" si="84"/>
        <v>1.5294117647058824E-2</v>
      </c>
      <c r="AB31" s="65">
        <f t="shared" si="84"/>
        <v>0.47000000000000003</v>
      </c>
      <c r="AC31" s="65">
        <f t="shared" si="84"/>
        <v>0.37176470588235294</v>
      </c>
      <c r="AD31" s="65">
        <f t="shared" si="84"/>
        <v>0.50352941176470589</v>
      </c>
      <c r="AE31" s="192">
        <f t="shared" si="84"/>
        <v>53.944444444444443</v>
      </c>
      <c r="AF31" s="192">
        <f t="shared" si="84"/>
        <v>9</v>
      </c>
      <c r="AG31" s="65">
        <f t="shared" si="84"/>
        <v>3.5555555555555556E-2</v>
      </c>
      <c r="AH31" s="65">
        <f t="shared" si="84"/>
        <v>0.3133333333333333</v>
      </c>
      <c r="AI31" s="65">
        <f t="shared" si="84"/>
        <v>0.6133333333333334</v>
      </c>
      <c r="AJ31" s="65">
        <f t="shared" si="84"/>
        <v>3.8333333333333344E-2</v>
      </c>
      <c r="AK31" s="65">
        <f t="shared" si="84"/>
        <v>0.51666666666666672</v>
      </c>
      <c r="AL31" s="65">
        <f t="shared" si="84"/>
        <v>0.45444444444444443</v>
      </c>
      <c r="AM31" s="65">
        <f t="shared" si="84"/>
        <v>0.2655555555555556</v>
      </c>
      <c r="AN31" s="192">
        <f t="shared" si="84"/>
        <v>52.81818181818182</v>
      </c>
      <c r="AO31" s="192">
        <f t="shared" si="84"/>
        <v>7.7272727272727275</v>
      </c>
      <c r="AP31" s="65">
        <f t="shared" si="84"/>
        <v>2.7727272727272732E-2</v>
      </c>
      <c r="AQ31" s="65">
        <f t="shared" si="84"/>
        <v>0.35681818181818187</v>
      </c>
      <c r="AR31" s="65">
        <f t="shared" si="84"/>
        <v>0.57727272727272727</v>
      </c>
      <c r="AS31" s="65">
        <f t="shared" si="84"/>
        <v>3.6818181818181826E-2</v>
      </c>
      <c r="AT31" s="65">
        <f t="shared" si="84"/>
        <v>0.27590909090909094</v>
      </c>
      <c r="AU31" s="65">
        <f t="shared" si="84"/>
        <v>0.49772727272727263</v>
      </c>
      <c r="AV31" s="65">
        <f t="shared" si="84"/>
        <v>0.50818181818181829</v>
      </c>
      <c r="AW31" s="192">
        <f t="shared" si="84"/>
        <v>52.4</v>
      </c>
      <c r="AX31" s="343"/>
      <c r="AY31" s="192">
        <f>AVERAGEIFS(AY$36:AY$167,$C$36:$C$167,"=2", $B$36:$B$167,"NO OFICIAL")</f>
        <v>7.9</v>
      </c>
      <c r="AZ31" s="343"/>
      <c r="BA31" s="65">
        <f t="shared" ref="BA31:BH31" si="85">AVERAGEIFS(BA$36:BA$167,$C$36:$C$167,"=2", $B$36:$B$167,"NO OFICIAL")</f>
        <v>5.9500000000000011E-2</v>
      </c>
      <c r="BB31" s="65">
        <f t="shared" si="85"/>
        <v>0.34450000000000003</v>
      </c>
      <c r="BC31" s="65">
        <f t="shared" si="85"/>
        <v>0.56950000000000001</v>
      </c>
      <c r="BD31" s="65">
        <f t="shared" si="85"/>
        <v>2.8000000000000004E-2</v>
      </c>
      <c r="BE31" s="65">
        <f t="shared" si="85"/>
        <v>0.28299999999999997</v>
      </c>
      <c r="BF31" s="65">
        <f t="shared" si="85"/>
        <v>0.49900000000000011</v>
      </c>
      <c r="BG31" s="65">
        <f t="shared" si="85"/>
        <v>0.45949999999999996</v>
      </c>
      <c r="BH31" s="192">
        <f t="shared" si="85"/>
        <v>54.571428571428569</v>
      </c>
      <c r="BJ31" s="192">
        <f t="shared" ref="BJ31" si="86">AVERAGEIFS(BJ$36:BJ$167,$C$36:$C$167,"=2", $B$36:$B$167,"NO OFICIAL")</f>
        <v>9.3809523809523814</v>
      </c>
      <c r="BL31" s="521">
        <f t="shared" ref="BL31:BS31" si="87">AVERAGEIFS(BL$36:BL$167,$C$36:$C$167,"=2", $B$36:$B$167,"NO OFICIAL")</f>
        <v>6.7619047619047634E-2</v>
      </c>
      <c r="BM31" s="521">
        <f t="shared" si="87"/>
        <v>0.23857142857142857</v>
      </c>
      <c r="BN31" s="521">
        <f t="shared" si="87"/>
        <v>0.65190476190476176</v>
      </c>
      <c r="BO31" s="521">
        <f t="shared" si="87"/>
        <v>4.238095238095238E-2</v>
      </c>
      <c r="BP31" s="521">
        <f t="shared" si="87"/>
        <v>0.4690476190476191</v>
      </c>
      <c r="BQ31" s="521">
        <f t="shared" si="87"/>
        <v>0.55095238095238097</v>
      </c>
      <c r="BR31" s="521">
        <f t="shared" si="87"/>
        <v>0.36904761904761907</v>
      </c>
      <c r="BS31" s="192">
        <f t="shared" si="87"/>
        <v>53.045454545454547</v>
      </c>
      <c r="BU31" s="192">
        <f t="shared" ref="BU31" si="88">AVERAGEIFS(BU$36:BU$167,$C$36:$C$167,"=2", $B$36:$B$167,"NO OFICIAL")</f>
        <v>8.6818181818181817</v>
      </c>
      <c r="BW31" s="521">
        <f t="shared" ref="BW31:CC31" si="89">AVERAGEIFS(BW$36:BW$167,$C$36:$C$167,"=2", $B$36:$B$167,"NO OFICIAL")</f>
        <v>6.4090909090909101E-2</v>
      </c>
      <c r="BX31" s="521">
        <f t="shared" si="89"/>
        <v>0.34909090909090906</v>
      </c>
      <c r="BY31" s="521">
        <f t="shared" si="89"/>
        <v>0.53636363636363638</v>
      </c>
      <c r="BZ31" s="521">
        <f t="shared" si="89"/>
        <v>5.0454545454545467E-2</v>
      </c>
      <c r="CA31" s="521">
        <f t="shared" si="89"/>
        <v>0.59227272727272728</v>
      </c>
      <c r="CB31" s="521">
        <f t="shared" si="89"/>
        <v>0.39136363636363636</v>
      </c>
      <c r="CC31" s="521">
        <f t="shared" si="89"/>
        <v>0.55045454545454553</v>
      </c>
    </row>
    <row r="32" spans="1:81" s="434" customFormat="1" ht="24.9" customHeight="1" x14ac:dyDescent="0.25">
      <c r="A32" s="6" t="s">
        <v>939</v>
      </c>
      <c r="B32" s="447"/>
      <c r="C32" s="447"/>
      <c r="D32" s="192">
        <f t="shared" ref="D32:AW32" si="90">AVERAGEIFS(D$36:D$167,$C$36:$C$167,"=3", $B$36:$B$167,"NO OFICIAL")</f>
        <v>53.769230769230766</v>
      </c>
      <c r="E32" s="192">
        <f t="shared" si="90"/>
        <v>8.615384615384615</v>
      </c>
      <c r="F32" s="65">
        <f t="shared" si="90"/>
        <v>3.0769230769230771E-2</v>
      </c>
      <c r="G32" s="65">
        <f t="shared" si="90"/>
        <v>0.33769230769230768</v>
      </c>
      <c r="H32" s="65">
        <f t="shared" si="90"/>
        <v>0.59923076923076934</v>
      </c>
      <c r="I32" s="65">
        <f t="shared" si="90"/>
        <v>3.3846153846153845E-2</v>
      </c>
      <c r="J32" s="65">
        <f t="shared" si="90"/>
        <v>0.50538461538461532</v>
      </c>
      <c r="K32" s="65">
        <f t="shared" si="90"/>
        <v>0.42692307692307696</v>
      </c>
      <c r="L32" s="65">
        <f t="shared" si="90"/>
        <v>0.50076923076923074</v>
      </c>
      <c r="M32" s="192">
        <f t="shared" si="90"/>
        <v>52.5</v>
      </c>
      <c r="N32" s="192">
        <f t="shared" si="90"/>
        <v>9.2857142857142865</v>
      </c>
      <c r="O32" s="65">
        <f t="shared" si="90"/>
        <v>3.0000000000000002E-2</v>
      </c>
      <c r="P32" s="65">
        <f t="shared" si="90"/>
        <v>0.36384615384615382</v>
      </c>
      <c r="Q32" s="65">
        <f t="shared" si="90"/>
        <v>0.57000000000000006</v>
      </c>
      <c r="R32" s="65">
        <f t="shared" si="90"/>
        <v>3.6153846153846154E-2</v>
      </c>
      <c r="S32" s="65">
        <f t="shared" si="90"/>
        <v>0.45692307692307688</v>
      </c>
      <c r="T32" s="65">
        <f t="shared" si="90"/>
        <v>0.53230769230769237</v>
      </c>
      <c r="U32" s="65">
        <f t="shared" si="90"/>
        <v>0.32307692307692309</v>
      </c>
      <c r="V32" s="192">
        <f t="shared" si="90"/>
        <v>53.285714285714285</v>
      </c>
      <c r="W32" s="192">
        <f t="shared" si="90"/>
        <v>9.2142857142857135</v>
      </c>
      <c r="X32" s="65">
        <f t="shared" si="90"/>
        <v>3.3846153846153845E-2</v>
      </c>
      <c r="Y32" s="65">
        <f t="shared" si="90"/>
        <v>0.33461538461538465</v>
      </c>
      <c r="Z32" s="65">
        <f t="shared" si="90"/>
        <v>0.58615384615384614</v>
      </c>
      <c r="AA32" s="65">
        <f t="shared" si="90"/>
        <v>4.5384615384615391E-2</v>
      </c>
      <c r="AB32" s="65">
        <f t="shared" si="90"/>
        <v>0.45769230769230762</v>
      </c>
      <c r="AC32" s="65">
        <f t="shared" si="90"/>
        <v>0.35076923076923072</v>
      </c>
      <c r="AD32" s="65">
        <f t="shared" si="90"/>
        <v>0.49076923076923074</v>
      </c>
      <c r="AE32" s="192">
        <f t="shared" si="90"/>
        <v>53.428571428571431</v>
      </c>
      <c r="AF32" s="192">
        <f t="shared" si="90"/>
        <v>9.1428571428571423</v>
      </c>
      <c r="AG32" s="65">
        <f t="shared" si="90"/>
        <v>3.692307692307692E-2</v>
      </c>
      <c r="AH32" s="65">
        <f t="shared" si="90"/>
        <v>0.34076923076923077</v>
      </c>
      <c r="AI32" s="65">
        <f t="shared" si="90"/>
        <v>0.5923076923076922</v>
      </c>
      <c r="AJ32" s="65">
        <f t="shared" si="90"/>
        <v>3.2307692307692308E-2</v>
      </c>
      <c r="AK32" s="65">
        <f t="shared" si="90"/>
        <v>0.50615384615384618</v>
      </c>
      <c r="AL32" s="65">
        <f t="shared" si="90"/>
        <v>0.44538461538461543</v>
      </c>
      <c r="AM32" s="65">
        <f t="shared" si="90"/>
        <v>0.26076923076923075</v>
      </c>
      <c r="AN32" s="192">
        <f t="shared" si="90"/>
        <v>54.666666666666664</v>
      </c>
      <c r="AO32" s="192">
        <f t="shared" si="90"/>
        <v>8.5333333333333332</v>
      </c>
      <c r="AP32" s="65">
        <f t="shared" si="90"/>
        <v>1.7333333333333333E-2</v>
      </c>
      <c r="AQ32" s="65">
        <f t="shared" si="90"/>
        <v>0.29933333333333328</v>
      </c>
      <c r="AR32" s="65">
        <f t="shared" si="90"/>
        <v>0.64466666666666661</v>
      </c>
      <c r="AS32" s="65">
        <f t="shared" si="90"/>
        <v>3.8000000000000006E-2</v>
      </c>
      <c r="AT32" s="65">
        <f t="shared" si="90"/>
        <v>0.252</v>
      </c>
      <c r="AU32" s="65">
        <f t="shared" si="90"/>
        <v>0.46</v>
      </c>
      <c r="AV32" s="65">
        <f t="shared" si="90"/>
        <v>0.48800000000000004</v>
      </c>
      <c r="AW32" s="192">
        <f t="shared" si="90"/>
        <v>53.4</v>
      </c>
      <c r="AX32" s="343"/>
      <c r="AY32" s="192">
        <f>AVERAGEIFS(AY$36:AY$167,$C$36:$C$167,"=3", $B$36:$B$167,"NO OFICIAL")</f>
        <v>8.5333333333333332</v>
      </c>
      <c r="AZ32" s="343"/>
      <c r="BA32" s="65">
        <f t="shared" ref="BA32:BH32" si="91">AVERAGEIFS(BA$36:BA$167,$C$36:$C$167,"=3", $B$36:$B$167,"NO OFICIAL")</f>
        <v>3.2666666666666663E-2</v>
      </c>
      <c r="BB32" s="65">
        <f t="shared" si="91"/>
        <v>0.3173333333333333</v>
      </c>
      <c r="BC32" s="65">
        <f t="shared" si="91"/>
        <v>0.61599999999999999</v>
      </c>
      <c r="BD32" s="65">
        <f t="shared" si="91"/>
        <v>3.4666666666666665E-2</v>
      </c>
      <c r="BE32" s="65">
        <f t="shared" si="91"/>
        <v>0.26599999999999996</v>
      </c>
      <c r="BF32" s="65">
        <f t="shared" si="91"/>
        <v>0.47733333333333333</v>
      </c>
      <c r="BG32" s="65">
        <f t="shared" si="91"/>
        <v>0.43600000000000005</v>
      </c>
      <c r="BH32" s="192">
        <f t="shared" si="91"/>
        <v>54.375</v>
      </c>
      <c r="BJ32" s="192">
        <f t="shared" ref="BJ32" si="92">AVERAGEIFS(BJ$36:BJ$167,$C$36:$C$167,"=3", $B$36:$B$167,"NO OFICIAL")</f>
        <v>9.5</v>
      </c>
      <c r="BL32" s="521">
        <f t="shared" ref="BL32:BS32" si="93">AVERAGEIFS(BL$36:BL$167,$C$36:$C$167,"=3", $B$36:$B$167,"NO OFICIAL")</f>
        <v>4.6875000000000007E-2</v>
      </c>
      <c r="BM32" s="521">
        <f t="shared" si="93"/>
        <v>0.28437499999999999</v>
      </c>
      <c r="BN32" s="521">
        <f t="shared" si="93"/>
        <v>0.6150000000000001</v>
      </c>
      <c r="BO32" s="521">
        <f t="shared" si="93"/>
        <v>5.8125000000000003E-2</v>
      </c>
      <c r="BP32" s="521">
        <f t="shared" si="93"/>
        <v>0.4812499999999999</v>
      </c>
      <c r="BQ32" s="521">
        <f t="shared" si="93"/>
        <v>0.54187500000000011</v>
      </c>
      <c r="BR32" s="521">
        <f t="shared" si="93"/>
        <v>0.32812500000000006</v>
      </c>
      <c r="BS32" s="192">
        <f t="shared" si="93"/>
        <v>54.6875</v>
      </c>
      <c r="BU32" s="192">
        <f t="shared" ref="BU32" si="94">AVERAGEIFS(BU$36:BU$167,$C$36:$C$167,"=3", $B$36:$B$167,"NO OFICIAL")</f>
        <v>9.9375</v>
      </c>
      <c r="BW32" s="521">
        <f t="shared" ref="BW32:CC32" si="95">AVERAGEIFS(BW$36:BW$167,$C$36:$C$167,"=3", $B$36:$B$167,"NO OFICIAL")</f>
        <v>5.5000000000000007E-2</v>
      </c>
      <c r="BX32" s="521">
        <f t="shared" si="95"/>
        <v>0.265625</v>
      </c>
      <c r="BY32" s="521">
        <f t="shared" si="95"/>
        <v>0.62374999999999992</v>
      </c>
      <c r="BZ32" s="521">
        <f t="shared" si="95"/>
        <v>5.5625000000000008E-2</v>
      </c>
      <c r="CA32" s="521">
        <f t="shared" si="95"/>
        <v>0.59625000000000006</v>
      </c>
      <c r="CB32" s="521">
        <f t="shared" si="95"/>
        <v>0.32687499999999997</v>
      </c>
      <c r="CC32" s="521">
        <f t="shared" si="95"/>
        <v>0.54249999999999998</v>
      </c>
    </row>
    <row r="33" spans="1:81" s="434" customFormat="1" ht="24.9" customHeight="1" x14ac:dyDescent="0.25">
      <c r="A33" s="6" t="s">
        <v>940</v>
      </c>
      <c r="B33" s="447"/>
      <c r="C33" s="447"/>
      <c r="D33" s="192">
        <f t="shared" ref="D33:AW33" si="96">AVERAGEIFS(D$36:D$167,$C$36:$C$167,"=4", $B$36:$B$167,"NO OFICIAL")</f>
        <v>49.25</v>
      </c>
      <c r="E33" s="192">
        <f t="shared" si="96"/>
        <v>8.5</v>
      </c>
      <c r="F33" s="65">
        <f t="shared" si="96"/>
        <v>0.13750000000000001</v>
      </c>
      <c r="G33" s="65">
        <f t="shared" si="96"/>
        <v>0.40250000000000002</v>
      </c>
      <c r="H33" s="65">
        <f t="shared" si="96"/>
        <v>0.46</v>
      </c>
      <c r="I33" s="65">
        <f t="shared" si="96"/>
        <v>0</v>
      </c>
      <c r="J33" s="65">
        <f t="shared" si="96"/>
        <v>0.55499999999999994</v>
      </c>
      <c r="K33" s="65">
        <f t="shared" si="96"/>
        <v>0.49625000000000002</v>
      </c>
      <c r="L33" s="65">
        <f t="shared" si="96"/>
        <v>0.59125000000000005</v>
      </c>
      <c r="M33" s="192">
        <f t="shared" si="96"/>
        <v>51.111111111111114</v>
      </c>
      <c r="N33" s="192">
        <f t="shared" si="96"/>
        <v>7.8888888888888893</v>
      </c>
      <c r="O33" s="65">
        <f t="shared" si="96"/>
        <v>9.1249999999999998E-2</v>
      </c>
      <c r="P33" s="65">
        <f t="shared" si="96"/>
        <v>0.35875000000000001</v>
      </c>
      <c r="Q33" s="65">
        <f t="shared" si="96"/>
        <v>0.54125000000000001</v>
      </c>
      <c r="R33" s="65">
        <f t="shared" si="96"/>
        <v>0.01</v>
      </c>
      <c r="S33" s="65">
        <f t="shared" si="96"/>
        <v>0.49125000000000002</v>
      </c>
      <c r="T33" s="65">
        <f t="shared" si="96"/>
        <v>0.55500000000000005</v>
      </c>
      <c r="U33" s="65">
        <f t="shared" si="96"/>
        <v>0.34250000000000003</v>
      </c>
      <c r="V33" s="192">
        <f t="shared" si="96"/>
        <v>52.666666666666664</v>
      </c>
      <c r="W33" s="192">
        <f t="shared" si="96"/>
        <v>8.2222222222222214</v>
      </c>
      <c r="X33" s="65">
        <f t="shared" si="96"/>
        <v>0.04</v>
      </c>
      <c r="Y33" s="65">
        <f t="shared" si="96"/>
        <v>0.31874999999999998</v>
      </c>
      <c r="Z33" s="65">
        <f t="shared" si="96"/>
        <v>0.63125000000000009</v>
      </c>
      <c r="AA33" s="65">
        <f t="shared" si="96"/>
        <v>0.01</v>
      </c>
      <c r="AB33" s="65">
        <f t="shared" si="96"/>
        <v>0.46500000000000002</v>
      </c>
      <c r="AC33" s="65">
        <f t="shared" si="96"/>
        <v>0.38</v>
      </c>
      <c r="AD33" s="65">
        <f t="shared" si="96"/>
        <v>0.50875000000000004</v>
      </c>
      <c r="AE33" s="192">
        <f t="shared" si="96"/>
        <v>51.75</v>
      </c>
      <c r="AF33" s="192">
        <f t="shared" si="96"/>
        <v>8.375</v>
      </c>
      <c r="AG33" s="65">
        <f t="shared" si="96"/>
        <v>4.4285714285714282E-2</v>
      </c>
      <c r="AH33" s="65">
        <f t="shared" si="96"/>
        <v>0.4271428571428571</v>
      </c>
      <c r="AI33" s="65">
        <f t="shared" si="96"/>
        <v>0.49857142857142861</v>
      </c>
      <c r="AJ33" s="65">
        <f t="shared" si="96"/>
        <v>2.8571428571428574E-2</v>
      </c>
      <c r="AK33" s="65">
        <f t="shared" si="96"/>
        <v>0.5485714285714286</v>
      </c>
      <c r="AL33" s="65">
        <f t="shared" si="96"/>
        <v>0.48714285714285716</v>
      </c>
      <c r="AM33" s="65">
        <f t="shared" si="96"/>
        <v>0.31714285714285717</v>
      </c>
      <c r="AN33" s="192">
        <f t="shared" si="96"/>
        <v>50.714285714285715</v>
      </c>
      <c r="AO33" s="192">
        <f t="shared" si="96"/>
        <v>9.1428571428571423</v>
      </c>
      <c r="AP33" s="65">
        <f t="shared" si="96"/>
        <v>4.1428571428571433E-2</v>
      </c>
      <c r="AQ33" s="65">
        <f t="shared" si="96"/>
        <v>0.4757142857142857</v>
      </c>
      <c r="AR33" s="65">
        <f t="shared" si="96"/>
        <v>0.44</v>
      </c>
      <c r="AS33" s="65">
        <f t="shared" si="96"/>
        <v>4.4285714285714282E-2</v>
      </c>
      <c r="AT33" s="65">
        <f t="shared" si="96"/>
        <v>0.28285714285714286</v>
      </c>
      <c r="AU33" s="65">
        <f t="shared" si="96"/>
        <v>0.55285714285714282</v>
      </c>
      <c r="AV33" s="65">
        <f t="shared" si="96"/>
        <v>0.52714285714285714</v>
      </c>
      <c r="AW33" s="192">
        <f t="shared" si="96"/>
        <v>49.5</v>
      </c>
      <c r="AX33" s="343"/>
      <c r="AY33" s="192">
        <f>AVERAGEIFS(AY$36:AY$167,$C$36:$C$167,"=4", $B$36:$B$167,"NO OFICIAL")</f>
        <v>8.25</v>
      </c>
      <c r="AZ33" s="343"/>
      <c r="BA33" s="65">
        <f t="shared" ref="BA33:BH33" si="97">AVERAGEIFS(BA$36:BA$167,$C$36:$C$167,"=4", $B$36:$B$167,"NO OFICIAL")</f>
        <v>6.5000000000000002E-2</v>
      </c>
      <c r="BB33" s="65">
        <f t="shared" si="97"/>
        <v>0.4425</v>
      </c>
      <c r="BC33" s="65">
        <f t="shared" si="97"/>
        <v>0.47749999999999998</v>
      </c>
      <c r="BD33" s="65">
        <f t="shared" si="97"/>
        <v>1.8749999999999999E-2</v>
      </c>
      <c r="BE33" s="65">
        <f t="shared" si="97"/>
        <v>0.35750000000000004</v>
      </c>
      <c r="BF33" s="65">
        <f t="shared" si="97"/>
        <v>0.51999999999999991</v>
      </c>
      <c r="BG33" s="65">
        <f t="shared" si="97"/>
        <v>0.50749999999999995</v>
      </c>
      <c r="BH33" s="192">
        <f t="shared" si="97"/>
        <v>52.5</v>
      </c>
      <c r="BJ33" s="192">
        <f t="shared" ref="BJ33" si="98">AVERAGEIFS(BJ$36:BJ$167,$C$36:$C$167,"=4", $B$36:$B$167,"NO OFICIAL")</f>
        <v>9.25</v>
      </c>
      <c r="BL33" s="521">
        <f t="shared" ref="BL33:BS33" si="99">AVERAGEIFS(BL$36:BL$167,$C$36:$C$167,"=4", $B$36:$B$167,"NO OFICIAL")</f>
        <v>4.8749999999999995E-2</v>
      </c>
      <c r="BM33" s="521">
        <f t="shared" si="99"/>
        <v>0.35625000000000007</v>
      </c>
      <c r="BN33" s="521">
        <f t="shared" si="99"/>
        <v>0.57250000000000001</v>
      </c>
      <c r="BO33" s="521">
        <f t="shared" si="99"/>
        <v>2.375E-2</v>
      </c>
      <c r="BP33" s="521">
        <f t="shared" si="99"/>
        <v>0.505</v>
      </c>
      <c r="BQ33" s="521">
        <f t="shared" si="99"/>
        <v>0.59124999999999994</v>
      </c>
      <c r="BR33" s="521">
        <f t="shared" si="99"/>
        <v>0.37375000000000003</v>
      </c>
      <c r="BS33" s="192">
        <f t="shared" si="99"/>
        <v>51</v>
      </c>
      <c r="BU33" s="192">
        <f t="shared" ref="BU33" si="100">AVERAGEIFS(BU$36:BU$167,$C$36:$C$167,"=4", $B$36:$B$167,"NO OFICIAL")</f>
        <v>9</v>
      </c>
      <c r="BW33" s="521">
        <f t="shared" ref="BW33:CC33" si="101">AVERAGEIFS(BW$36:BW$167,$C$36:$C$167,"=4", $B$36:$B$167,"NO OFICIAL")</f>
        <v>4.4444444444444446E-2</v>
      </c>
      <c r="BX33" s="521">
        <f t="shared" si="101"/>
        <v>0.40888888888888886</v>
      </c>
      <c r="BY33" s="521">
        <f t="shared" si="101"/>
        <v>0.52555555555555555</v>
      </c>
      <c r="BZ33" s="521">
        <f t="shared" si="101"/>
        <v>2.2222222222222223E-2</v>
      </c>
      <c r="CA33" s="521">
        <f t="shared" si="101"/>
        <v>0.60333333333333339</v>
      </c>
      <c r="CB33" s="521">
        <f t="shared" si="101"/>
        <v>0.40444444444444438</v>
      </c>
      <c r="CC33" s="521">
        <f t="shared" si="101"/>
        <v>0.60444444444444445</v>
      </c>
    </row>
    <row r="34" spans="1:81" s="434" customFormat="1" ht="24.9" customHeight="1" x14ac:dyDescent="0.25">
      <c r="A34" s="6" t="s">
        <v>941</v>
      </c>
      <c r="B34" s="447"/>
      <c r="C34" s="447"/>
      <c r="D34" s="192">
        <f t="shared" ref="D34:AW34" si="102">AVERAGEIFS(D$36:D$167,$C$36:$C$167,"=5", $B$36:$B$167,"NO OFICIAL")</f>
        <v>54.8</v>
      </c>
      <c r="E34" s="192">
        <f t="shared" si="102"/>
        <v>8.1999999999999993</v>
      </c>
      <c r="F34" s="65">
        <f t="shared" si="102"/>
        <v>2.1333333333333336E-2</v>
      </c>
      <c r="G34" s="65">
        <f t="shared" si="102"/>
        <v>0.29466666666666669</v>
      </c>
      <c r="H34" s="65">
        <f t="shared" si="102"/>
        <v>0.65800000000000003</v>
      </c>
      <c r="I34" s="65">
        <f t="shared" si="102"/>
        <v>2.6000000000000002E-2</v>
      </c>
      <c r="J34" s="65">
        <f t="shared" si="102"/>
        <v>0.48800000000000004</v>
      </c>
      <c r="K34" s="65">
        <f t="shared" si="102"/>
        <v>0.436</v>
      </c>
      <c r="L34" s="65">
        <f t="shared" si="102"/>
        <v>0.49599999999999994</v>
      </c>
      <c r="M34" s="192">
        <f t="shared" si="102"/>
        <v>55.133333333333333</v>
      </c>
      <c r="N34" s="192">
        <f t="shared" si="102"/>
        <v>9.4666666666666668</v>
      </c>
      <c r="O34" s="65">
        <f t="shared" si="102"/>
        <v>3.4666666666666665E-2</v>
      </c>
      <c r="P34" s="65">
        <f t="shared" si="102"/>
        <v>0.26800000000000002</v>
      </c>
      <c r="Q34" s="65">
        <f t="shared" si="102"/>
        <v>0.65066666666666662</v>
      </c>
      <c r="R34" s="65">
        <f t="shared" si="102"/>
        <v>4.6000000000000013E-2</v>
      </c>
      <c r="S34" s="65">
        <f t="shared" si="102"/>
        <v>0.43533333333333335</v>
      </c>
      <c r="T34" s="65">
        <f t="shared" si="102"/>
        <v>0.49600000000000005</v>
      </c>
      <c r="U34" s="65">
        <f t="shared" si="102"/>
        <v>0.31200000000000006</v>
      </c>
      <c r="V34" s="192">
        <f t="shared" si="102"/>
        <v>55.3125</v>
      </c>
      <c r="W34" s="192">
        <f t="shared" si="102"/>
        <v>8.4375</v>
      </c>
      <c r="X34" s="65">
        <f t="shared" si="102"/>
        <v>1.9333333333333334E-2</v>
      </c>
      <c r="Y34" s="65">
        <f t="shared" si="102"/>
        <v>0.30800000000000005</v>
      </c>
      <c r="Z34" s="65">
        <f t="shared" si="102"/>
        <v>0.62333333333333329</v>
      </c>
      <c r="AA34" s="65">
        <f t="shared" si="102"/>
        <v>4.9333333333333333E-2</v>
      </c>
      <c r="AB34" s="65">
        <f t="shared" si="102"/>
        <v>0.42866666666666664</v>
      </c>
      <c r="AC34" s="65">
        <f t="shared" si="102"/>
        <v>0.34266666666666673</v>
      </c>
      <c r="AD34" s="65">
        <f t="shared" si="102"/>
        <v>0.47133333333333344</v>
      </c>
      <c r="AE34" s="192">
        <f t="shared" si="102"/>
        <v>55.764705882352942</v>
      </c>
      <c r="AF34" s="192">
        <f t="shared" si="102"/>
        <v>8.4705882352941178</v>
      </c>
      <c r="AG34" s="65">
        <f t="shared" si="102"/>
        <v>1.3749999999999998E-2</v>
      </c>
      <c r="AH34" s="65">
        <f t="shared" si="102"/>
        <v>0.26499999999999996</v>
      </c>
      <c r="AI34" s="65">
        <f t="shared" si="102"/>
        <v>0.6712499999999999</v>
      </c>
      <c r="AJ34" s="65">
        <f t="shared" si="102"/>
        <v>5.000000000000001E-2</v>
      </c>
      <c r="AK34" s="65">
        <f t="shared" si="102"/>
        <v>0.47500000000000003</v>
      </c>
      <c r="AL34" s="65">
        <f t="shared" si="102"/>
        <v>0.40749999999999997</v>
      </c>
      <c r="AM34" s="65">
        <f t="shared" si="102"/>
        <v>0.24375000000000002</v>
      </c>
      <c r="AN34" s="192">
        <f t="shared" si="102"/>
        <v>56.4375</v>
      </c>
      <c r="AO34" s="192">
        <f t="shared" si="102"/>
        <v>9.125</v>
      </c>
      <c r="AP34" s="65">
        <f t="shared" si="102"/>
        <v>1.6875000000000001E-2</v>
      </c>
      <c r="AQ34" s="65">
        <f t="shared" si="102"/>
        <v>0.24312500000000001</v>
      </c>
      <c r="AR34" s="65">
        <f t="shared" si="102"/>
        <v>0.69625000000000004</v>
      </c>
      <c r="AS34" s="65">
        <f t="shared" si="102"/>
        <v>4.5000000000000005E-2</v>
      </c>
      <c r="AT34" s="65">
        <f t="shared" si="102"/>
        <v>0.21625</v>
      </c>
      <c r="AU34" s="65">
        <f t="shared" si="102"/>
        <v>0.44750000000000001</v>
      </c>
      <c r="AV34" s="65">
        <f t="shared" si="102"/>
        <v>0.43687500000000001</v>
      </c>
      <c r="AW34" s="192">
        <f t="shared" si="102"/>
        <v>54.75</v>
      </c>
      <c r="AX34" s="343"/>
      <c r="AY34" s="192">
        <f>AVERAGEIFS(AY$36:AY$167,$C$36:$C$167,"=5", $B$36:$B$167,"NO OFICIAL")</f>
        <v>8.9375</v>
      </c>
      <c r="AZ34" s="343"/>
      <c r="BA34" s="65">
        <f t="shared" ref="BA34:BH34" si="103">AVERAGEIFS(BA$36:BA$167,$C$36:$C$167,"=5", $B$36:$B$167,"NO OFICIAL")</f>
        <v>2.3125000000000003E-2</v>
      </c>
      <c r="BB34" s="65">
        <f t="shared" si="103"/>
        <v>0.31687500000000002</v>
      </c>
      <c r="BC34" s="65">
        <f t="shared" si="103"/>
        <v>0.61187499999999995</v>
      </c>
      <c r="BD34" s="65">
        <f t="shared" si="103"/>
        <v>4.6875000000000014E-2</v>
      </c>
      <c r="BE34" s="65">
        <f t="shared" si="103"/>
        <v>0.23875000000000005</v>
      </c>
      <c r="BF34" s="65">
        <f t="shared" si="103"/>
        <v>0.46875</v>
      </c>
      <c r="BG34" s="65">
        <f t="shared" si="103"/>
        <v>0.42125000000000001</v>
      </c>
      <c r="BH34" s="192">
        <f t="shared" si="103"/>
        <v>56.333333333333336</v>
      </c>
      <c r="BJ34" s="192">
        <f t="shared" ref="BJ34" si="104">AVERAGEIFS(BJ$36:BJ$167,$C$36:$C$167,"=5", $B$36:$B$167,"NO OFICIAL")</f>
        <v>9.0666666666666664</v>
      </c>
      <c r="BL34" s="521">
        <f t="shared" ref="BL34:BS34" si="105">AVERAGEIFS(BL$36:BL$167,$C$36:$C$167,"=5", $B$36:$B$167,"NO OFICIAL")</f>
        <v>2.4E-2</v>
      </c>
      <c r="BM34" s="521">
        <f t="shared" si="105"/>
        <v>0.21733333333333335</v>
      </c>
      <c r="BN34" s="521">
        <f t="shared" si="105"/>
        <v>0.70733333333333326</v>
      </c>
      <c r="BO34" s="521">
        <f t="shared" si="105"/>
        <v>5.2000000000000005E-2</v>
      </c>
      <c r="BP34" s="521">
        <f t="shared" si="105"/>
        <v>0.43866666666666665</v>
      </c>
      <c r="BQ34" s="521">
        <f t="shared" si="105"/>
        <v>0.52</v>
      </c>
      <c r="BR34" s="521">
        <f t="shared" si="105"/>
        <v>0.31266666666666676</v>
      </c>
      <c r="BS34" s="192">
        <f t="shared" si="105"/>
        <v>56.4</v>
      </c>
      <c r="BU34" s="192">
        <f t="shared" ref="BU34" si="106">AVERAGEIFS(BU$36:BU$167,$C$36:$C$167,"=5", $B$36:$B$167,"NO OFICIAL")</f>
        <v>9</v>
      </c>
      <c r="BW34" s="521">
        <f t="shared" ref="BW34:CC34" si="107">AVERAGEIFS(BW$36:BW$167,$C$36:$C$167,"=5", $B$36:$B$167,"NO OFICIAL")</f>
        <v>2.1333333333333336E-2</v>
      </c>
      <c r="BX34" s="521">
        <f t="shared" si="107"/>
        <v>0.26199999999999996</v>
      </c>
      <c r="BY34" s="521">
        <f t="shared" si="107"/>
        <v>0.63800000000000001</v>
      </c>
      <c r="BZ34" s="521">
        <f t="shared" si="107"/>
        <v>7.8666666666666676E-2</v>
      </c>
      <c r="CA34" s="521">
        <f t="shared" si="107"/>
        <v>0.56866666666666665</v>
      </c>
      <c r="CB34" s="521">
        <f t="shared" si="107"/>
        <v>0.29199999999999998</v>
      </c>
      <c r="CC34" s="521">
        <f t="shared" si="107"/>
        <v>0.53</v>
      </c>
    </row>
    <row r="35" spans="1:81" s="434" customFormat="1" ht="24.9" customHeight="1" x14ac:dyDescent="0.25">
      <c r="A35" s="6" t="s">
        <v>942</v>
      </c>
      <c r="B35" s="447"/>
      <c r="C35" s="447"/>
      <c r="D35" s="192">
        <f t="shared" ref="D35:AW35" si="108">AVERAGEIFS(D$36:D$167,$C$36:$C$167,"=6", $B$36:$B$167,"NO OFICIAL")</f>
        <v>52.583333333333336</v>
      </c>
      <c r="E35" s="192">
        <f t="shared" si="108"/>
        <v>7.5</v>
      </c>
      <c r="F35" s="65">
        <f t="shared" si="108"/>
        <v>0.10083333333333333</v>
      </c>
      <c r="G35" s="65">
        <f t="shared" si="108"/>
        <v>0.30499999999999999</v>
      </c>
      <c r="H35" s="65">
        <f t="shared" si="108"/>
        <v>0.58250000000000002</v>
      </c>
      <c r="I35" s="65">
        <f t="shared" si="108"/>
        <v>1.0833333333333332E-2</v>
      </c>
      <c r="J35" s="65">
        <f t="shared" si="108"/>
        <v>0.52166666666666661</v>
      </c>
      <c r="K35" s="65">
        <f t="shared" si="108"/>
        <v>0.435</v>
      </c>
      <c r="L35" s="65">
        <f t="shared" si="108"/>
        <v>0.52249999999999996</v>
      </c>
      <c r="M35" s="192">
        <f t="shared" si="108"/>
        <v>50.916666666666664</v>
      </c>
      <c r="N35" s="192">
        <f t="shared" si="108"/>
        <v>10</v>
      </c>
      <c r="O35" s="65">
        <f t="shared" si="108"/>
        <v>8.9166666666666672E-2</v>
      </c>
      <c r="P35" s="65">
        <f t="shared" si="108"/>
        <v>0.3833333333333333</v>
      </c>
      <c r="Q35" s="65">
        <f t="shared" si="108"/>
        <v>0.5083333333333333</v>
      </c>
      <c r="R35" s="65">
        <f t="shared" si="108"/>
        <v>0.02</v>
      </c>
      <c r="S35" s="65">
        <f t="shared" si="108"/>
        <v>0.4916666666666667</v>
      </c>
      <c r="T35" s="65">
        <f t="shared" si="108"/>
        <v>0.5591666666666667</v>
      </c>
      <c r="U35" s="65">
        <f t="shared" si="108"/>
        <v>0.36749999999999994</v>
      </c>
      <c r="V35" s="192">
        <f t="shared" si="108"/>
        <v>52.454545454545453</v>
      </c>
      <c r="W35" s="192">
        <f t="shared" si="108"/>
        <v>8.545454545454545</v>
      </c>
      <c r="X35" s="65">
        <f t="shared" si="108"/>
        <v>2.5384615384615387E-2</v>
      </c>
      <c r="Y35" s="65">
        <f t="shared" si="108"/>
        <v>0.40692307692307694</v>
      </c>
      <c r="Z35" s="65">
        <f t="shared" si="108"/>
        <v>0.55153846153846153</v>
      </c>
      <c r="AA35" s="65">
        <f t="shared" si="108"/>
        <v>1.7692307692307695E-2</v>
      </c>
      <c r="AB35" s="65">
        <f t="shared" si="108"/>
        <v>0.4992307692307692</v>
      </c>
      <c r="AC35" s="65">
        <f t="shared" si="108"/>
        <v>0.36538461538461536</v>
      </c>
      <c r="AD35" s="65">
        <f t="shared" si="108"/>
        <v>0.5146153846153847</v>
      </c>
      <c r="AE35" s="192">
        <f t="shared" si="108"/>
        <v>54</v>
      </c>
      <c r="AF35" s="192">
        <f t="shared" si="108"/>
        <v>10.916666666666666</v>
      </c>
      <c r="AG35" s="65">
        <f t="shared" si="108"/>
        <v>4.1428571428571433E-2</v>
      </c>
      <c r="AH35" s="65">
        <f t="shared" si="108"/>
        <v>0.35428571428571437</v>
      </c>
      <c r="AI35" s="65">
        <f t="shared" si="108"/>
        <v>0.56571428571428561</v>
      </c>
      <c r="AJ35" s="65">
        <f t="shared" si="108"/>
        <v>3.7142857142857144E-2</v>
      </c>
      <c r="AK35" s="65">
        <f t="shared" si="108"/>
        <v>0.51642857142857157</v>
      </c>
      <c r="AL35" s="65">
        <f t="shared" si="108"/>
        <v>0.44928571428571434</v>
      </c>
      <c r="AM35" s="65">
        <f t="shared" si="108"/>
        <v>0.29214285714285715</v>
      </c>
      <c r="AN35" s="192">
        <f t="shared" si="108"/>
        <v>52</v>
      </c>
      <c r="AO35" s="192">
        <f t="shared" si="108"/>
        <v>8.9285714285714288</v>
      </c>
      <c r="AP35" s="65">
        <f t="shared" si="108"/>
        <v>3.214285714285714E-2</v>
      </c>
      <c r="AQ35" s="65">
        <f t="shared" si="108"/>
        <v>0.37285714285714278</v>
      </c>
      <c r="AR35" s="65">
        <f t="shared" si="108"/>
        <v>0.56714285714285706</v>
      </c>
      <c r="AS35" s="65">
        <f t="shared" si="108"/>
        <v>2.7857142857142858E-2</v>
      </c>
      <c r="AT35" s="65">
        <f t="shared" si="108"/>
        <v>0.29571428571428571</v>
      </c>
      <c r="AU35" s="65">
        <f t="shared" si="108"/>
        <v>0.51428571428571435</v>
      </c>
      <c r="AV35" s="65">
        <f t="shared" si="108"/>
        <v>0.50142857142857145</v>
      </c>
      <c r="AW35" s="192">
        <f t="shared" si="108"/>
        <v>51.928571428571431</v>
      </c>
      <c r="AX35" s="343"/>
      <c r="AY35" s="192">
        <f>AVERAGEIFS(AY$36:AY$167,$C$36:$C$167,"=6", $B$36:$B$167,"NO OFICIAL")</f>
        <v>7.2857142857142856</v>
      </c>
      <c r="AZ35" s="343"/>
      <c r="BA35" s="65">
        <f t="shared" ref="BA35:BH35" si="109">AVERAGEIFS(BA$36:BA$167,$C$36:$C$167,"=6", $B$36:$B$167,"NO OFICIAL")</f>
        <v>3.2857142857142856E-2</v>
      </c>
      <c r="BB35" s="65">
        <f t="shared" si="109"/>
        <v>0.44214285714285717</v>
      </c>
      <c r="BC35" s="65">
        <f t="shared" si="109"/>
        <v>0.49142857142857144</v>
      </c>
      <c r="BD35" s="65">
        <f t="shared" si="109"/>
        <v>3.2857142857142863E-2</v>
      </c>
      <c r="BE35" s="65">
        <f t="shared" si="109"/>
        <v>0.255</v>
      </c>
      <c r="BF35" s="65">
        <f t="shared" si="109"/>
        <v>0.51714285714285713</v>
      </c>
      <c r="BG35" s="65">
        <f t="shared" si="109"/>
        <v>0.48285714285714276</v>
      </c>
      <c r="BH35" s="192">
        <f t="shared" si="109"/>
        <v>52.1875</v>
      </c>
      <c r="BJ35" s="192">
        <f t="shared" ref="BJ35" si="110">AVERAGEIFS(BJ$36:BJ$167,$C$36:$C$167,"=6", $B$36:$B$167,"NO OFICIAL")</f>
        <v>10</v>
      </c>
      <c r="BL35" s="521">
        <f t="shared" ref="BL35:BS35" si="111">AVERAGEIFS(BL$36:BL$167,$C$36:$C$167,"=6", $B$36:$B$167,"NO OFICIAL")</f>
        <v>7.9375000000000001E-2</v>
      </c>
      <c r="BM35" s="521">
        <f t="shared" si="111"/>
        <v>0.35812500000000003</v>
      </c>
      <c r="BN35" s="521">
        <f t="shared" si="111"/>
        <v>0.51249999999999984</v>
      </c>
      <c r="BO35" s="521">
        <f t="shared" si="111"/>
        <v>5.3125000000000006E-2</v>
      </c>
      <c r="BP35" s="521">
        <f t="shared" si="111"/>
        <v>0.52124999999999999</v>
      </c>
      <c r="BQ35" s="521">
        <f t="shared" si="111"/>
        <v>0.59499999999999997</v>
      </c>
      <c r="BR35" s="521">
        <f t="shared" si="111"/>
        <v>0.390625</v>
      </c>
      <c r="BS35" s="192">
        <f t="shared" si="111"/>
        <v>53.941176470588232</v>
      </c>
      <c r="BU35" s="192">
        <f t="shared" ref="BU35" si="112">AVERAGEIFS(BU$36:BU$167,$C$36:$C$167,"=6", $B$36:$B$167,"NO OFICIAL")</f>
        <v>8.5294117647058822</v>
      </c>
      <c r="BW35" s="521">
        <f t="shared" ref="BW35:CC35" si="113">AVERAGEIFS(BW$36:BW$167,$C$36:$C$167,"=6", $B$36:$B$167,"NO OFICIAL")</f>
        <v>4.0000000000000008E-2</v>
      </c>
      <c r="BX35" s="521">
        <f t="shared" si="113"/>
        <v>0.26647058823529407</v>
      </c>
      <c r="BY35" s="521">
        <f t="shared" si="113"/>
        <v>0.64941176470588236</v>
      </c>
      <c r="BZ35" s="521">
        <f t="shared" si="113"/>
        <v>4.4705882352941193E-2</v>
      </c>
      <c r="CA35" s="521">
        <f t="shared" si="113"/>
        <v>0.60058823529411764</v>
      </c>
      <c r="CB35" s="521">
        <f t="shared" si="113"/>
        <v>0.34470588235294114</v>
      </c>
      <c r="CC35" s="521">
        <f t="shared" si="113"/>
        <v>0.56470588235294128</v>
      </c>
    </row>
    <row r="36" spans="1:81" ht="24.9" customHeight="1" x14ac:dyDescent="0.25">
      <c r="A36" s="188" t="s">
        <v>29</v>
      </c>
      <c r="B36" s="1" t="s">
        <v>222</v>
      </c>
      <c r="C36" s="2">
        <v>2</v>
      </c>
      <c r="D36" s="16">
        <v>51</v>
      </c>
      <c r="E36" s="16">
        <v>9</v>
      </c>
      <c r="F36" s="99">
        <v>0.06</v>
      </c>
      <c r="G36" s="99">
        <v>0.46</v>
      </c>
      <c r="H36" s="99">
        <v>0.49</v>
      </c>
      <c r="I36" s="99">
        <v>0</v>
      </c>
      <c r="J36" s="99">
        <v>0.54</v>
      </c>
      <c r="K36" s="99">
        <v>0.47</v>
      </c>
      <c r="L36" s="99">
        <v>0.57999999999999996</v>
      </c>
      <c r="M36" s="16">
        <v>50</v>
      </c>
      <c r="N36" s="16">
        <v>9</v>
      </c>
      <c r="O36" s="66">
        <v>0.03</v>
      </c>
      <c r="P36" s="66">
        <v>0.47</v>
      </c>
      <c r="Q36" s="66">
        <v>0.48</v>
      </c>
      <c r="R36" s="66">
        <v>0.01</v>
      </c>
      <c r="S36" s="66">
        <v>0.48</v>
      </c>
      <c r="T36" s="66">
        <v>0.6</v>
      </c>
      <c r="U36" s="66">
        <v>0.39</v>
      </c>
      <c r="V36" s="16">
        <v>51</v>
      </c>
      <c r="W36" s="16">
        <v>8</v>
      </c>
      <c r="X36" s="99">
        <v>0.02</v>
      </c>
      <c r="Y36" s="99">
        <v>0.45</v>
      </c>
      <c r="Z36" s="99">
        <v>0.54</v>
      </c>
      <c r="AA36" s="99">
        <v>0</v>
      </c>
      <c r="AB36" s="99">
        <v>0.52</v>
      </c>
      <c r="AC36" s="99">
        <v>0.38</v>
      </c>
      <c r="AD36" s="99">
        <v>0.54</v>
      </c>
      <c r="AE36" s="16">
        <v>51</v>
      </c>
      <c r="AF36" s="16">
        <v>9</v>
      </c>
      <c r="AG36" s="99">
        <v>0.04</v>
      </c>
      <c r="AH36" s="99">
        <v>0.38</v>
      </c>
      <c r="AI36" s="99">
        <v>0.56000000000000005</v>
      </c>
      <c r="AJ36" s="99">
        <v>0.01</v>
      </c>
      <c r="AK36" s="99">
        <v>0.56000000000000005</v>
      </c>
      <c r="AL36" s="99">
        <v>0.48</v>
      </c>
      <c r="AM36" s="99">
        <v>0.31</v>
      </c>
      <c r="AN36" s="61">
        <v>54</v>
      </c>
      <c r="AO36" s="61">
        <v>11</v>
      </c>
      <c r="AP36" s="66">
        <v>0.03</v>
      </c>
      <c r="AQ36" s="66">
        <v>0.37</v>
      </c>
      <c r="AR36" s="66">
        <v>0.51</v>
      </c>
      <c r="AS36" s="66">
        <v>0.08</v>
      </c>
      <c r="AT36" s="66">
        <v>0.28999999999999998</v>
      </c>
      <c r="AU36" s="66">
        <v>0.46</v>
      </c>
      <c r="AV36" s="66">
        <v>0.49</v>
      </c>
      <c r="AW36" s="349">
        <v>51</v>
      </c>
      <c r="AX36" s="348" t="s">
        <v>910</v>
      </c>
      <c r="AY36" s="349">
        <v>9</v>
      </c>
      <c r="AZ36" s="348" t="s">
        <v>910</v>
      </c>
      <c r="BA36" s="371">
        <v>7.0000000000000007E-2</v>
      </c>
      <c r="BB36" s="371">
        <v>0.38</v>
      </c>
      <c r="BC36" s="371">
        <v>0.52</v>
      </c>
      <c r="BD36" s="371">
        <v>0.03</v>
      </c>
      <c r="BE36" s="371">
        <v>0.26</v>
      </c>
      <c r="BF36" s="371">
        <v>0.53</v>
      </c>
      <c r="BG36" s="371">
        <v>0.48</v>
      </c>
    </row>
    <row r="37" spans="1:81" s="53" customFormat="1" ht="24.9" customHeight="1" x14ac:dyDescent="0.25">
      <c r="A37" s="189" t="s">
        <v>272</v>
      </c>
      <c r="B37" s="15" t="s">
        <v>222</v>
      </c>
      <c r="C37" s="2">
        <v>2</v>
      </c>
      <c r="D37" s="13" t="s">
        <v>226</v>
      </c>
      <c r="E37" s="13" t="s">
        <v>226</v>
      </c>
      <c r="F37" s="13"/>
      <c r="G37" s="13"/>
      <c r="H37" s="13"/>
      <c r="I37" s="13"/>
      <c r="J37" s="13"/>
      <c r="K37" s="13"/>
      <c r="L37" s="13"/>
      <c r="M37" s="13" t="s">
        <v>226</v>
      </c>
      <c r="N37" s="13" t="s">
        <v>226</v>
      </c>
      <c r="O37" s="66"/>
      <c r="P37" s="66"/>
      <c r="Q37" s="66"/>
      <c r="R37" s="66"/>
      <c r="S37" s="66"/>
      <c r="T37" s="66"/>
      <c r="U37" s="66"/>
      <c r="V37" s="13" t="s">
        <v>226</v>
      </c>
      <c r="W37" s="13" t="s">
        <v>226</v>
      </c>
      <c r="X37" s="13"/>
      <c r="Y37" s="13"/>
      <c r="Z37" s="13"/>
      <c r="AA37" s="13"/>
      <c r="AB37" s="13"/>
      <c r="AC37" s="13"/>
      <c r="AD37" s="13"/>
      <c r="AE37" s="13" t="s">
        <v>226</v>
      </c>
      <c r="AF37" s="13" t="s">
        <v>226</v>
      </c>
      <c r="AG37" s="13"/>
      <c r="AH37" s="13"/>
      <c r="AI37" s="13"/>
      <c r="AJ37" s="13"/>
      <c r="AK37" s="13"/>
      <c r="AL37" s="13"/>
      <c r="AM37" s="13"/>
      <c r="AN37" s="61">
        <v>45</v>
      </c>
      <c r="AO37" s="61">
        <v>3</v>
      </c>
      <c r="AP37" s="66">
        <v>0</v>
      </c>
      <c r="AQ37" s="66">
        <v>1</v>
      </c>
      <c r="AR37" s="66">
        <v>0</v>
      </c>
      <c r="AS37" s="66">
        <v>0</v>
      </c>
      <c r="AT37" s="66">
        <v>0.28999999999999998</v>
      </c>
      <c r="AU37" s="66">
        <v>0.5</v>
      </c>
      <c r="AV37" s="66">
        <v>1</v>
      </c>
      <c r="AW37" s="349">
        <v>52</v>
      </c>
      <c r="AX37" s="348" t="s">
        <v>910</v>
      </c>
      <c r="AY37" s="349">
        <v>0</v>
      </c>
      <c r="AZ37" s="348" t="s">
        <v>912</v>
      </c>
      <c r="BA37" s="371">
        <v>0</v>
      </c>
      <c r="BB37" s="371">
        <v>0</v>
      </c>
      <c r="BC37" s="371">
        <v>1</v>
      </c>
      <c r="BD37" s="371">
        <v>0</v>
      </c>
      <c r="BE37" s="371">
        <v>0.33</v>
      </c>
      <c r="BF37" s="371">
        <v>0.53</v>
      </c>
      <c r="BG37" s="371">
        <v>0.5</v>
      </c>
      <c r="BH37" s="469">
        <v>45</v>
      </c>
      <c r="BI37" s="471" t="s">
        <v>912</v>
      </c>
      <c r="BJ37" s="469">
        <v>18</v>
      </c>
      <c r="BK37" s="471" t="s">
        <v>911</v>
      </c>
      <c r="BL37" s="501">
        <v>0.33</v>
      </c>
      <c r="BM37" s="501">
        <v>0.33</v>
      </c>
      <c r="BN37" s="501">
        <v>0.33</v>
      </c>
      <c r="BO37" s="501">
        <v>0</v>
      </c>
      <c r="BP37" s="501">
        <v>0.48</v>
      </c>
      <c r="BQ37" s="501">
        <v>0.64</v>
      </c>
      <c r="BR37" s="501">
        <v>0.57999999999999996</v>
      </c>
      <c r="BS37" s="630">
        <v>44</v>
      </c>
      <c r="BT37" s="640" t="s">
        <v>912</v>
      </c>
      <c r="BU37" s="630">
        <v>0</v>
      </c>
      <c r="BV37" s="640" t="s">
        <v>912</v>
      </c>
      <c r="BW37" s="644">
        <v>0</v>
      </c>
      <c r="BX37" s="644">
        <v>1</v>
      </c>
      <c r="BY37" s="644">
        <v>0</v>
      </c>
      <c r="BZ37" s="644">
        <v>0</v>
      </c>
      <c r="CA37" s="644">
        <v>0.6</v>
      </c>
      <c r="CB37" s="644">
        <v>0.25</v>
      </c>
      <c r="CC37" s="644">
        <v>0.75</v>
      </c>
    </row>
    <row r="38" spans="1:81" s="461" customFormat="1" ht="24.9" customHeight="1" x14ac:dyDescent="0.25">
      <c r="A38" s="470" t="s">
        <v>952</v>
      </c>
      <c r="B38" s="15" t="s">
        <v>222</v>
      </c>
      <c r="C38" s="471">
        <v>2</v>
      </c>
      <c r="D38" s="505"/>
      <c r="E38" s="505"/>
      <c r="F38" s="505"/>
      <c r="G38" s="505"/>
      <c r="H38" s="505"/>
      <c r="I38" s="505"/>
      <c r="J38" s="505"/>
      <c r="K38" s="505"/>
      <c r="L38" s="505"/>
      <c r="M38" s="505"/>
      <c r="N38" s="505"/>
      <c r="O38" s="506"/>
      <c r="P38" s="506"/>
      <c r="Q38" s="506"/>
      <c r="R38" s="506"/>
      <c r="S38" s="506"/>
      <c r="T38" s="506"/>
      <c r="U38" s="506"/>
      <c r="V38" s="505"/>
      <c r="W38" s="505"/>
      <c r="X38" s="505"/>
      <c r="Y38" s="505"/>
      <c r="Z38" s="505"/>
      <c r="AA38" s="505"/>
      <c r="AB38" s="505"/>
      <c r="AC38" s="505"/>
      <c r="AD38" s="505"/>
      <c r="AE38" s="505"/>
      <c r="AF38" s="505"/>
      <c r="AG38" s="505"/>
      <c r="AH38" s="505"/>
      <c r="AI38" s="505"/>
      <c r="AJ38" s="505"/>
      <c r="AK38" s="505"/>
      <c r="AL38" s="505"/>
      <c r="AM38" s="505"/>
      <c r="AN38" s="472"/>
      <c r="AO38" s="472"/>
      <c r="AP38" s="506"/>
      <c r="AQ38" s="506"/>
      <c r="AR38" s="506"/>
      <c r="AS38" s="506"/>
      <c r="AT38" s="506"/>
      <c r="AU38" s="506"/>
      <c r="AV38" s="506"/>
      <c r="AW38" s="475"/>
      <c r="AX38" s="493"/>
      <c r="AY38" s="475"/>
      <c r="AZ38" s="493"/>
      <c r="BA38" s="507"/>
      <c r="BB38" s="507"/>
      <c r="BC38" s="507"/>
      <c r="BD38" s="507"/>
      <c r="BE38" s="507"/>
      <c r="BF38" s="507"/>
      <c r="BG38" s="507"/>
      <c r="BH38" s="469">
        <v>41</v>
      </c>
      <c r="BI38" s="471" t="s">
        <v>912</v>
      </c>
      <c r="BJ38" s="469">
        <v>9</v>
      </c>
      <c r="BK38" s="471" t="s">
        <v>910</v>
      </c>
      <c r="BL38" s="501">
        <v>0.5</v>
      </c>
      <c r="BM38" s="501">
        <v>0.38</v>
      </c>
      <c r="BN38" s="501">
        <v>0.13</v>
      </c>
      <c r="BO38" s="501">
        <v>0</v>
      </c>
      <c r="BP38" s="501">
        <v>0.75</v>
      </c>
      <c r="BQ38" s="501">
        <v>0.63</v>
      </c>
      <c r="BR38" s="501">
        <v>0.69</v>
      </c>
      <c r="BS38" s="630">
        <v>38</v>
      </c>
      <c r="BT38" s="640" t="s">
        <v>912</v>
      </c>
      <c r="BU38" s="630">
        <v>9</v>
      </c>
      <c r="BV38" s="640" t="s">
        <v>910</v>
      </c>
      <c r="BW38" s="644">
        <v>0.25</v>
      </c>
      <c r="BX38" s="644">
        <v>0.75</v>
      </c>
      <c r="BY38" s="644">
        <v>0</v>
      </c>
      <c r="BZ38" s="644">
        <v>0</v>
      </c>
      <c r="CA38" s="644">
        <v>0.89</v>
      </c>
      <c r="CB38" s="644">
        <v>0.75</v>
      </c>
      <c r="CC38" s="644">
        <v>0.75</v>
      </c>
    </row>
    <row r="39" spans="1:81" ht="24.9" customHeight="1" x14ac:dyDescent="0.25">
      <c r="A39" s="188" t="s">
        <v>34</v>
      </c>
      <c r="B39" s="1" t="s">
        <v>222</v>
      </c>
      <c r="C39" s="2">
        <v>3</v>
      </c>
      <c r="D39" s="16">
        <v>52</v>
      </c>
      <c r="E39" s="16">
        <v>6</v>
      </c>
      <c r="F39" s="99">
        <v>0</v>
      </c>
      <c r="G39" s="99">
        <v>0.43</v>
      </c>
      <c r="H39" s="99">
        <v>0.56999999999999995</v>
      </c>
      <c r="I39" s="99">
        <v>0</v>
      </c>
      <c r="J39" s="99">
        <v>0.52</v>
      </c>
      <c r="K39" s="99">
        <v>0.51</v>
      </c>
      <c r="L39" s="99">
        <v>0.55000000000000004</v>
      </c>
      <c r="M39" s="16">
        <v>49</v>
      </c>
      <c r="N39" s="16">
        <v>9</v>
      </c>
      <c r="O39" s="66">
        <v>7.0000000000000007E-2</v>
      </c>
      <c r="P39" s="66">
        <v>0.4</v>
      </c>
      <c r="Q39" s="66">
        <v>0.52</v>
      </c>
      <c r="R39" s="66">
        <v>0.02</v>
      </c>
      <c r="S39" s="66">
        <v>0.51</v>
      </c>
      <c r="T39" s="66">
        <v>0.6</v>
      </c>
      <c r="U39" s="66">
        <v>0.4</v>
      </c>
      <c r="V39" s="16">
        <v>49</v>
      </c>
      <c r="W39" s="16">
        <v>10</v>
      </c>
      <c r="X39" s="99">
        <v>0.04</v>
      </c>
      <c r="Y39" s="99">
        <v>0.46</v>
      </c>
      <c r="Z39" s="99">
        <v>0.5</v>
      </c>
      <c r="AA39" s="99">
        <v>0</v>
      </c>
      <c r="AB39" s="99">
        <v>0.54</v>
      </c>
      <c r="AC39" s="99">
        <v>0.4</v>
      </c>
      <c r="AD39" s="99">
        <v>0.59</v>
      </c>
      <c r="AE39" s="16">
        <v>49</v>
      </c>
      <c r="AF39" s="16">
        <v>8</v>
      </c>
      <c r="AG39" s="99">
        <v>0.08</v>
      </c>
      <c r="AH39" s="99">
        <v>0.56000000000000005</v>
      </c>
      <c r="AI39" s="99">
        <v>0.35</v>
      </c>
      <c r="AJ39" s="99">
        <v>0</v>
      </c>
      <c r="AK39" s="99">
        <v>0.6</v>
      </c>
      <c r="AL39" s="99">
        <v>0.49</v>
      </c>
      <c r="AM39" s="99">
        <v>0.35</v>
      </c>
      <c r="AN39" s="61">
        <v>52</v>
      </c>
      <c r="AO39" s="61">
        <v>10</v>
      </c>
      <c r="AP39" s="66">
        <v>0.05</v>
      </c>
      <c r="AQ39" s="66">
        <v>0.38</v>
      </c>
      <c r="AR39" s="66">
        <v>0.52</v>
      </c>
      <c r="AS39" s="66">
        <v>0.05</v>
      </c>
      <c r="AT39" s="66">
        <v>0.28000000000000003</v>
      </c>
      <c r="AU39" s="66">
        <v>0.51</v>
      </c>
      <c r="AV39" s="66">
        <v>0.55000000000000004</v>
      </c>
      <c r="AW39" s="349">
        <v>51</v>
      </c>
      <c r="AX39" s="348" t="s">
        <v>910</v>
      </c>
      <c r="AY39" s="349">
        <v>9</v>
      </c>
      <c r="AZ39" s="348" t="s">
        <v>910</v>
      </c>
      <c r="BA39" s="371">
        <v>0.05</v>
      </c>
      <c r="BB39" s="371">
        <v>0.41</v>
      </c>
      <c r="BC39" s="371">
        <v>0.51</v>
      </c>
      <c r="BD39" s="371">
        <v>0.03</v>
      </c>
      <c r="BE39" s="371">
        <v>0.28999999999999998</v>
      </c>
      <c r="BF39" s="371">
        <v>0.51</v>
      </c>
      <c r="BG39" s="371">
        <v>0.47</v>
      </c>
      <c r="BH39" s="469">
        <v>52</v>
      </c>
      <c r="BI39" s="471" t="s">
        <v>910</v>
      </c>
      <c r="BJ39" s="469">
        <v>6</v>
      </c>
      <c r="BK39" s="471" t="s">
        <v>912</v>
      </c>
      <c r="BL39" s="501">
        <v>0</v>
      </c>
      <c r="BM39" s="501">
        <v>0.42</v>
      </c>
      <c r="BN39" s="501">
        <v>0.57999999999999996</v>
      </c>
      <c r="BO39" s="501">
        <v>0</v>
      </c>
      <c r="BP39" s="501">
        <v>0.51</v>
      </c>
      <c r="BQ39" s="501">
        <v>0.68</v>
      </c>
      <c r="BR39" s="501">
        <v>0.35</v>
      </c>
      <c r="BS39" s="630">
        <v>53</v>
      </c>
      <c r="BT39" s="640" t="s">
        <v>910</v>
      </c>
      <c r="BU39" s="630">
        <v>11</v>
      </c>
      <c r="BV39" s="640" t="s">
        <v>910</v>
      </c>
      <c r="BW39" s="644">
        <v>0.13</v>
      </c>
      <c r="BX39" s="644">
        <v>0.17</v>
      </c>
      <c r="BY39" s="644">
        <v>0.71</v>
      </c>
      <c r="BZ39" s="644">
        <v>0</v>
      </c>
      <c r="CA39" s="644">
        <v>0.67</v>
      </c>
      <c r="CB39" s="644">
        <v>0.42</v>
      </c>
      <c r="CC39" s="644">
        <v>0.56999999999999995</v>
      </c>
    </row>
    <row r="40" spans="1:81" ht="24.9" customHeight="1" x14ac:dyDescent="0.25">
      <c r="A40" s="189" t="s">
        <v>273</v>
      </c>
      <c r="B40" s="1" t="s">
        <v>222</v>
      </c>
      <c r="C40" s="2">
        <v>4</v>
      </c>
      <c r="D40" s="16">
        <v>47</v>
      </c>
      <c r="E40" s="16">
        <v>8</v>
      </c>
      <c r="F40" s="99">
        <v>7.0000000000000007E-2</v>
      </c>
      <c r="G40" s="99">
        <v>0.59</v>
      </c>
      <c r="H40" s="99">
        <v>0.35</v>
      </c>
      <c r="I40" s="99">
        <v>0</v>
      </c>
      <c r="J40" s="99">
        <v>0.56999999999999995</v>
      </c>
      <c r="K40" s="99">
        <v>0.52</v>
      </c>
      <c r="L40" s="99">
        <v>0.64</v>
      </c>
      <c r="M40" s="16">
        <v>46</v>
      </c>
      <c r="N40" s="16">
        <v>9</v>
      </c>
      <c r="O40" s="66">
        <v>0.23</v>
      </c>
      <c r="P40" s="66">
        <v>0.41</v>
      </c>
      <c r="Q40" s="66">
        <v>0.36</v>
      </c>
      <c r="R40" s="66">
        <v>0</v>
      </c>
      <c r="S40" s="66">
        <v>0.55000000000000004</v>
      </c>
      <c r="T40" s="66">
        <v>0.65</v>
      </c>
      <c r="U40" s="66">
        <v>0.46</v>
      </c>
      <c r="V40" s="16">
        <v>48</v>
      </c>
      <c r="W40" s="16">
        <v>10</v>
      </c>
      <c r="X40" s="99">
        <v>0.14000000000000001</v>
      </c>
      <c r="Y40" s="99">
        <v>0.43</v>
      </c>
      <c r="Z40" s="99">
        <v>0.43</v>
      </c>
      <c r="AA40" s="99">
        <v>0</v>
      </c>
      <c r="AB40" s="99">
        <v>0.55000000000000004</v>
      </c>
      <c r="AC40" s="99">
        <v>0.43</v>
      </c>
      <c r="AD40" s="99">
        <v>0.56000000000000005</v>
      </c>
      <c r="AE40" s="16">
        <v>47</v>
      </c>
      <c r="AF40" s="16">
        <v>10</v>
      </c>
      <c r="AG40" s="99">
        <v>0.12</v>
      </c>
      <c r="AH40" s="99">
        <v>0.52</v>
      </c>
      <c r="AI40" s="99">
        <v>0.33</v>
      </c>
      <c r="AJ40" s="99">
        <v>0.02</v>
      </c>
      <c r="AK40" s="99">
        <v>0.59</v>
      </c>
      <c r="AL40" s="99">
        <v>0.55000000000000004</v>
      </c>
      <c r="AM40" s="99">
        <v>0.4</v>
      </c>
      <c r="AN40" s="61">
        <v>48</v>
      </c>
      <c r="AO40" s="61">
        <v>10</v>
      </c>
      <c r="AP40" s="66">
        <v>0.03</v>
      </c>
      <c r="AQ40" s="66">
        <v>0.65</v>
      </c>
      <c r="AR40" s="66">
        <v>0.33</v>
      </c>
      <c r="AS40" s="66">
        <v>0</v>
      </c>
      <c r="AT40" s="66">
        <v>0.33</v>
      </c>
      <c r="AU40" s="66">
        <v>0.62</v>
      </c>
      <c r="AV40" s="66">
        <v>0.55000000000000004</v>
      </c>
      <c r="AW40" s="349">
        <v>48</v>
      </c>
      <c r="AX40" s="348" t="s">
        <v>910</v>
      </c>
      <c r="AY40" s="349">
        <v>11</v>
      </c>
      <c r="AZ40" s="348" t="s">
        <v>910</v>
      </c>
      <c r="BA40" s="371">
        <v>0.17</v>
      </c>
      <c r="BB40" s="371">
        <v>0.44</v>
      </c>
      <c r="BC40" s="371">
        <v>0.37</v>
      </c>
      <c r="BD40" s="371">
        <v>0.02</v>
      </c>
      <c r="BE40" s="371">
        <v>0.38</v>
      </c>
      <c r="BF40" s="371">
        <v>0.56999999999999995</v>
      </c>
      <c r="BG40" s="371">
        <v>0.51</v>
      </c>
      <c r="BH40" s="469">
        <v>49</v>
      </c>
      <c r="BI40" s="471" t="s">
        <v>910</v>
      </c>
      <c r="BJ40" s="469">
        <v>10</v>
      </c>
      <c r="BK40" s="471" t="s">
        <v>910</v>
      </c>
      <c r="BL40" s="501">
        <v>7.0000000000000007E-2</v>
      </c>
      <c r="BM40" s="501">
        <v>0.5</v>
      </c>
      <c r="BN40" s="501">
        <v>0.41</v>
      </c>
      <c r="BO40" s="501">
        <v>0.02</v>
      </c>
      <c r="BP40" s="501">
        <v>0.56999999999999995</v>
      </c>
      <c r="BQ40" s="501">
        <v>0.65</v>
      </c>
      <c r="BR40" s="501">
        <v>0.45</v>
      </c>
      <c r="BS40" s="630">
        <v>53</v>
      </c>
      <c r="BT40" s="640" t="s">
        <v>910</v>
      </c>
      <c r="BU40" s="630">
        <v>7</v>
      </c>
      <c r="BV40" s="640" t="s">
        <v>910</v>
      </c>
      <c r="BW40" s="644">
        <v>0</v>
      </c>
      <c r="BX40" s="644">
        <v>0.32</v>
      </c>
      <c r="BY40" s="644">
        <v>0.68</v>
      </c>
      <c r="BZ40" s="644">
        <v>0</v>
      </c>
      <c r="CA40" s="644">
        <v>0.66</v>
      </c>
      <c r="CB40" s="644">
        <v>0.37</v>
      </c>
      <c r="CC40" s="644">
        <v>0.64</v>
      </c>
    </row>
    <row r="41" spans="1:81" s="53" customFormat="1" ht="24.9" customHeight="1" x14ac:dyDescent="0.25">
      <c r="A41" s="188" t="s">
        <v>296</v>
      </c>
      <c r="B41" s="1" t="s">
        <v>222</v>
      </c>
      <c r="C41" s="2">
        <v>5</v>
      </c>
      <c r="D41" s="13" t="s">
        <v>226</v>
      </c>
      <c r="E41" s="13" t="s">
        <v>226</v>
      </c>
      <c r="F41" s="13"/>
      <c r="G41" s="13"/>
      <c r="H41" s="13"/>
      <c r="I41" s="13"/>
      <c r="J41" s="13"/>
      <c r="K41" s="13"/>
      <c r="L41" s="13"/>
      <c r="M41" s="13" t="s">
        <v>226</v>
      </c>
      <c r="N41" s="13" t="s">
        <v>226</v>
      </c>
      <c r="O41" s="66">
        <v>0</v>
      </c>
      <c r="P41" s="66">
        <v>0.56999999999999995</v>
      </c>
      <c r="Q41" s="66">
        <v>0.43</v>
      </c>
      <c r="R41" s="66">
        <v>0</v>
      </c>
      <c r="S41" s="66">
        <v>0.53</v>
      </c>
      <c r="T41" s="66">
        <v>0.6</v>
      </c>
      <c r="U41" s="66">
        <v>0.36</v>
      </c>
      <c r="V41" s="16">
        <v>53</v>
      </c>
      <c r="W41" s="16">
        <v>10</v>
      </c>
      <c r="X41" s="99">
        <v>0.04</v>
      </c>
      <c r="Y41" s="99">
        <v>0.48</v>
      </c>
      <c r="Z41" s="99">
        <v>0.48</v>
      </c>
      <c r="AA41" s="99">
        <v>0</v>
      </c>
      <c r="AB41" s="99">
        <v>0.45</v>
      </c>
      <c r="AC41" s="99">
        <v>0.4</v>
      </c>
      <c r="AD41" s="99">
        <v>0.49</v>
      </c>
      <c r="AE41" s="16">
        <v>48</v>
      </c>
      <c r="AF41" s="16">
        <v>9</v>
      </c>
      <c r="AG41" s="99">
        <v>0</v>
      </c>
      <c r="AH41" s="99">
        <v>0.45</v>
      </c>
      <c r="AI41" s="99">
        <v>0.5</v>
      </c>
      <c r="AJ41" s="99">
        <v>0.05</v>
      </c>
      <c r="AK41" s="99">
        <v>0.56000000000000005</v>
      </c>
      <c r="AL41" s="99">
        <v>0.48</v>
      </c>
      <c r="AM41" s="99">
        <v>0.31</v>
      </c>
      <c r="AN41" s="61">
        <v>51</v>
      </c>
      <c r="AO41" s="61">
        <v>10</v>
      </c>
      <c r="AP41" s="66">
        <v>0</v>
      </c>
      <c r="AQ41" s="66">
        <v>0.59</v>
      </c>
      <c r="AR41" s="66">
        <v>0.41</v>
      </c>
      <c r="AS41" s="66">
        <v>0</v>
      </c>
      <c r="AT41" s="66">
        <v>0.3</v>
      </c>
      <c r="AU41" s="66">
        <v>0.53</v>
      </c>
      <c r="AV41" s="66">
        <v>0.53</v>
      </c>
      <c r="AW41" s="349">
        <v>52</v>
      </c>
      <c r="AX41" s="348" t="s">
        <v>910</v>
      </c>
      <c r="AY41" s="349">
        <v>10</v>
      </c>
      <c r="AZ41" s="348" t="s">
        <v>910</v>
      </c>
      <c r="BA41" s="371">
        <v>0.04</v>
      </c>
      <c r="BB41" s="371">
        <v>0.38</v>
      </c>
      <c r="BC41" s="371">
        <v>0.54</v>
      </c>
      <c r="BD41" s="371">
        <v>0.04</v>
      </c>
      <c r="BE41" s="371">
        <v>0.24</v>
      </c>
      <c r="BF41" s="371">
        <v>0.51</v>
      </c>
      <c r="BG41" s="371">
        <v>0.5</v>
      </c>
      <c r="BH41" s="469">
        <v>56</v>
      </c>
      <c r="BI41" s="471" t="s">
        <v>910</v>
      </c>
      <c r="BJ41" s="469">
        <v>13</v>
      </c>
      <c r="BK41" s="471" t="s">
        <v>910</v>
      </c>
      <c r="BL41" s="501">
        <v>0.08</v>
      </c>
      <c r="BM41" s="501">
        <v>0.31</v>
      </c>
      <c r="BN41" s="501">
        <v>0.54</v>
      </c>
      <c r="BO41" s="501">
        <v>0.08</v>
      </c>
      <c r="BP41" s="501">
        <v>0.43</v>
      </c>
      <c r="BQ41" s="501">
        <v>0.53</v>
      </c>
      <c r="BR41" s="501">
        <v>0.38</v>
      </c>
      <c r="BS41" s="630">
        <v>51</v>
      </c>
      <c r="BT41" s="640" t="s">
        <v>910</v>
      </c>
      <c r="BU41" s="630">
        <v>11</v>
      </c>
      <c r="BV41" s="640" t="s">
        <v>910</v>
      </c>
      <c r="BW41" s="644">
        <v>0.09</v>
      </c>
      <c r="BX41" s="644">
        <v>0.41</v>
      </c>
      <c r="BY41" s="644">
        <v>0.45</v>
      </c>
      <c r="BZ41" s="644">
        <v>0.05</v>
      </c>
      <c r="CA41" s="644">
        <v>0.55000000000000004</v>
      </c>
      <c r="CB41" s="644">
        <v>0.4</v>
      </c>
      <c r="CC41" s="644">
        <v>0.57999999999999996</v>
      </c>
    </row>
    <row r="42" spans="1:81" ht="24.9" customHeight="1" x14ac:dyDescent="0.25">
      <c r="A42" s="189" t="s">
        <v>269</v>
      </c>
      <c r="B42" s="15" t="s">
        <v>222</v>
      </c>
      <c r="C42" s="2">
        <v>6</v>
      </c>
      <c r="D42" s="13" t="s">
        <v>226</v>
      </c>
      <c r="E42" s="13" t="s">
        <v>226</v>
      </c>
      <c r="F42" s="13"/>
      <c r="G42" s="13"/>
      <c r="H42" s="13"/>
      <c r="I42" s="13"/>
      <c r="J42" s="13"/>
      <c r="K42" s="13"/>
      <c r="L42" s="13"/>
      <c r="M42" s="13" t="s">
        <v>226</v>
      </c>
      <c r="N42" s="13" t="s">
        <v>226</v>
      </c>
      <c r="O42" s="66"/>
      <c r="P42" s="66"/>
      <c r="Q42" s="66"/>
      <c r="R42" s="66"/>
      <c r="S42" s="66"/>
      <c r="T42" s="66"/>
      <c r="U42" s="66"/>
      <c r="V42" s="13" t="s">
        <v>226</v>
      </c>
      <c r="W42" s="13" t="s">
        <v>226</v>
      </c>
      <c r="X42" s="99">
        <v>0.06</v>
      </c>
      <c r="Y42" s="99">
        <v>0.33</v>
      </c>
      <c r="Z42" s="99">
        <v>0.56000000000000005</v>
      </c>
      <c r="AA42" s="99">
        <v>0.06</v>
      </c>
      <c r="AB42" s="99">
        <v>0.47</v>
      </c>
      <c r="AC42" s="99">
        <v>0.37</v>
      </c>
      <c r="AD42" s="99">
        <v>0.56000000000000005</v>
      </c>
      <c r="AE42" s="13" t="s">
        <v>226</v>
      </c>
      <c r="AF42" s="13" t="s">
        <v>226</v>
      </c>
      <c r="AG42" s="99">
        <v>0.13</v>
      </c>
      <c r="AH42" s="99">
        <v>0.33</v>
      </c>
      <c r="AI42" s="99">
        <v>0.53</v>
      </c>
      <c r="AJ42" s="99">
        <v>0</v>
      </c>
      <c r="AK42" s="99">
        <v>0.6</v>
      </c>
      <c r="AL42" s="99">
        <v>0.56000000000000005</v>
      </c>
      <c r="AM42" s="99">
        <v>0.35</v>
      </c>
      <c r="AN42" s="61">
        <v>59</v>
      </c>
      <c r="AO42" s="61">
        <v>11</v>
      </c>
      <c r="AP42" s="66">
        <v>0</v>
      </c>
      <c r="AQ42" s="66">
        <v>0</v>
      </c>
      <c r="AR42" s="66">
        <v>1</v>
      </c>
      <c r="AS42" s="66">
        <v>0</v>
      </c>
      <c r="AT42" s="66">
        <v>0.14000000000000001</v>
      </c>
      <c r="AU42" s="66">
        <v>0.42</v>
      </c>
      <c r="AV42" s="66">
        <v>0.43</v>
      </c>
      <c r="AW42" s="349">
        <v>48</v>
      </c>
      <c r="AX42" s="348" t="s">
        <v>910</v>
      </c>
      <c r="AY42" s="349">
        <v>0</v>
      </c>
      <c r="AZ42" s="348" t="s">
        <v>912</v>
      </c>
      <c r="BA42" s="371">
        <v>0</v>
      </c>
      <c r="BB42" s="371">
        <v>1</v>
      </c>
      <c r="BC42" s="371">
        <v>0</v>
      </c>
      <c r="BD42" s="371">
        <v>0</v>
      </c>
      <c r="BE42" s="371">
        <v>0.2</v>
      </c>
      <c r="BF42" s="371">
        <v>0.67</v>
      </c>
      <c r="BG42" s="371">
        <v>0.45</v>
      </c>
      <c r="BH42" s="469">
        <v>54</v>
      </c>
      <c r="BI42" s="471" t="s">
        <v>910</v>
      </c>
      <c r="BJ42" s="469">
        <v>12</v>
      </c>
      <c r="BK42" s="471" t="s">
        <v>910</v>
      </c>
      <c r="BL42" s="501">
        <v>0</v>
      </c>
      <c r="BM42" s="501">
        <v>0.33</v>
      </c>
      <c r="BN42" s="501">
        <v>0.67</v>
      </c>
      <c r="BO42" s="501">
        <v>0</v>
      </c>
      <c r="BP42" s="501">
        <v>0.5</v>
      </c>
      <c r="BQ42" s="501">
        <v>0.77</v>
      </c>
      <c r="BR42" s="501">
        <v>0.33</v>
      </c>
      <c r="BS42" s="630">
        <v>54</v>
      </c>
      <c r="BT42" s="640" t="s">
        <v>910</v>
      </c>
      <c r="BU42" s="630">
        <v>6</v>
      </c>
      <c r="BV42" s="640" t="s">
        <v>912</v>
      </c>
      <c r="BW42" s="644">
        <v>0</v>
      </c>
      <c r="BX42" s="644">
        <v>0.25</v>
      </c>
      <c r="BY42" s="644">
        <v>0.75</v>
      </c>
      <c r="BZ42" s="644">
        <v>0</v>
      </c>
      <c r="CA42" s="644">
        <v>0.55000000000000004</v>
      </c>
      <c r="CB42" s="644">
        <v>0.38</v>
      </c>
      <c r="CC42" s="644">
        <v>0.64</v>
      </c>
    </row>
    <row r="43" spans="1:81" ht="24.9" customHeight="1" x14ac:dyDescent="0.25">
      <c r="A43" s="188" t="s">
        <v>190</v>
      </c>
      <c r="B43" s="1" t="s">
        <v>222</v>
      </c>
      <c r="C43" s="2">
        <v>2</v>
      </c>
      <c r="D43" s="16">
        <v>66</v>
      </c>
      <c r="E43" s="16">
        <v>0</v>
      </c>
      <c r="F43" s="99">
        <v>0</v>
      </c>
      <c r="G43" s="99">
        <v>0</v>
      </c>
      <c r="H43" s="99">
        <v>1</v>
      </c>
      <c r="I43" s="99">
        <v>0</v>
      </c>
      <c r="J43" s="99">
        <v>0.43</v>
      </c>
      <c r="K43" s="99">
        <v>0.33</v>
      </c>
      <c r="L43" s="99">
        <v>0.5</v>
      </c>
      <c r="M43" s="13" t="s">
        <v>226</v>
      </c>
      <c r="N43" s="13" t="s">
        <v>226</v>
      </c>
      <c r="O43" s="66"/>
      <c r="P43" s="66"/>
      <c r="Q43" s="66"/>
      <c r="R43" s="66"/>
      <c r="S43" s="66"/>
      <c r="T43" s="66"/>
      <c r="U43" s="66"/>
      <c r="V43" s="13" t="s">
        <v>226</v>
      </c>
      <c r="W43" s="13" t="s">
        <v>226</v>
      </c>
      <c r="X43" s="13"/>
      <c r="Y43" s="13"/>
      <c r="Z43" s="13"/>
      <c r="AA43" s="13"/>
      <c r="AB43" s="13"/>
      <c r="AC43" s="13"/>
      <c r="AD43" s="13"/>
      <c r="AE43" s="13" t="s">
        <v>226</v>
      </c>
      <c r="AF43" s="13" t="s">
        <v>226</v>
      </c>
      <c r="AG43" s="13"/>
      <c r="AH43" s="13"/>
      <c r="AI43" s="13"/>
      <c r="AJ43" s="13"/>
      <c r="AK43" s="13"/>
      <c r="AL43" s="13"/>
      <c r="AM43" s="13"/>
      <c r="AN43" s="61">
        <v>37</v>
      </c>
      <c r="AO43" s="61">
        <v>0</v>
      </c>
      <c r="AP43" s="66">
        <v>0</v>
      </c>
      <c r="AQ43" s="66">
        <v>1</v>
      </c>
      <c r="AR43" s="66">
        <v>0</v>
      </c>
      <c r="AS43" s="66">
        <v>0</v>
      </c>
      <c r="AT43" s="66">
        <v>0.6</v>
      </c>
      <c r="AU43" s="66">
        <v>0.75</v>
      </c>
      <c r="AV43" s="66">
        <v>0.75</v>
      </c>
    </row>
    <row r="44" spans="1:81" s="461" customFormat="1" ht="24.9" customHeight="1" x14ac:dyDescent="0.25">
      <c r="A44" s="470" t="s">
        <v>954</v>
      </c>
      <c r="B44" s="15" t="s">
        <v>222</v>
      </c>
      <c r="C44" s="471">
        <v>2</v>
      </c>
      <c r="D44" s="502"/>
      <c r="E44" s="502"/>
      <c r="F44" s="508"/>
      <c r="G44" s="508"/>
      <c r="H44" s="508"/>
      <c r="I44" s="508"/>
      <c r="J44" s="508"/>
      <c r="K44" s="508"/>
      <c r="L44" s="508"/>
      <c r="M44" s="505"/>
      <c r="N44" s="505"/>
      <c r="O44" s="506"/>
      <c r="P44" s="506"/>
      <c r="Q44" s="506"/>
      <c r="R44" s="506"/>
      <c r="S44" s="506"/>
      <c r="T44" s="506"/>
      <c r="U44" s="506"/>
      <c r="V44" s="505"/>
      <c r="W44" s="505"/>
      <c r="X44" s="505"/>
      <c r="Y44" s="505"/>
      <c r="Z44" s="505"/>
      <c r="AA44" s="505"/>
      <c r="AB44" s="505"/>
      <c r="AC44" s="505"/>
      <c r="AD44" s="505"/>
      <c r="AE44" s="505"/>
      <c r="AF44" s="505"/>
      <c r="AG44" s="505"/>
      <c r="AH44" s="505"/>
      <c r="AI44" s="505"/>
      <c r="AJ44" s="505"/>
      <c r="AK44" s="505"/>
      <c r="AL44" s="505"/>
      <c r="AM44" s="505"/>
      <c r="AN44" s="73"/>
      <c r="AO44" s="73"/>
      <c r="AP44" s="74"/>
      <c r="AQ44" s="74"/>
      <c r="AR44" s="74"/>
      <c r="AS44" s="74"/>
      <c r="AT44" s="74"/>
      <c r="AU44" s="74"/>
      <c r="AV44" s="74"/>
      <c r="BH44" s="469">
        <v>62</v>
      </c>
      <c r="BI44" s="471" t="s">
        <v>911</v>
      </c>
      <c r="BJ44" s="469">
        <v>4</v>
      </c>
      <c r="BK44" s="471" t="s">
        <v>912</v>
      </c>
      <c r="BL44" s="501">
        <v>0</v>
      </c>
      <c r="BM44" s="501">
        <v>0</v>
      </c>
      <c r="BN44" s="501">
        <v>1</v>
      </c>
      <c r="BO44" s="501">
        <v>0</v>
      </c>
      <c r="BP44" s="501">
        <v>0.32</v>
      </c>
      <c r="BQ44" s="501">
        <v>0.57999999999999996</v>
      </c>
      <c r="BR44" s="501">
        <v>0.57999999999999996</v>
      </c>
      <c r="BS44" s="630">
        <v>54</v>
      </c>
      <c r="BT44" s="640" t="s">
        <v>910</v>
      </c>
      <c r="BU44" s="630">
        <v>6</v>
      </c>
      <c r="BV44" s="640" t="s">
        <v>912</v>
      </c>
      <c r="BW44" s="644">
        <v>0</v>
      </c>
      <c r="BX44" s="644">
        <v>0.28999999999999998</v>
      </c>
      <c r="BY44" s="644">
        <v>0.71</v>
      </c>
      <c r="BZ44" s="644">
        <v>0</v>
      </c>
      <c r="CA44" s="644">
        <v>0.47</v>
      </c>
      <c r="CB44" s="644">
        <v>0.61</v>
      </c>
      <c r="CC44" s="644">
        <v>0.56999999999999995</v>
      </c>
    </row>
    <row r="45" spans="1:81" ht="24.9" customHeight="1" x14ac:dyDescent="0.25">
      <c r="A45" s="188" t="s">
        <v>63</v>
      </c>
      <c r="B45" s="1" t="s">
        <v>222</v>
      </c>
      <c r="C45" s="2">
        <v>4</v>
      </c>
      <c r="D45" s="16">
        <v>48</v>
      </c>
      <c r="E45" s="16">
        <v>9</v>
      </c>
      <c r="F45" s="99">
        <v>0.1</v>
      </c>
      <c r="G45" s="99">
        <v>0.6</v>
      </c>
      <c r="H45" s="99">
        <v>0.3</v>
      </c>
      <c r="I45" s="99">
        <v>0</v>
      </c>
      <c r="J45" s="99">
        <v>0.56000000000000005</v>
      </c>
      <c r="K45" s="99">
        <v>0.56000000000000005</v>
      </c>
      <c r="L45" s="99">
        <v>0.63</v>
      </c>
      <c r="M45" s="13">
        <v>45</v>
      </c>
      <c r="N45" s="13">
        <v>11</v>
      </c>
      <c r="O45" s="66"/>
      <c r="P45" s="66"/>
      <c r="Q45" s="66"/>
      <c r="R45" s="66"/>
      <c r="S45" s="66"/>
      <c r="T45" s="66"/>
      <c r="U45" s="66"/>
      <c r="V45" s="13">
        <v>52</v>
      </c>
      <c r="W45" s="13">
        <v>14</v>
      </c>
      <c r="X45" s="13"/>
      <c r="Y45" s="13"/>
      <c r="Z45" s="13"/>
      <c r="AA45" s="13"/>
      <c r="AB45" s="13"/>
      <c r="AC45" s="13"/>
      <c r="AD45" s="13"/>
      <c r="AE45" s="13">
        <v>57</v>
      </c>
      <c r="AF45" s="13">
        <v>7</v>
      </c>
      <c r="AG45" s="13"/>
      <c r="AH45" s="13"/>
      <c r="AI45" s="13"/>
      <c r="AJ45" s="13"/>
      <c r="AK45" s="13"/>
      <c r="AL45" s="13"/>
      <c r="AM45" s="13"/>
      <c r="AN45" s="73">
        <v>48</v>
      </c>
      <c r="AO45" s="73">
        <v>6</v>
      </c>
      <c r="AP45" s="74">
        <v>0</v>
      </c>
      <c r="AQ45" s="74">
        <v>0.69</v>
      </c>
      <c r="AR45" s="74">
        <v>0.31</v>
      </c>
      <c r="AS45" s="74">
        <v>0</v>
      </c>
      <c r="AT45" s="74">
        <v>0.33</v>
      </c>
      <c r="AU45" s="74">
        <v>0.55000000000000004</v>
      </c>
      <c r="AV45" s="74">
        <v>0.6</v>
      </c>
      <c r="AW45" s="349">
        <v>51</v>
      </c>
      <c r="AX45" s="348" t="s">
        <v>910</v>
      </c>
      <c r="AY45" s="349">
        <v>8</v>
      </c>
      <c r="AZ45" s="348" t="s">
        <v>910</v>
      </c>
      <c r="BA45" s="371">
        <v>0.05</v>
      </c>
      <c r="BB45" s="371">
        <v>0.48</v>
      </c>
      <c r="BC45" s="371">
        <v>0.48</v>
      </c>
      <c r="BD45" s="371">
        <v>0</v>
      </c>
      <c r="BE45" s="371">
        <v>0.26</v>
      </c>
      <c r="BF45" s="371">
        <v>0.54</v>
      </c>
      <c r="BG45" s="371">
        <v>0.53</v>
      </c>
      <c r="BH45" s="469">
        <v>52</v>
      </c>
      <c r="BI45" s="471" t="s">
        <v>910</v>
      </c>
      <c r="BJ45" s="469">
        <v>9</v>
      </c>
      <c r="BK45" s="471" t="s">
        <v>910</v>
      </c>
      <c r="BL45" s="501">
        <v>0.08</v>
      </c>
      <c r="BM45" s="501">
        <v>0.28000000000000003</v>
      </c>
      <c r="BN45" s="501">
        <v>0.64</v>
      </c>
      <c r="BO45" s="501">
        <v>0</v>
      </c>
      <c r="BP45" s="501">
        <v>0.53</v>
      </c>
      <c r="BQ45" s="501">
        <v>0.65</v>
      </c>
      <c r="BR45" s="501">
        <v>0.32</v>
      </c>
      <c r="BS45" s="630">
        <v>49</v>
      </c>
      <c r="BT45" s="640" t="s">
        <v>910</v>
      </c>
      <c r="BU45" s="630">
        <v>9</v>
      </c>
      <c r="BV45" s="640" t="s">
        <v>910</v>
      </c>
      <c r="BW45" s="644">
        <v>0.06</v>
      </c>
      <c r="BX45" s="644">
        <v>0.5</v>
      </c>
      <c r="BY45" s="644">
        <v>0.44</v>
      </c>
      <c r="BZ45" s="644">
        <v>0</v>
      </c>
      <c r="CA45" s="644">
        <v>0.63</v>
      </c>
      <c r="CB45" s="644">
        <v>0.51</v>
      </c>
      <c r="CC45" s="644">
        <v>0.6</v>
      </c>
    </row>
    <row r="46" spans="1:81" ht="24.9" customHeight="1" x14ac:dyDescent="0.25">
      <c r="A46" s="188" t="s">
        <v>44</v>
      </c>
      <c r="B46" s="1" t="s">
        <v>222</v>
      </c>
      <c r="C46" s="2">
        <v>1</v>
      </c>
      <c r="D46" s="16">
        <v>48</v>
      </c>
      <c r="E46" s="16">
        <v>10</v>
      </c>
      <c r="F46" s="99">
        <v>7.0000000000000007E-2</v>
      </c>
      <c r="G46" s="99">
        <v>0.47</v>
      </c>
      <c r="H46" s="99">
        <v>0.47</v>
      </c>
      <c r="I46" s="99">
        <v>0</v>
      </c>
      <c r="J46" s="99">
        <v>0.54</v>
      </c>
      <c r="K46" s="99">
        <v>0.51</v>
      </c>
      <c r="L46" s="99">
        <v>0.56999999999999995</v>
      </c>
      <c r="M46" s="13" t="s">
        <v>226</v>
      </c>
      <c r="N46" s="13" t="s">
        <v>226</v>
      </c>
      <c r="O46" s="66">
        <v>0.2</v>
      </c>
      <c r="P46" s="66">
        <v>0.6</v>
      </c>
      <c r="Q46" s="66">
        <v>0.2</v>
      </c>
      <c r="R46" s="66">
        <v>0</v>
      </c>
      <c r="S46" s="66">
        <v>0.56000000000000005</v>
      </c>
      <c r="T46" s="66">
        <v>0.68</v>
      </c>
      <c r="U46" s="66">
        <v>0.43</v>
      </c>
      <c r="V46" s="13" t="s">
        <v>226</v>
      </c>
      <c r="W46" s="13" t="s">
        <v>226</v>
      </c>
      <c r="X46" s="99">
        <v>0</v>
      </c>
      <c r="Y46" s="99">
        <v>0.45</v>
      </c>
      <c r="Z46" s="99">
        <v>0.45</v>
      </c>
      <c r="AA46" s="99">
        <v>0.09</v>
      </c>
      <c r="AB46" s="99">
        <v>0.53</v>
      </c>
      <c r="AC46" s="99">
        <v>0.35</v>
      </c>
      <c r="AD46" s="99">
        <v>0.5</v>
      </c>
      <c r="AE46" s="13" t="s">
        <v>226</v>
      </c>
      <c r="AF46" s="13" t="s">
        <v>226</v>
      </c>
      <c r="AG46" s="99">
        <v>0</v>
      </c>
      <c r="AH46" s="99">
        <v>0.2</v>
      </c>
      <c r="AI46" s="99">
        <v>0.8</v>
      </c>
      <c r="AJ46" s="99">
        <v>0</v>
      </c>
      <c r="AK46" s="99">
        <v>0.5</v>
      </c>
      <c r="AL46" s="99">
        <v>0.4</v>
      </c>
      <c r="AM46" s="99">
        <v>0.24</v>
      </c>
      <c r="AN46" s="67"/>
      <c r="AO46" s="67"/>
      <c r="AP46" s="67"/>
      <c r="AQ46" s="67"/>
      <c r="AR46" s="67"/>
      <c r="AS46" s="67"/>
      <c r="AT46" s="67"/>
      <c r="AU46" s="67"/>
      <c r="AV46" s="67"/>
    </row>
    <row r="47" spans="1:81" s="53" customFormat="1" ht="24.9" customHeight="1" x14ac:dyDescent="0.25">
      <c r="A47" s="188" t="s">
        <v>69</v>
      </c>
      <c r="B47" s="1" t="s">
        <v>222</v>
      </c>
      <c r="C47" s="2">
        <v>2</v>
      </c>
      <c r="D47" s="16">
        <v>44</v>
      </c>
      <c r="E47" s="16">
        <v>10</v>
      </c>
      <c r="F47" s="99">
        <v>0.08</v>
      </c>
      <c r="G47" s="99">
        <v>0.67</v>
      </c>
      <c r="H47" s="99">
        <v>0.25</v>
      </c>
      <c r="I47" s="99">
        <v>0</v>
      </c>
      <c r="J47" s="99">
        <v>0.62</v>
      </c>
      <c r="K47" s="99">
        <v>0.49</v>
      </c>
      <c r="L47" s="99">
        <v>0.65</v>
      </c>
      <c r="M47" s="13" t="s">
        <v>226</v>
      </c>
      <c r="N47" s="13" t="s">
        <v>226</v>
      </c>
      <c r="O47" s="66"/>
      <c r="P47" s="66"/>
      <c r="Q47" s="66"/>
      <c r="R47" s="66"/>
      <c r="S47" s="66"/>
      <c r="T47" s="66"/>
      <c r="U47" s="66"/>
      <c r="V47" s="16">
        <v>47</v>
      </c>
      <c r="W47" s="16">
        <v>10</v>
      </c>
      <c r="X47" s="13"/>
      <c r="Y47" s="13"/>
      <c r="Z47" s="13"/>
      <c r="AA47" s="13"/>
      <c r="AB47" s="13"/>
      <c r="AC47" s="13"/>
      <c r="AD47" s="13"/>
      <c r="AE47" s="16">
        <v>50</v>
      </c>
      <c r="AF47" s="16">
        <v>8</v>
      </c>
      <c r="AG47" s="13"/>
      <c r="AH47" s="13"/>
      <c r="AI47" s="13"/>
      <c r="AJ47" s="13"/>
      <c r="AK47" s="13"/>
      <c r="AL47" s="13"/>
      <c r="AM47" s="13"/>
      <c r="AN47" s="61">
        <v>54</v>
      </c>
      <c r="AO47" s="61">
        <v>7</v>
      </c>
      <c r="AP47" s="66">
        <v>0</v>
      </c>
      <c r="AQ47" s="66">
        <v>0.33</v>
      </c>
      <c r="AR47" s="66">
        <v>0.67</v>
      </c>
      <c r="AS47" s="66">
        <v>0</v>
      </c>
      <c r="AT47" s="66">
        <v>0.23</v>
      </c>
      <c r="AU47" s="66">
        <v>0.47</v>
      </c>
      <c r="AV47" s="66">
        <v>0.4</v>
      </c>
      <c r="AW47" s="349">
        <v>48</v>
      </c>
      <c r="AX47" s="348" t="s">
        <v>910</v>
      </c>
      <c r="AY47" s="349">
        <v>9</v>
      </c>
      <c r="AZ47" s="348" t="s">
        <v>910</v>
      </c>
      <c r="BA47" s="371">
        <v>0.08</v>
      </c>
      <c r="BB47" s="371">
        <v>0.5</v>
      </c>
      <c r="BC47" s="371">
        <v>0.42</v>
      </c>
      <c r="BD47" s="371">
        <v>0</v>
      </c>
      <c r="BE47" s="371">
        <v>0.31</v>
      </c>
      <c r="BF47" s="371">
        <v>0.55000000000000004</v>
      </c>
      <c r="BG47" s="371">
        <v>0.55000000000000004</v>
      </c>
      <c r="BS47" s="630">
        <v>53</v>
      </c>
      <c r="BT47" s="640" t="s">
        <v>910</v>
      </c>
      <c r="BU47" s="630">
        <v>8</v>
      </c>
      <c r="BV47" s="640" t="s">
        <v>910</v>
      </c>
      <c r="BW47" s="644">
        <v>0</v>
      </c>
      <c r="BX47" s="644">
        <v>0.43</v>
      </c>
      <c r="BY47" s="644">
        <v>0.56999999999999995</v>
      </c>
      <c r="BZ47" s="644">
        <v>0</v>
      </c>
      <c r="CA47" s="644">
        <v>0.74</v>
      </c>
      <c r="CB47" s="644">
        <v>0.46</v>
      </c>
      <c r="CC47" s="644">
        <v>0.48</v>
      </c>
    </row>
    <row r="48" spans="1:81" ht="24.9" customHeight="1" x14ac:dyDescent="0.25">
      <c r="A48" s="189" t="s">
        <v>270</v>
      </c>
      <c r="B48" s="1" t="s">
        <v>222</v>
      </c>
      <c r="C48" s="2">
        <v>6</v>
      </c>
      <c r="D48" s="13" t="s">
        <v>226</v>
      </c>
      <c r="E48" s="13" t="s">
        <v>226</v>
      </c>
      <c r="F48" s="13"/>
      <c r="G48" s="13"/>
      <c r="H48" s="13"/>
      <c r="I48" s="13"/>
      <c r="J48" s="13"/>
      <c r="K48" s="13"/>
      <c r="L48" s="13"/>
      <c r="M48" s="13" t="s">
        <v>226</v>
      </c>
      <c r="N48" s="13" t="s">
        <v>226</v>
      </c>
      <c r="O48" s="66"/>
      <c r="P48" s="66"/>
      <c r="Q48" s="66"/>
      <c r="R48" s="66"/>
      <c r="S48" s="66"/>
      <c r="T48" s="66"/>
      <c r="U48" s="66"/>
      <c r="V48" s="13" t="s">
        <v>226</v>
      </c>
      <c r="W48" s="13" t="s">
        <v>226</v>
      </c>
      <c r="X48" s="99">
        <v>0</v>
      </c>
      <c r="Y48" s="99">
        <v>0.56999999999999995</v>
      </c>
      <c r="Z48" s="99">
        <v>0.43</v>
      </c>
      <c r="AA48" s="99">
        <v>0</v>
      </c>
      <c r="AB48" s="99">
        <v>0.61</v>
      </c>
      <c r="AC48" s="99">
        <v>0.41</v>
      </c>
      <c r="AD48" s="99">
        <v>0.6</v>
      </c>
      <c r="AE48" s="13" t="s">
        <v>226</v>
      </c>
      <c r="AF48" s="13" t="s">
        <v>226</v>
      </c>
      <c r="AG48" s="99">
        <v>0.08</v>
      </c>
      <c r="AH48" s="99">
        <v>0.54</v>
      </c>
      <c r="AI48" s="99">
        <v>0.38</v>
      </c>
      <c r="AJ48" s="99">
        <v>0</v>
      </c>
      <c r="AK48" s="99">
        <v>0.56999999999999995</v>
      </c>
      <c r="AL48" s="99">
        <v>0.5</v>
      </c>
      <c r="AM48" s="99">
        <v>0.34</v>
      </c>
      <c r="AN48" s="61">
        <v>50</v>
      </c>
      <c r="AO48" s="61">
        <v>10</v>
      </c>
      <c r="AP48" s="66">
        <v>0.08</v>
      </c>
      <c r="AQ48" s="66">
        <v>0.32</v>
      </c>
      <c r="AR48" s="66">
        <v>0.6</v>
      </c>
      <c r="AS48" s="66">
        <v>0</v>
      </c>
      <c r="AT48" s="66">
        <v>0.33</v>
      </c>
      <c r="AU48" s="66">
        <v>0.55000000000000004</v>
      </c>
      <c r="AV48" s="66">
        <v>0.54</v>
      </c>
      <c r="AW48" s="349">
        <v>51</v>
      </c>
      <c r="AX48" s="348" t="s">
        <v>910</v>
      </c>
      <c r="AY48" s="349">
        <v>11</v>
      </c>
      <c r="AZ48" s="348" t="s">
        <v>910</v>
      </c>
      <c r="BA48" s="371">
        <v>0.15</v>
      </c>
      <c r="BB48" s="371">
        <v>0.27</v>
      </c>
      <c r="BC48" s="371">
        <v>0.57999999999999996</v>
      </c>
      <c r="BD48" s="371">
        <v>0</v>
      </c>
      <c r="BE48" s="371">
        <v>0.27</v>
      </c>
      <c r="BF48" s="371">
        <v>0.51</v>
      </c>
      <c r="BG48" s="371">
        <v>0.49</v>
      </c>
      <c r="BH48" s="469">
        <v>45</v>
      </c>
      <c r="BI48" s="471" t="s">
        <v>912</v>
      </c>
      <c r="BJ48" s="469">
        <v>12</v>
      </c>
      <c r="BK48" s="471" t="s">
        <v>910</v>
      </c>
      <c r="BL48" s="501">
        <v>0.19</v>
      </c>
      <c r="BM48" s="501">
        <v>0.5</v>
      </c>
      <c r="BN48" s="501">
        <v>0.31</v>
      </c>
      <c r="BO48" s="501">
        <v>0</v>
      </c>
      <c r="BP48" s="501">
        <v>0.61</v>
      </c>
      <c r="BQ48" s="501">
        <v>0.68</v>
      </c>
      <c r="BR48" s="501">
        <v>0.52</v>
      </c>
      <c r="BS48" s="630">
        <v>52</v>
      </c>
      <c r="BT48" s="640" t="s">
        <v>910</v>
      </c>
      <c r="BU48" s="630">
        <v>11</v>
      </c>
      <c r="BV48" s="640" t="s">
        <v>910</v>
      </c>
      <c r="BW48" s="644">
        <v>0.11</v>
      </c>
      <c r="BX48" s="644">
        <v>0.28999999999999998</v>
      </c>
      <c r="BY48" s="644">
        <v>0.61</v>
      </c>
      <c r="BZ48" s="644">
        <v>0</v>
      </c>
      <c r="CA48" s="644">
        <v>0.67</v>
      </c>
      <c r="CB48" s="644">
        <v>0.45</v>
      </c>
      <c r="CC48" s="644">
        <v>0.59</v>
      </c>
    </row>
    <row r="49" spans="1:81" ht="24.9" customHeight="1" x14ac:dyDescent="0.25">
      <c r="A49" s="188" t="s">
        <v>225</v>
      </c>
      <c r="B49" s="1" t="s">
        <v>222</v>
      </c>
      <c r="C49" s="2">
        <v>3</v>
      </c>
      <c r="D49" s="13" t="s">
        <v>226</v>
      </c>
      <c r="E49" s="13" t="s">
        <v>226</v>
      </c>
      <c r="F49" s="13"/>
      <c r="G49" s="13"/>
      <c r="H49" s="13"/>
      <c r="I49" s="13"/>
      <c r="J49" s="13"/>
      <c r="K49" s="13"/>
      <c r="L49" s="13"/>
      <c r="M49" s="16">
        <v>50</v>
      </c>
      <c r="N49" s="16">
        <v>9</v>
      </c>
      <c r="O49" s="66"/>
      <c r="P49" s="66"/>
      <c r="Q49" s="66"/>
      <c r="R49" s="66"/>
      <c r="S49" s="66"/>
      <c r="T49" s="66"/>
      <c r="U49" s="66"/>
      <c r="V49" s="16">
        <v>49</v>
      </c>
      <c r="W49" s="16">
        <v>9</v>
      </c>
      <c r="X49" s="13"/>
      <c r="Y49" s="13"/>
      <c r="Z49" s="13"/>
      <c r="AA49" s="13"/>
      <c r="AB49" s="13"/>
      <c r="AC49" s="13"/>
      <c r="AD49" s="13"/>
      <c r="AE49" s="16">
        <v>51</v>
      </c>
      <c r="AF49" s="16">
        <v>10</v>
      </c>
      <c r="AG49" s="13"/>
      <c r="AH49" s="13"/>
      <c r="AI49" s="13"/>
      <c r="AJ49" s="13"/>
      <c r="AK49" s="13"/>
      <c r="AL49" s="13"/>
      <c r="AM49" s="13"/>
      <c r="AN49" s="61">
        <v>49</v>
      </c>
      <c r="AO49" s="61">
        <v>9</v>
      </c>
      <c r="AP49" s="66">
        <v>0.05</v>
      </c>
      <c r="AQ49" s="66">
        <v>0.52</v>
      </c>
      <c r="AR49" s="66">
        <v>0.42</v>
      </c>
      <c r="AS49" s="66">
        <v>0.01</v>
      </c>
      <c r="AT49" s="66">
        <v>0.32</v>
      </c>
      <c r="AU49" s="66">
        <v>0.56000000000000005</v>
      </c>
      <c r="AV49" s="66">
        <v>0.56999999999999995</v>
      </c>
      <c r="AW49" s="349">
        <v>48</v>
      </c>
      <c r="AX49" s="348" t="s">
        <v>910</v>
      </c>
      <c r="AY49" s="349">
        <v>8</v>
      </c>
      <c r="AZ49" s="348" t="s">
        <v>910</v>
      </c>
      <c r="BA49" s="371">
        <v>7.0000000000000007E-2</v>
      </c>
      <c r="BB49" s="371">
        <v>0.52</v>
      </c>
      <c r="BC49" s="371">
        <v>0.4</v>
      </c>
      <c r="BD49" s="371">
        <v>0.01</v>
      </c>
      <c r="BE49" s="371">
        <v>0.32</v>
      </c>
      <c r="BF49" s="371">
        <v>0.57999999999999996</v>
      </c>
      <c r="BG49" s="371">
        <v>0.52</v>
      </c>
      <c r="BH49" s="469">
        <v>48</v>
      </c>
      <c r="BI49" s="471" t="s">
        <v>910</v>
      </c>
      <c r="BJ49" s="469">
        <v>9</v>
      </c>
      <c r="BK49" s="471" t="s">
        <v>910</v>
      </c>
      <c r="BL49" s="501">
        <v>0.11</v>
      </c>
      <c r="BM49" s="501">
        <v>0.47</v>
      </c>
      <c r="BN49" s="501">
        <v>0.43</v>
      </c>
      <c r="BO49" s="501">
        <v>0</v>
      </c>
      <c r="BP49" s="501">
        <v>0.61</v>
      </c>
      <c r="BQ49" s="501">
        <v>0.66</v>
      </c>
      <c r="BR49" s="501">
        <v>0.45</v>
      </c>
      <c r="BS49" s="630">
        <v>50</v>
      </c>
      <c r="BT49" s="640" t="s">
        <v>910</v>
      </c>
      <c r="BU49" s="630">
        <v>9</v>
      </c>
      <c r="BV49" s="640" t="s">
        <v>910</v>
      </c>
      <c r="BW49" s="644">
        <v>7.0000000000000007E-2</v>
      </c>
      <c r="BX49" s="644">
        <v>0.42</v>
      </c>
      <c r="BY49" s="644">
        <v>0.5</v>
      </c>
      <c r="BZ49" s="644">
        <v>0.01</v>
      </c>
      <c r="CA49" s="644">
        <v>0.64</v>
      </c>
      <c r="CB49" s="644">
        <v>0.39</v>
      </c>
      <c r="CC49" s="644">
        <v>0.64</v>
      </c>
    </row>
    <row r="50" spans="1:81" s="53" customFormat="1" ht="24.9" customHeight="1" x14ac:dyDescent="0.25">
      <c r="A50" s="188" t="s">
        <v>126</v>
      </c>
      <c r="B50" s="1" t="s">
        <v>222</v>
      </c>
      <c r="C50" s="2">
        <v>2</v>
      </c>
      <c r="D50" s="16">
        <v>59</v>
      </c>
      <c r="E50" s="16">
        <v>9</v>
      </c>
      <c r="F50" s="99">
        <v>0</v>
      </c>
      <c r="G50" s="99">
        <v>0.2</v>
      </c>
      <c r="H50" s="99">
        <v>0.71</v>
      </c>
      <c r="I50" s="99">
        <v>0.09</v>
      </c>
      <c r="J50" s="99">
        <v>0.43</v>
      </c>
      <c r="K50" s="99">
        <v>0.34</v>
      </c>
      <c r="L50" s="99">
        <v>0.43</v>
      </c>
      <c r="M50" s="16">
        <v>59</v>
      </c>
      <c r="N50" s="16">
        <v>9</v>
      </c>
      <c r="O50" s="66">
        <v>7.0000000000000007E-2</v>
      </c>
      <c r="P50" s="66">
        <v>0.4</v>
      </c>
      <c r="Q50" s="66">
        <v>0.52</v>
      </c>
      <c r="R50" s="66">
        <v>0.01</v>
      </c>
      <c r="S50" s="66">
        <v>0.51</v>
      </c>
      <c r="T50" s="66">
        <v>0.59</v>
      </c>
      <c r="U50" s="66">
        <v>0.39</v>
      </c>
      <c r="V50" s="16">
        <v>59</v>
      </c>
      <c r="W50" s="16">
        <v>8</v>
      </c>
      <c r="X50" s="99">
        <v>7.0000000000000007E-2</v>
      </c>
      <c r="Y50" s="99">
        <v>0.5</v>
      </c>
      <c r="Z50" s="99">
        <v>0.44</v>
      </c>
      <c r="AA50" s="99">
        <v>0</v>
      </c>
      <c r="AB50" s="99">
        <v>0.54</v>
      </c>
      <c r="AC50" s="99">
        <v>0.4</v>
      </c>
      <c r="AD50" s="99">
        <v>0.56999999999999995</v>
      </c>
      <c r="AE50" s="16">
        <v>61</v>
      </c>
      <c r="AF50" s="16">
        <v>10</v>
      </c>
      <c r="AG50" s="99">
        <v>0.06</v>
      </c>
      <c r="AH50" s="99">
        <v>0.44</v>
      </c>
      <c r="AI50" s="99">
        <v>0.48</v>
      </c>
      <c r="AJ50" s="99">
        <v>0.02</v>
      </c>
      <c r="AK50" s="99">
        <v>0.56999999999999995</v>
      </c>
      <c r="AL50" s="99">
        <v>0.51</v>
      </c>
      <c r="AM50" s="99">
        <v>0.3</v>
      </c>
      <c r="AN50" s="61">
        <v>60</v>
      </c>
      <c r="AO50" s="61">
        <v>9</v>
      </c>
      <c r="AP50" s="66">
        <v>0.02</v>
      </c>
      <c r="AQ50" s="66">
        <v>0.08</v>
      </c>
      <c r="AR50" s="66">
        <v>0.76</v>
      </c>
      <c r="AS50" s="66">
        <v>0.13</v>
      </c>
      <c r="AT50" s="66">
        <v>0.19</v>
      </c>
      <c r="AU50" s="66">
        <v>0.36</v>
      </c>
      <c r="AV50" s="66">
        <v>0.37</v>
      </c>
      <c r="AW50" s="349">
        <v>59</v>
      </c>
      <c r="AX50" s="348" t="s">
        <v>910</v>
      </c>
      <c r="AY50" s="349">
        <v>10</v>
      </c>
      <c r="AZ50" s="348" t="s">
        <v>910</v>
      </c>
      <c r="BA50" s="371">
        <v>0.01</v>
      </c>
      <c r="BB50" s="371">
        <v>0.19</v>
      </c>
      <c r="BC50" s="371">
        <v>0.71</v>
      </c>
      <c r="BD50" s="371">
        <v>0.09</v>
      </c>
      <c r="BE50" s="371">
        <v>0.21</v>
      </c>
      <c r="BF50" s="371">
        <v>0.39</v>
      </c>
      <c r="BG50" s="371">
        <v>0.36</v>
      </c>
      <c r="BH50" s="469">
        <v>60</v>
      </c>
      <c r="BI50" s="471" t="s">
        <v>910</v>
      </c>
      <c r="BJ50" s="469">
        <v>9</v>
      </c>
      <c r="BK50" s="471" t="s">
        <v>910</v>
      </c>
      <c r="BL50" s="501">
        <v>0.01</v>
      </c>
      <c r="BM50" s="501">
        <v>0.13</v>
      </c>
      <c r="BN50" s="501">
        <v>0.77</v>
      </c>
      <c r="BO50" s="501">
        <v>0.09</v>
      </c>
      <c r="BP50" s="501">
        <v>0.38</v>
      </c>
      <c r="BQ50" s="501">
        <v>0.42</v>
      </c>
      <c r="BR50" s="501">
        <v>0.26</v>
      </c>
      <c r="BS50" s="630">
        <v>60</v>
      </c>
      <c r="BT50" s="640" t="s">
        <v>910</v>
      </c>
      <c r="BU50" s="630">
        <v>8</v>
      </c>
      <c r="BV50" s="640" t="s">
        <v>910</v>
      </c>
      <c r="BW50" s="644">
        <v>0</v>
      </c>
      <c r="BX50" s="644">
        <v>0.11</v>
      </c>
      <c r="BY50" s="644">
        <v>0.79</v>
      </c>
      <c r="BZ50" s="644">
        <v>0.1</v>
      </c>
      <c r="CA50" s="644">
        <v>0.52</v>
      </c>
      <c r="CB50" s="644">
        <v>0.24</v>
      </c>
      <c r="CC50" s="644">
        <v>0.45</v>
      </c>
    </row>
    <row r="51" spans="1:81" ht="24.9" customHeight="1" x14ac:dyDescent="0.25">
      <c r="A51" s="189" t="s">
        <v>271</v>
      </c>
      <c r="B51" s="1" t="s">
        <v>222</v>
      </c>
      <c r="C51" s="2">
        <v>2</v>
      </c>
      <c r="D51" s="13" t="s">
        <v>226</v>
      </c>
      <c r="E51" s="13" t="s">
        <v>226</v>
      </c>
      <c r="F51" s="13"/>
      <c r="G51" s="13"/>
      <c r="H51" s="13"/>
      <c r="I51" s="13"/>
      <c r="J51" s="13"/>
      <c r="K51" s="13"/>
      <c r="L51" s="13"/>
      <c r="M51" s="13" t="s">
        <v>226</v>
      </c>
      <c r="N51" s="13" t="s">
        <v>226</v>
      </c>
      <c r="O51" s="66">
        <v>0.01</v>
      </c>
      <c r="P51" s="66">
        <v>0.19</v>
      </c>
      <c r="Q51" s="66">
        <v>0.71</v>
      </c>
      <c r="R51" s="66">
        <v>0.09</v>
      </c>
      <c r="S51" s="66">
        <v>0.38</v>
      </c>
      <c r="T51" s="66">
        <v>0.43</v>
      </c>
      <c r="U51" s="66">
        <v>0.25</v>
      </c>
      <c r="V51" s="13" t="s">
        <v>226</v>
      </c>
      <c r="W51" s="13" t="s">
        <v>226</v>
      </c>
      <c r="X51" s="99">
        <v>0.01</v>
      </c>
      <c r="Y51" s="99">
        <v>0.09</v>
      </c>
      <c r="Z51" s="99">
        <v>0.85</v>
      </c>
      <c r="AA51" s="99">
        <v>0.06</v>
      </c>
      <c r="AB51" s="99">
        <v>0.38</v>
      </c>
      <c r="AC51" s="99">
        <v>0.28000000000000003</v>
      </c>
      <c r="AD51" s="99">
        <v>0.39</v>
      </c>
      <c r="AE51" s="13" t="s">
        <v>226</v>
      </c>
      <c r="AF51" s="13" t="s">
        <v>226</v>
      </c>
      <c r="AG51" s="99">
        <v>0.01</v>
      </c>
      <c r="AH51" s="99">
        <v>0.13</v>
      </c>
      <c r="AI51" s="99">
        <v>0.72</v>
      </c>
      <c r="AJ51" s="99">
        <v>0.13</v>
      </c>
      <c r="AK51" s="99">
        <v>0.37</v>
      </c>
      <c r="AL51" s="99">
        <v>0.35</v>
      </c>
      <c r="AM51" s="99">
        <v>0.18</v>
      </c>
      <c r="AN51" s="61">
        <v>54</v>
      </c>
      <c r="AO51" s="61">
        <v>0</v>
      </c>
      <c r="AP51" s="66">
        <v>0</v>
      </c>
      <c r="AQ51" s="66">
        <v>0</v>
      </c>
      <c r="AR51" s="66">
        <v>1</v>
      </c>
      <c r="AS51" s="66">
        <v>0</v>
      </c>
      <c r="AT51" s="66">
        <v>0.18</v>
      </c>
      <c r="AU51" s="66">
        <v>0.83</v>
      </c>
      <c r="AV51" s="66">
        <v>0.28999999999999998</v>
      </c>
    </row>
    <row r="52" spans="1:81" ht="24.9" customHeight="1" x14ac:dyDescent="0.25">
      <c r="A52" s="188" t="s">
        <v>134</v>
      </c>
      <c r="B52" s="1" t="s">
        <v>222</v>
      </c>
      <c r="C52" s="2">
        <v>5</v>
      </c>
      <c r="D52" s="16">
        <v>54</v>
      </c>
      <c r="E52" s="16">
        <v>8</v>
      </c>
      <c r="F52" s="99">
        <v>0</v>
      </c>
      <c r="G52" s="99">
        <v>0.42</v>
      </c>
      <c r="H52" s="99">
        <v>0.57999999999999996</v>
      </c>
      <c r="I52" s="99">
        <v>0</v>
      </c>
      <c r="J52" s="99">
        <v>0.5</v>
      </c>
      <c r="K52" s="99">
        <v>0.41</v>
      </c>
      <c r="L52" s="99">
        <v>0.47</v>
      </c>
      <c r="M52" s="16">
        <v>55</v>
      </c>
      <c r="N52" s="16">
        <v>12</v>
      </c>
      <c r="O52" s="66"/>
      <c r="P52" s="66"/>
      <c r="Q52" s="66"/>
      <c r="R52" s="66"/>
      <c r="S52" s="66"/>
      <c r="T52" s="66"/>
      <c r="U52" s="66"/>
      <c r="V52" s="16">
        <v>58</v>
      </c>
      <c r="W52" s="16">
        <v>9</v>
      </c>
      <c r="X52" s="13"/>
      <c r="Y52" s="13"/>
      <c r="Z52" s="13"/>
      <c r="AA52" s="13"/>
      <c r="AB52" s="13"/>
      <c r="AC52" s="13"/>
      <c r="AD52" s="13"/>
      <c r="AE52" s="16">
        <v>58</v>
      </c>
      <c r="AF52" s="16">
        <v>8</v>
      </c>
      <c r="AG52" s="13"/>
      <c r="AH52" s="13"/>
      <c r="AI52" s="13"/>
      <c r="AJ52" s="13"/>
      <c r="AK52" s="13"/>
      <c r="AL52" s="13"/>
      <c r="AM52" s="13"/>
      <c r="AN52" s="61">
        <v>58</v>
      </c>
      <c r="AO52" s="61">
        <v>12</v>
      </c>
      <c r="AP52" s="66">
        <v>0.05</v>
      </c>
      <c r="AQ52" s="66">
        <v>0.28999999999999998</v>
      </c>
      <c r="AR52" s="66">
        <v>0.48</v>
      </c>
      <c r="AS52" s="66">
        <v>0.19</v>
      </c>
      <c r="AT52" s="66">
        <v>0.21</v>
      </c>
      <c r="AU52" s="66">
        <v>0.45</v>
      </c>
      <c r="AV52" s="66">
        <v>0.34</v>
      </c>
      <c r="AW52" s="349">
        <v>58</v>
      </c>
      <c r="AX52" s="348" t="s">
        <v>910</v>
      </c>
      <c r="AY52" s="349">
        <v>10</v>
      </c>
      <c r="AZ52" s="348" t="s">
        <v>910</v>
      </c>
      <c r="BA52" s="371">
        <v>0</v>
      </c>
      <c r="BB52" s="371">
        <v>0.19</v>
      </c>
      <c r="BC52" s="371">
        <v>0.67</v>
      </c>
      <c r="BD52" s="371">
        <v>0.14000000000000001</v>
      </c>
      <c r="BE52" s="371">
        <v>0.23</v>
      </c>
      <c r="BF52" s="371">
        <v>0.41</v>
      </c>
      <c r="BG52" s="371">
        <v>0.32</v>
      </c>
      <c r="BH52" s="469">
        <v>58</v>
      </c>
      <c r="BI52" s="471" t="s">
        <v>910</v>
      </c>
      <c r="BJ52" s="469">
        <v>7</v>
      </c>
      <c r="BK52" s="471" t="s">
        <v>910</v>
      </c>
      <c r="BL52" s="501">
        <v>0</v>
      </c>
      <c r="BM52" s="501">
        <v>0.11</v>
      </c>
      <c r="BN52" s="501">
        <v>0.83</v>
      </c>
      <c r="BO52" s="501">
        <v>0.06</v>
      </c>
      <c r="BP52" s="501">
        <v>0.34</v>
      </c>
      <c r="BQ52" s="501">
        <v>0.49</v>
      </c>
      <c r="BR52" s="501">
        <v>0.26</v>
      </c>
      <c r="BS52" s="630">
        <v>56</v>
      </c>
      <c r="BT52" s="640" t="s">
        <v>910</v>
      </c>
      <c r="BU52" s="630">
        <v>8</v>
      </c>
      <c r="BV52" s="640" t="s">
        <v>910</v>
      </c>
      <c r="BW52" s="644">
        <v>0</v>
      </c>
      <c r="BX52" s="644">
        <v>0.33</v>
      </c>
      <c r="BY52" s="644">
        <v>0.67</v>
      </c>
      <c r="BZ52" s="644">
        <v>0</v>
      </c>
      <c r="CA52" s="644">
        <v>0.51</v>
      </c>
      <c r="CB52" s="644">
        <v>0.35</v>
      </c>
      <c r="CC52" s="644">
        <v>0.54</v>
      </c>
    </row>
    <row r="53" spans="1:81" s="461" customFormat="1" ht="24.9" customHeight="1" x14ac:dyDescent="0.25">
      <c r="A53" s="470" t="s">
        <v>956</v>
      </c>
      <c r="B53" s="15" t="s">
        <v>222</v>
      </c>
      <c r="C53" s="471">
        <v>6</v>
      </c>
      <c r="D53" s="502"/>
      <c r="E53" s="502"/>
      <c r="F53" s="508"/>
      <c r="G53" s="508"/>
      <c r="H53" s="508"/>
      <c r="I53" s="508"/>
      <c r="J53" s="508"/>
      <c r="K53" s="508"/>
      <c r="L53" s="508"/>
      <c r="M53" s="502"/>
      <c r="N53" s="502"/>
      <c r="O53" s="506"/>
      <c r="P53" s="506"/>
      <c r="Q53" s="506"/>
      <c r="R53" s="506"/>
      <c r="S53" s="506"/>
      <c r="T53" s="506"/>
      <c r="U53" s="506"/>
      <c r="V53" s="502"/>
      <c r="W53" s="502"/>
      <c r="X53" s="505"/>
      <c r="Y53" s="505"/>
      <c r="Z53" s="505"/>
      <c r="AA53" s="505"/>
      <c r="AB53" s="505"/>
      <c r="AC53" s="505"/>
      <c r="AD53" s="505"/>
      <c r="AE53" s="502"/>
      <c r="AF53" s="502"/>
      <c r="AG53" s="505"/>
      <c r="AH53" s="505"/>
      <c r="AI53" s="505"/>
      <c r="AJ53" s="505"/>
      <c r="AK53" s="505"/>
      <c r="AL53" s="505"/>
      <c r="AM53" s="505"/>
      <c r="AN53" s="472"/>
      <c r="AO53" s="472"/>
      <c r="AP53" s="506"/>
      <c r="AQ53" s="506"/>
      <c r="AR53" s="506"/>
      <c r="AS53" s="506"/>
      <c r="AT53" s="506"/>
      <c r="AU53" s="506"/>
      <c r="AV53" s="506"/>
      <c r="AW53" s="475"/>
      <c r="AX53" s="493"/>
      <c r="AY53" s="475"/>
      <c r="AZ53" s="493"/>
      <c r="BA53" s="507"/>
      <c r="BB53" s="507"/>
      <c r="BC53" s="507"/>
      <c r="BD53" s="507"/>
      <c r="BE53" s="507"/>
      <c r="BF53" s="507"/>
      <c r="BG53" s="507"/>
      <c r="BH53" s="469">
        <v>64</v>
      </c>
      <c r="BI53" s="471" t="s">
        <v>911</v>
      </c>
      <c r="BJ53" s="469">
        <v>15</v>
      </c>
      <c r="BK53" s="471" t="s">
        <v>911</v>
      </c>
      <c r="BL53" s="501">
        <v>0</v>
      </c>
      <c r="BM53" s="501">
        <v>0.25</v>
      </c>
      <c r="BN53" s="501">
        <v>0.38</v>
      </c>
      <c r="BO53" s="501">
        <v>0.38</v>
      </c>
      <c r="BP53" s="501">
        <v>0.34</v>
      </c>
      <c r="BQ53" s="501">
        <v>0.32</v>
      </c>
      <c r="BR53" s="501">
        <v>0.2</v>
      </c>
      <c r="BS53" s="630">
        <v>61</v>
      </c>
      <c r="BT53" s="640" t="s">
        <v>911</v>
      </c>
      <c r="BU53" s="630">
        <v>9</v>
      </c>
      <c r="BV53" s="640" t="s">
        <v>910</v>
      </c>
      <c r="BW53" s="644">
        <v>0</v>
      </c>
      <c r="BX53" s="644">
        <v>0.15</v>
      </c>
      <c r="BY53" s="644">
        <v>0.7</v>
      </c>
      <c r="BZ53" s="644">
        <v>0.15</v>
      </c>
      <c r="CA53" s="644">
        <v>0.56999999999999995</v>
      </c>
      <c r="CB53" s="644">
        <v>0.22</v>
      </c>
      <c r="CC53" s="644">
        <v>0.42</v>
      </c>
    </row>
    <row r="54" spans="1:81" ht="24.9" customHeight="1" x14ac:dyDescent="0.25">
      <c r="A54" s="188" t="s">
        <v>101</v>
      </c>
      <c r="B54" s="1" t="s">
        <v>222</v>
      </c>
      <c r="C54" s="2">
        <v>1</v>
      </c>
      <c r="D54" s="16">
        <v>55</v>
      </c>
      <c r="E54" s="16">
        <v>10</v>
      </c>
      <c r="F54" s="99">
        <v>0.1</v>
      </c>
      <c r="G54" s="99">
        <v>0.2</v>
      </c>
      <c r="H54" s="99">
        <v>0.68</v>
      </c>
      <c r="I54" s="99">
        <v>0.02</v>
      </c>
      <c r="J54" s="99">
        <v>0.51</v>
      </c>
      <c r="K54" s="99">
        <v>0.48</v>
      </c>
      <c r="L54" s="99">
        <v>0.54</v>
      </c>
      <c r="M54" s="16">
        <v>55</v>
      </c>
      <c r="N54" s="16">
        <v>9</v>
      </c>
      <c r="O54" s="66">
        <v>0.06</v>
      </c>
      <c r="P54" s="66">
        <v>0.17</v>
      </c>
      <c r="Q54" s="66">
        <v>0.67</v>
      </c>
      <c r="R54" s="66">
        <v>0.11</v>
      </c>
      <c r="S54" s="66">
        <v>0.42</v>
      </c>
      <c r="T54" s="66">
        <v>0.45</v>
      </c>
      <c r="U54" s="66">
        <v>0.36</v>
      </c>
      <c r="V54" s="16">
        <v>57</v>
      </c>
      <c r="W54" s="16">
        <v>9</v>
      </c>
      <c r="X54" s="99">
        <v>0</v>
      </c>
      <c r="Y54" s="99">
        <v>0.11</v>
      </c>
      <c r="Z54" s="99">
        <v>0.72</v>
      </c>
      <c r="AA54" s="99">
        <v>0.17</v>
      </c>
      <c r="AB54" s="99">
        <v>0.39</v>
      </c>
      <c r="AC54" s="99">
        <v>0.33</v>
      </c>
      <c r="AD54" s="99">
        <v>0.39</v>
      </c>
      <c r="AE54" s="16">
        <v>57</v>
      </c>
      <c r="AF54" s="16">
        <v>9</v>
      </c>
      <c r="AG54" s="99">
        <v>0</v>
      </c>
      <c r="AH54" s="99">
        <v>0.26</v>
      </c>
      <c r="AI54" s="99">
        <v>0.68</v>
      </c>
      <c r="AJ54" s="99">
        <v>0.05</v>
      </c>
      <c r="AK54" s="99">
        <v>0.44</v>
      </c>
      <c r="AL54" s="99">
        <v>0.4</v>
      </c>
      <c r="AM54" s="99">
        <v>0.2</v>
      </c>
      <c r="AN54" s="61">
        <v>56</v>
      </c>
      <c r="AO54" s="61">
        <v>10</v>
      </c>
      <c r="AP54" s="66">
        <v>0</v>
      </c>
      <c r="AQ54" s="66">
        <v>0.28999999999999998</v>
      </c>
      <c r="AR54" s="66">
        <v>0.64</v>
      </c>
      <c r="AS54" s="66">
        <v>7.0000000000000007E-2</v>
      </c>
      <c r="AT54" s="66">
        <v>0.24</v>
      </c>
      <c r="AU54" s="66">
        <v>0.43</v>
      </c>
      <c r="AV54" s="66">
        <v>0.47</v>
      </c>
      <c r="AW54" s="349">
        <v>56</v>
      </c>
      <c r="AX54" s="348" t="s">
        <v>910</v>
      </c>
      <c r="AY54" s="349">
        <v>9</v>
      </c>
      <c r="AZ54" s="348" t="s">
        <v>910</v>
      </c>
      <c r="BA54" s="371">
        <v>0</v>
      </c>
      <c r="BB54" s="371">
        <v>0.25</v>
      </c>
      <c r="BC54" s="371">
        <v>0.7</v>
      </c>
      <c r="BD54" s="371">
        <v>0.05</v>
      </c>
      <c r="BE54" s="371">
        <v>0.22</v>
      </c>
      <c r="BF54" s="371">
        <v>0.43</v>
      </c>
      <c r="BG54" s="371">
        <v>0.4</v>
      </c>
      <c r="BH54" s="469">
        <v>56</v>
      </c>
      <c r="BI54" s="471" t="s">
        <v>910</v>
      </c>
      <c r="BJ54" s="469">
        <v>8</v>
      </c>
      <c r="BK54" s="471" t="s">
        <v>910</v>
      </c>
      <c r="BL54" s="501">
        <v>0</v>
      </c>
      <c r="BM54" s="501">
        <v>0.26</v>
      </c>
      <c r="BN54" s="501">
        <v>0.74</v>
      </c>
      <c r="BO54" s="501">
        <v>0</v>
      </c>
      <c r="BP54" s="501">
        <v>0.51</v>
      </c>
      <c r="BQ54" s="501">
        <v>0.6</v>
      </c>
      <c r="BR54" s="501">
        <v>0.35</v>
      </c>
      <c r="BS54" s="630">
        <v>56</v>
      </c>
      <c r="BT54" s="640" t="s">
        <v>910</v>
      </c>
      <c r="BU54" s="630">
        <v>12</v>
      </c>
      <c r="BV54" s="640" t="s">
        <v>910</v>
      </c>
      <c r="BW54" s="644">
        <v>7.0000000000000007E-2</v>
      </c>
      <c r="BX54" s="644">
        <v>0.26</v>
      </c>
      <c r="BY54" s="644">
        <v>0.56000000000000005</v>
      </c>
      <c r="BZ54" s="644">
        <v>0.11</v>
      </c>
      <c r="CA54" s="644">
        <v>0.56000000000000005</v>
      </c>
      <c r="CB54" s="644">
        <v>0.34</v>
      </c>
      <c r="CC54" s="644">
        <v>0.45</v>
      </c>
    </row>
    <row r="55" spans="1:81" ht="24.9" customHeight="1" x14ac:dyDescent="0.25">
      <c r="A55" s="188" t="s">
        <v>231</v>
      </c>
      <c r="B55" s="1" t="s">
        <v>222</v>
      </c>
      <c r="C55" s="2">
        <v>1</v>
      </c>
      <c r="D55" s="13" t="s">
        <v>226</v>
      </c>
      <c r="E55" s="13" t="s">
        <v>226</v>
      </c>
      <c r="F55" s="13"/>
      <c r="G55" s="13"/>
      <c r="H55" s="13"/>
      <c r="I55" s="13"/>
      <c r="J55" s="13"/>
      <c r="K55" s="13"/>
      <c r="L55" s="13"/>
      <c r="M55" s="13" t="s">
        <v>226</v>
      </c>
      <c r="N55" s="13" t="s">
        <v>226</v>
      </c>
      <c r="O55" s="66">
        <v>0.04</v>
      </c>
      <c r="P55" s="66">
        <v>0.27</v>
      </c>
      <c r="Q55" s="66">
        <v>0.65</v>
      </c>
      <c r="R55" s="66">
        <v>0.04</v>
      </c>
      <c r="S55" s="66">
        <v>0.42</v>
      </c>
      <c r="T55" s="66">
        <v>0.5</v>
      </c>
      <c r="U55" s="66">
        <v>0.31</v>
      </c>
      <c r="V55" s="16">
        <v>52</v>
      </c>
      <c r="W55" s="16">
        <v>8</v>
      </c>
      <c r="X55" s="99">
        <v>0</v>
      </c>
      <c r="Y55" s="99">
        <v>0.25</v>
      </c>
      <c r="Z55" s="99">
        <v>0.68</v>
      </c>
      <c r="AA55" s="99">
        <v>7.0000000000000007E-2</v>
      </c>
      <c r="AB55" s="99">
        <v>0.38</v>
      </c>
      <c r="AC55" s="99">
        <v>0.34</v>
      </c>
      <c r="AD55" s="99">
        <v>0.46</v>
      </c>
      <c r="AE55" s="16">
        <v>52</v>
      </c>
      <c r="AF55" s="16">
        <v>9</v>
      </c>
      <c r="AG55" s="99">
        <v>0</v>
      </c>
      <c r="AH55" s="99">
        <v>0.28000000000000003</v>
      </c>
      <c r="AI55" s="99">
        <v>0.72</v>
      </c>
      <c r="AJ55" s="99">
        <v>0</v>
      </c>
      <c r="AK55" s="99">
        <v>0.46</v>
      </c>
      <c r="AL55" s="99">
        <v>0.41</v>
      </c>
      <c r="AM55" s="99">
        <v>0.22</v>
      </c>
      <c r="AN55" s="61">
        <v>56</v>
      </c>
      <c r="AO55" s="61">
        <v>8</v>
      </c>
      <c r="AP55" s="66">
        <v>0</v>
      </c>
      <c r="AQ55" s="66">
        <v>0.4</v>
      </c>
      <c r="AR55" s="66">
        <v>0.6</v>
      </c>
      <c r="AS55" s="66">
        <v>0</v>
      </c>
      <c r="AT55" s="66">
        <v>0.22</v>
      </c>
      <c r="AU55" s="66">
        <v>0.45</v>
      </c>
      <c r="AV55" s="66">
        <v>0.51</v>
      </c>
      <c r="AW55" s="349">
        <v>61</v>
      </c>
      <c r="AX55" s="348" t="s">
        <v>911</v>
      </c>
      <c r="AY55" s="349">
        <v>4</v>
      </c>
      <c r="AZ55" s="348" t="s">
        <v>912</v>
      </c>
      <c r="BA55" s="371">
        <v>0</v>
      </c>
      <c r="BB55" s="371">
        <v>0</v>
      </c>
      <c r="BC55" s="371">
        <v>1</v>
      </c>
      <c r="BD55" s="371">
        <v>0</v>
      </c>
      <c r="BE55" s="371">
        <v>0.19</v>
      </c>
      <c r="BF55" s="371">
        <v>0.38</v>
      </c>
      <c r="BG55" s="371">
        <v>0.2</v>
      </c>
      <c r="BH55" s="469">
        <v>56</v>
      </c>
      <c r="BI55" s="471" t="s">
        <v>910</v>
      </c>
      <c r="BJ55" s="469">
        <v>7</v>
      </c>
      <c r="BK55" s="471" t="s">
        <v>910</v>
      </c>
      <c r="BL55" s="501">
        <v>0</v>
      </c>
      <c r="BM55" s="501">
        <v>0.3</v>
      </c>
      <c r="BN55" s="501">
        <v>0.7</v>
      </c>
      <c r="BO55" s="501">
        <v>0</v>
      </c>
      <c r="BP55" s="501">
        <v>0.41</v>
      </c>
      <c r="BQ55" s="501">
        <v>0.46</v>
      </c>
      <c r="BR55" s="501">
        <v>0.2</v>
      </c>
      <c r="BS55" s="630">
        <v>55</v>
      </c>
      <c r="BT55" s="640" t="s">
        <v>910</v>
      </c>
      <c r="BU55" s="630">
        <v>9</v>
      </c>
      <c r="BV55" s="640" t="s">
        <v>910</v>
      </c>
      <c r="BW55" s="644">
        <v>0.05</v>
      </c>
      <c r="BX55" s="644">
        <v>0.15</v>
      </c>
      <c r="BY55" s="644">
        <v>0.75</v>
      </c>
      <c r="BZ55" s="644">
        <v>0.05</v>
      </c>
      <c r="CA55" s="644">
        <v>0.66</v>
      </c>
      <c r="CB55" s="644">
        <v>0.4</v>
      </c>
      <c r="CC55" s="644">
        <v>0.51</v>
      </c>
    </row>
    <row r="56" spans="1:81" ht="24.9" customHeight="1" x14ac:dyDescent="0.25">
      <c r="A56" s="188" t="s">
        <v>116</v>
      </c>
      <c r="B56" s="1" t="s">
        <v>222</v>
      </c>
      <c r="C56" s="2">
        <v>2</v>
      </c>
      <c r="D56" s="16">
        <v>53</v>
      </c>
      <c r="E56" s="16">
        <v>9</v>
      </c>
      <c r="F56" s="99">
        <v>0.03</v>
      </c>
      <c r="G56" s="99">
        <v>0.36</v>
      </c>
      <c r="H56" s="99">
        <v>0.56999999999999995</v>
      </c>
      <c r="I56" s="99">
        <v>0.04</v>
      </c>
      <c r="J56" s="99">
        <v>0.52</v>
      </c>
      <c r="K56" s="99">
        <v>0.42</v>
      </c>
      <c r="L56" s="99">
        <v>0.5</v>
      </c>
      <c r="M56" s="16">
        <v>54</v>
      </c>
      <c r="N56" s="16">
        <v>10</v>
      </c>
      <c r="O56" s="66"/>
      <c r="P56" s="66"/>
      <c r="Q56" s="66"/>
      <c r="R56" s="66"/>
      <c r="S56" s="66"/>
      <c r="T56" s="66"/>
      <c r="U56" s="66"/>
      <c r="V56" s="16">
        <v>53</v>
      </c>
      <c r="W56" s="16">
        <v>9</v>
      </c>
      <c r="X56" s="99">
        <v>0</v>
      </c>
      <c r="Y56" s="99">
        <v>0.5</v>
      </c>
      <c r="Z56" s="99">
        <v>0.5</v>
      </c>
      <c r="AA56" s="99">
        <v>0</v>
      </c>
      <c r="AB56" s="99">
        <v>0.48</v>
      </c>
      <c r="AC56" s="99">
        <v>0.39</v>
      </c>
      <c r="AD56" s="99">
        <v>0.56999999999999995</v>
      </c>
      <c r="AE56" s="16">
        <v>57</v>
      </c>
      <c r="AF56" s="16">
        <v>9</v>
      </c>
      <c r="AG56" s="99">
        <v>0</v>
      </c>
      <c r="AH56" s="99">
        <v>0.4</v>
      </c>
      <c r="AI56" s="99">
        <v>0.6</v>
      </c>
      <c r="AJ56" s="99">
        <v>0</v>
      </c>
      <c r="AK56" s="99">
        <v>0.56999999999999995</v>
      </c>
      <c r="AL56" s="99">
        <v>0.42</v>
      </c>
      <c r="AM56" s="99">
        <v>0.3</v>
      </c>
      <c r="AN56" s="61">
        <v>55</v>
      </c>
      <c r="AO56" s="61">
        <v>9</v>
      </c>
      <c r="AP56" s="66">
        <v>0.01</v>
      </c>
      <c r="AQ56" s="66">
        <v>0.32</v>
      </c>
      <c r="AR56" s="66">
        <v>0.63</v>
      </c>
      <c r="AS56" s="66">
        <v>0.04</v>
      </c>
      <c r="AT56" s="66">
        <v>0.24</v>
      </c>
      <c r="AU56" s="66">
        <v>0.46</v>
      </c>
      <c r="AV56" s="66">
        <v>0.45</v>
      </c>
      <c r="AW56" s="349">
        <v>55</v>
      </c>
      <c r="AX56" s="348" t="s">
        <v>910</v>
      </c>
      <c r="AY56" s="349">
        <v>9</v>
      </c>
      <c r="AZ56" s="348" t="s">
        <v>910</v>
      </c>
      <c r="BA56" s="371">
        <v>0.02</v>
      </c>
      <c r="BB56" s="371">
        <v>0.22</v>
      </c>
      <c r="BC56" s="371">
        <v>0.73</v>
      </c>
      <c r="BD56" s="371">
        <v>0.03</v>
      </c>
      <c r="BE56" s="371">
        <v>0.23</v>
      </c>
      <c r="BF56" s="371">
        <v>0.45</v>
      </c>
      <c r="BG56" s="371">
        <v>0.37</v>
      </c>
      <c r="BH56" s="469">
        <v>57</v>
      </c>
      <c r="BI56" s="471" t="s">
        <v>910</v>
      </c>
      <c r="BJ56" s="469">
        <v>10</v>
      </c>
      <c r="BK56" s="471" t="s">
        <v>910</v>
      </c>
      <c r="BL56" s="501">
        <v>0.05</v>
      </c>
      <c r="BM56" s="501">
        <v>0.18</v>
      </c>
      <c r="BN56" s="501">
        <v>0.73</v>
      </c>
      <c r="BO56" s="501">
        <v>0.04</v>
      </c>
      <c r="BP56" s="501">
        <v>0.4</v>
      </c>
      <c r="BQ56" s="501">
        <v>0.5</v>
      </c>
      <c r="BR56" s="501">
        <v>0.33</v>
      </c>
      <c r="BS56" s="630">
        <v>57</v>
      </c>
      <c r="BT56" s="640" t="s">
        <v>910</v>
      </c>
      <c r="BU56" s="630">
        <v>10</v>
      </c>
      <c r="BV56" s="640" t="s">
        <v>910</v>
      </c>
      <c r="BW56" s="644">
        <v>0.05</v>
      </c>
      <c r="BX56" s="644">
        <v>0.2</v>
      </c>
      <c r="BY56" s="644">
        <v>0.7</v>
      </c>
      <c r="BZ56" s="644">
        <v>0.05</v>
      </c>
      <c r="CA56" s="644">
        <v>0.55000000000000004</v>
      </c>
      <c r="CB56" s="644">
        <v>0.32</v>
      </c>
      <c r="CC56" s="644">
        <v>0.45</v>
      </c>
    </row>
    <row r="57" spans="1:81" s="219" customFormat="1" ht="24.9" customHeight="1" x14ac:dyDescent="0.25">
      <c r="A57" s="188" t="s">
        <v>151</v>
      </c>
      <c r="B57" s="1" t="s">
        <v>222</v>
      </c>
      <c r="C57" s="2">
        <v>3</v>
      </c>
      <c r="D57" s="16">
        <v>54</v>
      </c>
      <c r="E57" s="16">
        <v>8</v>
      </c>
      <c r="F57" s="99">
        <v>0.04</v>
      </c>
      <c r="G57" s="99">
        <v>0.3</v>
      </c>
      <c r="H57" s="99">
        <v>0.67</v>
      </c>
      <c r="I57" s="99">
        <v>0</v>
      </c>
      <c r="J57" s="99">
        <v>0.48</v>
      </c>
      <c r="K57" s="99">
        <v>0.44</v>
      </c>
      <c r="L57" s="99">
        <v>0.49</v>
      </c>
      <c r="M57" s="16">
        <v>49</v>
      </c>
      <c r="N57" s="16">
        <v>9</v>
      </c>
      <c r="O57" s="66">
        <v>0.04</v>
      </c>
      <c r="P57" s="66">
        <v>0.31</v>
      </c>
      <c r="Q57" s="66">
        <v>0.59</v>
      </c>
      <c r="R57" s="66">
        <v>0.06</v>
      </c>
      <c r="S57" s="66">
        <v>0.43</v>
      </c>
      <c r="T57" s="66">
        <v>0.49</v>
      </c>
      <c r="U57" s="66">
        <v>0.33</v>
      </c>
      <c r="V57" s="16">
        <v>52</v>
      </c>
      <c r="W57" s="16">
        <v>10</v>
      </c>
      <c r="X57" s="99">
        <v>0.01</v>
      </c>
      <c r="Y57" s="99">
        <v>0.42</v>
      </c>
      <c r="Z57" s="99">
        <v>0.51</v>
      </c>
      <c r="AA57" s="99">
        <v>0.05</v>
      </c>
      <c r="AB57" s="99">
        <v>0.46</v>
      </c>
      <c r="AC57" s="99">
        <v>0.38</v>
      </c>
      <c r="AD57" s="99">
        <v>0.49</v>
      </c>
      <c r="AE57" s="16">
        <v>51</v>
      </c>
      <c r="AF57" s="16">
        <v>9</v>
      </c>
      <c r="AG57" s="99">
        <v>0.03</v>
      </c>
      <c r="AH57" s="99">
        <v>0.16</v>
      </c>
      <c r="AI57" s="99">
        <v>0.78</v>
      </c>
      <c r="AJ57" s="99">
        <v>0.03</v>
      </c>
      <c r="AK57" s="99">
        <v>0.46</v>
      </c>
      <c r="AL57" s="99">
        <v>0.39</v>
      </c>
      <c r="AM57" s="99">
        <v>0.21</v>
      </c>
      <c r="AN57" s="61">
        <v>57</v>
      </c>
      <c r="AO57" s="61">
        <v>8</v>
      </c>
      <c r="AP57" s="66">
        <v>0</v>
      </c>
      <c r="AQ57" s="66">
        <v>0.14000000000000001</v>
      </c>
      <c r="AR57" s="66">
        <v>0.79</v>
      </c>
      <c r="AS57" s="66">
        <v>7.0000000000000007E-2</v>
      </c>
      <c r="AT57" s="66">
        <v>0.22</v>
      </c>
      <c r="AU57" s="66">
        <v>0.42</v>
      </c>
      <c r="AV57" s="66">
        <v>0.46</v>
      </c>
      <c r="AW57" s="349">
        <v>52</v>
      </c>
      <c r="AX57" s="348" t="s">
        <v>910</v>
      </c>
      <c r="AY57" s="349">
        <v>8</v>
      </c>
      <c r="AZ57" s="348" t="s">
        <v>910</v>
      </c>
      <c r="BA57" s="371">
        <v>0.02</v>
      </c>
      <c r="BB57" s="371">
        <v>0.43</v>
      </c>
      <c r="BC57" s="371">
        <v>0.52</v>
      </c>
      <c r="BD57" s="371">
        <v>0.02</v>
      </c>
      <c r="BE57" s="371">
        <v>0.28000000000000003</v>
      </c>
      <c r="BF57" s="371">
        <v>0.52</v>
      </c>
      <c r="BG57" s="371">
        <v>0.49</v>
      </c>
      <c r="BH57" s="469">
        <v>49</v>
      </c>
      <c r="BI57" s="471" t="s">
        <v>910</v>
      </c>
      <c r="BJ57" s="469">
        <v>10</v>
      </c>
      <c r="BK57" s="471" t="s">
        <v>910</v>
      </c>
      <c r="BL57" s="501">
        <v>0.05</v>
      </c>
      <c r="BM57" s="501">
        <v>0.51</v>
      </c>
      <c r="BN57" s="501">
        <v>0.41</v>
      </c>
      <c r="BO57" s="501">
        <v>0.03</v>
      </c>
      <c r="BP57" s="501">
        <v>0.6</v>
      </c>
      <c r="BQ57" s="501">
        <v>0.56000000000000005</v>
      </c>
      <c r="BR57" s="501">
        <v>0.41</v>
      </c>
      <c r="BS57" s="630">
        <v>51</v>
      </c>
      <c r="BT57" s="640" t="s">
        <v>910</v>
      </c>
      <c r="BU57" s="630">
        <v>10</v>
      </c>
      <c r="BV57" s="640" t="s">
        <v>910</v>
      </c>
      <c r="BW57" s="644">
        <v>0.08</v>
      </c>
      <c r="BX57" s="644">
        <v>0.42</v>
      </c>
      <c r="BY57" s="644">
        <v>0.47</v>
      </c>
      <c r="BZ57" s="644">
        <v>0.03</v>
      </c>
      <c r="CA57" s="644">
        <v>0.7</v>
      </c>
      <c r="CB57" s="644">
        <v>0.32</v>
      </c>
      <c r="CC57" s="644">
        <v>0.62</v>
      </c>
    </row>
    <row r="58" spans="1:81" ht="24.9" customHeight="1" x14ac:dyDescent="0.25">
      <c r="A58" s="188" t="s">
        <v>877</v>
      </c>
      <c r="B58" s="1" t="s">
        <v>222</v>
      </c>
      <c r="C58" s="2">
        <v>4</v>
      </c>
      <c r="D58" s="16"/>
      <c r="E58" s="16"/>
      <c r="F58" s="99"/>
      <c r="G58" s="99"/>
      <c r="H58" s="99"/>
      <c r="I58" s="99"/>
      <c r="J58" s="99"/>
      <c r="K58" s="99"/>
      <c r="L58" s="99"/>
      <c r="M58" s="16"/>
      <c r="N58" s="16"/>
      <c r="O58" s="66"/>
      <c r="P58" s="66"/>
      <c r="Q58" s="66"/>
      <c r="R58" s="66"/>
      <c r="S58" s="66"/>
      <c r="T58" s="66"/>
      <c r="U58" s="66"/>
      <c r="V58" s="16"/>
      <c r="W58" s="16"/>
      <c r="X58" s="99"/>
      <c r="Y58" s="99"/>
      <c r="Z58" s="99"/>
      <c r="AA58" s="99"/>
      <c r="AB58" s="99"/>
      <c r="AC58" s="99"/>
      <c r="AD58" s="99"/>
      <c r="AE58" s="16"/>
      <c r="AF58" s="16"/>
      <c r="AG58" s="99"/>
      <c r="AH58" s="99"/>
      <c r="AI58" s="99"/>
      <c r="AJ58" s="99"/>
      <c r="AK58" s="99"/>
      <c r="AL58" s="99"/>
      <c r="AM58" s="99"/>
      <c r="AN58" s="61"/>
      <c r="AO58" s="61"/>
      <c r="AP58" s="66"/>
      <c r="AQ58" s="66"/>
      <c r="AR58" s="66"/>
      <c r="AS58" s="66"/>
      <c r="AT58" s="66"/>
      <c r="AU58" s="66"/>
      <c r="AV58" s="66"/>
    </row>
    <row r="59" spans="1:81" ht="24.9" customHeight="1" x14ac:dyDescent="0.25">
      <c r="A59" s="188" t="s">
        <v>200</v>
      </c>
      <c r="B59" s="1" t="s">
        <v>222</v>
      </c>
      <c r="C59" s="2">
        <v>3</v>
      </c>
      <c r="D59" s="16">
        <v>56</v>
      </c>
      <c r="E59" s="16">
        <v>8</v>
      </c>
      <c r="F59" s="99">
        <v>0</v>
      </c>
      <c r="G59" s="99">
        <v>0.28000000000000003</v>
      </c>
      <c r="H59" s="99">
        <v>0.69</v>
      </c>
      <c r="I59" s="99">
        <v>0.04</v>
      </c>
      <c r="J59" s="99">
        <v>0.47</v>
      </c>
      <c r="K59" s="99">
        <v>0.41</v>
      </c>
      <c r="L59" s="99">
        <v>0.51</v>
      </c>
      <c r="M59" s="16">
        <v>56</v>
      </c>
      <c r="N59" s="16">
        <v>9</v>
      </c>
      <c r="O59" s="66">
        <v>0.01</v>
      </c>
      <c r="P59" s="66">
        <v>0.28999999999999998</v>
      </c>
      <c r="Q59" s="66">
        <v>0.66</v>
      </c>
      <c r="R59" s="66">
        <v>0.04</v>
      </c>
      <c r="S59" s="66">
        <v>0.42</v>
      </c>
      <c r="T59" s="66">
        <v>0.48</v>
      </c>
      <c r="U59" s="66">
        <v>0.28000000000000003</v>
      </c>
      <c r="V59" s="16">
        <v>56</v>
      </c>
      <c r="W59" s="16">
        <v>8</v>
      </c>
      <c r="X59" s="99">
        <v>0.01</v>
      </c>
      <c r="Y59" s="99">
        <v>0.21</v>
      </c>
      <c r="Z59" s="99">
        <v>0.75</v>
      </c>
      <c r="AA59" s="99">
        <v>0.04</v>
      </c>
      <c r="AB59" s="99">
        <v>0.42</v>
      </c>
      <c r="AC59" s="99">
        <v>0.32</v>
      </c>
      <c r="AD59" s="99">
        <v>0.43</v>
      </c>
      <c r="AE59" s="16">
        <v>59</v>
      </c>
      <c r="AF59" s="16">
        <v>9</v>
      </c>
      <c r="AG59" s="99">
        <v>0</v>
      </c>
      <c r="AH59" s="99">
        <v>0.16</v>
      </c>
      <c r="AI59" s="99">
        <v>0.74</v>
      </c>
      <c r="AJ59" s="99">
        <v>0.1</v>
      </c>
      <c r="AK59" s="99">
        <v>0.42</v>
      </c>
      <c r="AL59" s="99">
        <v>0.36</v>
      </c>
      <c r="AM59" s="99">
        <v>0.19</v>
      </c>
      <c r="AN59" s="61">
        <v>58</v>
      </c>
      <c r="AO59" s="61">
        <v>9</v>
      </c>
      <c r="AP59" s="66">
        <v>0.01</v>
      </c>
      <c r="AQ59" s="66">
        <v>0.19</v>
      </c>
      <c r="AR59" s="66">
        <v>0.76</v>
      </c>
      <c r="AS59" s="66">
        <v>0.05</v>
      </c>
      <c r="AT59" s="66">
        <v>0.22</v>
      </c>
      <c r="AU59" s="66">
        <v>0.41</v>
      </c>
      <c r="AV59" s="66">
        <v>0.41</v>
      </c>
      <c r="AW59" s="349">
        <v>57</v>
      </c>
      <c r="AX59" s="348" t="s">
        <v>910</v>
      </c>
      <c r="AY59" s="349">
        <v>9</v>
      </c>
      <c r="AZ59" s="348" t="s">
        <v>910</v>
      </c>
      <c r="BA59" s="371">
        <v>0.02</v>
      </c>
      <c r="BB59" s="371">
        <v>0.18</v>
      </c>
      <c r="BC59" s="371">
        <v>0.73</v>
      </c>
      <c r="BD59" s="371">
        <v>7.0000000000000007E-2</v>
      </c>
      <c r="BE59" s="371">
        <v>0.22</v>
      </c>
      <c r="BF59" s="371">
        <v>0.4</v>
      </c>
      <c r="BG59" s="371">
        <v>0.39</v>
      </c>
      <c r="BH59" s="469">
        <v>62</v>
      </c>
      <c r="BI59" s="471" t="s">
        <v>911</v>
      </c>
      <c r="BJ59" s="469">
        <v>9</v>
      </c>
      <c r="BK59" s="471" t="s">
        <v>910</v>
      </c>
      <c r="BL59" s="501">
        <v>0</v>
      </c>
      <c r="BM59" s="501">
        <v>0.1</v>
      </c>
      <c r="BN59" s="501">
        <v>0.75</v>
      </c>
      <c r="BO59" s="501">
        <v>0.15</v>
      </c>
      <c r="BP59" s="501">
        <v>0.32</v>
      </c>
      <c r="BQ59" s="501">
        <v>0.45</v>
      </c>
      <c r="BR59" s="501">
        <v>0.23</v>
      </c>
      <c r="BS59" s="630">
        <v>59</v>
      </c>
      <c r="BT59" s="640" t="s">
        <v>910</v>
      </c>
      <c r="BU59" s="630">
        <v>11</v>
      </c>
      <c r="BV59" s="640" t="s">
        <v>910</v>
      </c>
      <c r="BW59" s="644">
        <v>0.03</v>
      </c>
      <c r="BX59" s="644">
        <v>0.18</v>
      </c>
      <c r="BY59" s="644">
        <v>0.68</v>
      </c>
      <c r="BZ59" s="644">
        <v>0.1</v>
      </c>
      <c r="CA59" s="644">
        <v>0.54</v>
      </c>
      <c r="CB59" s="644">
        <v>0.32</v>
      </c>
      <c r="CC59" s="644">
        <v>0.46</v>
      </c>
    </row>
    <row r="60" spans="1:81" ht="24.9" customHeight="1" x14ac:dyDescent="0.25">
      <c r="A60" s="188" t="s">
        <v>175</v>
      </c>
      <c r="B60" s="1" t="s">
        <v>222</v>
      </c>
      <c r="C60" s="2">
        <v>2</v>
      </c>
      <c r="D60" s="16">
        <v>53</v>
      </c>
      <c r="E60" s="16">
        <v>8</v>
      </c>
      <c r="F60" s="99">
        <v>0</v>
      </c>
      <c r="G60" s="99">
        <v>0.41</v>
      </c>
      <c r="H60" s="99">
        <v>0.59</v>
      </c>
      <c r="I60" s="99">
        <v>0</v>
      </c>
      <c r="J60" s="99">
        <v>0.51</v>
      </c>
      <c r="K60" s="99">
        <v>0.48</v>
      </c>
      <c r="L60" s="99">
        <v>0.53</v>
      </c>
      <c r="M60" s="16">
        <v>48</v>
      </c>
      <c r="N60" s="16">
        <v>9</v>
      </c>
      <c r="O60" s="66">
        <v>0.03</v>
      </c>
      <c r="P60" s="66">
        <v>0.63</v>
      </c>
      <c r="Q60" s="66">
        <v>0.33</v>
      </c>
      <c r="R60" s="66">
        <v>0</v>
      </c>
      <c r="S60" s="66">
        <v>0.49</v>
      </c>
      <c r="T60" s="66">
        <v>0.64</v>
      </c>
      <c r="U60" s="66">
        <v>0.41</v>
      </c>
      <c r="V60" s="16">
        <v>53</v>
      </c>
      <c r="W60" s="16">
        <v>10</v>
      </c>
      <c r="X60" s="99">
        <v>0</v>
      </c>
      <c r="Y60" s="99">
        <v>0.44</v>
      </c>
      <c r="Z60" s="99">
        <v>0.56000000000000005</v>
      </c>
      <c r="AA60" s="99">
        <v>0</v>
      </c>
      <c r="AB60" s="99">
        <v>0.49</v>
      </c>
      <c r="AC60" s="99">
        <v>0.36</v>
      </c>
      <c r="AD60" s="99">
        <v>0.48</v>
      </c>
      <c r="AE60" s="16">
        <v>55</v>
      </c>
      <c r="AF60" s="16">
        <v>8</v>
      </c>
      <c r="AG60" s="99">
        <v>0</v>
      </c>
      <c r="AH60" s="99">
        <v>0.23</v>
      </c>
      <c r="AI60" s="99">
        <v>0.73</v>
      </c>
      <c r="AJ60" s="99">
        <v>0.04</v>
      </c>
      <c r="AK60" s="99">
        <v>0.5</v>
      </c>
      <c r="AL60" s="99">
        <v>0.43</v>
      </c>
      <c r="AM60" s="99">
        <v>0.22</v>
      </c>
      <c r="AN60" s="61">
        <v>52</v>
      </c>
      <c r="AO60" s="61">
        <v>9</v>
      </c>
      <c r="AP60" s="66">
        <v>0.06</v>
      </c>
      <c r="AQ60" s="66">
        <v>0.33</v>
      </c>
      <c r="AR60" s="66">
        <v>0.61</v>
      </c>
      <c r="AS60" s="66">
        <v>0</v>
      </c>
      <c r="AT60" s="66">
        <v>0.28999999999999998</v>
      </c>
      <c r="AU60" s="66">
        <v>0.54</v>
      </c>
      <c r="AV60" s="66">
        <v>0.47</v>
      </c>
      <c r="AW60" s="349">
        <v>51</v>
      </c>
      <c r="AX60" s="348" t="s">
        <v>910</v>
      </c>
      <c r="AY60" s="349">
        <v>8</v>
      </c>
      <c r="AZ60" s="348" t="s">
        <v>910</v>
      </c>
      <c r="BA60" s="371">
        <v>0</v>
      </c>
      <c r="BB60" s="371">
        <v>0.59</v>
      </c>
      <c r="BC60" s="371">
        <v>0.41</v>
      </c>
      <c r="BD60" s="371">
        <v>0</v>
      </c>
      <c r="BE60" s="371">
        <v>0.28999999999999998</v>
      </c>
      <c r="BF60" s="371">
        <v>0.53</v>
      </c>
      <c r="BG60" s="371">
        <v>0.5</v>
      </c>
      <c r="BH60" s="469">
        <v>57</v>
      </c>
      <c r="BI60" s="471" t="s">
        <v>910</v>
      </c>
      <c r="BJ60" s="469">
        <v>8</v>
      </c>
      <c r="BK60" s="471" t="s">
        <v>910</v>
      </c>
      <c r="BL60" s="501">
        <v>0</v>
      </c>
      <c r="BM60" s="501">
        <v>0.21</v>
      </c>
      <c r="BN60" s="501">
        <v>0.74</v>
      </c>
      <c r="BO60" s="501">
        <v>0.05</v>
      </c>
      <c r="BP60" s="501">
        <v>0.49</v>
      </c>
      <c r="BQ60" s="501">
        <v>0.5</v>
      </c>
      <c r="BR60" s="501">
        <v>0.31</v>
      </c>
      <c r="BS60" s="630">
        <v>53</v>
      </c>
      <c r="BT60" s="640" t="s">
        <v>910</v>
      </c>
      <c r="BU60" s="630">
        <v>9</v>
      </c>
      <c r="BV60" s="640" t="s">
        <v>910</v>
      </c>
      <c r="BW60" s="644">
        <v>0.06</v>
      </c>
      <c r="BX60" s="644">
        <v>0.36</v>
      </c>
      <c r="BY60" s="644">
        <v>0.55000000000000004</v>
      </c>
      <c r="BZ60" s="644">
        <v>0.03</v>
      </c>
      <c r="CA60" s="644">
        <v>0.57999999999999996</v>
      </c>
      <c r="CB60" s="644">
        <v>0.34</v>
      </c>
      <c r="CC60" s="644">
        <v>0.55000000000000004</v>
      </c>
    </row>
    <row r="61" spans="1:81" ht="24.9" customHeight="1" x14ac:dyDescent="0.25">
      <c r="A61" s="188" t="s">
        <v>84</v>
      </c>
      <c r="B61" s="1" t="s">
        <v>222</v>
      </c>
      <c r="C61" s="2">
        <v>2</v>
      </c>
      <c r="D61" s="16">
        <v>56</v>
      </c>
      <c r="E61" s="16">
        <v>6</v>
      </c>
      <c r="F61" s="99">
        <v>0</v>
      </c>
      <c r="G61" s="99">
        <v>0.17</v>
      </c>
      <c r="H61" s="99">
        <v>0.83</v>
      </c>
      <c r="I61" s="99">
        <v>0</v>
      </c>
      <c r="J61" s="99">
        <v>0.49</v>
      </c>
      <c r="K61" s="99">
        <v>0.41</v>
      </c>
      <c r="L61" s="99">
        <v>0.45</v>
      </c>
      <c r="M61" s="16">
        <v>60</v>
      </c>
      <c r="N61" s="16">
        <v>7</v>
      </c>
      <c r="O61" s="66">
        <v>0</v>
      </c>
      <c r="P61" s="66">
        <v>0.11</v>
      </c>
      <c r="Q61" s="66">
        <v>0.79</v>
      </c>
      <c r="R61" s="66">
        <v>0.11</v>
      </c>
      <c r="S61" s="66">
        <v>0.42</v>
      </c>
      <c r="T61" s="66">
        <v>0.39</v>
      </c>
      <c r="U61" s="66">
        <v>0.24</v>
      </c>
      <c r="V61" s="16">
        <v>59</v>
      </c>
      <c r="W61" s="16">
        <v>6</v>
      </c>
      <c r="X61" s="99">
        <v>0</v>
      </c>
      <c r="Y61" s="99">
        <v>0.06</v>
      </c>
      <c r="Z61" s="99">
        <v>0.94</v>
      </c>
      <c r="AA61" s="99">
        <v>0</v>
      </c>
      <c r="AB61" s="99">
        <v>0.39</v>
      </c>
      <c r="AC61" s="99">
        <v>0.27</v>
      </c>
      <c r="AD61" s="99">
        <v>0.41</v>
      </c>
      <c r="AE61" s="16">
        <v>57</v>
      </c>
      <c r="AF61" s="16">
        <v>8</v>
      </c>
      <c r="AG61" s="99">
        <v>0</v>
      </c>
      <c r="AH61" s="99">
        <v>0.27</v>
      </c>
      <c r="AI61" s="99">
        <v>0.68</v>
      </c>
      <c r="AJ61" s="99">
        <v>0.05</v>
      </c>
      <c r="AK61" s="99">
        <v>0.49</v>
      </c>
      <c r="AL61" s="99">
        <v>0.46</v>
      </c>
      <c r="AM61" s="99">
        <v>0.19</v>
      </c>
      <c r="AN61" s="61">
        <v>57</v>
      </c>
      <c r="AO61" s="61">
        <v>7</v>
      </c>
      <c r="AP61" s="66">
        <v>0</v>
      </c>
      <c r="AQ61" s="66">
        <v>0.15</v>
      </c>
      <c r="AR61" s="66">
        <v>0.78</v>
      </c>
      <c r="AS61" s="66">
        <v>7.0000000000000007E-2</v>
      </c>
      <c r="AT61" s="66">
        <v>0.18</v>
      </c>
      <c r="AU61" s="66">
        <v>0.44</v>
      </c>
      <c r="AV61" s="66">
        <v>0.43</v>
      </c>
      <c r="AW61" s="349">
        <v>58</v>
      </c>
      <c r="AX61" s="348" t="s">
        <v>910</v>
      </c>
      <c r="AY61" s="349">
        <v>6</v>
      </c>
      <c r="AZ61" s="348" t="s">
        <v>912</v>
      </c>
      <c r="BA61" s="371">
        <v>0</v>
      </c>
      <c r="BB61" s="371">
        <v>0.14000000000000001</v>
      </c>
      <c r="BC61" s="371">
        <v>0.86</v>
      </c>
      <c r="BD61" s="371">
        <v>0</v>
      </c>
      <c r="BE61" s="371">
        <v>0.23</v>
      </c>
      <c r="BF61" s="371">
        <v>0.41</v>
      </c>
      <c r="BG61" s="371">
        <v>0.4</v>
      </c>
      <c r="BH61" s="469">
        <v>57</v>
      </c>
      <c r="BI61" s="471" t="s">
        <v>910</v>
      </c>
      <c r="BJ61" s="469">
        <v>11</v>
      </c>
      <c r="BK61" s="471" t="s">
        <v>910</v>
      </c>
      <c r="BL61" s="501">
        <v>0</v>
      </c>
      <c r="BM61" s="501">
        <v>0.2</v>
      </c>
      <c r="BN61" s="501">
        <v>0.75</v>
      </c>
      <c r="BO61" s="501">
        <v>0.05</v>
      </c>
      <c r="BP61" s="501">
        <v>0.49</v>
      </c>
      <c r="BQ61" s="501">
        <v>0.51</v>
      </c>
      <c r="BR61" s="501">
        <v>0.34</v>
      </c>
      <c r="BS61" s="630">
        <v>59</v>
      </c>
      <c r="BT61" s="640" t="s">
        <v>910</v>
      </c>
      <c r="BU61" s="630">
        <v>10</v>
      </c>
      <c r="BV61" s="640" t="s">
        <v>910</v>
      </c>
      <c r="BW61" s="644">
        <v>0</v>
      </c>
      <c r="BX61" s="644">
        <v>0.19</v>
      </c>
      <c r="BY61" s="644">
        <v>0.69</v>
      </c>
      <c r="BZ61" s="644">
        <v>0.13</v>
      </c>
      <c r="CA61" s="644">
        <v>0.36</v>
      </c>
      <c r="CB61" s="644">
        <v>0.34</v>
      </c>
      <c r="CC61" s="644">
        <v>0.48</v>
      </c>
    </row>
    <row r="62" spans="1:81" ht="24.9" customHeight="1" x14ac:dyDescent="0.25">
      <c r="A62" s="188" t="s">
        <v>186</v>
      </c>
      <c r="B62" s="1" t="s">
        <v>222</v>
      </c>
      <c r="C62" s="2">
        <v>1</v>
      </c>
      <c r="D62" s="16">
        <v>46</v>
      </c>
      <c r="E62" s="16">
        <v>10</v>
      </c>
      <c r="F62" s="99">
        <v>0.15</v>
      </c>
      <c r="G62" s="99">
        <v>0.38</v>
      </c>
      <c r="H62" s="99">
        <v>0.46</v>
      </c>
      <c r="I62" s="99">
        <v>0</v>
      </c>
      <c r="J62" s="99">
        <v>0.56999999999999995</v>
      </c>
      <c r="K62" s="99">
        <v>0.52</v>
      </c>
      <c r="L62" s="99">
        <v>0.68</v>
      </c>
      <c r="M62" s="16">
        <v>45</v>
      </c>
      <c r="N62" s="16">
        <v>7</v>
      </c>
      <c r="O62" s="66">
        <v>0</v>
      </c>
      <c r="P62" s="66">
        <v>0.8</v>
      </c>
      <c r="Q62" s="66">
        <v>0.2</v>
      </c>
      <c r="R62" s="66">
        <v>0</v>
      </c>
      <c r="S62" s="66">
        <v>0.59</v>
      </c>
      <c r="T62" s="66">
        <v>0.63</v>
      </c>
      <c r="U62" s="66">
        <v>0.48</v>
      </c>
      <c r="V62" s="16">
        <v>47</v>
      </c>
      <c r="W62" s="16">
        <v>10</v>
      </c>
      <c r="X62" s="99">
        <v>0.05</v>
      </c>
      <c r="Y62" s="99">
        <v>0.74</v>
      </c>
      <c r="Z62" s="99">
        <v>0.16</v>
      </c>
      <c r="AA62" s="99">
        <v>0.05</v>
      </c>
      <c r="AB62" s="99">
        <v>0.56999999999999995</v>
      </c>
      <c r="AC62" s="99">
        <v>0.43</v>
      </c>
      <c r="AD62" s="99">
        <v>0.61</v>
      </c>
      <c r="AE62" s="16">
        <v>42</v>
      </c>
      <c r="AF62" s="16">
        <v>7</v>
      </c>
      <c r="AG62" s="99">
        <v>0.18</v>
      </c>
      <c r="AH62" s="99">
        <v>0.65</v>
      </c>
      <c r="AI62" s="99">
        <v>0.18</v>
      </c>
      <c r="AJ62" s="99">
        <v>0</v>
      </c>
      <c r="AK62" s="99">
        <v>0.68</v>
      </c>
      <c r="AL62" s="99">
        <v>0.63</v>
      </c>
      <c r="AM62" s="99">
        <v>0.45</v>
      </c>
      <c r="AN62" s="61">
        <v>48</v>
      </c>
      <c r="AO62" s="61">
        <v>8</v>
      </c>
      <c r="AP62" s="66">
        <v>0.06</v>
      </c>
      <c r="AQ62" s="66">
        <v>0.53</v>
      </c>
      <c r="AR62" s="66">
        <v>0.41</v>
      </c>
      <c r="AS62" s="66">
        <v>0</v>
      </c>
      <c r="AT62" s="66">
        <v>0.34</v>
      </c>
      <c r="AU62" s="66">
        <v>0.61</v>
      </c>
      <c r="AV62" s="66">
        <v>0.62</v>
      </c>
      <c r="AW62" s="349">
        <v>47</v>
      </c>
      <c r="AX62" s="348" t="s">
        <v>910</v>
      </c>
      <c r="AY62" s="349">
        <v>6</v>
      </c>
      <c r="AZ62" s="348" t="s">
        <v>912</v>
      </c>
      <c r="BA62" s="371">
        <v>0</v>
      </c>
      <c r="BB62" s="371">
        <v>0.69</v>
      </c>
      <c r="BC62" s="371">
        <v>0.31</v>
      </c>
      <c r="BD62" s="371">
        <v>0</v>
      </c>
      <c r="BE62" s="371">
        <v>0.32</v>
      </c>
      <c r="BF62" s="371">
        <v>0.6</v>
      </c>
      <c r="BG62" s="371">
        <v>0.56999999999999995</v>
      </c>
      <c r="BH62" s="469">
        <v>46</v>
      </c>
      <c r="BI62" s="471" t="s">
        <v>910</v>
      </c>
      <c r="BJ62" s="469">
        <v>8</v>
      </c>
      <c r="BK62" s="471" t="s">
        <v>910</v>
      </c>
      <c r="BL62" s="501">
        <v>0.13</v>
      </c>
      <c r="BM62" s="501">
        <v>0.5</v>
      </c>
      <c r="BN62" s="501">
        <v>0.38</v>
      </c>
      <c r="BO62" s="501">
        <v>0</v>
      </c>
      <c r="BP62" s="501">
        <v>0.71</v>
      </c>
      <c r="BQ62" s="501">
        <v>0.71</v>
      </c>
      <c r="BR62" s="501">
        <v>0.47</v>
      </c>
      <c r="BS62" s="630">
        <v>48</v>
      </c>
      <c r="BT62" s="640" t="s">
        <v>910</v>
      </c>
      <c r="BU62" s="630">
        <v>4</v>
      </c>
      <c r="BV62" s="640" t="s">
        <v>912</v>
      </c>
      <c r="BW62" s="644">
        <v>0</v>
      </c>
      <c r="BX62" s="644">
        <v>0.75</v>
      </c>
      <c r="BY62" s="644">
        <v>0.25</v>
      </c>
      <c r="BZ62" s="644">
        <v>0</v>
      </c>
      <c r="CA62" s="644">
        <v>0.61</v>
      </c>
      <c r="CB62" s="644">
        <v>0.47</v>
      </c>
      <c r="CC62" s="644">
        <v>0.69</v>
      </c>
    </row>
    <row r="63" spans="1:81" ht="24.9" customHeight="1" x14ac:dyDescent="0.25">
      <c r="A63" s="188" t="s">
        <v>162</v>
      </c>
      <c r="B63" s="1" t="s">
        <v>222</v>
      </c>
      <c r="C63" s="2">
        <v>4</v>
      </c>
      <c r="D63" s="16">
        <v>55</v>
      </c>
      <c r="E63" s="16">
        <v>10</v>
      </c>
      <c r="F63" s="99">
        <v>0.05</v>
      </c>
      <c r="G63" s="99">
        <v>0.27</v>
      </c>
      <c r="H63" s="99">
        <v>0.68</v>
      </c>
      <c r="I63" s="99">
        <v>0</v>
      </c>
      <c r="J63" s="99">
        <v>0.5</v>
      </c>
      <c r="K63" s="99">
        <v>0.38</v>
      </c>
      <c r="L63" s="99">
        <v>0.52</v>
      </c>
      <c r="M63" s="16">
        <v>52</v>
      </c>
      <c r="N63" s="16">
        <v>8</v>
      </c>
      <c r="O63" s="66">
        <v>0</v>
      </c>
      <c r="P63" s="66">
        <v>0.41</v>
      </c>
      <c r="Q63" s="66">
        <v>0.59</v>
      </c>
      <c r="R63" s="66">
        <v>0</v>
      </c>
      <c r="S63" s="66">
        <v>0.46</v>
      </c>
      <c r="T63" s="66">
        <v>0.56000000000000005</v>
      </c>
      <c r="U63" s="66">
        <v>0.35</v>
      </c>
      <c r="V63" s="16">
        <v>54</v>
      </c>
      <c r="W63" s="16">
        <v>9</v>
      </c>
      <c r="X63" s="99">
        <v>0.02</v>
      </c>
      <c r="Y63" s="99">
        <v>0.35</v>
      </c>
      <c r="Z63" s="99">
        <v>0.63</v>
      </c>
      <c r="AA63" s="99">
        <v>0</v>
      </c>
      <c r="AB63" s="99">
        <v>0.44</v>
      </c>
      <c r="AC63" s="99">
        <v>0.34</v>
      </c>
      <c r="AD63" s="99">
        <v>0.49</v>
      </c>
      <c r="AE63" s="16">
        <v>55</v>
      </c>
      <c r="AF63" s="16">
        <v>9</v>
      </c>
      <c r="AG63" s="99">
        <v>0</v>
      </c>
      <c r="AH63" s="99">
        <v>0.3</v>
      </c>
      <c r="AI63" s="99">
        <v>0.65</v>
      </c>
      <c r="AJ63" s="99">
        <v>0.05</v>
      </c>
      <c r="AK63" s="99">
        <v>0.49</v>
      </c>
      <c r="AL63" s="99">
        <v>0.46</v>
      </c>
      <c r="AM63" s="99">
        <v>0.25</v>
      </c>
      <c r="AN63" s="61">
        <v>56</v>
      </c>
      <c r="AO63" s="61">
        <v>10</v>
      </c>
      <c r="AP63" s="66">
        <v>0</v>
      </c>
      <c r="AQ63" s="66">
        <v>0.34</v>
      </c>
      <c r="AR63" s="66">
        <v>0.61</v>
      </c>
      <c r="AS63" s="66">
        <v>0.05</v>
      </c>
      <c r="AT63" s="66">
        <v>0.25</v>
      </c>
      <c r="AU63" s="66">
        <v>0.4</v>
      </c>
      <c r="AV63" s="66">
        <v>0.46</v>
      </c>
      <c r="AW63" s="349">
        <v>53</v>
      </c>
      <c r="AX63" s="348" t="s">
        <v>910</v>
      </c>
      <c r="AY63" s="349">
        <v>9</v>
      </c>
      <c r="AZ63" s="348" t="s">
        <v>910</v>
      </c>
      <c r="BA63" s="371">
        <v>0.03</v>
      </c>
      <c r="BB63" s="371">
        <v>0.33</v>
      </c>
      <c r="BC63" s="371">
        <v>0.65</v>
      </c>
      <c r="BD63" s="371">
        <v>0</v>
      </c>
      <c r="BE63" s="371">
        <v>0.27</v>
      </c>
      <c r="BF63" s="371">
        <v>0.48</v>
      </c>
      <c r="BG63" s="371">
        <v>0.44</v>
      </c>
      <c r="BH63" s="469">
        <v>54</v>
      </c>
      <c r="BI63" s="471" t="s">
        <v>910</v>
      </c>
      <c r="BJ63" s="469">
        <v>10</v>
      </c>
      <c r="BK63" s="471" t="s">
        <v>910</v>
      </c>
      <c r="BL63" s="501">
        <v>0.03</v>
      </c>
      <c r="BM63" s="501">
        <v>0.38</v>
      </c>
      <c r="BN63" s="501">
        <v>0.56999999999999995</v>
      </c>
      <c r="BO63" s="501">
        <v>0.03</v>
      </c>
      <c r="BP63" s="501">
        <v>0.44</v>
      </c>
      <c r="BQ63" s="501">
        <v>0.6</v>
      </c>
      <c r="BR63" s="501">
        <v>0.43</v>
      </c>
      <c r="BS63" s="630">
        <v>55</v>
      </c>
      <c r="BT63" s="640" t="s">
        <v>910</v>
      </c>
      <c r="BU63" s="630">
        <v>8</v>
      </c>
      <c r="BV63" s="640" t="s">
        <v>910</v>
      </c>
      <c r="BW63" s="644">
        <v>0.02</v>
      </c>
      <c r="BX63" s="644">
        <v>0.21</v>
      </c>
      <c r="BY63" s="644">
        <v>0.74</v>
      </c>
      <c r="BZ63" s="644">
        <v>0.02</v>
      </c>
      <c r="CA63" s="644">
        <v>0.55000000000000004</v>
      </c>
      <c r="CB63" s="644">
        <v>0.34</v>
      </c>
      <c r="CC63" s="644">
        <v>0.52</v>
      </c>
    </row>
    <row r="64" spans="1:81" ht="24.9" customHeight="1" x14ac:dyDescent="0.25">
      <c r="A64" s="188" t="s">
        <v>114</v>
      </c>
      <c r="B64" s="1" t="s">
        <v>222</v>
      </c>
      <c r="C64" s="2">
        <v>3</v>
      </c>
      <c r="D64" s="16">
        <v>55</v>
      </c>
      <c r="E64" s="16">
        <v>9</v>
      </c>
      <c r="F64" s="99">
        <v>0</v>
      </c>
      <c r="G64" s="99">
        <v>0.4</v>
      </c>
      <c r="H64" s="99">
        <v>0.55000000000000004</v>
      </c>
      <c r="I64" s="99">
        <v>0.04</v>
      </c>
      <c r="J64" s="99">
        <v>0.49</v>
      </c>
      <c r="K64" s="99">
        <v>0.41</v>
      </c>
      <c r="L64" s="99">
        <v>0.47</v>
      </c>
      <c r="M64" s="16">
        <v>57</v>
      </c>
      <c r="N64" s="16">
        <v>10</v>
      </c>
      <c r="O64" s="66">
        <v>0</v>
      </c>
      <c r="P64" s="66">
        <v>0.25</v>
      </c>
      <c r="Q64" s="66">
        <v>0.72</v>
      </c>
      <c r="R64" s="66">
        <v>0.03</v>
      </c>
      <c r="S64" s="66">
        <v>0.39</v>
      </c>
      <c r="T64" s="66">
        <v>0.47</v>
      </c>
      <c r="U64" s="66">
        <v>0.25</v>
      </c>
      <c r="V64" s="16">
        <v>57</v>
      </c>
      <c r="W64" s="16">
        <v>8</v>
      </c>
      <c r="X64" s="99">
        <v>0</v>
      </c>
      <c r="Y64" s="99">
        <v>0.22</v>
      </c>
      <c r="Z64" s="99">
        <v>0.76</v>
      </c>
      <c r="AA64" s="99">
        <v>0.02</v>
      </c>
      <c r="AB64" s="99">
        <v>0.42</v>
      </c>
      <c r="AC64" s="99">
        <v>0.3</v>
      </c>
      <c r="AD64" s="99">
        <v>0.42</v>
      </c>
      <c r="AE64" s="16">
        <v>54</v>
      </c>
      <c r="AF64" s="16">
        <v>9</v>
      </c>
      <c r="AG64" s="99">
        <v>0.03</v>
      </c>
      <c r="AH64" s="99">
        <v>0.37</v>
      </c>
      <c r="AI64" s="99">
        <v>0.6</v>
      </c>
      <c r="AJ64" s="99">
        <v>0</v>
      </c>
      <c r="AK64" s="99">
        <v>0.5</v>
      </c>
      <c r="AL64" s="99">
        <v>0.44</v>
      </c>
      <c r="AM64" s="99">
        <v>0.25</v>
      </c>
      <c r="AN64" s="61">
        <v>57</v>
      </c>
      <c r="AO64" s="61">
        <v>10</v>
      </c>
      <c r="AP64" s="66">
        <v>0.03</v>
      </c>
      <c r="AQ64" s="66">
        <v>0.18</v>
      </c>
      <c r="AR64" s="66">
        <v>0.68</v>
      </c>
      <c r="AS64" s="66">
        <v>0.11</v>
      </c>
      <c r="AT64" s="66">
        <v>0.27</v>
      </c>
      <c r="AU64" s="66">
        <v>0.41</v>
      </c>
      <c r="AV64" s="66">
        <v>0.41</v>
      </c>
      <c r="AW64" s="349">
        <v>55</v>
      </c>
      <c r="AX64" s="348" t="s">
        <v>910</v>
      </c>
      <c r="AY64" s="349">
        <v>9</v>
      </c>
      <c r="AZ64" s="348" t="s">
        <v>910</v>
      </c>
      <c r="BA64" s="371">
        <v>0.03</v>
      </c>
      <c r="BB64" s="371">
        <v>0.22</v>
      </c>
      <c r="BC64" s="371">
        <v>0.7</v>
      </c>
      <c r="BD64" s="371">
        <v>0.05</v>
      </c>
      <c r="BE64" s="371">
        <v>0.24</v>
      </c>
      <c r="BF64" s="371">
        <v>0.45</v>
      </c>
      <c r="BG64" s="371">
        <v>0.43</v>
      </c>
      <c r="BH64" s="469">
        <v>58</v>
      </c>
      <c r="BI64" s="471" t="s">
        <v>910</v>
      </c>
      <c r="BJ64" s="469">
        <v>9</v>
      </c>
      <c r="BK64" s="471" t="s">
        <v>910</v>
      </c>
      <c r="BL64" s="501">
        <v>0.02</v>
      </c>
      <c r="BM64" s="501">
        <v>0.19</v>
      </c>
      <c r="BN64" s="501">
        <v>0.71</v>
      </c>
      <c r="BO64" s="501">
        <v>0.08</v>
      </c>
      <c r="BP64" s="501">
        <v>0.44</v>
      </c>
      <c r="BQ64" s="501">
        <v>0.48</v>
      </c>
      <c r="BR64" s="501">
        <v>0.3</v>
      </c>
      <c r="BS64" s="630">
        <v>58</v>
      </c>
      <c r="BT64" s="640" t="s">
        <v>910</v>
      </c>
      <c r="BU64" s="630">
        <v>11</v>
      </c>
      <c r="BV64" s="640" t="s">
        <v>910</v>
      </c>
      <c r="BW64" s="644">
        <v>0.02</v>
      </c>
      <c r="BX64" s="644">
        <v>0.18</v>
      </c>
      <c r="BY64" s="644">
        <v>0.7</v>
      </c>
      <c r="BZ64" s="644">
        <v>0.1</v>
      </c>
      <c r="CA64" s="644">
        <v>0.53</v>
      </c>
      <c r="CB64" s="644">
        <v>0.26</v>
      </c>
      <c r="CC64" s="644">
        <v>0.5</v>
      </c>
    </row>
    <row r="65" spans="1:81" ht="24.9" customHeight="1" x14ac:dyDescent="0.25">
      <c r="A65" s="188" t="s">
        <v>128</v>
      </c>
      <c r="B65" s="1" t="s">
        <v>222</v>
      </c>
      <c r="C65" s="2">
        <v>5</v>
      </c>
      <c r="D65" s="16">
        <v>54</v>
      </c>
      <c r="E65" s="16">
        <v>9</v>
      </c>
      <c r="F65" s="99">
        <v>0.03</v>
      </c>
      <c r="G65" s="99">
        <v>0.23</v>
      </c>
      <c r="H65" s="99">
        <v>0.73</v>
      </c>
      <c r="I65" s="99">
        <v>0</v>
      </c>
      <c r="J65" s="99">
        <v>0.52</v>
      </c>
      <c r="K65" s="99">
        <v>0.53</v>
      </c>
      <c r="L65" s="99">
        <v>0.56000000000000005</v>
      </c>
      <c r="M65" s="16">
        <v>56</v>
      </c>
      <c r="N65" s="16">
        <v>9</v>
      </c>
      <c r="O65" s="66">
        <v>0</v>
      </c>
      <c r="P65" s="66">
        <v>0.17</v>
      </c>
      <c r="Q65" s="66">
        <v>0.78</v>
      </c>
      <c r="R65" s="66">
        <v>0.06</v>
      </c>
      <c r="S65" s="66">
        <v>0.42</v>
      </c>
      <c r="T65" s="66">
        <v>0.44</v>
      </c>
      <c r="U65" s="66">
        <v>0.28999999999999998</v>
      </c>
      <c r="V65" s="16">
        <v>54</v>
      </c>
      <c r="W65" s="16">
        <v>10</v>
      </c>
      <c r="X65" s="99">
        <v>0.03</v>
      </c>
      <c r="Y65" s="99">
        <v>0.41</v>
      </c>
      <c r="Z65" s="99">
        <v>0.48</v>
      </c>
      <c r="AA65" s="99">
        <v>7.0000000000000007E-2</v>
      </c>
      <c r="AB65" s="99">
        <v>0.47</v>
      </c>
      <c r="AC65" s="99">
        <v>0.35</v>
      </c>
      <c r="AD65" s="99">
        <v>0.52</v>
      </c>
      <c r="AE65" s="16">
        <v>59</v>
      </c>
      <c r="AF65" s="16">
        <v>9</v>
      </c>
      <c r="AG65" s="99">
        <v>0</v>
      </c>
      <c r="AH65" s="99">
        <v>0.22</v>
      </c>
      <c r="AI65" s="99">
        <v>0.67</v>
      </c>
      <c r="AJ65" s="99">
        <v>0.11</v>
      </c>
      <c r="AK65" s="99">
        <v>0.44</v>
      </c>
      <c r="AL65" s="99">
        <v>0.34</v>
      </c>
      <c r="AM65" s="99">
        <v>0.21</v>
      </c>
      <c r="AN65" s="61">
        <v>55</v>
      </c>
      <c r="AO65" s="61">
        <v>8</v>
      </c>
      <c r="AP65" s="66">
        <v>0</v>
      </c>
      <c r="AQ65" s="66">
        <v>0.35</v>
      </c>
      <c r="AR65" s="66">
        <v>0.65</v>
      </c>
      <c r="AS65" s="66">
        <v>0</v>
      </c>
      <c r="AT65" s="66">
        <v>0.23</v>
      </c>
      <c r="AU65" s="66">
        <v>0.47</v>
      </c>
      <c r="AV65" s="66">
        <v>0.48</v>
      </c>
      <c r="AW65" s="349">
        <v>56</v>
      </c>
      <c r="AX65" s="348" t="s">
        <v>910</v>
      </c>
      <c r="AY65" s="349">
        <v>10</v>
      </c>
      <c r="AZ65" s="348" t="s">
        <v>910</v>
      </c>
      <c r="BA65" s="371">
        <v>0</v>
      </c>
      <c r="BB65" s="371">
        <v>0.35</v>
      </c>
      <c r="BC65" s="371">
        <v>0.6</v>
      </c>
      <c r="BD65" s="371">
        <v>0.05</v>
      </c>
      <c r="BE65" s="371">
        <v>0.23</v>
      </c>
      <c r="BF65" s="371">
        <v>0.44</v>
      </c>
      <c r="BG65" s="371">
        <v>0.42</v>
      </c>
      <c r="BH65" s="469">
        <v>55</v>
      </c>
      <c r="BI65" s="471" t="s">
        <v>910</v>
      </c>
      <c r="BJ65" s="469">
        <v>8</v>
      </c>
      <c r="BK65" s="471" t="s">
        <v>910</v>
      </c>
      <c r="BL65" s="501">
        <v>0</v>
      </c>
      <c r="BM65" s="501">
        <v>0.28999999999999998</v>
      </c>
      <c r="BN65" s="501">
        <v>0.71</v>
      </c>
      <c r="BO65" s="501">
        <v>0</v>
      </c>
      <c r="BP65" s="501">
        <v>0.5</v>
      </c>
      <c r="BQ65" s="501">
        <v>0.54</v>
      </c>
      <c r="BR65" s="501">
        <v>0.46</v>
      </c>
      <c r="BS65" s="630">
        <v>55</v>
      </c>
      <c r="BT65" s="640" t="s">
        <v>910</v>
      </c>
      <c r="BU65" s="630">
        <v>7</v>
      </c>
      <c r="BV65" s="640" t="s">
        <v>910</v>
      </c>
      <c r="BW65" s="644">
        <v>0</v>
      </c>
      <c r="BX65" s="644">
        <v>0.3</v>
      </c>
      <c r="BY65" s="644">
        <v>0.7</v>
      </c>
      <c r="BZ65" s="644">
        <v>0</v>
      </c>
      <c r="CA65" s="644">
        <v>0.65</v>
      </c>
      <c r="CB65" s="644">
        <v>0.33</v>
      </c>
      <c r="CC65" s="644">
        <v>0.5</v>
      </c>
    </row>
    <row r="66" spans="1:81" ht="24.9" customHeight="1" x14ac:dyDescent="0.25">
      <c r="A66" s="188" t="s">
        <v>160</v>
      </c>
      <c r="B66" s="1" t="s">
        <v>222</v>
      </c>
      <c r="C66" s="2">
        <v>3</v>
      </c>
      <c r="D66" s="16">
        <v>53</v>
      </c>
      <c r="E66" s="16">
        <v>9</v>
      </c>
      <c r="F66" s="99">
        <v>0.03</v>
      </c>
      <c r="G66" s="99">
        <v>0.37</v>
      </c>
      <c r="H66" s="99">
        <v>0.55000000000000004</v>
      </c>
      <c r="I66" s="99">
        <v>0.05</v>
      </c>
      <c r="J66" s="99">
        <v>0.52</v>
      </c>
      <c r="K66" s="99">
        <v>0.45</v>
      </c>
      <c r="L66" s="99">
        <v>0.49</v>
      </c>
      <c r="M66" s="16">
        <v>56</v>
      </c>
      <c r="N66" s="16">
        <v>9</v>
      </c>
      <c r="O66" s="66">
        <v>0</v>
      </c>
      <c r="P66" s="66">
        <v>0.22</v>
      </c>
      <c r="Q66" s="66">
        <v>0.78</v>
      </c>
      <c r="R66" s="66">
        <v>0</v>
      </c>
      <c r="S66" s="66">
        <v>0.44</v>
      </c>
      <c r="T66" s="66">
        <v>0.5</v>
      </c>
      <c r="U66" s="66">
        <v>0.28999999999999998</v>
      </c>
      <c r="V66" s="16">
        <v>63</v>
      </c>
      <c r="W66" s="16">
        <v>8</v>
      </c>
      <c r="X66" s="99">
        <v>0</v>
      </c>
      <c r="Y66" s="99">
        <v>0.06</v>
      </c>
      <c r="Z66" s="99">
        <v>0.78</v>
      </c>
      <c r="AA66" s="99">
        <v>0.17</v>
      </c>
      <c r="AB66" s="99">
        <v>0.26</v>
      </c>
      <c r="AC66" s="99">
        <v>0.23</v>
      </c>
      <c r="AD66" s="99">
        <v>0.37</v>
      </c>
      <c r="AE66" s="16">
        <v>59</v>
      </c>
      <c r="AF66" s="16">
        <v>8</v>
      </c>
      <c r="AG66" s="99">
        <v>0</v>
      </c>
      <c r="AH66" s="99">
        <v>0.12</v>
      </c>
      <c r="AI66" s="99">
        <v>0.81</v>
      </c>
      <c r="AJ66" s="99">
        <v>0.08</v>
      </c>
      <c r="AK66" s="99">
        <v>0.43</v>
      </c>
      <c r="AL66" s="99">
        <v>0.39</v>
      </c>
      <c r="AM66" s="99">
        <v>0.15</v>
      </c>
      <c r="AN66" s="61">
        <v>60</v>
      </c>
      <c r="AO66" s="61">
        <v>7</v>
      </c>
      <c r="AP66" s="66">
        <v>0</v>
      </c>
      <c r="AQ66" s="66">
        <v>0.05</v>
      </c>
      <c r="AR66" s="66">
        <v>0.89</v>
      </c>
      <c r="AS66" s="66">
        <v>0.05</v>
      </c>
      <c r="AT66" s="66">
        <v>0.16</v>
      </c>
      <c r="AU66" s="66">
        <v>0.37</v>
      </c>
      <c r="AV66" s="66">
        <v>0.48</v>
      </c>
      <c r="AW66" s="349">
        <v>57</v>
      </c>
      <c r="AX66" s="348" t="s">
        <v>910</v>
      </c>
      <c r="AY66" s="349">
        <v>9</v>
      </c>
      <c r="AZ66" s="348" t="s">
        <v>910</v>
      </c>
      <c r="BA66" s="371">
        <v>0</v>
      </c>
      <c r="BB66" s="371">
        <v>0.21</v>
      </c>
      <c r="BC66" s="371">
        <v>0.74</v>
      </c>
      <c r="BD66" s="371">
        <v>0.06</v>
      </c>
      <c r="BE66" s="371">
        <v>0.21</v>
      </c>
      <c r="BF66" s="371">
        <v>0.43</v>
      </c>
      <c r="BG66" s="371">
        <v>0.37</v>
      </c>
      <c r="BH66" s="469">
        <v>60</v>
      </c>
      <c r="BI66" s="471" t="s">
        <v>910</v>
      </c>
      <c r="BJ66" s="469">
        <v>8</v>
      </c>
      <c r="BK66" s="471" t="s">
        <v>910</v>
      </c>
      <c r="BL66" s="501">
        <v>0</v>
      </c>
      <c r="BM66" s="501">
        <v>0.11</v>
      </c>
      <c r="BN66" s="501">
        <v>0.79</v>
      </c>
      <c r="BO66" s="501">
        <v>0.11</v>
      </c>
      <c r="BP66" s="501">
        <v>0.35</v>
      </c>
      <c r="BQ66" s="501">
        <v>0.41</v>
      </c>
      <c r="BR66" s="501">
        <v>0.26</v>
      </c>
      <c r="BS66" s="630">
        <v>60</v>
      </c>
      <c r="BT66" s="640" t="s">
        <v>910</v>
      </c>
      <c r="BU66" s="630">
        <v>9</v>
      </c>
      <c r="BV66" s="640" t="s">
        <v>910</v>
      </c>
      <c r="BW66" s="644">
        <v>0</v>
      </c>
      <c r="BX66" s="644">
        <v>0.14000000000000001</v>
      </c>
      <c r="BY66" s="644">
        <v>0.69</v>
      </c>
      <c r="BZ66" s="644">
        <v>0.17</v>
      </c>
      <c r="CA66" s="644">
        <v>0.56999999999999995</v>
      </c>
      <c r="CB66" s="644">
        <v>0.28999999999999998</v>
      </c>
      <c r="CC66" s="644">
        <v>0.39</v>
      </c>
    </row>
    <row r="67" spans="1:81" ht="24.9" customHeight="1" x14ac:dyDescent="0.25">
      <c r="A67" s="188" t="s">
        <v>59</v>
      </c>
      <c r="B67" s="1" t="s">
        <v>222</v>
      </c>
      <c r="C67" s="2">
        <v>1</v>
      </c>
      <c r="D67" s="16">
        <v>53</v>
      </c>
      <c r="E67" s="16">
        <v>6</v>
      </c>
      <c r="F67" s="99">
        <v>0</v>
      </c>
      <c r="G67" s="99">
        <v>0.5</v>
      </c>
      <c r="H67" s="99">
        <v>0.5</v>
      </c>
      <c r="I67" s="99">
        <v>0</v>
      </c>
      <c r="J67" s="99">
        <v>0.53</v>
      </c>
      <c r="K67" s="99">
        <v>0.43</v>
      </c>
      <c r="L67" s="99">
        <v>0.52</v>
      </c>
      <c r="M67" s="16">
        <v>49</v>
      </c>
      <c r="N67" s="16">
        <v>8</v>
      </c>
      <c r="O67" s="66">
        <v>0.03</v>
      </c>
      <c r="P67" s="66">
        <v>0.6</v>
      </c>
      <c r="Q67" s="66">
        <v>0.37</v>
      </c>
      <c r="R67" s="66">
        <v>0</v>
      </c>
      <c r="S67" s="66">
        <v>0.52</v>
      </c>
      <c r="T67" s="66">
        <v>0.61</v>
      </c>
      <c r="U67" s="66">
        <v>0.36</v>
      </c>
      <c r="V67" s="16">
        <v>49</v>
      </c>
      <c r="W67" s="16">
        <v>7</v>
      </c>
      <c r="X67" s="99">
        <v>0.05</v>
      </c>
      <c r="Y67" s="99">
        <v>0.59</v>
      </c>
      <c r="Z67" s="99">
        <v>0.36</v>
      </c>
      <c r="AA67" s="99">
        <v>0</v>
      </c>
      <c r="AB67" s="99">
        <v>0.52</v>
      </c>
      <c r="AC67" s="99">
        <v>0.42</v>
      </c>
      <c r="AD67" s="99">
        <v>0.61</v>
      </c>
      <c r="AE67" s="16">
        <v>53</v>
      </c>
      <c r="AF67" s="16">
        <v>9</v>
      </c>
      <c r="AG67" s="99">
        <v>0</v>
      </c>
      <c r="AH67" s="99">
        <v>0.46</v>
      </c>
      <c r="AI67" s="99">
        <v>0.5</v>
      </c>
      <c r="AJ67" s="99">
        <v>0.04</v>
      </c>
      <c r="AK67" s="99">
        <v>0.52</v>
      </c>
      <c r="AL67" s="99">
        <v>0.5</v>
      </c>
      <c r="AM67" s="99">
        <v>0.28999999999999998</v>
      </c>
      <c r="AN67" s="61">
        <v>47</v>
      </c>
      <c r="AO67" s="61">
        <v>7</v>
      </c>
      <c r="AP67" s="66">
        <v>0.04</v>
      </c>
      <c r="AQ67" s="66">
        <v>0.64</v>
      </c>
      <c r="AR67" s="66">
        <v>0.32</v>
      </c>
      <c r="AS67" s="66">
        <v>0</v>
      </c>
      <c r="AT67" s="66">
        <v>0.34</v>
      </c>
      <c r="AU67" s="66">
        <v>0.61</v>
      </c>
      <c r="AV67" s="66">
        <v>0.65</v>
      </c>
      <c r="AW67" s="349">
        <v>49</v>
      </c>
      <c r="AX67" s="348" t="s">
        <v>910</v>
      </c>
      <c r="AY67" s="349">
        <v>12</v>
      </c>
      <c r="AZ67" s="348" t="s">
        <v>910</v>
      </c>
      <c r="BA67" s="371">
        <v>0.11</v>
      </c>
      <c r="BB67" s="371">
        <v>0.52</v>
      </c>
      <c r="BC67" s="371">
        <v>0.33</v>
      </c>
      <c r="BD67" s="371">
        <v>0.04</v>
      </c>
      <c r="BE67" s="371">
        <v>0.32</v>
      </c>
      <c r="BF67" s="371">
        <v>0.56000000000000005</v>
      </c>
      <c r="BG67" s="371">
        <v>0.52</v>
      </c>
      <c r="BH67" s="469">
        <v>49</v>
      </c>
      <c r="BI67" s="471" t="s">
        <v>910</v>
      </c>
      <c r="BJ67" s="469">
        <v>9</v>
      </c>
      <c r="BK67" s="471" t="s">
        <v>910</v>
      </c>
      <c r="BL67" s="501">
        <v>0.11</v>
      </c>
      <c r="BM67" s="501">
        <v>0.43</v>
      </c>
      <c r="BN67" s="501">
        <v>0.46</v>
      </c>
      <c r="BO67" s="501">
        <v>0</v>
      </c>
      <c r="BP67" s="501">
        <v>0.61</v>
      </c>
      <c r="BQ67" s="501">
        <v>0.63</v>
      </c>
      <c r="BR67" s="501">
        <v>0.37</v>
      </c>
      <c r="BS67" s="630">
        <v>49</v>
      </c>
      <c r="BT67" s="640" t="s">
        <v>910</v>
      </c>
      <c r="BU67" s="630">
        <v>11</v>
      </c>
      <c r="BV67" s="640" t="s">
        <v>910</v>
      </c>
      <c r="BW67" s="644">
        <v>0.14000000000000001</v>
      </c>
      <c r="BX67" s="644">
        <v>0.5</v>
      </c>
      <c r="BY67" s="644">
        <v>0.32</v>
      </c>
      <c r="BZ67" s="644">
        <v>0.05</v>
      </c>
      <c r="CA67" s="644">
        <v>0.6</v>
      </c>
      <c r="CB67" s="644">
        <v>0.45</v>
      </c>
      <c r="CC67" s="644">
        <v>0.63</v>
      </c>
    </row>
    <row r="68" spans="1:81" ht="24.9" customHeight="1" x14ac:dyDescent="0.25">
      <c r="A68" s="188" t="s">
        <v>132</v>
      </c>
      <c r="B68" s="1" t="s">
        <v>222</v>
      </c>
      <c r="C68" s="2">
        <v>3</v>
      </c>
      <c r="D68" s="16">
        <v>58</v>
      </c>
      <c r="E68" s="16">
        <v>8</v>
      </c>
      <c r="F68" s="99">
        <v>0.03</v>
      </c>
      <c r="G68" s="99">
        <v>0.18</v>
      </c>
      <c r="H68" s="99">
        <v>0.76</v>
      </c>
      <c r="I68" s="99">
        <v>0.03</v>
      </c>
      <c r="J68" s="99">
        <v>0.49</v>
      </c>
      <c r="K68" s="99">
        <v>0.31</v>
      </c>
      <c r="L68" s="99">
        <v>0.4</v>
      </c>
      <c r="M68" s="16">
        <v>56</v>
      </c>
      <c r="N68" s="16">
        <v>9</v>
      </c>
      <c r="O68" s="66">
        <v>0</v>
      </c>
      <c r="P68" s="66">
        <v>0.32</v>
      </c>
      <c r="Q68" s="66">
        <v>0.61</v>
      </c>
      <c r="R68" s="66">
        <v>7.0000000000000007E-2</v>
      </c>
      <c r="S68" s="66">
        <v>0.4</v>
      </c>
      <c r="T68" s="66">
        <v>0.47</v>
      </c>
      <c r="U68" s="66">
        <v>0.28000000000000003</v>
      </c>
      <c r="V68" s="16">
        <v>56</v>
      </c>
      <c r="W68" s="16">
        <v>8</v>
      </c>
      <c r="X68" s="99">
        <v>0.02</v>
      </c>
      <c r="Y68" s="99">
        <v>0.24</v>
      </c>
      <c r="Z68" s="99">
        <v>0.71</v>
      </c>
      <c r="AA68" s="99">
        <v>0.03</v>
      </c>
      <c r="AB68" s="99">
        <v>0.41</v>
      </c>
      <c r="AC68" s="99">
        <v>0.31</v>
      </c>
      <c r="AD68" s="99">
        <v>0.48</v>
      </c>
      <c r="AE68" s="16">
        <v>56</v>
      </c>
      <c r="AF68" s="16">
        <v>8</v>
      </c>
      <c r="AG68" s="99">
        <v>0.02</v>
      </c>
      <c r="AH68" s="99">
        <v>0.24</v>
      </c>
      <c r="AI68" s="99">
        <v>0.75</v>
      </c>
      <c r="AJ68" s="99">
        <v>0</v>
      </c>
      <c r="AK68" s="99">
        <v>0.48</v>
      </c>
      <c r="AL68" s="99">
        <v>0.43</v>
      </c>
      <c r="AM68" s="99">
        <v>0.22</v>
      </c>
      <c r="AN68" s="61">
        <v>58</v>
      </c>
      <c r="AO68" s="61">
        <v>11</v>
      </c>
      <c r="AP68" s="66">
        <v>0.02</v>
      </c>
      <c r="AQ68" s="66">
        <v>0.2</v>
      </c>
      <c r="AR68" s="66">
        <v>0.71</v>
      </c>
      <c r="AS68" s="66">
        <v>0.06</v>
      </c>
      <c r="AT68" s="66">
        <v>0.19</v>
      </c>
      <c r="AU68" s="66">
        <v>0.42</v>
      </c>
      <c r="AV68" s="66">
        <v>0.44</v>
      </c>
      <c r="AW68" s="349">
        <v>56</v>
      </c>
      <c r="AX68" s="348" t="s">
        <v>910</v>
      </c>
      <c r="AY68" s="349">
        <v>9</v>
      </c>
      <c r="AZ68" s="348" t="s">
        <v>910</v>
      </c>
      <c r="BA68" s="371">
        <v>0</v>
      </c>
      <c r="BB68" s="371">
        <v>0.23</v>
      </c>
      <c r="BC68" s="371">
        <v>0.71</v>
      </c>
      <c r="BD68" s="371">
        <v>0.06</v>
      </c>
      <c r="BE68" s="371">
        <v>0.21</v>
      </c>
      <c r="BF68" s="371">
        <v>0.42</v>
      </c>
      <c r="BG68" s="371">
        <v>0.38</v>
      </c>
      <c r="BH68" s="469">
        <v>59</v>
      </c>
      <c r="BI68" s="471" t="s">
        <v>910</v>
      </c>
      <c r="BJ68" s="469">
        <v>8</v>
      </c>
      <c r="BK68" s="471" t="s">
        <v>910</v>
      </c>
      <c r="BL68" s="501">
        <v>0</v>
      </c>
      <c r="BM68" s="501">
        <v>0.14000000000000001</v>
      </c>
      <c r="BN68" s="501">
        <v>0.86</v>
      </c>
      <c r="BO68" s="501">
        <v>0</v>
      </c>
      <c r="BP68" s="501">
        <v>0.4</v>
      </c>
      <c r="BQ68" s="501">
        <v>0.48</v>
      </c>
      <c r="BR68" s="501">
        <v>0.36</v>
      </c>
      <c r="BS68" s="630">
        <v>61</v>
      </c>
      <c r="BT68" s="640" t="s">
        <v>911</v>
      </c>
      <c r="BU68" s="630">
        <v>8</v>
      </c>
      <c r="BV68" s="640" t="s">
        <v>910</v>
      </c>
      <c r="BW68" s="644">
        <v>0</v>
      </c>
      <c r="BX68" s="644">
        <v>0.12</v>
      </c>
      <c r="BY68" s="644">
        <v>0.76</v>
      </c>
      <c r="BZ68" s="644">
        <v>0.12</v>
      </c>
      <c r="CA68" s="644">
        <v>0.47</v>
      </c>
      <c r="CB68" s="644">
        <v>0.25</v>
      </c>
      <c r="CC68" s="644">
        <v>0.47</v>
      </c>
    </row>
    <row r="69" spans="1:81" ht="24.9" customHeight="1" x14ac:dyDescent="0.25">
      <c r="A69" s="188" t="s">
        <v>179</v>
      </c>
      <c r="B69" s="1" t="s">
        <v>222</v>
      </c>
      <c r="C69" s="2">
        <v>5</v>
      </c>
      <c r="D69" s="16">
        <v>56</v>
      </c>
      <c r="E69" s="16">
        <v>7</v>
      </c>
      <c r="F69" s="99">
        <v>0.02</v>
      </c>
      <c r="G69" s="99">
        <v>0.2</v>
      </c>
      <c r="H69" s="99">
        <v>0.77</v>
      </c>
      <c r="I69" s="99">
        <v>0.01</v>
      </c>
      <c r="J69" s="99">
        <v>0.48</v>
      </c>
      <c r="K69" s="99">
        <v>0.4</v>
      </c>
      <c r="L69" s="99">
        <v>0.48</v>
      </c>
      <c r="M69" s="16">
        <v>56</v>
      </c>
      <c r="N69" s="16">
        <v>9</v>
      </c>
      <c r="O69" s="66">
        <v>0.02</v>
      </c>
      <c r="P69" s="66">
        <v>0.27</v>
      </c>
      <c r="Q69" s="66">
        <v>0.67</v>
      </c>
      <c r="R69" s="66">
        <v>0.04</v>
      </c>
      <c r="S69" s="66">
        <v>0.43</v>
      </c>
      <c r="T69" s="66">
        <v>0.48</v>
      </c>
      <c r="U69" s="66">
        <v>0.28000000000000003</v>
      </c>
      <c r="V69" s="16">
        <v>56</v>
      </c>
      <c r="W69" s="16">
        <v>10</v>
      </c>
      <c r="X69" s="99">
        <v>0</v>
      </c>
      <c r="Y69" s="99">
        <v>0.26</v>
      </c>
      <c r="Z69" s="99">
        <v>0.66</v>
      </c>
      <c r="AA69" s="99">
        <v>7.0000000000000007E-2</v>
      </c>
      <c r="AB69" s="99">
        <v>0.42</v>
      </c>
      <c r="AC69" s="99">
        <v>0.33</v>
      </c>
      <c r="AD69" s="99">
        <v>0.45</v>
      </c>
      <c r="AE69" s="16">
        <v>58</v>
      </c>
      <c r="AF69" s="16">
        <v>10</v>
      </c>
      <c r="AG69" s="99">
        <v>0.02</v>
      </c>
      <c r="AH69" s="99">
        <v>0.23</v>
      </c>
      <c r="AI69" s="99">
        <v>0.66</v>
      </c>
      <c r="AJ69" s="99">
        <v>0.1</v>
      </c>
      <c r="AK69" s="99">
        <v>0.44</v>
      </c>
      <c r="AL69" s="99">
        <v>0.36</v>
      </c>
      <c r="AM69" s="99">
        <v>0.22</v>
      </c>
      <c r="AN69" s="61">
        <v>56</v>
      </c>
      <c r="AO69" s="61">
        <v>7</v>
      </c>
      <c r="AP69" s="66">
        <v>0</v>
      </c>
      <c r="AQ69" s="66">
        <v>0.22</v>
      </c>
      <c r="AR69" s="66">
        <v>0.78</v>
      </c>
      <c r="AS69" s="66">
        <v>0</v>
      </c>
      <c r="AT69" s="66">
        <v>0.21</v>
      </c>
      <c r="AU69" s="66">
        <v>0.46</v>
      </c>
      <c r="AV69" s="66">
        <v>0.45</v>
      </c>
      <c r="AW69" s="349">
        <v>53</v>
      </c>
      <c r="AX69" s="348" t="s">
        <v>910</v>
      </c>
      <c r="AY69" s="349">
        <v>10</v>
      </c>
      <c r="AZ69" s="348" t="s">
        <v>910</v>
      </c>
      <c r="BA69" s="371">
        <v>0.04</v>
      </c>
      <c r="BB69" s="371">
        <v>0.39</v>
      </c>
      <c r="BC69" s="371">
        <v>0.54</v>
      </c>
      <c r="BD69" s="371">
        <v>0.03</v>
      </c>
      <c r="BE69" s="371">
        <v>0.27</v>
      </c>
      <c r="BF69" s="371">
        <v>0.49</v>
      </c>
      <c r="BG69" s="371">
        <v>0.44</v>
      </c>
      <c r="BH69" s="469">
        <v>54</v>
      </c>
      <c r="BI69" s="471" t="s">
        <v>910</v>
      </c>
      <c r="BJ69" s="469">
        <v>9</v>
      </c>
      <c r="BK69" s="471" t="s">
        <v>910</v>
      </c>
      <c r="BL69" s="501">
        <v>0.04</v>
      </c>
      <c r="BM69" s="501">
        <v>0.28000000000000003</v>
      </c>
      <c r="BN69" s="501">
        <v>0.65</v>
      </c>
      <c r="BO69" s="501">
        <v>0.04</v>
      </c>
      <c r="BP69" s="501">
        <v>0.56000000000000005</v>
      </c>
      <c r="BQ69" s="501">
        <v>0.55000000000000004</v>
      </c>
      <c r="BR69" s="501">
        <v>0.34</v>
      </c>
      <c r="BS69" s="630">
        <v>57</v>
      </c>
      <c r="BT69" s="640" t="s">
        <v>910</v>
      </c>
      <c r="BU69" s="630">
        <v>10</v>
      </c>
      <c r="BV69" s="640" t="s">
        <v>910</v>
      </c>
      <c r="BW69" s="644">
        <v>0.02</v>
      </c>
      <c r="BX69" s="644">
        <v>0.27</v>
      </c>
      <c r="BY69" s="644">
        <v>0.6</v>
      </c>
      <c r="BZ69" s="644">
        <v>0.1</v>
      </c>
      <c r="CA69" s="644">
        <v>0.59</v>
      </c>
      <c r="CB69" s="644">
        <v>0.28999999999999998</v>
      </c>
      <c r="CC69" s="644">
        <v>0.56000000000000005</v>
      </c>
    </row>
    <row r="70" spans="1:81" ht="24.9" customHeight="1" x14ac:dyDescent="0.25">
      <c r="A70" s="188" t="s">
        <v>75</v>
      </c>
      <c r="B70" s="1" t="s">
        <v>222</v>
      </c>
      <c r="C70" s="2">
        <v>1</v>
      </c>
      <c r="D70" s="16">
        <v>48</v>
      </c>
      <c r="E70" s="16">
        <v>9</v>
      </c>
      <c r="F70" s="99">
        <v>0.06</v>
      </c>
      <c r="G70" s="99">
        <v>0.63</v>
      </c>
      <c r="H70" s="99">
        <v>0.31</v>
      </c>
      <c r="I70" s="99">
        <v>0</v>
      </c>
      <c r="J70" s="99">
        <v>0.56999999999999995</v>
      </c>
      <c r="K70" s="99">
        <v>0.53</v>
      </c>
      <c r="L70" s="99">
        <v>0.57999999999999996</v>
      </c>
      <c r="M70" s="16">
        <v>53</v>
      </c>
      <c r="N70" s="16">
        <v>9</v>
      </c>
      <c r="O70" s="66">
        <v>0.06</v>
      </c>
      <c r="P70" s="66">
        <v>0.31</v>
      </c>
      <c r="Q70" s="66">
        <v>0.64</v>
      </c>
      <c r="R70" s="66">
        <v>0</v>
      </c>
      <c r="S70" s="66">
        <v>0.49</v>
      </c>
      <c r="T70" s="66">
        <v>0.55000000000000004</v>
      </c>
      <c r="U70" s="66">
        <v>0.32</v>
      </c>
      <c r="V70" s="16">
        <v>53</v>
      </c>
      <c r="W70" s="16">
        <v>9</v>
      </c>
      <c r="X70" s="99">
        <v>7.0000000000000007E-2</v>
      </c>
      <c r="Y70" s="99">
        <v>0.28999999999999998</v>
      </c>
      <c r="Z70" s="99">
        <v>0.61</v>
      </c>
      <c r="AA70" s="99">
        <v>0.04</v>
      </c>
      <c r="AB70" s="99">
        <v>0.49</v>
      </c>
      <c r="AC70" s="99">
        <v>0.39</v>
      </c>
      <c r="AD70" s="99">
        <v>0.5</v>
      </c>
      <c r="AE70" s="16">
        <v>53</v>
      </c>
      <c r="AF70" s="16">
        <v>10</v>
      </c>
      <c r="AG70" s="99">
        <v>0.03</v>
      </c>
      <c r="AH70" s="99">
        <v>0.42</v>
      </c>
      <c r="AI70" s="99">
        <v>0.5</v>
      </c>
      <c r="AJ70" s="99">
        <v>0.06</v>
      </c>
      <c r="AK70" s="99">
        <v>0.54</v>
      </c>
      <c r="AL70" s="99">
        <v>0.49</v>
      </c>
      <c r="AM70" s="99">
        <v>0.25</v>
      </c>
      <c r="AN70" s="61">
        <v>55</v>
      </c>
      <c r="AO70" s="61">
        <v>9</v>
      </c>
      <c r="AP70" s="66">
        <v>0</v>
      </c>
      <c r="AQ70" s="66">
        <v>0.36</v>
      </c>
      <c r="AR70" s="66">
        <v>0.61</v>
      </c>
      <c r="AS70" s="66">
        <v>0.03</v>
      </c>
      <c r="AT70" s="66">
        <v>0.22</v>
      </c>
      <c r="AU70" s="66">
        <v>0.47</v>
      </c>
      <c r="AV70" s="66">
        <v>0.46</v>
      </c>
      <c r="AW70" s="349">
        <v>55</v>
      </c>
      <c r="AX70" s="348" t="s">
        <v>910</v>
      </c>
      <c r="AY70" s="349">
        <v>8</v>
      </c>
      <c r="AZ70" s="348" t="s">
        <v>910</v>
      </c>
      <c r="BA70" s="371">
        <v>0.03</v>
      </c>
      <c r="BB70" s="371">
        <v>0.31</v>
      </c>
      <c r="BC70" s="371">
        <v>0.66</v>
      </c>
      <c r="BD70" s="371">
        <v>0</v>
      </c>
      <c r="BE70" s="371">
        <v>0.23</v>
      </c>
      <c r="BF70" s="371">
        <v>0.47</v>
      </c>
      <c r="BG70" s="371">
        <v>0.42</v>
      </c>
      <c r="BH70" s="469">
        <v>49</v>
      </c>
      <c r="BI70" s="471" t="s">
        <v>910</v>
      </c>
      <c r="BJ70" s="469">
        <v>11</v>
      </c>
      <c r="BK70" s="471" t="s">
        <v>910</v>
      </c>
      <c r="BL70" s="501">
        <v>0.09</v>
      </c>
      <c r="BM70" s="501">
        <v>0.42</v>
      </c>
      <c r="BN70" s="501">
        <v>0.48</v>
      </c>
      <c r="BO70" s="501">
        <v>0</v>
      </c>
      <c r="BP70" s="501">
        <v>0.56000000000000005</v>
      </c>
      <c r="BQ70" s="501">
        <v>0.64</v>
      </c>
      <c r="BR70" s="501">
        <v>0.42</v>
      </c>
      <c r="BS70" s="630">
        <v>50</v>
      </c>
      <c r="BT70" s="640" t="s">
        <v>910</v>
      </c>
      <c r="BU70" s="630">
        <v>8</v>
      </c>
      <c r="BV70" s="640" t="s">
        <v>910</v>
      </c>
      <c r="BW70" s="644">
        <v>0.03</v>
      </c>
      <c r="BX70" s="644">
        <v>0.55000000000000004</v>
      </c>
      <c r="BY70" s="644">
        <v>0.41</v>
      </c>
      <c r="BZ70" s="644">
        <v>0</v>
      </c>
      <c r="CA70" s="644">
        <v>0.7</v>
      </c>
      <c r="CB70" s="644">
        <v>0.41</v>
      </c>
      <c r="CC70" s="644">
        <v>0.63</v>
      </c>
    </row>
    <row r="71" spans="1:81" ht="24.9" customHeight="1" x14ac:dyDescent="0.25">
      <c r="A71" s="188" t="s">
        <v>25</v>
      </c>
      <c r="B71" s="1" t="s">
        <v>222</v>
      </c>
      <c r="C71" s="2">
        <v>3</v>
      </c>
      <c r="D71" s="16">
        <v>55</v>
      </c>
      <c r="E71" s="16">
        <v>9</v>
      </c>
      <c r="F71" s="99">
        <v>0.04</v>
      </c>
      <c r="G71" s="99">
        <v>0.28999999999999998</v>
      </c>
      <c r="H71" s="99">
        <v>0.65</v>
      </c>
      <c r="I71" s="99">
        <v>0.02</v>
      </c>
      <c r="J71" s="99">
        <v>0.47</v>
      </c>
      <c r="K71" s="99">
        <v>0.43</v>
      </c>
      <c r="L71" s="99">
        <v>0.46</v>
      </c>
      <c r="M71" s="16">
        <v>54</v>
      </c>
      <c r="N71" s="16">
        <v>11</v>
      </c>
      <c r="O71" s="66">
        <v>0.04</v>
      </c>
      <c r="P71" s="66">
        <v>0.33</v>
      </c>
      <c r="Q71" s="66">
        <v>0.57999999999999996</v>
      </c>
      <c r="R71" s="66">
        <v>0.04</v>
      </c>
      <c r="S71" s="66">
        <v>0.46</v>
      </c>
      <c r="T71" s="66">
        <v>0.5</v>
      </c>
      <c r="U71" s="66">
        <v>0.31</v>
      </c>
      <c r="V71" s="16">
        <v>51</v>
      </c>
      <c r="W71" s="16">
        <v>9</v>
      </c>
      <c r="X71" s="99">
        <v>0</v>
      </c>
      <c r="Y71" s="99">
        <v>0.43</v>
      </c>
      <c r="Z71" s="99">
        <v>0.53</v>
      </c>
      <c r="AA71" s="99">
        <v>0.03</v>
      </c>
      <c r="AB71" s="99">
        <v>0.52</v>
      </c>
      <c r="AC71" s="99">
        <v>0.4</v>
      </c>
      <c r="AD71" s="99">
        <v>0.52</v>
      </c>
      <c r="AE71" s="16">
        <v>57</v>
      </c>
      <c r="AF71" s="16">
        <v>9</v>
      </c>
      <c r="AG71" s="99">
        <v>0</v>
      </c>
      <c r="AH71" s="99">
        <v>0.24</v>
      </c>
      <c r="AI71" s="99">
        <v>0.74</v>
      </c>
      <c r="AJ71" s="99">
        <v>0.03</v>
      </c>
      <c r="AK71" s="99">
        <v>0.49</v>
      </c>
      <c r="AL71" s="99">
        <v>0.41</v>
      </c>
      <c r="AM71" s="99">
        <v>0.23</v>
      </c>
      <c r="AN71" s="61">
        <v>55</v>
      </c>
      <c r="AO71" s="61">
        <v>9</v>
      </c>
      <c r="AP71" s="66">
        <v>0.03</v>
      </c>
      <c r="AQ71" s="66">
        <v>0.22</v>
      </c>
      <c r="AR71" s="66">
        <v>0.73</v>
      </c>
      <c r="AS71" s="66">
        <v>0.02</v>
      </c>
      <c r="AT71" s="66">
        <v>0.23</v>
      </c>
      <c r="AU71" s="66">
        <v>0.49</v>
      </c>
      <c r="AV71" s="66">
        <v>0.5</v>
      </c>
      <c r="AW71" s="349">
        <v>54</v>
      </c>
      <c r="AX71" s="348" t="s">
        <v>910</v>
      </c>
      <c r="AY71" s="349">
        <v>8</v>
      </c>
      <c r="AZ71" s="348" t="s">
        <v>910</v>
      </c>
      <c r="BA71" s="371">
        <v>0</v>
      </c>
      <c r="BB71" s="371">
        <v>0.36</v>
      </c>
      <c r="BC71" s="371">
        <v>0.57999999999999996</v>
      </c>
      <c r="BD71" s="371">
        <v>0.06</v>
      </c>
      <c r="BE71" s="371">
        <v>0.28000000000000003</v>
      </c>
      <c r="BF71" s="371">
        <v>0.45</v>
      </c>
      <c r="BG71" s="371">
        <v>0.42</v>
      </c>
      <c r="BH71" s="469">
        <v>55</v>
      </c>
      <c r="BI71" s="471" t="s">
        <v>910</v>
      </c>
      <c r="BJ71" s="469">
        <v>7</v>
      </c>
      <c r="BK71" s="471" t="s">
        <v>910</v>
      </c>
      <c r="BL71" s="501">
        <v>0</v>
      </c>
      <c r="BM71" s="501">
        <v>0.23</v>
      </c>
      <c r="BN71" s="501">
        <v>0.75</v>
      </c>
      <c r="BO71" s="501">
        <v>0.02</v>
      </c>
      <c r="BP71" s="501">
        <v>0.47</v>
      </c>
      <c r="BQ71" s="501">
        <v>0.59</v>
      </c>
      <c r="BR71" s="501">
        <v>0.33</v>
      </c>
      <c r="BS71" s="630">
        <v>54</v>
      </c>
      <c r="BT71" s="640" t="s">
        <v>910</v>
      </c>
      <c r="BU71" s="630">
        <v>9</v>
      </c>
      <c r="BV71" s="640" t="s">
        <v>910</v>
      </c>
      <c r="BW71" s="644">
        <v>0.02</v>
      </c>
      <c r="BX71" s="644">
        <v>0.4</v>
      </c>
      <c r="BY71" s="644">
        <v>0.52</v>
      </c>
      <c r="BZ71" s="644">
        <v>0.06</v>
      </c>
      <c r="CA71" s="644">
        <v>0.57999999999999996</v>
      </c>
      <c r="CB71" s="644">
        <v>0.31</v>
      </c>
      <c r="CC71" s="644">
        <v>0.56999999999999995</v>
      </c>
    </row>
    <row r="72" spans="1:81" s="336" customFormat="1" ht="24.9" customHeight="1" x14ac:dyDescent="0.25">
      <c r="A72" s="361" t="s">
        <v>914</v>
      </c>
      <c r="B72" s="1" t="s">
        <v>222</v>
      </c>
      <c r="C72" s="354">
        <v>6</v>
      </c>
      <c r="D72" s="357"/>
      <c r="E72" s="357"/>
      <c r="F72" s="357"/>
      <c r="G72" s="357"/>
      <c r="H72" s="357"/>
      <c r="I72" s="357"/>
      <c r="J72" s="357"/>
      <c r="K72" s="357"/>
      <c r="L72" s="357"/>
      <c r="M72" s="362"/>
      <c r="N72" s="362"/>
      <c r="O72" s="367"/>
      <c r="P72" s="367"/>
      <c r="Q72" s="367"/>
      <c r="R72" s="367"/>
      <c r="S72" s="367"/>
      <c r="T72" s="367"/>
      <c r="U72" s="367"/>
      <c r="V72" s="362"/>
      <c r="W72" s="362"/>
      <c r="X72" s="366"/>
      <c r="Y72" s="366"/>
      <c r="Z72" s="366"/>
      <c r="AA72" s="366"/>
      <c r="AB72" s="366"/>
      <c r="AC72" s="366"/>
      <c r="AD72" s="366"/>
      <c r="AE72" s="362"/>
      <c r="AF72" s="362"/>
      <c r="AG72" s="366"/>
      <c r="AH72" s="366"/>
      <c r="AI72" s="366"/>
      <c r="AJ72" s="366"/>
      <c r="AK72" s="366"/>
      <c r="AL72" s="366"/>
      <c r="AM72" s="366"/>
      <c r="AN72" s="356"/>
      <c r="AO72" s="356"/>
      <c r="AP72" s="367"/>
      <c r="AQ72" s="367"/>
      <c r="AR72" s="367"/>
      <c r="AS72" s="367"/>
      <c r="AT72" s="367"/>
      <c r="AU72" s="367"/>
      <c r="AV72" s="367"/>
      <c r="AW72" s="349">
        <v>51</v>
      </c>
      <c r="AX72" s="348" t="s">
        <v>910</v>
      </c>
      <c r="AY72" s="349">
        <v>7</v>
      </c>
      <c r="AZ72" s="348" t="s">
        <v>910</v>
      </c>
      <c r="BA72" s="371">
        <v>0.06</v>
      </c>
      <c r="BB72" s="371">
        <v>0.33</v>
      </c>
      <c r="BC72" s="371">
        <v>0.61</v>
      </c>
      <c r="BD72" s="371">
        <v>0</v>
      </c>
      <c r="BE72" s="371">
        <v>0.22</v>
      </c>
      <c r="BF72" s="371">
        <v>0.57999999999999996</v>
      </c>
      <c r="BG72" s="371">
        <v>0.52</v>
      </c>
      <c r="BH72" s="469">
        <v>49</v>
      </c>
      <c r="BI72" s="471" t="s">
        <v>910</v>
      </c>
      <c r="BJ72" s="469">
        <v>9</v>
      </c>
      <c r="BK72" s="471" t="s">
        <v>910</v>
      </c>
      <c r="BL72" s="501">
        <v>0.16</v>
      </c>
      <c r="BM72" s="501">
        <v>0.39</v>
      </c>
      <c r="BN72" s="501">
        <v>0.45</v>
      </c>
      <c r="BO72" s="501">
        <v>0</v>
      </c>
      <c r="BP72" s="501">
        <v>0.56999999999999995</v>
      </c>
      <c r="BQ72" s="501">
        <v>0.71</v>
      </c>
      <c r="BR72" s="501">
        <v>0.34</v>
      </c>
      <c r="BS72" s="630">
        <v>53</v>
      </c>
      <c r="BT72" s="640" t="s">
        <v>910</v>
      </c>
      <c r="BU72" s="630">
        <v>10</v>
      </c>
      <c r="BV72" s="640" t="s">
        <v>910</v>
      </c>
      <c r="BW72" s="644">
        <v>0.1</v>
      </c>
      <c r="BX72" s="644">
        <v>0.21</v>
      </c>
      <c r="BY72" s="644">
        <v>0.69</v>
      </c>
      <c r="BZ72" s="644">
        <v>0</v>
      </c>
      <c r="CA72" s="644">
        <v>0.63</v>
      </c>
      <c r="CB72" s="644">
        <v>0.36</v>
      </c>
      <c r="CC72" s="644">
        <v>0.56999999999999995</v>
      </c>
    </row>
    <row r="73" spans="1:81" ht="24.9" customHeight="1" x14ac:dyDescent="0.25">
      <c r="A73" s="188" t="s">
        <v>94</v>
      </c>
      <c r="B73" s="1" t="s">
        <v>222</v>
      </c>
      <c r="C73" s="2">
        <v>6</v>
      </c>
      <c r="D73" s="16">
        <v>57</v>
      </c>
      <c r="E73" s="16">
        <v>6</v>
      </c>
      <c r="F73" s="99">
        <v>0</v>
      </c>
      <c r="G73" s="99">
        <v>0.25</v>
      </c>
      <c r="H73" s="99">
        <v>0.75</v>
      </c>
      <c r="I73" s="99">
        <v>0</v>
      </c>
      <c r="J73" s="99">
        <v>0.43</v>
      </c>
      <c r="K73" s="99">
        <v>0.32</v>
      </c>
      <c r="L73" s="99">
        <v>0.46</v>
      </c>
      <c r="M73" s="16">
        <v>51</v>
      </c>
      <c r="N73" s="16">
        <v>12</v>
      </c>
      <c r="O73" s="66">
        <v>0.25</v>
      </c>
      <c r="P73" s="66">
        <v>0</v>
      </c>
      <c r="Q73" s="66">
        <v>0.75</v>
      </c>
      <c r="R73" s="66">
        <v>0</v>
      </c>
      <c r="S73" s="66">
        <v>0.46</v>
      </c>
      <c r="T73" s="66">
        <v>0.57999999999999996</v>
      </c>
      <c r="U73" s="66">
        <v>0.37</v>
      </c>
      <c r="V73" s="13" t="s">
        <v>226</v>
      </c>
      <c r="W73" s="13" t="s">
        <v>228</v>
      </c>
      <c r="X73" s="13"/>
      <c r="Y73" s="13"/>
      <c r="Z73" s="13"/>
      <c r="AA73" s="13"/>
      <c r="AB73" s="13"/>
      <c r="AC73" s="13"/>
      <c r="AD73" s="13"/>
      <c r="AE73" s="16">
        <v>51</v>
      </c>
      <c r="AF73" s="16">
        <v>18</v>
      </c>
      <c r="AG73" s="99">
        <v>0</v>
      </c>
      <c r="AH73" s="99">
        <v>0.5</v>
      </c>
      <c r="AI73" s="99">
        <v>0.5</v>
      </c>
      <c r="AJ73" s="99">
        <v>0</v>
      </c>
      <c r="AK73" s="99">
        <v>0.51</v>
      </c>
      <c r="AL73" s="99">
        <v>0.62</v>
      </c>
      <c r="AM73" s="99">
        <v>0.27</v>
      </c>
      <c r="AN73" s="61">
        <v>49</v>
      </c>
      <c r="AO73" s="61">
        <v>11</v>
      </c>
      <c r="AP73" s="66">
        <v>0</v>
      </c>
      <c r="AQ73" s="66">
        <v>0.63</v>
      </c>
      <c r="AR73" s="66">
        <v>0.25</v>
      </c>
      <c r="AS73" s="66">
        <v>0.13</v>
      </c>
      <c r="AT73" s="66">
        <v>0.34</v>
      </c>
      <c r="AU73" s="66">
        <v>0.48</v>
      </c>
      <c r="AV73" s="66">
        <v>0.68</v>
      </c>
      <c r="BS73" s="630">
        <v>57</v>
      </c>
      <c r="BT73" s="640" t="s">
        <v>910</v>
      </c>
      <c r="BU73" s="630">
        <v>10</v>
      </c>
      <c r="BV73" s="640" t="s">
        <v>910</v>
      </c>
      <c r="BW73" s="644">
        <v>0</v>
      </c>
      <c r="BX73" s="644">
        <v>0.2</v>
      </c>
      <c r="BY73" s="644">
        <v>0.8</v>
      </c>
      <c r="BZ73" s="644">
        <v>0</v>
      </c>
      <c r="CA73" s="644">
        <v>0.56999999999999995</v>
      </c>
      <c r="CB73" s="644">
        <v>0.3</v>
      </c>
      <c r="CC73" s="644">
        <v>0.63</v>
      </c>
    </row>
    <row r="74" spans="1:81" ht="24.9" customHeight="1" x14ac:dyDescent="0.25">
      <c r="A74" s="188" t="s">
        <v>167</v>
      </c>
      <c r="B74" s="1" t="s">
        <v>222</v>
      </c>
      <c r="C74" s="2">
        <v>3</v>
      </c>
      <c r="D74" s="16">
        <v>46</v>
      </c>
      <c r="E74" s="16">
        <v>6</v>
      </c>
      <c r="F74" s="99">
        <v>0</v>
      </c>
      <c r="G74" s="99">
        <v>0.67</v>
      </c>
      <c r="H74" s="99">
        <v>0.33</v>
      </c>
      <c r="I74" s="99">
        <v>0</v>
      </c>
      <c r="J74" s="99">
        <v>0.6</v>
      </c>
      <c r="K74" s="99">
        <v>0.55000000000000004</v>
      </c>
      <c r="L74" s="99">
        <v>0.61</v>
      </c>
      <c r="M74" s="16">
        <v>50</v>
      </c>
      <c r="N74" s="16">
        <v>10</v>
      </c>
      <c r="O74" s="66">
        <v>0.04</v>
      </c>
      <c r="P74" s="66">
        <v>0.48</v>
      </c>
      <c r="Q74" s="66">
        <v>0.48</v>
      </c>
      <c r="R74" s="66">
        <v>0</v>
      </c>
      <c r="S74" s="66">
        <v>0.52</v>
      </c>
      <c r="T74" s="66">
        <v>0.56999999999999995</v>
      </c>
      <c r="U74" s="66">
        <v>0.39</v>
      </c>
      <c r="V74" s="16">
        <v>55</v>
      </c>
      <c r="W74" s="16">
        <v>13</v>
      </c>
      <c r="X74" s="99">
        <v>0.04</v>
      </c>
      <c r="Y74" s="99">
        <v>0.39</v>
      </c>
      <c r="Z74" s="99">
        <v>0.43</v>
      </c>
      <c r="AA74" s="99">
        <v>0.13</v>
      </c>
      <c r="AB74" s="99">
        <v>0.45</v>
      </c>
      <c r="AC74" s="99">
        <v>0.31</v>
      </c>
      <c r="AD74" s="99">
        <v>0.48</v>
      </c>
      <c r="AE74" s="16">
        <v>54</v>
      </c>
      <c r="AF74" s="16">
        <v>10</v>
      </c>
      <c r="AG74" s="99">
        <v>0.06</v>
      </c>
      <c r="AH74" s="99">
        <v>0.28000000000000003</v>
      </c>
      <c r="AI74" s="99">
        <v>0.67</v>
      </c>
      <c r="AJ74" s="99">
        <v>0</v>
      </c>
      <c r="AK74" s="99">
        <v>0.52</v>
      </c>
      <c r="AL74" s="99">
        <v>0.39</v>
      </c>
      <c r="AM74" s="99">
        <v>0.27</v>
      </c>
      <c r="AN74" s="61">
        <v>50</v>
      </c>
      <c r="AO74" s="61">
        <v>10</v>
      </c>
      <c r="AP74" s="66">
        <v>0</v>
      </c>
      <c r="AQ74" s="66">
        <v>0.5</v>
      </c>
      <c r="AR74" s="66">
        <v>0.5</v>
      </c>
      <c r="AS74" s="66">
        <v>0</v>
      </c>
      <c r="AT74" s="66">
        <v>0.35</v>
      </c>
      <c r="AU74" s="66">
        <v>0.5</v>
      </c>
      <c r="AV74" s="66">
        <v>0.53</v>
      </c>
      <c r="AW74" s="349">
        <v>49</v>
      </c>
      <c r="AX74" s="348" t="s">
        <v>910</v>
      </c>
      <c r="AY74" s="349">
        <v>10</v>
      </c>
      <c r="AZ74" s="348" t="s">
        <v>910</v>
      </c>
      <c r="BA74" s="371">
        <v>0.06</v>
      </c>
      <c r="BB74" s="371">
        <v>0.59</v>
      </c>
      <c r="BC74" s="371">
        <v>0.35</v>
      </c>
      <c r="BD74" s="371">
        <v>0</v>
      </c>
      <c r="BE74" s="371">
        <v>0.36</v>
      </c>
      <c r="BF74" s="371">
        <v>0.54</v>
      </c>
      <c r="BG74" s="371">
        <v>0.49</v>
      </c>
      <c r="BH74" s="469">
        <v>55</v>
      </c>
      <c r="BI74" s="471" t="s">
        <v>910</v>
      </c>
      <c r="BJ74" s="469">
        <v>12</v>
      </c>
      <c r="BK74" s="471" t="s">
        <v>910</v>
      </c>
      <c r="BL74" s="501">
        <v>0.04</v>
      </c>
      <c r="BM74" s="501">
        <v>0.38</v>
      </c>
      <c r="BN74" s="501">
        <v>0.46</v>
      </c>
      <c r="BO74" s="501">
        <v>0.13</v>
      </c>
      <c r="BP74" s="501">
        <v>0.48</v>
      </c>
      <c r="BQ74" s="501">
        <v>0.53</v>
      </c>
      <c r="BR74" s="501">
        <v>0.26</v>
      </c>
      <c r="BS74" s="630">
        <v>59</v>
      </c>
      <c r="BT74" s="640" t="s">
        <v>910</v>
      </c>
      <c r="BU74" s="630">
        <v>12</v>
      </c>
      <c r="BV74" s="640" t="s">
        <v>910</v>
      </c>
      <c r="BW74" s="644">
        <v>0</v>
      </c>
      <c r="BX74" s="644">
        <v>0.28999999999999998</v>
      </c>
      <c r="BY74" s="644">
        <v>0.63</v>
      </c>
      <c r="BZ74" s="644">
        <v>0.08</v>
      </c>
      <c r="CA74" s="644">
        <v>0.56999999999999995</v>
      </c>
      <c r="CB74" s="644">
        <v>0.32</v>
      </c>
      <c r="CC74" s="644">
        <v>0.43</v>
      </c>
    </row>
    <row r="75" spans="1:81" ht="24.9" customHeight="1" x14ac:dyDescent="0.25">
      <c r="A75" s="188" t="s">
        <v>204</v>
      </c>
      <c r="B75" s="1" t="s">
        <v>222</v>
      </c>
      <c r="C75" s="2">
        <v>1</v>
      </c>
      <c r="D75" s="16">
        <v>53</v>
      </c>
      <c r="E75" s="16">
        <v>8</v>
      </c>
      <c r="F75" s="99">
        <v>0</v>
      </c>
      <c r="G75" s="99">
        <v>0.41</v>
      </c>
      <c r="H75" s="99">
        <v>0.59</v>
      </c>
      <c r="I75" s="99">
        <v>0</v>
      </c>
      <c r="J75" s="99">
        <v>0.51</v>
      </c>
      <c r="K75" s="99">
        <v>0.45</v>
      </c>
      <c r="L75" s="99">
        <v>0.48</v>
      </c>
      <c r="M75" s="16">
        <v>50</v>
      </c>
      <c r="N75" s="16">
        <v>12</v>
      </c>
      <c r="O75" s="66">
        <v>0.11</v>
      </c>
      <c r="P75" s="66">
        <v>0.56000000000000005</v>
      </c>
      <c r="Q75" s="66">
        <v>0.22</v>
      </c>
      <c r="R75" s="66">
        <v>0.11</v>
      </c>
      <c r="S75" s="66">
        <v>0.49</v>
      </c>
      <c r="T75" s="66">
        <v>0.61</v>
      </c>
      <c r="U75" s="66">
        <v>0.38</v>
      </c>
      <c r="V75" s="16">
        <v>51</v>
      </c>
      <c r="W75" s="16">
        <v>11</v>
      </c>
      <c r="X75" s="99">
        <v>0.13</v>
      </c>
      <c r="Y75" s="99">
        <v>0.25</v>
      </c>
      <c r="Z75" s="99">
        <v>0.63</v>
      </c>
      <c r="AA75" s="99">
        <v>0</v>
      </c>
      <c r="AB75" s="99">
        <v>0.48</v>
      </c>
      <c r="AC75" s="99">
        <v>0.34</v>
      </c>
      <c r="AD75" s="99">
        <v>0.59</v>
      </c>
      <c r="AE75" s="16">
        <v>55</v>
      </c>
      <c r="AF75" s="16">
        <v>10</v>
      </c>
      <c r="AG75" s="99">
        <v>0</v>
      </c>
      <c r="AH75" s="99">
        <v>0.33</v>
      </c>
      <c r="AI75" s="99">
        <v>0.67</v>
      </c>
      <c r="AJ75" s="99">
        <v>0</v>
      </c>
      <c r="AK75" s="99">
        <v>0.51</v>
      </c>
      <c r="AL75" s="99">
        <v>0.39</v>
      </c>
      <c r="AM75" s="99">
        <v>0.3</v>
      </c>
      <c r="AN75" s="61">
        <v>52</v>
      </c>
      <c r="AO75" s="61">
        <v>12</v>
      </c>
      <c r="AP75" s="66">
        <v>0.13</v>
      </c>
      <c r="AQ75" s="66">
        <v>0.38</v>
      </c>
      <c r="AR75" s="66">
        <v>0.38</v>
      </c>
      <c r="AS75" s="66">
        <v>0.13</v>
      </c>
      <c r="AT75" s="66">
        <v>0.27</v>
      </c>
      <c r="AU75" s="66">
        <v>0.56000000000000005</v>
      </c>
      <c r="AV75" s="66">
        <v>0.45</v>
      </c>
      <c r="AW75" s="349">
        <v>54</v>
      </c>
      <c r="AX75" s="348" t="s">
        <v>910</v>
      </c>
      <c r="AY75" s="349">
        <v>8</v>
      </c>
      <c r="AZ75" s="348" t="s">
        <v>910</v>
      </c>
      <c r="BA75" s="371">
        <v>0.09</v>
      </c>
      <c r="BB75" s="371">
        <v>0.18</v>
      </c>
      <c r="BC75" s="371">
        <v>0.73</v>
      </c>
      <c r="BD75" s="371">
        <v>0</v>
      </c>
      <c r="BE75" s="371">
        <v>0.25</v>
      </c>
      <c r="BF75" s="371">
        <v>0.48</v>
      </c>
      <c r="BG75" s="371">
        <v>0.47</v>
      </c>
      <c r="BH75" s="469">
        <v>53</v>
      </c>
      <c r="BI75" s="471" t="s">
        <v>910</v>
      </c>
      <c r="BJ75" s="469">
        <v>11</v>
      </c>
      <c r="BK75" s="471" t="s">
        <v>910</v>
      </c>
      <c r="BL75" s="501">
        <v>0.04</v>
      </c>
      <c r="BM75" s="501">
        <v>0.39</v>
      </c>
      <c r="BN75" s="501">
        <v>0.48</v>
      </c>
      <c r="BO75" s="501">
        <v>0.09</v>
      </c>
      <c r="BP75" s="501">
        <v>0.44</v>
      </c>
      <c r="BQ75" s="501">
        <v>0.59</v>
      </c>
      <c r="BR75" s="501">
        <v>0.37</v>
      </c>
      <c r="BS75" s="630">
        <v>56</v>
      </c>
      <c r="BT75" s="640" t="s">
        <v>910</v>
      </c>
      <c r="BU75" s="630">
        <v>10</v>
      </c>
      <c r="BV75" s="640" t="s">
        <v>910</v>
      </c>
      <c r="BW75" s="644">
        <v>0</v>
      </c>
      <c r="BX75" s="644">
        <v>0.41</v>
      </c>
      <c r="BY75" s="644">
        <v>0.5</v>
      </c>
      <c r="BZ75" s="644">
        <v>0.09</v>
      </c>
      <c r="CA75" s="644">
        <v>0.61</v>
      </c>
      <c r="CB75" s="644">
        <v>0.24</v>
      </c>
      <c r="CC75" s="644">
        <v>0.55000000000000004</v>
      </c>
    </row>
    <row r="76" spans="1:81" s="461" customFormat="1" ht="24.9" customHeight="1" x14ac:dyDescent="0.25">
      <c r="A76" s="470" t="s">
        <v>958</v>
      </c>
      <c r="B76" s="15" t="s">
        <v>222</v>
      </c>
      <c r="C76" s="471">
        <v>2</v>
      </c>
      <c r="D76" s="502"/>
      <c r="E76" s="502"/>
      <c r="F76" s="508"/>
      <c r="G76" s="508"/>
      <c r="H76" s="508"/>
      <c r="I76" s="508"/>
      <c r="J76" s="508"/>
      <c r="K76" s="508"/>
      <c r="L76" s="508"/>
      <c r="M76" s="502"/>
      <c r="N76" s="502"/>
      <c r="O76" s="506"/>
      <c r="P76" s="506"/>
      <c r="Q76" s="506"/>
      <c r="R76" s="506"/>
      <c r="S76" s="506"/>
      <c r="T76" s="506"/>
      <c r="U76" s="506"/>
      <c r="V76" s="502"/>
      <c r="W76" s="502"/>
      <c r="X76" s="508"/>
      <c r="Y76" s="508"/>
      <c r="Z76" s="508"/>
      <c r="AA76" s="508"/>
      <c r="AB76" s="508"/>
      <c r="AC76" s="508"/>
      <c r="AD76" s="508"/>
      <c r="AE76" s="502"/>
      <c r="AF76" s="502"/>
      <c r="AG76" s="508"/>
      <c r="AH76" s="508"/>
      <c r="AI76" s="508"/>
      <c r="AJ76" s="508"/>
      <c r="AK76" s="508"/>
      <c r="AL76" s="508"/>
      <c r="AM76" s="508"/>
      <c r="AN76" s="73"/>
      <c r="AO76" s="73"/>
      <c r="AP76" s="74"/>
      <c r="AQ76" s="74"/>
      <c r="AR76" s="74"/>
      <c r="AS76" s="74"/>
      <c r="AT76" s="74"/>
      <c r="AU76" s="74"/>
      <c r="AV76" s="74"/>
      <c r="AW76" s="475"/>
      <c r="AX76" s="493"/>
      <c r="AY76" s="475"/>
      <c r="AZ76" s="493"/>
      <c r="BA76" s="507"/>
      <c r="BB76" s="507"/>
      <c r="BC76" s="507"/>
      <c r="BD76" s="507"/>
      <c r="BE76" s="507"/>
      <c r="BF76" s="507"/>
      <c r="BG76" s="507"/>
      <c r="BH76" s="469">
        <v>52</v>
      </c>
      <c r="BI76" s="471" t="s">
        <v>910</v>
      </c>
      <c r="BJ76" s="469">
        <v>10</v>
      </c>
      <c r="BK76" s="471" t="s">
        <v>910</v>
      </c>
      <c r="BL76" s="501">
        <v>0</v>
      </c>
      <c r="BM76" s="501">
        <v>0.53</v>
      </c>
      <c r="BN76" s="501">
        <v>0.4</v>
      </c>
      <c r="BO76" s="501">
        <v>7.0000000000000007E-2</v>
      </c>
      <c r="BP76" s="501">
        <v>0.47</v>
      </c>
      <c r="BQ76" s="501">
        <v>0.59</v>
      </c>
      <c r="BR76" s="501">
        <v>0.32</v>
      </c>
      <c r="BS76" s="630">
        <v>52</v>
      </c>
      <c r="BT76" s="640" t="s">
        <v>910</v>
      </c>
      <c r="BU76" s="630">
        <v>10</v>
      </c>
      <c r="BV76" s="640" t="s">
        <v>910</v>
      </c>
      <c r="BW76" s="644">
        <v>0.05</v>
      </c>
      <c r="BX76" s="644">
        <v>0.43</v>
      </c>
      <c r="BY76" s="644">
        <v>0.48</v>
      </c>
      <c r="BZ76" s="644">
        <v>0.05</v>
      </c>
      <c r="CA76" s="644">
        <v>0.62</v>
      </c>
      <c r="CB76" s="644">
        <v>0.4</v>
      </c>
      <c r="CC76" s="644">
        <v>0.56999999999999995</v>
      </c>
    </row>
    <row r="77" spans="1:81" ht="24.9" customHeight="1" x14ac:dyDescent="0.25">
      <c r="A77" s="188" t="s">
        <v>81</v>
      </c>
      <c r="B77" s="1" t="s">
        <v>222</v>
      </c>
      <c r="C77" s="2">
        <v>4</v>
      </c>
      <c r="D77" s="16">
        <v>45</v>
      </c>
      <c r="E77" s="16">
        <v>11</v>
      </c>
      <c r="F77" s="99">
        <v>0.24</v>
      </c>
      <c r="G77" s="99">
        <v>0.45</v>
      </c>
      <c r="H77" s="99">
        <v>0.31</v>
      </c>
      <c r="I77" s="99">
        <v>0</v>
      </c>
      <c r="J77" s="99">
        <v>0.59</v>
      </c>
      <c r="K77" s="99">
        <v>0.54</v>
      </c>
      <c r="L77" s="99">
        <v>0.6</v>
      </c>
      <c r="M77" s="16">
        <v>47</v>
      </c>
      <c r="N77" s="16">
        <v>10</v>
      </c>
      <c r="O77" s="66">
        <v>0.14000000000000001</v>
      </c>
      <c r="P77" s="66">
        <v>0.49</v>
      </c>
      <c r="Q77" s="66">
        <v>0.35</v>
      </c>
      <c r="R77" s="66">
        <v>0.02</v>
      </c>
      <c r="S77" s="66">
        <v>0.53</v>
      </c>
      <c r="T77" s="66">
        <v>0.62</v>
      </c>
      <c r="U77" s="66">
        <v>0.46</v>
      </c>
      <c r="V77" s="16">
        <v>51</v>
      </c>
      <c r="W77" s="16">
        <v>11</v>
      </c>
      <c r="X77" s="99">
        <v>0</v>
      </c>
      <c r="Y77" s="99">
        <v>0.57999999999999996</v>
      </c>
      <c r="Z77" s="99">
        <v>0.33</v>
      </c>
      <c r="AA77" s="99">
        <v>0.08</v>
      </c>
      <c r="AB77" s="99">
        <v>0.56000000000000005</v>
      </c>
      <c r="AC77" s="99">
        <v>0.36</v>
      </c>
      <c r="AD77" s="99">
        <v>0.48</v>
      </c>
      <c r="AE77" s="16">
        <v>45</v>
      </c>
      <c r="AF77" s="16">
        <v>9</v>
      </c>
      <c r="AG77" s="99">
        <v>0.13</v>
      </c>
      <c r="AH77" s="99">
        <v>0.56999999999999995</v>
      </c>
      <c r="AI77" s="99">
        <v>0.3</v>
      </c>
      <c r="AJ77" s="99">
        <v>0</v>
      </c>
      <c r="AK77" s="99">
        <v>0.63</v>
      </c>
      <c r="AL77" s="99">
        <v>0.56999999999999995</v>
      </c>
      <c r="AM77" s="99">
        <v>0.4</v>
      </c>
      <c r="AW77" s="349">
        <v>39</v>
      </c>
      <c r="AX77" s="348" t="s">
        <v>912</v>
      </c>
      <c r="AY77" s="349">
        <v>0</v>
      </c>
      <c r="AZ77" s="348" t="s">
        <v>912</v>
      </c>
      <c r="BA77" s="371">
        <v>0</v>
      </c>
      <c r="BB77" s="371">
        <v>1</v>
      </c>
      <c r="BC77" s="371">
        <v>0</v>
      </c>
      <c r="BD77" s="371">
        <v>0</v>
      </c>
      <c r="BE77" s="371">
        <v>0.71</v>
      </c>
      <c r="BF77" s="371">
        <v>0.55000000000000004</v>
      </c>
      <c r="BG77" s="371">
        <v>0.7</v>
      </c>
    </row>
    <row r="78" spans="1:81" ht="24.9" customHeight="1" x14ac:dyDescent="0.25">
      <c r="A78" s="188" t="s">
        <v>169</v>
      </c>
      <c r="B78" s="1" t="s">
        <v>222</v>
      </c>
      <c r="C78" s="2">
        <v>6</v>
      </c>
      <c r="D78" s="16">
        <v>47</v>
      </c>
      <c r="E78" s="16">
        <v>8</v>
      </c>
      <c r="F78" s="99">
        <v>7.0000000000000007E-2</v>
      </c>
      <c r="G78" s="99">
        <v>0.53</v>
      </c>
      <c r="H78" s="99">
        <v>0.4</v>
      </c>
      <c r="I78" s="99">
        <v>0</v>
      </c>
      <c r="J78" s="99">
        <v>0.57999999999999996</v>
      </c>
      <c r="K78" s="99">
        <v>0.54</v>
      </c>
      <c r="L78" s="99">
        <v>0.6</v>
      </c>
      <c r="M78" s="16">
        <v>46</v>
      </c>
      <c r="N78" s="16">
        <v>9</v>
      </c>
      <c r="O78" s="66">
        <v>0.14000000000000001</v>
      </c>
      <c r="P78" s="66">
        <v>0.56999999999999995</v>
      </c>
      <c r="Q78" s="66">
        <v>0.28999999999999998</v>
      </c>
      <c r="R78" s="66">
        <v>0</v>
      </c>
      <c r="S78" s="66">
        <v>0.55000000000000004</v>
      </c>
      <c r="T78" s="66">
        <v>0.54</v>
      </c>
      <c r="U78" s="66">
        <v>0.52</v>
      </c>
      <c r="V78" s="16">
        <v>48</v>
      </c>
      <c r="W78" s="16">
        <v>7</v>
      </c>
      <c r="X78" s="99">
        <v>0</v>
      </c>
      <c r="Y78" s="99">
        <v>0.63</v>
      </c>
      <c r="Z78" s="99">
        <v>0.38</v>
      </c>
      <c r="AA78" s="99">
        <v>0</v>
      </c>
      <c r="AB78" s="99">
        <v>0.57999999999999996</v>
      </c>
      <c r="AC78" s="99">
        <v>0.4</v>
      </c>
      <c r="AD78" s="99">
        <v>0.61</v>
      </c>
      <c r="AE78" s="16">
        <v>51</v>
      </c>
      <c r="AF78" s="16">
        <v>15</v>
      </c>
      <c r="AG78" s="99">
        <v>0.18</v>
      </c>
      <c r="AH78" s="99">
        <v>0.27</v>
      </c>
      <c r="AI78" s="99">
        <v>0.36</v>
      </c>
      <c r="AJ78" s="99">
        <v>0.18</v>
      </c>
      <c r="AK78" s="99">
        <v>0.5</v>
      </c>
      <c r="AL78" s="99">
        <v>0.51</v>
      </c>
      <c r="AM78" s="99">
        <v>0.37</v>
      </c>
      <c r="AN78" s="61">
        <v>45</v>
      </c>
      <c r="AO78" s="61">
        <v>10</v>
      </c>
      <c r="AP78" s="66">
        <v>0.18</v>
      </c>
      <c r="AQ78" s="66">
        <v>0.45</v>
      </c>
      <c r="AR78" s="66">
        <v>0.36</v>
      </c>
      <c r="AS78" s="66">
        <v>0</v>
      </c>
      <c r="AT78" s="66">
        <v>0.43</v>
      </c>
      <c r="AU78" s="66">
        <v>0.59</v>
      </c>
      <c r="AV78" s="66">
        <v>0.57999999999999996</v>
      </c>
      <c r="AW78" s="349">
        <v>48</v>
      </c>
      <c r="AX78" s="348" t="s">
        <v>910</v>
      </c>
      <c r="AY78" s="349">
        <v>7</v>
      </c>
      <c r="AZ78" s="348" t="s">
        <v>910</v>
      </c>
      <c r="BA78" s="371">
        <v>7.0000000000000007E-2</v>
      </c>
      <c r="BB78" s="371">
        <v>0.53</v>
      </c>
      <c r="BC78" s="371">
        <v>0.4</v>
      </c>
      <c r="BD78" s="371">
        <v>0</v>
      </c>
      <c r="BE78" s="371">
        <v>0.38</v>
      </c>
      <c r="BF78" s="371">
        <v>0.56999999999999995</v>
      </c>
      <c r="BG78" s="371">
        <v>0.55000000000000004</v>
      </c>
      <c r="BH78" s="469">
        <v>47</v>
      </c>
      <c r="BI78" s="471" t="s">
        <v>910</v>
      </c>
      <c r="BJ78" s="469">
        <v>12</v>
      </c>
      <c r="BK78" s="471" t="s">
        <v>910</v>
      </c>
      <c r="BL78" s="501">
        <v>0.2</v>
      </c>
      <c r="BM78" s="501">
        <v>0.3</v>
      </c>
      <c r="BN78" s="501">
        <v>0.5</v>
      </c>
      <c r="BO78" s="501">
        <v>0</v>
      </c>
      <c r="BP78" s="501">
        <v>0.65</v>
      </c>
      <c r="BQ78" s="501">
        <v>0.65</v>
      </c>
      <c r="BR78" s="501">
        <v>0.41</v>
      </c>
      <c r="BS78" s="630">
        <v>44</v>
      </c>
      <c r="BT78" s="640" t="s">
        <v>912</v>
      </c>
      <c r="BU78" s="630">
        <v>9</v>
      </c>
      <c r="BV78" s="640" t="s">
        <v>910</v>
      </c>
      <c r="BW78" s="644">
        <v>7.0000000000000007E-2</v>
      </c>
      <c r="BX78" s="644">
        <v>0.73</v>
      </c>
      <c r="BY78" s="644">
        <v>0.2</v>
      </c>
      <c r="BZ78" s="644">
        <v>0</v>
      </c>
      <c r="CA78" s="644">
        <v>0.78</v>
      </c>
      <c r="CB78" s="644">
        <v>0.53</v>
      </c>
      <c r="CC78" s="644">
        <v>0.63</v>
      </c>
    </row>
    <row r="79" spans="1:81" ht="24.9" customHeight="1" x14ac:dyDescent="0.25">
      <c r="A79" s="188" t="s">
        <v>232</v>
      </c>
      <c r="B79" s="1" t="s">
        <v>222</v>
      </c>
      <c r="C79" s="2">
        <v>2</v>
      </c>
      <c r="D79" s="13" t="s">
        <v>226</v>
      </c>
      <c r="E79" s="13" t="s">
        <v>226</v>
      </c>
      <c r="F79" s="13"/>
      <c r="G79" s="13"/>
      <c r="H79" s="13"/>
      <c r="I79" s="13"/>
      <c r="J79" s="13"/>
      <c r="K79" s="13"/>
      <c r="L79" s="13"/>
      <c r="M79" s="16">
        <v>56</v>
      </c>
      <c r="N79" s="16">
        <v>9</v>
      </c>
      <c r="O79" s="66">
        <v>0</v>
      </c>
      <c r="P79" s="66">
        <v>0.21</v>
      </c>
      <c r="Q79" s="66">
        <v>0.79</v>
      </c>
      <c r="R79" s="66">
        <v>0</v>
      </c>
      <c r="S79" s="66">
        <v>0.43</v>
      </c>
      <c r="T79" s="66">
        <v>0.49</v>
      </c>
      <c r="U79" s="66">
        <v>0.3</v>
      </c>
      <c r="V79" s="16">
        <v>58</v>
      </c>
      <c r="W79" s="16">
        <v>7</v>
      </c>
      <c r="X79" s="99">
        <v>0</v>
      </c>
      <c r="Y79" s="99">
        <v>0.14000000000000001</v>
      </c>
      <c r="Z79" s="99">
        <v>0.86</v>
      </c>
      <c r="AA79" s="99">
        <v>0</v>
      </c>
      <c r="AB79" s="99">
        <v>0.35</v>
      </c>
      <c r="AC79" s="99">
        <v>0.32</v>
      </c>
      <c r="AD79" s="99">
        <v>0.41</v>
      </c>
      <c r="AE79" s="16">
        <v>59</v>
      </c>
      <c r="AF79" s="16">
        <v>9</v>
      </c>
      <c r="AG79" s="99">
        <v>0</v>
      </c>
      <c r="AH79" s="99">
        <v>0.19</v>
      </c>
      <c r="AI79" s="99">
        <v>0.69</v>
      </c>
      <c r="AJ79" s="99">
        <v>0.13</v>
      </c>
      <c r="AK79" s="99">
        <v>0.47</v>
      </c>
      <c r="AL79" s="99">
        <v>0.36</v>
      </c>
      <c r="AM79" s="99">
        <v>0.15</v>
      </c>
      <c r="AN79" s="61">
        <v>63</v>
      </c>
      <c r="AO79" s="61">
        <v>9</v>
      </c>
      <c r="AP79" s="66">
        <v>0</v>
      </c>
      <c r="AQ79" s="66">
        <v>0.06</v>
      </c>
      <c r="AR79" s="66">
        <v>0.81</v>
      </c>
      <c r="AS79" s="66">
        <v>0.13</v>
      </c>
      <c r="AT79" s="66">
        <v>0.16</v>
      </c>
      <c r="AU79" s="66">
        <v>0.28999999999999998</v>
      </c>
      <c r="AV79" s="66">
        <v>0.42</v>
      </c>
      <c r="AW79" s="349">
        <v>65</v>
      </c>
      <c r="AX79" s="348" t="s">
        <v>911</v>
      </c>
      <c r="AY79" s="349">
        <v>7</v>
      </c>
      <c r="AZ79" s="348" t="s">
        <v>910</v>
      </c>
      <c r="BA79" s="371">
        <v>0</v>
      </c>
      <c r="BB79" s="371">
        <v>0.05</v>
      </c>
      <c r="BC79" s="371">
        <v>0.75</v>
      </c>
      <c r="BD79" s="371">
        <v>0.2</v>
      </c>
      <c r="BE79" s="371">
        <v>0.14000000000000001</v>
      </c>
      <c r="BF79" s="371">
        <v>0.24</v>
      </c>
      <c r="BG79" s="371">
        <v>0.25</v>
      </c>
      <c r="BH79" s="469">
        <v>64</v>
      </c>
      <c r="BI79" s="471" t="s">
        <v>911</v>
      </c>
      <c r="BJ79" s="469">
        <v>10</v>
      </c>
      <c r="BK79" s="471" t="s">
        <v>910</v>
      </c>
      <c r="BL79" s="501">
        <v>0</v>
      </c>
      <c r="BM79" s="501">
        <v>0.04</v>
      </c>
      <c r="BN79" s="501">
        <v>0.81</v>
      </c>
      <c r="BO79" s="501">
        <v>0.15</v>
      </c>
      <c r="BP79" s="501">
        <v>0.31</v>
      </c>
      <c r="BQ79" s="501">
        <v>0.34</v>
      </c>
      <c r="BR79" s="501">
        <v>0.24</v>
      </c>
      <c r="BS79" s="630">
        <v>64</v>
      </c>
      <c r="BT79" s="640" t="s">
        <v>911</v>
      </c>
      <c r="BU79" s="630">
        <v>8</v>
      </c>
      <c r="BV79" s="640" t="s">
        <v>910</v>
      </c>
      <c r="BW79" s="644">
        <v>0</v>
      </c>
      <c r="BX79" s="644">
        <v>0.03</v>
      </c>
      <c r="BY79" s="644">
        <v>0.72</v>
      </c>
      <c r="BZ79" s="644">
        <v>0.24</v>
      </c>
      <c r="CA79" s="644">
        <v>0.42</v>
      </c>
      <c r="CB79" s="644">
        <v>0.23</v>
      </c>
      <c r="CC79" s="644">
        <v>0.31</v>
      </c>
    </row>
    <row r="80" spans="1:81" ht="24.9" customHeight="1" x14ac:dyDescent="0.25">
      <c r="A80" s="188" t="s">
        <v>42</v>
      </c>
      <c r="B80" s="1" t="s">
        <v>222</v>
      </c>
      <c r="C80" s="2">
        <v>6</v>
      </c>
      <c r="D80" s="16">
        <v>57</v>
      </c>
      <c r="E80" s="16">
        <v>9</v>
      </c>
      <c r="F80" s="99">
        <v>0</v>
      </c>
      <c r="G80" s="99">
        <v>0.21</v>
      </c>
      <c r="H80" s="99">
        <v>0.76</v>
      </c>
      <c r="I80" s="99">
        <v>0.03</v>
      </c>
      <c r="J80" s="99">
        <v>0.47</v>
      </c>
      <c r="K80" s="99">
        <v>0.37</v>
      </c>
      <c r="L80" s="99">
        <v>0.46</v>
      </c>
      <c r="M80" s="16">
        <v>52</v>
      </c>
      <c r="N80" s="16">
        <v>11</v>
      </c>
      <c r="O80" s="66">
        <v>0.13</v>
      </c>
      <c r="P80" s="66">
        <v>0.25</v>
      </c>
      <c r="Q80" s="66">
        <v>0.54</v>
      </c>
      <c r="R80" s="66">
        <v>0.08</v>
      </c>
      <c r="S80" s="66">
        <v>0.48</v>
      </c>
      <c r="T80" s="66">
        <v>0.55000000000000004</v>
      </c>
      <c r="U80" s="66">
        <v>0.3</v>
      </c>
      <c r="V80" s="16">
        <v>56</v>
      </c>
      <c r="W80" s="16">
        <v>10</v>
      </c>
      <c r="X80" s="99">
        <v>0</v>
      </c>
      <c r="Y80" s="99">
        <v>0.31</v>
      </c>
      <c r="Z80" s="99">
        <v>0.67</v>
      </c>
      <c r="AA80" s="99">
        <v>0.03</v>
      </c>
      <c r="AB80" s="99">
        <v>0.44</v>
      </c>
      <c r="AC80" s="99">
        <v>0.32</v>
      </c>
      <c r="AD80" s="99">
        <v>0.43</v>
      </c>
      <c r="AE80" s="16">
        <v>57</v>
      </c>
      <c r="AF80" s="16">
        <v>10</v>
      </c>
      <c r="AG80" s="99">
        <v>0</v>
      </c>
      <c r="AH80" s="99">
        <v>0.27</v>
      </c>
      <c r="AI80" s="99">
        <v>0.63</v>
      </c>
      <c r="AJ80" s="99">
        <v>0.1</v>
      </c>
      <c r="AK80" s="99">
        <v>0.43</v>
      </c>
      <c r="AL80" s="99">
        <v>0.38</v>
      </c>
      <c r="AM80" s="99">
        <v>0.23</v>
      </c>
      <c r="AN80" s="61">
        <v>58</v>
      </c>
      <c r="AO80" s="61">
        <v>8</v>
      </c>
      <c r="AP80" s="66">
        <v>0</v>
      </c>
      <c r="AQ80" s="66">
        <v>0.19</v>
      </c>
      <c r="AR80" s="66">
        <v>0.77</v>
      </c>
      <c r="AS80" s="66">
        <v>0.04</v>
      </c>
      <c r="AT80" s="66">
        <v>0.2</v>
      </c>
      <c r="AU80" s="66">
        <v>0.39</v>
      </c>
      <c r="AV80" s="66">
        <v>0.44</v>
      </c>
      <c r="AW80" s="349">
        <v>57</v>
      </c>
      <c r="AX80" s="348" t="s">
        <v>910</v>
      </c>
      <c r="AY80" s="349">
        <v>9</v>
      </c>
      <c r="AZ80" s="348" t="s">
        <v>910</v>
      </c>
      <c r="BA80" s="371">
        <v>0</v>
      </c>
      <c r="BB80" s="371">
        <v>0.25</v>
      </c>
      <c r="BC80" s="371">
        <v>0.68</v>
      </c>
      <c r="BD80" s="371">
        <v>7.0000000000000007E-2</v>
      </c>
      <c r="BE80" s="371">
        <v>0.22</v>
      </c>
      <c r="BF80" s="371">
        <v>0.4</v>
      </c>
      <c r="BG80" s="371">
        <v>0.43</v>
      </c>
      <c r="BH80" s="469">
        <v>62</v>
      </c>
      <c r="BI80" s="471" t="s">
        <v>911</v>
      </c>
      <c r="BJ80" s="469">
        <v>8</v>
      </c>
      <c r="BK80" s="471" t="s">
        <v>910</v>
      </c>
      <c r="BL80" s="501">
        <v>0</v>
      </c>
      <c r="BM80" s="501">
        <v>7.0000000000000007E-2</v>
      </c>
      <c r="BN80" s="501">
        <v>0.76</v>
      </c>
      <c r="BO80" s="501">
        <v>0.17</v>
      </c>
      <c r="BP80" s="501">
        <v>0.28000000000000003</v>
      </c>
      <c r="BQ80" s="501">
        <v>0.41</v>
      </c>
      <c r="BR80" s="501">
        <v>0.25</v>
      </c>
      <c r="BS80" s="630">
        <v>62</v>
      </c>
      <c r="BT80" s="640" t="s">
        <v>911</v>
      </c>
      <c r="BU80" s="630">
        <v>9</v>
      </c>
      <c r="BV80" s="640" t="s">
        <v>910</v>
      </c>
      <c r="BW80" s="644">
        <v>0</v>
      </c>
      <c r="BX80" s="644">
        <v>0.03</v>
      </c>
      <c r="BY80" s="644">
        <v>0.83</v>
      </c>
      <c r="BZ80" s="644">
        <v>0.14000000000000001</v>
      </c>
      <c r="CA80" s="644">
        <v>0.53</v>
      </c>
      <c r="CB80" s="644">
        <v>0.26</v>
      </c>
      <c r="CC80" s="644">
        <v>0.41</v>
      </c>
    </row>
    <row r="81" spans="1:81" s="461" customFormat="1" ht="24.9" customHeight="1" x14ac:dyDescent="0.25">
      <c r="A81" s="470" t="s">
        <v>960</v>
      </c>
      <c r="B81" s="15" t="s">
        <v>222</v>
      </c>
      <c r="C81" s="471">
        <v>3</v>
      </c>
      <c r="D81" s="502"/>
      <c r="E81" s="502"/>
      <c r="F81" s="508"/>
      <c r="G81" s="508"/>
      <c r="H81" s="508"/>
      <c r="I81" s="508"/>
      <c r="J81" s="508"/>
      <c r="K81" s="508"/>
      <c r="L81" s="508"/>
      <c r="M81" s="502"/>
      <c r="N81" s="502"/>
      <c r="O81" s="506"/>
      <c r="P81" s="506"/>
      <c r="Q81" s="506"/>
      <c r="R81" s="506"/>
      <c r="S81" s="506"/>
      <c r="T81" s="506"/>
      <c r="U81" s="506"/>
      <c r="V81" s="502"/>
      <c r="W81" s="502"/>
      <c r="X81" s="508"/>
      <c r="Y81" s="508"/>
      <c r="Z81" s="508"/>
      <c r="AA81" s="508"/>
      <c r="AB81" s="508"/>
      <c r="AC81" s="508"/>
      <c r="AD81" s="508"/>
      <c r="AE81" s="502"/>
      <c r="AF81" s="502"/>
      <c r="AG81" s="508"/>
      <c r="AH81" s="508"/>
      <c r="AI81" s="508"/>
      <c r="AJ81" s="508"/>
      <c r="AK81" s="508"/>
      <c r="AL81" s="508"/>
      <c r="AM81" s="508"/>
      <c r="AN81" s="472"/>
      <c r="AO81" s="472"/>
      <c r="AP81" s="506"/>
      <c r="AQ81" s="506"/>
      <c r="AR81" s="506"/>
      <c r="AS81" s="506"/>
      <c r="AT81" s="506"/>
      <c r="AU81" s="506"/>
      <c r="AV81" s="506"/>
      <c r="AW81" s="475"/>
      <c r="AX81" s="493"/>
      <c r="AY81" s="475"/>
      <c r="AZ81" s="493"/>
      <c r="BA81" s="507"/>
      <c r="BB81" s="507"/>
      <c r="BC81" s="507"/>
      <c r="BD81" s="507"/>
      <c r="BE81" s="507"/>
      <c r="BF81" s="507"/>
      <c r="BG81" s="507"/>
      <c r="BH81" s="469">
        <v>57</v>
      </c>
      <c r="BI81" s="471" t="s">
        <v>910</v>
      </c>
      <c r="BJ81" s="469">
        <v>11</v>
      </c>
      <c r="BK81" s="471" t="s">
        <v>910</v>
      </c>
      <c r="BL81" s="501">
        <v>0</v>
      </c>
      <c r="BM81" s="501">
        <v>0.28999999999999998</v>
      </c>
      <c r="BN81" s="501">
        <v>0.5</v>
      </c>
      <c r="BO81" s="501">
        <v>0.21</v>
      </c>
      <c r="BP81" s="501">
        <v>0.39</v>
      </c>
      <c r="BQ81" s="501">
        <v>0.41</v>
      </c>
      <c r="BR81" s="501">
        <v>0.18</v>
      </c>
      <c r="BS81" s="630">
        <v>50</v>
      </c>
      <c r="BT81" s="640" t="s">
        <v>910</v>
      </c>
      <c r="BU81" s="630">
        <v>11</v>
      </c>
      <c r="BV81" s="640" t="s">
        <v>910</v>
      </c>
      <c r="BW81" s="644">
        <v>0.1</v>
      </c>
      <c r="BX81" s="644">
        <v>0.4</v>
      </c>
      <c r="BY81" s="644">
        <v>0.45</v>
      </c>
      <c r="BZ81" s="644">
        <v>0.05</v>
      </c>
      <c r="CA81" s="644">
        <v>0.65</v>
      </c>
      <c r="CB81" s="644">
        <v>0.28999999999999998</v>
      </c>
      <c r="CC81" s="644">
        <v>0.57999999999999996</v>
      </c>
    </row>
    <row r="82" spans="1:81" ht="24.9" customHeight="1" x14ac:dyDescent="0.25">
      <c r="A82" s="188" t="s">
        <v>108</v>
      </c>
      <c r="B82" s="1" t="s">
        <v>222</v>
      </c>
      <c r="C82" s="2">
        <v>6</v>
      </c>
      <c r="D82" s="16">
        <v>54</v>
      </c>
      <c r="E82" s="16">
        <v>6</v>
      </c>
      <c r="F82" s="99">
        <v>0</v>
      </c>
      <c r="G82" s="99">
        <v>0.4</v>
      </c>
      <c r="H82" s="99">
        <v>0.6</v>
      </c>
      <c r="I82" s="99">
        <v>0</v>
      </c>
      <c r="J82" s="99">
        <v>0.52</v>
      </c>
      <c r="K82" s="99">
        <v>0.44</v>
      </c>
      <c r="L82" s="99">
        <v>0.5</v>
      </c>
      <c r="M82" s="16">
        <v>49</v>
      </c>
      <c r="N82" s="16">
        <v>8</v>
      </c>
      <c r="O82" s="66">
        <v>0</v>
      </c>
      <c r="P82" s="66">
        <v>0.59</v>
      </c>
      <c r="Q82" s="66">
        <v>0.41</v>
      </c>
      <c r="R82" s="66">
        <v>0</v>
      </c>
      <c r="S82" s="66">
        <v>0.51</v>
      </c>
      <c r="T82" s="66">
        <v>0.6</v>
      </c>
      <c r="U82" s="66">
        <v>0.38</v>
      </c>
      <c r="V82" s="16">
        <v>51</v>
      </c>
      <c r="W82" s="16">
        <v>6</v>
      </c>
      <c r="X82" s="99">
        <v>0</v>
      </c>
      <c r="Y82" s="99">
        <v>0.45</v>
      </c>
      <c r="Z82" s="99">
        <v>0.55000000000000004</v>
      </c>
      <c r="AA82" s="99">
        <v>0</v>
      </c>
      <c r="AB82" s="99">
        <v>0.48</v>
      </c>
      <c r="AC82" s="99">
        <v>0.43</v>
      </c>
      <c r="AD82" s="99">
        <v>0.5</v>
      </c>
      <c r="AE82" s="16">
        <v>56</v>
      </c>
      <c r="AF82" s="16">
        <v>8</v>
      </c>
      <c r="AG82" s="99">
        <v>0</v>
      </c>
      <c r="AH82" s="99">
        <v>0.31</v>
      </c>
      <c r="AI82" s="99">
        <v>0.69</v>
      </c>
      <c r="AJ82" s="99">
        <v>0</v>
      </c>
      <c r="AK82" s="99">
        <v>0.47</v>
      </c>
      <c r="AL82" s="99">
        <v>0.41</v>
      </c>
      <c r="AM82" s="99">
        <v>0.24</v>
      </c>
      <c r="AN82" s="61">
        <v>53</v>
      </c>
      <c r="AO82" s="61">
        <v>11</v>
      </c>
      <c r="AP82" s="66">
        <v>0</v>
      </c>
      <c r="AQ82" s="66">
        <v>0.47</v>
      </c>
      <c r="AR82" s="66">
        <v>0.53</v>
      </c>
      <c r="AS82" s="66">
        <v>0</v>
      </c>
      <c r="AT82" s="66">
        <v>0.33</v>
      </c>
      <c r="AU82" s="66">
        <v>0.48</v>
      </c>
      <c r="AV82" s="66">
        <v>0.44</v>
      </c>
      <c r="AW82" s="349">
        <v>54</v>
      </c>
      <c r="AX82" s="348" t="s">
        <v>910</v>
      </c>
      <c r="AY82" s="349">
        <v>9</v>
      </c>
      <c r="AZ82" s="348" t="s">
        <v>910</v>
      </c>
      <c r="BA82" s="371">
        <v>0</v>
      </c>
      <c r="BB82" s="371">
        <v>0.23</v>
      </c>
      <c r="BC82" s="371">
        <v>0.69</v>
      </c>
      <c r="BD82" s="371">
        <v>0.08</v>
      </c>
      <c r="BE82" s="371">
        <v>0.24</v>
      </c>
      <c r="BF82" s="371">
        <v>0.45</v>
      </c>
      <c r="BG82" s="371">
        <v>0.51</v>
      </c>
      <c r="BH82" s="469">
        <v>51</v>
      </c>
      <c r="BI82" s="471" t="s">
        <v>910</v>
      </c>
      <c r="BJ82" s="469">
        <v>10</v>
      </c>
      <c r="BK82" s="471" t="s">
        <v>910</v>
      </c>
      <c r="BL82" s="501">
        <v>0</v>
      </c>
      <c r="BM82" s="501">
        <v>0.7</v>
      </c>
      <c r="BN82" s="501">
        <v>0.2</v>
      </c>
      <c r="BO82" s="501">
        <v>0.1</v>
      </c>
      <c r="BP82" s="501">
        <v>0.53</v>
      </c>
      <c r="BQ82" s="501">
        <v>0.56999999999999995</v>
      </c>
      <c r="BR82" s="501">
        <v>0.43</v>
      </c>
      <c r="BS82" s="630">
        <v>59</v>
      </c>
      <c r="BT82" s="640" t="s">
        <v>910</v>
      </c>
      <c r="BU82" s="630">
        <v>7</v>
      </c>
      <c r="BV82" s="640" t="s">
        <v>910</v>
      </c>
      <c r="BW82" s="644">
        <v>0</v>
      </c>
      <c r="BX82" s="644">
        <v>0.22</v>
      </c>
      <c r="BY82" s="644">
        <v>0.78</v>
      </c>
      <c r="BZ82" s="644">
        <v>0</v>
      </c>
      <c r="CA82" s="644">
        <v>0.57999999999999996</v>
      </c>
      <c r="CB82" s="644">
        <v>0.25</v>
      </c>
      <c r="CC82" s="644">
        <v>0.53</v>
      </c>
    </row>
    <row r="83" spans="1:81" ht="24.9" customHeight="1" x14ac:dyDescent="0.25">
      <c r="A83" s="188" t="s">
        <v>38</v>
      </c>
      <c r="B83" s="1" t="s">
        <v>222</v>
      </c>
      <c r="C83" s="2">
        <v>6</v>
      </c>
      <c r="D83" s="16">
        <v>56</v>
      </c>
      <c r="E83" s="16">
        <v>10</v>
      </c>
      <c r="F83" s="99">
        <v>0.03</v>
      </c>
      <c r="G83" s="99">
        <v>0.24</v>
      </c>
      <c r="H83" s="99">
        <v>0.7</v>
      </c>
      <c r="I83" s="99">
        <v>0.03</v>
      </c>
      <c r="J83" s="99">
        <v>0.46</v>
      </c>
      <c r="K83" s="99">
        <v>0.42</v>
      </c>
      <c r="L83" s="99">
        <v>0.47</v>
      </c>
      <c r="M83" s="16">
        <v>48</v>
      </c>
      <c r="N83" s="16">
        <v>10</v>
      </c>
      <c r="O83" s="66">
        <v>0.06</v>
      </c>
      <c r="P83" s="66">
        <v>0.55000000000000004</v>
      </c>
      <c r="Q83" s="66">
        <v>0.39</v>
      </c>
      <c r="R83" s="66">
        <v>0</v>
      </c>
      <c r="S83" s="66">
        <v>0.5</v>
      </c>
      <c r="T83" s="66">
        <v>0.61</v>
      </c>
      <c r="U83" s="66">
        <v>0.42</v>
      </c>
      <c r="V83" s="16">
        <v>53</v>
      </c>
      <c r="W83" s="16">
        <v>9</v>
      </c>
      <c r="X83" s="99">
        <v>0.04</v>
      </c>
      <c r="Y83" s="99">
        <v>0.38</v>
      </c>
      <c r="Z83" s="99">
        <v>0.53</v>
      </c>
      <c r="AA83" s="99">
        <v>0.04</v>
      </c>
      <c r="AB83" s="99">
        <v>0.45</v>
      </c>
      <c r="AC83" s="99">
        <v>0.36</v>
      </c>
      <c r="AD83" s="99">
        <v>0.49</v>
      </c>
      <c r="AE83" s="16">
        <v>56</v>
      </c>
      <c r="AF83" s="16">
        <v>11</v>
      </c>
      <c r="AG83" s="99">
        <v>0.11</v>
      </c>
      <c r="AH83" s="99">
        <v>0.21</v>
      </c>
      <c r="AI83" s="99">
        <v>0.63</v>
      </c>
      <c r="AJ83" s="99">
        <v>0.05</v>
      </c>
      <c r="AK83" s="99">
        <v>0.47</v>
      </c>
      <c r="AL83" s="99">
        <v>0.38</v>
      </c>
      <c r="AM83" s="99">
        <v>0.26</v>
      </c>
      <c r="AN83" s="61">
        <v>52</v>
      </c>
      <c r="AO83" s="61">
        <v>8</v>
      </c>
      <c r="AP83" s="66">
        <v>0.03</v>
      </c>
      <c r="AQ83" s="66">
        <v>0.39</v>
      </c>
      <c r="AR83" s="66">
        <v>0.59</v>
      </c>
      <c r="AS83" s="66">
        <v>0</v>
      </c>
      <c r="AT83" s="66">
        <v>0.3</v>
      </c>
      <c r="AU83" s="66">
        <v>0.53</v>
      </c>
      <c r="AV83" s="66">
        <v>0.52</v>
      </c>
      <c r="AW83" s="349">
        <v>50</v>
      </c>
      <c r="AX83" s="348" t="s">
        <v>910</v>
      </c>
      <c r="AY83" s="349">
        <v>9</v>
      </c>
      <c r="AZ83" s="348" t="s">
        <v>910</v>
      </c>
      <c r="BA83" s="371">
        <v>0.09</v>
      </c>
      <c r="BB83" s="371">
        <v>0.39</v>
      </c>
      <c r="BC83" s="371">
        <v>0.51</v>
      </c>
      <c r="BD83" s="371">
        <v>0.01</v>
      </c>
      <c r="BE83" s="371">
        <v>0.28999999999999998</v>
      </c>
      <c r="BF83" s="371">
        <v>0.54</v>
      </c>
      <c r="BG83" s="371">
        <v>0.5</v>
      </c>
      <c r="BH83" s="469">
        <v>52</v>
      </c>
      <c r="BI83" s="471" t="s">
        <v>910</v>
      </c>
      <c r="BJ83" s="469">
        <v>8</v>
      </c>
      <c r="BK83" s="471" t="s">
        <v>910</v>
      </c>
      <c r="BL83" s="501">
        <v>0.03</v>
      </c>
      <c r="BM83" s="501">
        <v>0.37</v>
      </c>
      <c r="BN83" s="501">
        <v>0.6</v>
      </c>
      <c r="BO83" s="501">
        <v>0</v>
      </c>
      <c r="BP83" s="501">
        <v>0.54</v>
      </c>
      <c r="BQ83" s="501">
        <v>0.6</v>
      </c>
      <c r="BR83" s="501">
        <v>0.38</v>
      </c>
      <c r="BS83" s="630">
        <v>51</v>
      </c>
      <c r="BT83" s="640" t="s">
        <v>910</v>
      </c>
      <c r="BU83" s="630">
        <v>11</v>
      </c>
      <c r="BV83" s="640" t="s">
        <v>910</v>
      </c>
      <c r="BW83" s="644">
        <v>7.0000000000000007E-2</v>
      </c>
      <c r="BX83" s="644">
        <v>0.36</v>
      </c>
      <c r="BY83" s="644">
        <v>0.55000000000000004</v>
      </c>
      <c r="BZ83" s="644">
        <v>0.02</v>
      </c>
      <c r="CA83" s="644">
        <v>0.63</v>
      </c>
      <c r="CB83" s="644">
        <v>0.37</v>
      </c>
      <c r="CC83" s="644">
        <v>0.57999999999999996</v>
      </c>
    </row>
    <row r="84" spans="1:81" ht="24.9" customHeight="1" x14ac:dyDescent="0.25">
      <c r="A84" s="188" t="s">
        <v>184</v>
      </c>
      <c r="B84" s="1" t="s">
        <v>222</v>
      </c>
      <c r="C84" s="2">
        <v>3</v>
      </c>
      <c r="D84" s="16">
        <v>51</v>
      </c>
      <c r="E84" s="16">
        <v>11</v>
      </c>
      <c r="F84" s="99">
        <v>0.13</v>
      </c>
      <c r="G84" s="99">
        <v>0.3</v>
      </c>
      <c r="H84" s="99">
        <v>0.56999999999999995</v>
      </c>
      <c r="I84" s="99">
        <v>0</v>
      </c>
      <c r="J84" s="99">
        <v>0.52</v>
      </c>
      <c r="K84" s="99">
        <v>0.48</v>
      </c>
      <c r="L84" s="99">
        <v>0.53</v>
      </c>
      <c r="M84" s="16">
        <v>51</v>
      </c>
      <c r="N84" s="16">
        <v>10</v>
      </c>
      <c r="O84" s="66">
        <v>0</v>
      </c>
      <c r="P84" s="66">
        <v>0.5</v>
      </c>
      <c r="Q84" s="66">
        <v>0.46</v>
      </c>
      <c r="R84" s="66">
        <v>0.04</v>
      </c>
      <c r="S84" s="66">
        <v>0.5</v>
      </c>
      <c r="T84" s="66">
        <v>0.56000000000000005</v>
      </c>
      <c r="U84" s="66">
        <v>0.34</v>
      </c>
      <c r="V84" s="16">
        <v>50</v>
      </c>
      <c r="W84" s="16">
        <v>10</v>
      </c>
      <c r="X84" s="99">
        <v>0.06</v>
      </c>
      <c r="Y84" s="99">
        <v>0.44</v>
      </c>
      <c r="Z84" s="99">
        <v>0.44</v>
      </c>
      <c r="AA84" s="99">
        <v>0.06</v>
      </c>
      <c r="AB84" s="99">
        <v>0.52</v>
      </c>
      <c r="AC84" s="99">
        <v>0.38</v>
      </c>
      <c r="AD84" s="99">
        <v>0.61</v>
      </c>
      <c r="AE84" s="16">
        <v>48</v>
      </c>
      <c r="AF84" s="16">
        <v>9</v>
      </c>
      <c r="AG84" s="99">
        <v>0.06</v>
      </c>
      <c r="AH84" s="99">
        <v>0.61</v>
      </c>
      <c r="AI84" s="99">
        <v>0.33</v>
      </c>
      <c r="AJ84" s="99">
        <v>0</v>
      </c>
      <c r="AK84" s="99">
        <v>0.57999999999999996</v>
      </c>
      <c r="AL84" s="99">
        <v>0.6</v>
      </c>
      <c r="AM84" s="99">
        <v>0.32</v>
      </c>
      <c r="AN84" s="61">
        <v>56</v>
      </c>
      <c r="AO84" s="61">
        <v>10</v>
      </c>
      <c r="AP84" s="66">
        <v>0</v>
      </c>
      <c r="AQ84" s="66">
        <v>0.4</v>
      </c>
      <c r="AR84" s="66">
        <v>0.5</v>
      </c>
      <c r="AS84" s="66">
        <v>0.1</v>
      </c>
      <c r="AT84" s="66">
        <v>0.22</v>
      </c>
      <c r="AU84" s="66">
        <v>0.47</v>
      </c>
      <c r="AV84" s="66">
        <v>0.44</v>
      </c>
      <c r="AW84" s="349">
        <v>49</v>
      </c>
      <c r="AX84" s="348" t="s">
        <v>910</v>
      </c>
      <c r="AY84" s="349">
        <v>10</v>
      </c>
      <c r="AZ84" s="348" t="s">
        <v>910</v>
      </c>
      <c r="BA84" s="371">
        <v>0.13</v>
      </c>
      <c r="BB84" s="371">
        <v>0.38</v>
      </c>
      <c r="BC84" s="371">
        <v>0.5</v>
      </c>
      <c r="BD84" s="371">
        <v>0</v>
      </c>
      <c r="BE84" s="371">
        <v>0.34</v>
      </c>
      <c r="BF84" s="371">
        <v>0.55000000000000004</v>
      </c>
      <c r="BG84" s="371">
        <v>0.5</v>
      </c>
      <c r="BH84" s="469">
        <v>48</v>
      </c>
      <c r="BI84" s="471" t="s">
        <v>910</v>
      </c>
      <c r="BJ84" s="469">
        <v>12</v>
      </c>
      <c r="BK84" s="471" t="s">
        <v>910</v>
      </c>
      <c r="BL84" s="501">
        <v>0.19</v>
      </c>
      <c r="BM84" s="501">
        <v>0.19</v>
      </c>
      <c r="BN84" s="501">
        <v>0.56000000000000005</v>
      </c>
      <c r="BO84" s="501">
        <v>0.06</v>
      </c>
      <c r="BP84" s="501">
        <v>0.56000000000000005</v>
      </c>
      <c r="BQ84" s="501">
        <v>0.61</v>
      </c>
      <c r="BR84" s="501">
        <v>0.31</v>
      </c>
      <c r="BS84" s="630">
        <v>48</v>
      </c>
      <c r="BT84" s="640" t="s">
        <v>910</v>
      </c>
      <c r="BU84" s="630">
        <v>10</v>
      </c>
      <c r="BV84" s="640" t="s">
        <v>910</v>
      </c>
      <c r="BW84" s="644">
        <v>0.15</v>
      </c>
      <c r="BX84" s="644">
        <v>0.38</v>
      </c>
      <c r="BY84" s="644">
        <v>0.46</v>
      </c>
      <c r="BZ84" s="644">
        <v>0</v>
      </c>
      <c r="CA84" s="644">
        <v>0.73</v>
      </c>
      <c r="CB84" s="644">
        <v>0.42</v>
      </c>
      <c r="CC84" s="644">
        <v>0.64</v>
      </c>
    </row>
    <row r="85" spans="1:81" ht="24.9" customHeight="1" x14ac:dyDescent="0.25">
      <c r="A85" s="188" t="s">
        <v>110</v>
      </c>
      <c r="B85" s="1" t="s">
        <v>222</v>
      </c>
      <c r="C85" s="2">
        <v>2</v>
      </c>
      <c r="D85" s="16">
        <v>58</v>
      </c>
      <c r="E85" s="16">
        <v>8</v>
      </c>
      <c r="F85" s="99">
        <v>0</v>
      </c>
      <c r="G85" s="99">
        <v>0.12</v>
      </c>
      <c r="H85" s="99">
        <v>0.81</v>
      </c>
      <c r="I85" s="99">
        <v>7.0000000000000007E-2</v>
      </c>
      <c r="J85" s="99">
        <v>0.44</v>
      </c>
      <c r="K85" s="99">
        <v>0.39</v>
      </c>
      <c r="L85" s="99">
        <v>0.45</v>
      </c>
      <c r="M85" s="16">
        <v>57</v>
      </c>
      <c r="N85" s="16">
        <v>8</v>
      </c>
      <c r="O85" s="66">
        <v>0</v>
      </c>
      <c r="P85" s="66">
        <v>0.19</v>
      </c>
      <c r="Q85" s="66">
        <v>0.74</v>
      </c>
      <c r="R85" s="66">
        <v>0.06</v>
      </c>
      <c r="S85" s="66">
        <v>0.41</v>
      </c>
      <c r="T85" s="66">
        <v>0.48</v>
      </c>
      <c r="U85" s="66">
        <v>0.25</v>
      </c>
      <c r="V85" s="16">
        <v>58</v>
      </c>
      <c r="W85" s="16">
        <v>7</v>
      </c>
      <c r="X85" s="99">
        <v>0</v>
      </c>
      <c r="Y85" s="99">
        <v>0.12</v>
      </c>
      <c r="Z85" s="99">
        <v>0.84</v>
      </c>
      <c r="AA85" s="99">
        <v>0.04</v>
      </c>
      <c r="AB85" s="99">
        <v>0.39</v>
      </c>
      <c r="AC85" s="99">
        <v>0.3</v>
      </c>
      <c r="AD85" s="99">
        <v>0.39</v>
      </c>
      <c r="AE85" s="16">
        <v>61</v>
      </c>
      <c r="AF85" s="16">
        <v>8</v>
      </c>
      <c r="AG85" s="99">
        <v>0</v>
      </c>
      <c r="AH85" s="99">
        <v>0.08</v>
      </c>
      <c r="AI85" s="99">
        <v>0.83</v>
      </c>
      <c r="AJ85" s="99">
        <v>0.1</v>
      </c>
      <c r="AK85" s="99">
        <v>0.37</v>
      </c>
      <c r="AL85" s="99">
        <v>0.32</v>
      </c>
      <c r="AM85" s="99">
        <v>0.18</v>
      </c>
      <c r="AN85" s="61">
        <v>62</v>
      </c>
      <c r="AO85" s="61">
        <v>6</v>
      </c>
      <c r="AP85" s="66">
        <v>0</v>
      </c>
      <c r="AQ85" s="66">
        <v>0.02</v>
      </c>
      <c r="AR85" s="66">
        <v>0.88</v>
      </c>
      <c r="AS85" s="66">
        <v>0.1</v>
      </c>
      <c r="AT85" s="66">
        <v>0.12</v>
      </c>
      <c r="AU85" s="66">
        <v>0.35</v>
      </c>
      <c r="AV85" s="66">
        <v>0.32</v>
      </c>
      <c r="AW85" s="349">
        <v>58</v>
      </c>
      <c r="AX85" s="348" t="s">
        <v>910</v>
      </c>
      <c r="AY85" s="349">
        <v>8</v>
      </c>
      <c r="AZ85" s="348" t="s">
        <v>910</v>
      </c>
      <c r="BA85" s="371">
        <v>0</v>
      </c>
      <c r="BB85" s="371">
        <v>0.24</v>
      </c>
      <c r="BC85" s="371">
        <v>0.68</v>
      </c>
      <c r="BD85" s="371">
        <v>0.08</v>
      </c>
      <c r="BE85" s="371">
        <v>0.22</v>
      </c>
      <c r="BF85" s="371">
        <v>0.41</v>
      </c>
      <c r="BG85" s="371">
        <v>0.34</v>
      </c>
      <c r="BH85" s="469">
        <v>63</v>
      </c>
      <c r="BI85" s="471" t="s">
        <v>911</v>
      </c>
      <c r="BJ85" s="469">
        <v>7</v>
      </c>
      <c r="BK85" s="471" t="s">
        <v>910</v>
      </c>
      <c r="BL85" s="501">
        <v>0</v>
      </c>
      <c r="BM85" s="501">
        <v>0.09</v>
      </c>
      <c r="BN85" s="501">
        <v>0.78</v>
      </c>
      <c r="BO85" s="501">
        <v>0.13</v>
      </c>
      <c r="BP85" s="501">
        <v>0.32</v>
      </c>
      <c r="BQ85" s="501">
        <v>0.34</v>
      </c>
      <c r="BR85" s="501">
        <v>0.2</v>
      </c>
      <c r="BS85" s="630">
        <v>66</v>
      </c>
      <c r="BT85" s="640" t="s">
        <v>911</v>
      </c>
      <c r="BU85" s="630">
        <v>8</v>
      </c>
      <c r="BV85" s="640" t="s">
        <v>910</v>
      </c>
      <c r="BW85" s="644">
        <v>0</v>
      </c>
      <c r="BX85" s="644">
        <v>0.12</v>
      </c>
      <c r="BY85" s="644">
        <v>0.59</v>
      </c>
      <c r="BZ85" s="644">
        <v>0.28999999999999998</v>
      </c>
      <c r="CA85" s="644">
        <v>0.49</v>
      </c>
      <c r="CB85" s="644">
        <v>0.18</v>
      </c>
      <c r="CC85" s="644">
        <v>0.26</v>
      </c>
    </row>
    <row r="86" spans="1:81" s="461" customFormat="1" ht="24.9" customHeight="1" x14ac:dyDescent="0.25">
      <c r="A86" s="470" t="s">
        <v>962</v>
      </c>
      <c r="B86" s="15" t="s">
        <v>222</v>
      </c>
      <c r="C86" s="471">
        <v>6</v>
      </c>
      <c r="D86" s="502"/>
      <c r="E86" s="502"/>
      <c r="F86" s="508"/>
      <c r="G86" s="508"/>
      <c r="H86" s="508"/>
      <c r="I86" s="508"/>
      <c r="J86" s="508"/>
      <c r="K86" s="508"/>
      <c r="L86" s="508"/>
      <c r="M86" s="502"/>
      <c r="N86" s="502"/>
      <c r="O86" s="506"/>
      <c r="P86" s="506"/>
      <c r="Q86" s="506"/>
      <c r="R86" s="506"/>
      <c r="S86" s="506"/>
      <c r="T86" s="506"/>
      <c r="U86" s="506"/>
      <c r="V86" s="502"/>
      <c r="W86" s="502"/>
      <c r="X86" s="508"/>
      <c r="Y86" s="508"/>
      <c r="Z86" s="508"/>
      <c r="AA86" s="508"/>
      <c r="AB86" s="508"/>
      <c r="AC86" s="508"/>
      <c r="AD86" s="508"/>
      <c r="AE86" s="502"/>
      <c r="AF86" s="502"/>
      <c r="AG86" s="508"/>
      <c r="AH86" s="508"/>
      <c r="AI86" s="508"/>
      <c r="AJ86" s="508"/>
      <c r="AK86" s="508"/>
      <c r="AL86" s="508"/>
      <c r="AM86" s="508"/>
      <c r="AN86" s="472"/>
      <c r="AO86" s="472"/>
      <c r="AP86" s="506"/>
      <c r="AQ86" s="506"/>
      <c r="AR86" s="506"/>
      <c r="AS86" s="506"/>
      <c r="AT86" s="506"/>
      <c r="AU86" s="506"/>
      <c r="AV86" s="506"/>
      <c r="AW86" s="475"/>
      <c r="AX86" s="493"/>
      <c r="AY86" s="475"/>
      <c r="AZ86" s="493"/>
      <c r="BA86" s="507"/>
      <c r="BB86" s="507"/>
      <c r="BC86" s="507"/>
      <c r="BD86" s="507"/>
      <c r="BE86" s="507"/>
      <c r="BF86" s="507"/>
      <c r="BG86" s="507"/>
      <c r="BH86" s="469">
        <v>43</v>
      </c>
      <c r="BI86" s="471" t="s">
        <v>912</v>
      </c>
      <c r="BJ86" s="469">
        <v>11</v>
      </c>
      <c r="BK86" s="471" t="s">
        <v>910</v>
      </c>
      <c r="BL86" s="501">
        <v>0.24</v>
      </c>
      <c r="BM86" s="501">
        <v>0.47</v>
      </c>
      <c r="BN86" s="501">
        <v>0.28999999999999998</v>
      </c>
      <c r="BO86" s="501">
        <v>0</v>
      </c>
      <c r="BP86" s="501">
        <v>0.64</v>
      </c>
      <c r="BQ86" s="501">
        <v>0.74</v>
      </c>
      <c r="BR86" s="501">
        <v>0.5</v>
      </c>
      <c r="BS86" s="630">
        <v>52</v>
      </c>
      <c r="BT86" s="640" t="s">
        <v>910</v>
      </c>
      <c r="BU86" s="630">
        <v>0</v>
      </c>
      <c r="BV86" s="640" t="s">
        <v>912</v>
      </c>
      <c r="BW86" s="644">
        <v>0</v>
      </c>
      <c r="BX86" s="644">
        <v>0</v>
      </c>
      <c r="BY86" s="644">
        <v>1</v>
      </c>
      <c r="BZ86" s="644">
        <v>0</v>
      </c>
      <c r="CA86" s="644">
        <v>0.4</v>
      </c>
      <c r="CB86" s="644">
        <v>0.25</v>
      </c>
      <c r="CC86" s="644">
        <v>0.75</v>
      </c>
    </row>
    <row r="87" spans="1:81" s="53" customFormat="1" ht="24.9" customHeight="1" x14ac:dyDescent="0.25">
      <c r="A87" s="189" t="s">
        <v>268</v>
      </c>
      <c r="B87" s="1" t="s">
        <v>222</v>
      </c>
      <c r="C87" s="2">
        <v>3</v>
      </c>
      <c r="D87" s="13" t="s">
        <v>226</v>
      </c>
      <c r="E87" s="13" t="s">
        <v>226</v>
      </c>
      <c r="F87" s="13"/>
      <c r="G87" s="13"/>
      <c r="H87" s="13"/>
      <c r="I87" s="13"/>
      <c r="J87" s="13"/>
      <c r="K87" s="13"/>
      <c r="L87" s="13"/>
      <c r="M87" s="13" t="s">
        <v>226</v>
      </c>
      <c r="N87" s="13" t="s">
        <v>226</v>
      </c>
      <c r="O87" s="66"/>
      <c r="P87" s="66"/>
      <c r="Q87" s="66"/>
      <c r="R87" s="66"/>
      <c r="S87" s="66"/>
      <c r="T87" s="66"/>
      <c r="U87" s="66"/>
      <c r="V87" s="13" t="s">
        <v>226</v>
      </c>
      <c r="W87" s="13" t="s">
        <v>226</v>
      </c>
      <c r="X87" s="13"/>
      <c r="Y87" s="13"/>
      <c r="Z87" s="13"/>
      <c r="AA87" s="13"/>
      <c r="AB87" s="13"/>
      <c r="AC87" s="13"/>
      <c r="AD87" s="13"/>
      <c r="AE87" s="13" t="s">
        <v>226</v>
      </c>
      <c r="AF87" s="13" t="s">
        <v>226</v>
      </c>
      <c r="AG87" s="13"/>
      <c r="AH87" s="13"/>
      <c r="AI87" s="13"/>
      <c r="AJ87" s="13"/>
      <c r="AK87" s="13"/>
      <c r="AL87" s="13"/>
      <c r="AM87" s="13"/>
      <c r="AN87" s="61">
        <v>61</v>
      </c>
      <c r="AO87" s="61">
        <v>3</v>
      </c>
      <c r="AP87" s="66">
        <v>0</v>
      </c>
      <c r="AQ87" s="66">
        <v>0</v>
      </c>
      <c r="AR87" s="66">
        <v>1</v>
      </c>
      <c r="AS87" s="66">
        <v>0</v>
      </c>
      <c r="AT87" s="66">
        <v>0.19</v>
      </c>
      <c r="AU87" s="66">
        <v>0.33</v>
      </c>
      <c r="AV87" s="66">
        <v>0.35</v>
      </c>
      <c r="AW87" s="349">
        <v>61</v>
      </c>
      <c r="AX87" s="348" t="s">
        <v>911</v>
      </c>
      <c r="AY87" s="349">
        <v>5</v>
      </c>
      <c r="AZ87" s="348" t="s">
        <v>912</v>
      </c>
      <c r="BA87" s="371">
        <v>0</v>
      </c>
      <c r="BB87" s="371">
        <v>0</v>
      </c>
      <c r="BC87" s="371">
        <v>1</v>
      </c>
      <c r="BD87" s="371">
        <v>0</v>
      </c>
      <c r="BE87" s="371">
        <v>0.17</v>
      </c>
      <c r="BF87" s="371">
        <v>0.35</v>
      </c>
      <c r="BG87" s="371">
        <v>0.32</v>
      </c>
      <c r="BH87" s="469">
        <v>57</v>
      </c>
      <c r="BI87" s="471" t="s">
        <v>910</v>
      </c>
      <c r="BJ87" s="469">
        <v>10</v>
      </c>
      <c r="BK87" s="471" t="s">
        <v>910</v>
      </c>
      <c r="BL87" s="501">
        <v>0.06</v>
      </c>
      <c r="BM87" s="501">
        <v>0.11</v>
      </c>
      <c r="BN87" s="501">
        <v>0.78</v>
      </c>
      <c r="BO87" s="501">
        <v>0.06</v>
      </c>
      <c r="BP87" s="501">
        <v>0.45</v>
      </c>
      <c r="BQ87" s="501">
        <v>0.46</v>
      </c>
      <c r="BR87" s="501">
        <v>0.28999999999999998</v>
      </c>
      <c r="BS87" s="630">
        <v>60</v>
      </c>
      <c r="BT87" s="640" t="s">
        <v>910</v>
      </c>
      <c r="BU87" s="630">
        <v>12</v>
      </c>
      <c r="BV87" s="640" t="s">
        <v>910</v>
      </c>
      <c r="BW87" s="644">
        <v>0.1</v>
      </c>
      <c r="BX87" s="644">
        <v>0</v>
      </c>
      <c r="BY87" s="644">
        <v>0.8</v>
      </c>
      <c r="BZ87" s="644">
        <v>0.1</v>
      </c>
      <c r="CA87" s="644">
        <v>0.44</v>
      </c>
      <c r="CB87" s="644">
        <v>0.23</v>
      </c>
      <c r="CC87" s="644">
        <v>0.45</v>
      </c>
    </row>
    <row r="88" spans="1:81" ht="24.9" customHeight="1" x14ac:dyDescent="0.25">
      <c r="A88" s="188" t="s">
        <v>234</v>
      </c>
      <c r="B88" s="1" t="s">
        <v>222</v>
      </c>
      <c r="C88" s="2">
        <v>5</v>
      </c>
      <c r="D88" s="13" t="s">
        <v>226</v>
      </c>
      <c r="E88" s="13" t="s">
        <v>226</v>
      </c>
      <c r="F88" s="13"/>
      <c r="G88" s="13"/>
      <c r="H88" s="13"/>
      <c r="I88" s="13"/>
      <c r="J88" s="13"/>
      <c r="K88" s="13"/>
      <c r="L88" s="13"/>
      <c r="M88" s="13" t="s">
        <v>226</v>
      </c>
      <c r="N88" s="13" t="s">
        <v>226</v>
      </c>
      <c r="O88" s="66"/>
      <c r="P88" s="66"/>
      <c r="Q88" s="66"/>
      <c r="R88" s="66"/>
      <c r="S88" s="66"/>
      <c r="T88" s="66"/>
      <c r="U88" s="66"/>
      <c r="V88" s="13" t="s">
        <v>226</v>
      </c>
      <c r="W88" s="13" t="s">
        <v>226</v>
      </c>
      <c r="X88" s="13"/>
      <c r="Y88" s="13"/>
      <c r="Z88" s="13"/>
      <c r="AA88" s="13"/>
      <c r="AB88" s="13"/>
      <c r="AC88" s="13"/>
      <c r="AD88" s="13"/>
      <c r="AE88" s="16">
        <v>48</v>
      </c>
      <c r="AF88" s="16">
        <v>8</v>
      </c>
      <c r="AG88" s="99">
        <v>0.08</v>
      </c>
      <c r="AH88" s="99">
        <v>0.5</v>
      </c>
      <c r="AI88" s="99">
        <v>0.42</v>
      </c>
      <c r="AJ88" s="99">
        <v>0</v>
      </c>
      <c r="AK88" s="99">
        <v>0.6</v>
      </c>
      <c r="AL88" s="99">
        <v>0.54</v>
      </c>
      <c r="AM88" s="99">
        <v>0.39</v>
      </c>
    </row>
    <row r="89" spans="1:81" ht="24.9" customHeight="1" x14ac:dyDescent="0.25">
      <c r="A89" s="189" t="s">
        <v>153</v>
      </c>
      <c r="B89" s="1" t="s">
        <v>222</v>
      </c>
      <c r="C89" s="2">
        <v>2</v>
      </c>
      <c r="D89" s="16">
        <v>58</v>
      </c>
      <c r="E89" s="16">
        <v>9</v>
      </c>
      <c r="F89" s="99">
        <v>0</v>
      </c>
      <c r="G89" s="99">
        <v>0.24</v>
      </c>
      <c r="H89" s="99">
        <v>0.69</v>
      </c>
      <c r="I89" s="99">
        <v>7.0000000000000007E-2</v>
      </c>
      <c r="J89" s="99">
        <v>0.44</v>
      </c>
      <c r="K89" s="99">
        <v>0.34</v>
      </c>
      <c r="L89" s="99">
        <v>0.43</v>
      </c>
      <c r="M89" s="36">
        <v>56</v>
      </c>
      <c r="N89" s="36">
        <v>9</v>
      </c>
      <c r="O89" s="66">
        <v>0.03</v>
      </c>
      <c r="P89" s="66">
        <v>0.2</v>
      </c>
      <c r="Q89" s="66">
        <v>0.73</v>
      </c>
      <c r="R89" s="66">
        <v>0.03</v>
      </c>
      <c r="S89" s="66">
        <v>0.42</v>
      </c>
      <c r="T89" s="66">
        <v>0.48</v>
      </c>
      <c r="U89" s="66">
        <v>0.31</v>
      </c>
      <c r="V89" s="16">
        <v>54</v>
      </c>
      <c r="W89" s="16">
        <v>9</v>
      </c>
      <c r="X89" s="99">
        <v>0.06</v>
      </c>
      <c r="Y89" s="99">
        <v>0.26</v>
      </c>
      <c r="Z89" s="99">
        <v>0.68</v>
      </c>
      <c r="AA89" s="99">
        <v>0</v>
      </c>
      <c r="AB89" s="99">
        <v>0.43</v>
      </c>
      <c r="AC89" s="99">
        <v>0.37</v>
      </c>
      <c r="AD89" s="99">
        <v>0.49</v>
      </c>
      <c r="AE89" s="16">
        <v>57</v>
      </c>
      <c r="AF89" s="16">
        <v>9</v>
      </c>
      <c r="AG89" s="99">
        <v>0</v>
      </c>
      <c r="AH89" s="99">
        <v>0.19</v>
      </c>
      <c r="AI89" s="99">
        <v>0.74</v>
      </c>
      <c r="AJ89" s="99">
        <v>7.0000000000000007E-2</v>
      </c>
      <c r="AK89" s="99">
        <v>0.46</v>
      </c>
      <c r="AL89" s="99">
        <v>0.38</v>
      </c>
      <c r="AM89" s="99">
        <v>0.22</v>
      </c>
      <c r="AN89" s="61">
        <v>55</v>
      </c>
      <c r="AO89" s="61">
        <v>9</v>
      </c>
      <c r="AP89" s="66">
        <v>0.06</v>
      </c>
      <c r="AQ89" s="66">
        <v>0.26</v>
      </c>
      <c r="AR89" s="66">
        <v>0.66</v>
      </c>
      <c r="AS89" s="66">
        <v>0.03</v>
      </c>
      <c r="AT89" s="66">
        <v>0.24</v>
      </c>
      <c r="AU89" s="66">
        <v>0.47</v>
      </c>
      <c r="AV89" s="66">
        <v>0.47</v>
      </c>
      <c r="AW89" s="349">
        <v>53</v>
      </c>
      <c r="AX89" s="348" t="s">
        <v>910</v>
      </c>
      <c r="AY89" s="349">
        <v>9</v>
      </c>
      <c r="AZ89" s="348" t="s">
        <v>910</v>
      </c>
      <c r="BA89" s="371">
        <v>0.02</v>
      </c>
      <c r="BB89" s="371">
        <v>0.42</v>
      </c>
      <c r="BC89" s="371">
        <v>0.56999999999999995</v>
      </c>
      <c r="BD89" s="371">
        <v>0</v>
      </c>
      <c r="BE89" s="371">
        <v>0.27</v>
      </c>
      <c r="BF89" s="371">
        <v>0.5</v>
      </c>
      <c r="BG89" s="371">
        <v>0.44</v>
      </c>
      <c r="BH89" s="469">
        <v>54</v>
      </c>
      <c r="BI89" s="471" t="s">
        <v>910</v>
      </c>
      <c r="BJ89" s="469">
        <v>8</v>
      </c>
      <c r="BK89" s="471" t="s">
        <v>910</v>
      </c>
      <c r="BL89" s="501">
        <v>0.02</v>
      </c>
      <c r="BM89" s="501">
        <v>0.33</v>
      </c>
      <c r="BN89" s="501">
        <v>0.65</v>
      </c>
      <c r="BO89" s="501">
        <v>0</v>
      </c>
      <c r="BP89" s="501">
        <v>0.55000000000000004</v>
      </c>
      <c r="BQ89" s="501">
        <v>0.56000000000000005</v>
      </c>
      <c r="BR89" s="501">
        <v>0.35</v>
      </c>
      <c r="BS89" s="630">
        <v>56</v>
      </c>
      <c r="BT89" s="640" t="s">
        <v>910</v>
      </c>
      <c r="BU89" s="630">
        <v>8</v>
      </c>
      <c r="BV89" s="640" t="s">
        <v>910</v>
      </c>
      <c r="BW89" s="644">
        <v>0</v>
      </c>
      <c r="BX89" s="644">
        <v>0.21</v>
      </c>
      <c r="BY89" s="644">
        <v>0.79</v>
      </c>
      <c r="BZ89" s="644">
        <v>0</v>
      </c>
      <c r="CA89" s="644">
        <v>0.56999999999999995</v>
      </c>
      <c r="CB89" s="644">
        <v>0.26</v>
      </c>
      <c r="CC89" s="644">
        <v>0.55000000000000004</v>
      </c>
    </row>
    <row r="90" spans="1:81" ht="24.9" customHeight="1" x14ac:dyDescent="0.25">
      <c r="A90" s="188" t="s">
        <v>136</v>
      </c>
      <c r="B90" s="1" t="s">
        <v>222</v>
      </c>
      <c r="C90" s="2">
        <v>4</v>
      </c>
      <c r="D90" s="16">
        <v>50</v>
      </c>
      <c r="E90" s="16">
        <v>7</v>
      </c>
      <c r="F90" s="99">
        <v>0</v>
      </c>
      <c r="G90" s="99">
        <v>0.54</v>
      </c>
      <c r="H90" s="99">
        <v>0.46</v>
      </c>
      <c r="I90" s="99">
        <v>0</v>
      </c>
      <c r="J90" s="99">
        <v>0.56000000000000005</v>
      </c>
      <c r="K90" s="99">
        <v>0.45</v>
      </c>
      <c r="L90" s="99">
        <v>0.56000000000000005</v>
      </c>
      <c r="M90" s="36">
        <v>54</v>
      </c>
      <c r="N90" s="36">
        <v>10</v>
      </c>
      <c r="O90" s="66">
        <v>0.06</v>
      </c>
      <c r="P90" s="66">
        <v>0.31</v>
      </c>
      <c r="Q90" s="66">
        <v>0.57999999999999996</v>
      </c>
      <c r="R90" s="66">
        <v>0.06</v>
      </c>
      <c r="S90" s="66">
        <v>0.39</v>
      </c>
      <c r="T90" s="66">
        <v>0.5</v>
      </c>
      <c r="U90" s="66">
        <v>0.35</v>
      </c>
      <c r="V90" s="16">
        <v>52</v>
      </c>
      <c r="W90" s="16">
        <v>9</v>
      </c>
      <c r="X90" s="99">
        <v>0.03</v>
      </c>
      <c r="Y90" s="99">
        <v>0.47</v>
      </c>
      <c r="Z90" s="99">
        <v>0.5</v>
      </c>
      <c r="AA90" s="99">
        <v>0</v>
      </c>
      <c r="AB90" s="99">
        <v>0.51</v>
      </c>
      <c r="AC90" s="99">
        <v>0.41</v>
      </c>
      <c r="AD90" s="99">
        <v>0.48</v>
      </c>
      <c r="AE90" s="16">
        <v>51</v>
      </c>
      <c r="AF90" s="16">
        <v>9</v>
      </c>
      <c r="AG90" s="99">
        <v>0.06</v>
      </c>
      <c r="AH90" s="99">
        <v>0.36</v>
      </c>
      <c r="AI90" s="99">
        <v>0.56000000000000005</v>
      </c>
      <c r="AJ90" s="99">
        <v>0.02</v>
      </c>
      <c r="AK90" s="99">
        <v>0.56000000000000005</v>
      </c>
      <c r="AL90" s="99">
        <v>0.49</v>
      </c>
      <c r="AM90" s="99">
        <v>0.28999999999999998</v>
      </c>
      <c r="AN90" s="61">
        <v>55</v>
      </c>
      <c r="AO90" s="61">
        <v>9</v>
      </c>
      <c r="AP90" s="66">
        <v>0.03</v>
      </c>
      <c r="AQ90" s="66">
        <v>0.26</v>
      </c>
      <c r="AR90" s="66">
        <v>0.69</v>
      </c>
      <c r="AS90" s="66">
        <v>0.03</v>
      </c>
      <c r="AT90" s="66">
        <v>0.25</v>
      </c>
      <c r="AU90" s="66">
        <v>0.46</v>
      </c>
      <c r="AV90" s="66">
        <v>0.47</v>
      </c>
      <c r="AW90" s="349">
        <v>52</v>
      </c>
      <c r="AX90" s="348" t="s">
        <v>910</v>
      </c>
      <c r="AY90" s="349">
        <v>10</v>
      </c>
      <c r="AZ90" s="348" t="s">
        <v>910</v>
      </c>
      <c r="BA90" s="371">
        <v>7.0000000000000007E-2</v>
      </c>
      <c r="BB90" s="371">
        <v>0.33</v>
      </c>
      <c r="BC90" s="371">
        <v>0.57999999999999996</v>
      </c>
      <c r="BD90" s="371">
        <v>0.02</v>
      </c>
      <c r="BE90" s="371">
        <v>0.28000000000000003</v>
      </c>
      <c r="BF90" s="371">
        <v>0.51</v>
      </c>
      <c r="BG90" s="371">
        <v>0.49</v>
      </c>
      <c r="BH90" s="469">
        <v>55</v>
      </c>
      <c r="BI90" s="471" t="s">
        <v>910</v>
      </c>
      <c r="BJ90" s="469">
        <v>10</v>
      </c>
      <c r="BK90" s="471" t="s">
        <v>910</v>
      </c>
      <c r="BL90" s="501">
        <v>0</v>
      </c>
      <c r="BM90" s="501">
        <v>0.31</v>
      </c>
      <c r="BN90" s="501">
        <v>0.62</v>
      </c>
      <c r="BO90" s="501">
        <v>0.08</v>
      </c>
      <c r="BP90" s="501">
        <v>0.46</v>
      </c>
      <c r="BQ90" s="501">
        <v>0.56000000000000005</v>
      </c>
      <c r="BR90" s="501">
        <v>0.32</v>
      </c>
      <c r="BS90" s="630">
        <v>51</v>
      </c>
      <c r="BT90" s="640" t="s">
        <v>910</v>
      </c>
      <c r="BU90" s="630">
        <v>11</v>
      </c>
      <c r="BV90" s="640" t="s">
        <v>910</v>
      </c>
      <c r="BW90" s="644">
        <v>7.0000000000000007E-2</v>
      </c>
      <c r="BX90" s="644">
        <v>0.47</v>
      </c>
      <c r="BY90" s="644">
        <v>0.43</v>
      </c>
      <c r="BZ90" s="644">
        <v>0.04</v>
      </c>
      <c r="CA90" s="644">
        <v>0.64</v>
      </c>
      <c r="CB90" s="644">
        <v>0.39</v>
      </c>
      <c r="CC90" s="644">
        <v>0.59</v>
      </c>
    </row>
    <row r="91" spans="1:81" ht="24.9" customHeight="1" x14ac:dyDescent="0.25">
      <c r="A91" s="188" t="s">
        <v>97</v>
      </c>
      <c r="B91" s="1" t="s">
        <v>222</v>
      </c>
      <c r="C91" s="2">
        <v>2</v>
      </c>
      <c r="D91" s="16">
        <v>59</v>
      </c>
      <c r="E91" s="16">
        <v>8</v>
      </c>
      <c r="F91" s="99">
        <v>0</v>
      </c>
      <c r="G91" s="99">
        <v>0.14000000000000001</v>
      </c>
      <c r="H91" s="99">
        <v>0.86</v>
      </c>
      <c r="I91" s="99">
        <v>0</v>
      </c>
      <c r="J91" s="99">
        <v>0.43</v>
      </c>
      <c r="K91" s="99">
        <v>0.32</v>
      </c>
      <c r="L91" s="99">
        <v>0.45</v>
      </c>
      <c r="M91" s="36">
        <v>44</v>
      </c>
      <c r="N91" s="36">
        <v>12</v>
      </c>
      <c r="O91" s="66">
        <v>0.22</v>
      </c>
      <c r="P91" s="66">
        <v>0.44</v>
      </c>
      <c r="Q91" s="66">
        <v>0.22</v>
      </c>
      <c r="R91" s="66">
        <v>0.11</v>
      </c>
      <c r="S91" s="66">
        <v>0.56999999999999995</v>
      </c>
      <c r="T91" s="66">
        <v>0.57999999999999996</v>
      </c>
      <c r="U91" s="66">
        <v>0.56000000000000005</v>
      </c>
      <c r="V91" s="16">
        <v>46</v>
      </c>
      <c r="W91" s="16">
        <v>8</v>
      </c>
      <c r="X91" s="99">
        <v>0.17</v>
      </c>
      <c r="Y91" s="99">
        <v>0.5</v>
      </c>
      <c r="Z91" s="99">
        <v>0.33</v>
      </c>
      <c r="AA91" s="99">
        <v>0</v>
      </c>
      <c r="AB91" s="99">
        <v>0.6</v>
      </c>
      <c r="AC91" s="99">
        <v>0.5</v>
      </c>
      <c r="AD91" s="99">
        <v>0.63</v>
      </c>
      <c r="AE91" s="16">
        <v>50</v>
      </c>
      <c r="AF91" s="16">
        <v>8</v>
      </c>
      <c r="AG91" s="99">
        <v>0</v>
      </c>
      <c r="AH91" s="99">
        <v>0.67</v>
      </c>
      <c r="AI91" s="99">
        <v>0.33</v>
      </c>
      <c r="AJ91" s="99">
        <v>0</v>
      </c>
      <c r="AK91" s="99">
        <v>0.59</v>
      </c>
      <c r="AL91" s="99">
        <v>0.51</v>
      </c>
      <c r="AM91" s="99">
        <v>0.33</v>
      </c>
      <c r="AN91" s="61">
        <v>46</v>
      </c>
      <c r="AO91" s="61">
        <v>9</v>
      </c>
      <c r="AP91" s="66">
        <v>0.18</v>
      </c>
      <c r="AQ91" s="66">
        <v>0.45</v>
      </c>
      <c r="AR91" s="66">
        <v>0.36</v>
      </c>
      <c r="AS91" s="66">
        <v>0</v>
      </c>
      <c r="AT91" s="66">
        <v>0.41</v>
      </c>
      <c r="AU91" s="66">
        <v>0.56999999999999995</v>
      </c>
      <c r="AV91" s="66">
        <v>0.59</v>
      </c>
      <c r="AW91" s="349">
        <v>52</v>
      </c>
      <c r="AX91" s="348" t="s">
        <v>910</v>
      </c>
      <c r="AY91" s="349">
        <v>5</v>
      </c>
      <c r="AZ91" s="348" t="s">
        <v>912</v>
      </c>
      <c r="BA91" s="371">
        <v>0</v>
      </c>
      <c r="BB91" s="371">
        <v>0.5</v>
      </c>
      <c r="BC91" s="371">
        <v>0.5</v>
      </c>
      <c r="BD91" s="371">
        <v>0</v>
      </c>
      <c r="BE91" s="371">
        <v>0.26</v>
      </c>
      <c r="BF91" s="371">
        <v>0.52</v>
      </c>
      <c r="BG91" s="371">
        <v>0.51</v>
      </c>
      <c r="BH91" s="469">
        <v>51</v>
      </c>
      <c r="BI91" s="471" t="s">
        <v>910</v>
      </c>
      <c r="BJ91" s="469">
        <v>17</v>
      </c>
      <c r="BK91" s="471" t="s">
        <v>911</v>
      </c>
      <c r="BL91" s="501">
        <v>0.33</v>
      </c>
      <c r="BM91" s="501">
        <v>0</v>
      </c>
      <c r="BN91" s="501">
        <v>0.67</v>
      </c>
      <c r="BO91" s="501">
        <v>0</v>
      </c>
      <c r="BP91" s="501">
        <v>0.36</v>
      </c>
      <c r="BQ91" s="501">
        <v>0.64</v>
      </c>
      <c r="BR91" s="501">
        <v>0.25</v>
      </c>
      <c r="BS91" s="630">
        <v>54</v>
      </c>
      <c r="BT91" s="640" t="s">
        <v>910</v>
      </c>
      <c r="BU91" s="630">
        <v>9</v>
      </c>
      <c r="BV91" s="640" t="s">
        <v>910</v>
      </c>
      <c r="BW91" s="644">
        <v>0</v>
      </c>
      <c r="BX91" s="644">
        <v>0.25</v>
      </c>
      <c r="BY91" s="644">
        <v>0.75</v>
      </c>
      <c r="BZ91" s="644">
        <v>0</v>
      </c>
      <c r="CA91" s="644">
        <v>0.56000000000000005</v>
      </c>
      <c r="CB91" s="644">
        <v>0.47</v>
      </c>
      <c r="CC91" s="644">
        <v>0.48</v>
      </c>
    </row>
    <row r="92" spans="1:81" ht="24.9" customHeight="1" x14ac:dyDescent="0.25">
      <c r="A92" s="188" t="s">
        <v>181</v>
      </c>
      <c r="B92" s="1" t="s">
        <v>222</v>
      </c>
      <c r="C92" s="2">
        <v>3</v>
      </c>
      <c r="D92" s="16">
        <v>59</v>
      </c>
      <c r="E92" s="16">
        <v>7</v>
      </c>
      <c r="F92" s="99">
        <v>0</v>
      </c>
      <c r="G92" s="99">
        <v>7.0000000000000007E-2</v>
      </c>
      <c r="H92" s="99">
        <v>0.9</v>
      </c>
      <c r="I92" s="99">
        <v>0.03</v>
      </c>
      <c r="J92" s="99">
        <v>0.41</v>
      </c>
      <c r="K92" s="99">
        <v>0.39</v>
      </c>
      <c r="L92" s="99">
        <v>0.46</v>
      </c>
      <c r="M92" s="36">
        <v>59</v>
      </c>
      <c r="N92" s="36">
        <v>9</v>
      </c>
      <c r="O92" s="66">
        <v>0</v>
      </c>
      <c r="P92" s="66">
        <v>0.19</v>
      </c>
      <c r="Q92" s="66">
        <v>0.69</v>
      </c>
      <c r="R92" s="66">
        <v>0.13</v>
      </c>
      <c r="S92" s="66">
        <v>0.42</v>
      </c>
      <c r="T92" s="66">
        <v>0.44</v>
      </c>
      <c r="U92" s="66">
        <v>0.22</v>
      </c>
      <c r="V92" s="16">
        <v>58</v>
      </c>
      <c r="W92" s="16">
        <v>9</v>
      </c>
      <c r="X92" s="99">
        <v>0</v>
      </c>
      <c r="Y92" s="99">
        <v>0.25</v>
      </c>
      <c r="Z92" s="99">
        <v>0.69</v>
      </c>
      <c r="AA92" s="99">
        <v>0.06</v>
      </c>
      <c r="AB92" s="99">
        <v>0.39</v>
      </c>
      <c r="AC92" s="99">
        <v>0.32</v>
      </c>
      <c r="AD92" s="99">
        <v>0.41</v>
      </c>
      <c r="AE92" s="16">
        <v>54</v>
      </c>
      <c r="AF92" s="16">
        <v>9</v>
      </c>
      <c r="AG92" s="99">
        <v>0.04</v>
      </c>
      <c r="AH92" s="99">
        <v>0.27</v>
      </c>
      <c r="AI92" s="99">
        <v>0.63</v>
      </c>
      <c r="AJ92" s="99">
        <v>0.06</v>
      </c>
      <c r="AK92" s="99">
        <v>0.49</v>
      </c>
      <c r="AL92" s="99">
        <v>0.46</v>
      </c>
      <c r="AM92" s="99">
        <v>0.25</v>
      </c>
      <c r="AN92" s="61">
        <v>55</v>
      </c>
      <c r="AO92" s="61">
        <v>9</v>
      </c>
      <c r="AP92" s="66">
        <v>0</v>
      </c>
      <c r="AQ92" s="66">
        <v>0.33</v>
      </c>
      <c r="AR92" s="66">
        <v>0.62</v>
      </c>
      <c r="AS92" s="66">
        <v>0.05</v>
      </c>
      <c r="AT92" s="66">
        <v>0.23</v>
      </c>
      <c r="AU92" s="66">
        <v>0.45</v>
      </c>
      <c r="AV92" s="66">
        <v>0.49</v>
      </c>
      <c r="AW92" s="349">
        <v>56</v>
      </c>
      <c r="AX92" s="348" t="s">
        <v>910</v>
      </c>
      <c r="AY92" s="349">
        <v>8</v>
      </c>
      <c r="AZ92" s="348" t="s">
        <v>910</v>
      </c>
      <c r="BA92" s="371">
        <v>0.03</v>
      </c>
      <c r="BB92" s="371">
        <v>0.12</v>
      </c>
      <c r="BC92" s="371">
        <v>0.78</v>
      </c>
      <c r="BD92" s="371">
        <v>7.0000000000000007E-2</v>
      </c>
      <c r="BE92" s="371">
        <v>0.23</v>
      </c>
      <c r="BF92" s="371">
        <v>0.43</v>
      </c>
      <c r="BG92" s="371">
        <v>0.41</v>
      </c>
      <c r="BH92" s="469">
        <v>53</v>
      </c>
      <c r="BI92" s="471" t="s">
        <v>910</v>
      </c>
      <c r="BJ92" s="469">
        <v>10</v>
      </c>
      <c r="BK92" s="471" t="s">
        <v>910</v>
      </c>
      <c r="BL92" s="501">
        <v>7.0000000000000007E-2</v>
      </c>
      <c r="BM92" s="501">
        <v>0.27</v>
      </c>
      <c r="BN92" s="501">
        <v>0.67</v>
      </c>
      <c r="BO92" s="501">
        <v>0</v>
      </c>
      <c r="BP92" s="501">
        <v>0.5</v>
      </c>
      <c r="BQ92" s="501">
        <v>0.6</v>
      </c>
      <c r="BR92" s="501">
        <v>0.41</v>
      </c>
      <c r="BS92" s="630">
        <v>56</v>
      </c>
      <c r="BT92" s="640" t="s">
        <v>910</v>
      </c>
      <c r="BU92" s="630">
        <v>8</v>
      </c>
      <c r="BV92" s="640" t="s">
        <v>910</v>
      </c>
      <c r="BW92" s="644">
        <v>0.01</v>
      </c>
      <c r="BX92" s="644">
        <v>0.19</v>
      </c>
      <c r="BY92" s="644">
        <v>0.76</v>
      </c>
      <c r="BZ92" s="644">
        <v>0.04</v>
      </c>
      <c r="CA92" s="644">
        <v>0.61</v>
      </c>
      <c r="CB92" s="644">
        <v>0.32</v>
      </c>
      <c r="CC92" s="644">
        <v>0.52</v>
      </c>
    </row>
    <row r="93" spans="1:81" ht="24.9" customHeight="1" x14ac:dyDescent="0.25">
      <c r="A93" s="188" t="s">
        <v>171</v>
      </c>
      <c r="B93" s="1" t="s">
        <v>222</v>
      </c>
      <c r="C93" s="2">
        <v>2</v>
      </c>
      <c r="D93" s="16">
        <v>55</v>
      </c>
      <c r="E93" s="16">
        <v>9</v>
      </c>
      <c r="F93" s="99">
        <v>0.05</v>
      </c>
      <c r="G93" s="99">
        <v>0.27</v>
      </c>
      <c r="H93" s="99">
        <v>0.66</v>
      </c>
      <c r="I93" s="99">
        <v>0.02</v>
      </c>
      <c r="J93" s="99">
        <v>0.5</v>
      </c>
      <c r="K93" s="99">
        <v>0.51</v>
      </c>
      <c r="L93" s="99">
        <v>0.48</v>
      </c>
      <c r="M93" s="36">
        <v>54</v>
      </c>
      <c r="N93" s="36">
        <v>8</v>
      </c>
      <c r="O93" s="66">
        <v>0</v>
      </c>
      <c r="P93" s="66">
        <v>0.31</v>
      </c>
      <c r="Q93" s="66">
        <v>0.64</v>
      </c>
      <c r="R93" s="66">
        <v>0.06</v>
      </c>
      <c r="S93" s="66">
        <v>0.4</v>
      </c>
      <c r="T93" s="66">
        <v>0.54</v>
      </c>
      <c r="U93" s="66">
        <v>0.34</v>
      </c>
      <c r="V93" s="16">
        <v>54</v>
      </c>
      <c r="W93" s="16">
        <v>8</v>
      </c>
      <c r="X93" s="99">
        <v>0</v>
      </c>
      <c r="Y93" s="99">
        <v>0.33</v>
      </c>
      <c r="Z93" s="99">
        <v>0.64</v>
      </c>
      <c r="AA93" s="99">
        <v>0.03</v>
      </c>
      <c r="AB93" s="99">
        <v>0.43</v>
      </c>
      <c r="AC93" s="99">
        <v>0.36</v>
      </c>
      <c r="AD93" s="99">
        <v>0.51</v>
      </c>
      <c r="AE93" s="16">
        <v>53</v>
      </c>
      <c r="AF93" s="16">
        <v>9</v>
      </c>
      <c r="AG93" s="99">
        <v>0.03</v>
      </c>
      <c r="AH93" s="99">
        <v>0.3</v>
      </c>
      <c r="AI93" s="99">
        <v>0.65</v>
      </c>
      <c r="AJ93" s="99">
        <v>0.03</v>
      </c>
      <c r="AK93" s="99">
        <v>0.53</v>
      </c>
      <c r="AL93" s="99">
        <v>0.47</v>
      </c>
      <c r="AM93" s="99">
        <v>0.27</v>
      </c>
      <c r="AN93" s="61">
        <v>55</v>
      </c>
      <c r="AO93" s="61">
        <v>10</v>
      </c>
      <c r="AP93" s="66">
        <v>0.03</v>
      </c>
      <c r="AQ93" s="66">
        <v>0.28999999999999998</v>
      </c>
      <c r="AR93" s="66">
        <v>0.64</v>
      </c>
      <c r="AS93" s="66">
        <v>0.03</v>
      </c>
      <c r="AT93" s="66">
        <v>0.22</v>
      </c>
      <c r="AU93" s="66">
        <v>0.44</v>
      </c>
      <c r="AV93" s="66">
        <v>0.49</v>
      </c>
      <c r="AW93" s="349">
        <v>56</v>
      </c>
      <c r="AX93" s="348" t="s">
        <v>910</v>
      </c>
      <c r="AY93" s="349">
        <v>10</v>
      </c>
      <c r="AZ93" s="348" t="s">
        <v>910</v>
      </c>
      <c r="BA93" s="371">
        <v>0.04</v>
      </c>
      <c r="BB93" s="371">
        <v>0.23</v>
      </c>
      <c r="BC93" s="371">
        <v>0.68</v>
      </c>
      <c r="BD93" s="371">
        <v>0.06</v>
      </c>
      <c r="BE93" s="371">
        <v>0.23</v>
      </c>
      <c r="BF93" s="371">
        <v>0.46</v>
      </c>
      <c r="BG93" s="371">
        <v>0.38</v>
      </c>
      <c r="BH93" s="469">
        <v>56</v>
      </c>
      <c r="BI93" s="471" t="s">
        <v>910</v>
      </c>
      <c r="BJ93" s="469">
        <v>11</v>
      </c>
      <c r="BK93" s="471" t="s">
        <v>910</v>
      </c>
      <c r="BL93" s="501">
        <v>0.03</v>
      </c>
      <c r="BM93" s="501">
        <v>0.3</v>
      </c>
      <c r="BN93" s="501">
        <v>0.59</v>
      </c>
      <c r="BO93" s="501">
        <v>0.08</v>
      </c>
      <c r="BP93" s="501">
        <v>0.49</v>
      </c>
      <c r="BQ93" s="501">
        <v>0.49</v>
      </c>
      <c r="BR93" s="501">
        <v>0.39</v>
      </c>
      <c r="BS93" s="630">
        <v>55</v>
      </c>
      <c r="BT93" s="640" t="s">
        <v>910</v>
      </c>
      <c r="BU93" s="630">
        <v>11</v>
      </c>
      <c r="BV93" s="640" t="s">
        <v>910</v>
      </c>
      <c r="BW93" s="644">
        <v>0.03</v>
      </c>
      <c r="BX93" s="644">
        <v>0.38</v>
      </c>
      <c r="BY93" s="644">
        <v>0.53</v>
      </c>
      <c r="BZ93" s="644">
        <v>0.06</v>
      </c>
      <c r="CA93" s="644">
        <v>0.59</v>
      </c>
      <c r="CB93" s="644">
        <v>0.28000000000000003</v>
      </c>
      <c r="CC93" s="644">
        <v>0.54</v>
      </c>
    </row>
    <row r="94" spans="1:81" ht="24.9" customHeight="1" x14ac:dyDescent="0.25">
      <c r="A94" s="188" t="s">
        <v>77</v>
      </c>
      <c r="B94" s="1" t="s">
        <v>222</v>
      </c>
      <c r="C94" s="2">
        <v>2</v>
      </c>
      <c r="D94" s="16">
        <v>49</v>
      </c>
      <c r="E94" s="16">
        <v>11</v>
      </c>
      <c r="F94" s="99">
        <v>0.12</v>
      </c>
      <c r="G94" s="99">
        <v>0.47</v>
      </c>
      <c r="H94" s="99">
        <v>0.41</v>
      </c>
      <c r="I94" s="99">
        <v>0</v>
      </c>
      <c r="J94" s="99">
        <v>0.6</v>
      </c>
      <c r="K94" s="99">
        <v>0.44</v>
      </c>
      <c r="L94" s="99">
        <v>0.54</v>
      </c>
      <c r="M94" s="36">
        <v>44</v>
      </c>
      <c r="N94" s="36">
        <v>9</v>
      </c>
      <c r="O94" s="66">
        <v>0.24</v>
      </c>
      <c r="P94" s="66">
        <v>0.59</v>
      </c>
      <c r="Q94" s="66">
        <v>0.18</v>
      </c>
      <c r="R94" s="66">
        <v>0</v>
      </c>
      <c r="S94" s="66">
        <v>0.56999999999999995</v>
      </c>
      <c r="T94" s="66">
        <v>0.69</v>
      </c>
      <c r="U94" s="66">
        <v>0.51</v>
      </c>
      <c r="V94" s="16">
        <v>49</v>
      </c>
      <c r="W94" s="16">
        <v>10</v>
      </c>
      <c r="X94" s="99">
        <v>7.0000000000000007E-2</v>
      </c>
      <c r="Y94" s="99">
        <v>0.47</v>
      </c>
      <c r="Z94" s="99">
        <v>0.47</v>
      </c>
      <c r="AA94" s="99">
        <v>0</v>
      </c>
      <c r="AB94" s="99">
        <v>0.54</v>
      </c>
      <c r="AC94" s="99">
        <v>0.45</v>
      </c>
      <c r="AD94" s="99">
        <v>0.55000000000000004</v>
      </c>
      <c r="AE94" s="16">
        <v>50</v>
      </c>
      <c r="AF94" s="16">
        <v>10</v>
      </c>
      <c r="AG94" s="99">
        <v>0</v>
      </c>
      <c r="AH94" s="99">
        <v>0.45</v>
      </c>
      <c r="AI94" s="99">
        <v>0.55000000000000004</v>
      </c>
      <c r="AJ94" s="99">
        <v>0</v>
      </c>
      <c r="AK94" s="99">
        <v>0.56999999999999995</v>
      </c>
      <c r="AL94" s="99">
        <v>0.47</v>
      </c>
      <c r="AM94" s="99">
        <v>0.33</v>
      </c>
      <c r="AN94" s="61">
        <v>54</v>
      </c>
      <c r="AO94" s="61">
        <v>8</v>
      </c>
      <c r="AP94" s="66">
        <v>0</v>
      </c>
      <c r="AQ94" s="66">
        <v>0.28999999999999998</v>
      </c>
      <c r="AR94" s="66">
        <v>0.64</v>
      </c>
      <c r="AS94" s="66">
        <v>7.0000000000000007E-2</v>
      </c>
      <c r="AT94" s="66">
        <v>0.23</v>
      </c>
      <c r="AU94" s="66">
        <v>0.49</v>
      </c>
      <c r="AV94" s="66">
        <v>0.54</v>
      </c>
      <c r="AW94" s="349">
        <v>49</v>
      </c>
      <c r="AX94" s="348" t="s">
        <v>910</v>
      </c>
      <c r="AY94" s="349">
        <v>9</v>
      </c>
      <c r="AZ94" s="348" t="s">
        <v>910</v>
      </c>
      <c r="BA94" s="371">
        <v>0.14000000000000001</v>
      </c>
      <c r="BB94" s="371">
        <v>0.43</v>
      </c>
      <c r="BC94" s="371">
        <v>0.43</v>
      </c>
      <c r="BD94" s="371">
        <v>0</v>
      </c>
      <c r="BE94" s="371">
        <v>0.33</v>
      </c>
      <c r="BF94" s="371">
        <v>0.56999999999999995</v>
      </c>
      <c r="BG94" s="371">
        <v>0.49</v>
      </c>
      <c r="BH94" s="469">
        <v>53</v>
      </c>
      <c r="BI94" s="471" t="s">
        <v>910</v>
      </c>
      <c r="BJ94" s="469">
        <v>12</v>
      </c>
      <c r="BK94" s="471" t="s">
        <v>910</v>
      </c>
      <c r="BL94" s="501">
        <v>0</v>
      </c>
      <c r="BM94" s="501">
        <v>0.4</v>
      </c>
      <c r="BN94" s="501">
        <v>0.5</v>
      </c>
      <c r="BO94" s="501">
        <v>0.1</v>
      </c>
      <c r="BP94" s="501">
        <v>0.52</v>
      </c>
      <c r="BQ94" s="501">
        <v>0.6</v>
      </c>
      <c r="BR94" s="501">
        <v>0.35</v>
      </c>
      <c r="BS94" s="630">
        <v>49</v>
      </c>
      <c r="BT94" s="640" t="s">
        <v>910</v>
      </c>
      <c r="BU94" s="630">
        <v>11</v>
      </c>
      <c r="BV94" s="640" t="s">
        <v>910</v>
      </c>
      <c r="BW94" s="644">
        <v>0.17</v>
      </c>
      <c r="BX94" s="644">
        <v>0.5</v>
      </c>
      <c r="BY94" s="644">
        <v>0.33</v>
      </c>
      <c r="BZ94" s="644">
        <v>0</v>
      </c>
      <c r="CA94" s="644">
        <v>0.56999999999999995</v>
      </c>
      <c r="CB94" s="644">
        <v>0.57999999999999996</v>
      </c>
      <c r="CC94" s="644">
        <v>0.63</v>
      </c>
    </row>
    <row r="95" spans="1:81" ht="24.9" customHeight="1" x14ac:dyDescent="0.25">
      <c r="A95" s="188" t="s">
        <v>36</v>
      </c>
      <c r="B95" s="1" t="s">
        <v>220</v>
      </c>
      <c r="C95" s="2" t="s">
        <v>221</v>
      </c>
      <c r="D95" s="16">
        <v>52</v>
      </c>
      <c r="E95" s="16">
        <v>9</v>
      </c>
      <c r="F95" s="99">
        <v>0.05</v>
      </c>
      <c r="G95" s="99">
        <v>0.37</v>
      </c>
      <c r="H95" s="99">
        <v>0.56000000000000005</v>
      </c>
      <c r="I95" s="99">
        <v>0.02</v>
      </c>
      <c r="J95" s="99">
        <v>0.56000000000000005</v>
      </c>
      <c r="K95" s="99">
        <v>0.48</v>
      </c>
      <c r="L95" s="99">
        <v>0.52</v>
      </c>
      <c r="M95" s="36">
        <v>50</v>
      </c>
      <c r="N95" s="36">
        <v>9</v>
      </c>
      <c r="O95" s="66">
        <v>7.0000000000000007E-2</v>
      </c>
      <c r="P95" s="66">
        <v>0.48</v>
      </c>
      <c r="Q95" s="66">
        <v>0.45</v>
      </c>
      <c r="R95" s="66">
        <v>0</v>
      </c>
      <c r="S95" s="66">
        <v>0.53</v>
      </c>
      <c r="T95" s="66">
        <v>0.56999999999999995</v>
      </c>
      <c r="U95" s="66">
        <v>0.41</v>
      </c>
      <c r="V95" s="16">
        <v>53</v>
      </c>
      <c r="W95" s="16">
        <v>9</v>
      </c>
      <c r="X95" s="99">
        <v>0</v>
      </c>
      <c r="Y95" s="99">
        <v>0.47</v>
      </c>
      <c r="Z95" s="99">
        <v>0.47</v>
      </c>
      <c r="AA95" s="99">
        <v>0.06</v>
      </c>
      <c r="AB95" s="99">
        <v>0.47</v>
      </c>
      <c r="AC95" s="99">
        <v>0.36</v>
      </c>
      <c r="AD95" s="99">
        <v>0.54</v>
      </c>
      <c r="AE95" s="16">
        <v>54</v>
      </c>
      <c r="AF95" s="16">
        <v>9</v>
      </c>
      <c r="AG95" s="99">
        <v>0.02</v>
      </c>
      <c r="AH95" s="99">
        <v>0.27</v>
      </c>
      <c r="AI95" s="99">
        <v>0.69</v>
      </c>
      <c r="AJ95" s="99">
        <v>0.02</v>
      </c>
      <c r="AK95" s="99">
        <v>0.5</v>
      </c>
      <c r="AL95" s="99">
        <v>0.45</v>
      </c>
      <c r="AM95" s="99">
        <v>0.27</v>
      </c>
      <c r="AN95" s="61">
        <v>53</v>
      </c>
      <c r="AO95" s="61">
        <v>12</v>
      </c>
      <c r="AP95" s="66">
        <v>0.05</v>
      </c>
      <c r="AQ95" s="66">
        <v>0.39</v>
      </c>
      <c r="AR95" s="66">
        <v>0.45</v>
      </c>
      <c r="AS95" s="66">
        <v>0.11</v>
      </c>
      <c r="AT95" s="66">
        <v>0.26</v>
      </c>
      <c r="AU95" s="66">
        <v>0.47</v>
      </c>
      <c r="AV95" s="66">
        <v>0.5</v>
      </c>
      <c r="AW95" s="349">
        <v>52</v>
      </c>
      <c r="AX95" s="348" t="s">
        <v>910</v>
      </c>
      <c r="AY95" s="349">
        <v>10</v>
      </c>
      <c r="AZ95" s="348" t="s">
        <v>910</v>
      </c>
      <c r="BA95" s="371">
        <v>0.02</v>
      </c>
      <c r="BB95" s="371">
        <v>0.39</v>
      </c>
      <c r="BC95" s="371">
        <v>0.59</v>
      </c>
      <c r="BD95" s="371">
        <v>0</v>
      </c>
      <c r="BE95" s="371">
        <v>0.27</v>
      </c>
      <c r="BF95" s="371">
        <v>0.51</v>
      </c>
      <c r="BG95" s="371">
        <v>0.47</v>
      </c>
      <c r="BH95" s="469">
        <v>51</v>
      </c>
      <c r="BI95" s="471" t="s">
        <v>910</v>
      </c>
      <c r="BJ95" s="469">
        <v>11</v>
      </c>
      <c r="BK95" s="471" t="s">
        <v>910</v>
      </c>
      <c r="BL95" s="501">
        <v>0.05</v>
      </c>
      <c r="BM95" s="501">
        <v>0.45</v>
      </c>
      <c r="BN95" s="501">
        <v>0.48</v>
      </c>
      <c r="BO95" s="501">
        <v>0.03</v>
      </c>
      <c r="BP95" s="501">
        <v>0.52</v>
      </c>
      <c r="BQ95" s="501">
        <v>0.6</v>
      </c>
      <c r="BR95" s="501">
        <v>0.38</v>
      </c>
      <c r="BS95" s="630">
        <v>50</v>
      </c>
      <c r="BT95" s="640" t="s">
        <v>910</v>
      </c>
      <c r="BU95" s="630">
        <v>11</v>
      </c>
      <c r="BV95" s="640" t="s">
        <v>910</v>
      </c>
      <c r="BW95" s="644">
        <v>0.08</v>
      </c>
      <c r="BX95" s="644">
        <v>0.4</v>
      </c>
      <c r="BY95" s="644">
        <v>0.52</v>
      </c>
      <c r="BZ95" s="644">
        <v>0</v>
      </c>
      <c r="CA95" s="644">
        <v>0.62</v>
      </c>
      <c r="CB95" s="644">
        <v>0.45</v>
      </c>
      <c r="CC95" s="644">
        <v>0.61</v>
      </c>
    </row>
    <row r="96" spans="1:81" ht="24.9" customHeight="1" x14ac:dyDescent="0.25">
      <c r="A96" s="188" t="s">
        <v>227</v>
      </c>
      <c r="B96" s="1" t="s">
        <v>222</v>
      </c>
      <c r="C96" s="2">
        <v>4</v>
      </c>
      <c r="D96" s="13" t="s">
        <v>226</v>
      </c>
      <c r="E96" s="13" t="s">
        <v>226</v>
      </c>
      <c r="F96" s="13"/>
      <c r="G96" s="13"/>
      <c r="H96" s="13"/>
      <c r="I96" s="13"/>
      <c r="J96" s="13"/>
      <c r="K96" s="13"/>
      <c r="L96" s="13"/>
      <c r="M96" s="36">
        <v>66</v>
      </c>
      <c r="N96" s="36">
        <v>0</v>
      </c>
      <c r="O96" s="66">
        <v>0</v>
      </c>
      <c r="P96" s="66">
        <v>0</v>
      </c>
      <c r="Q96" s="66">
        <v>1</v>
      </c>
      <c r="R96" s="66">
        <v>0</v>
      </c>
      <c r="S96" s="66">
        <v>0.5</v>
      </c>
      <c r="T96" s="66">
        <v>0.39</v>
      </c>
      <c r="U96" s="66">
        <v>0</v>
      </c>
      <c r="V96" s="13" t="s">
        <v>226</v>
      </c>
      <c r="W96" s="13" t="s">
        <v>226</v>
      </c>
      <c r="X96" s="13"/>
      <c r="Y96" s="13"/>
      <c r="Z96" s="13"/>
      <c r="AA96" s="13"/>
      <c r="AB96" s="13"/>
      <c r="AC96" s="13"/>
      <c r="AD96" s="13"/>
      <c r="AE96" s="13" t="s">
        <v>226</v>
      </c>
      <c r="AF96" s="13" t="s">
        <v>226</v>
      </c>
      <c r="AG96" s="13"/>
      <c r="AH96" s="13"/>
      <c r="AI96" s="13"/>
      <c r="AJ96" s="13"/>
      <c r="AK96" s="13"/>
      <c r="AL96" s="13"/>
      <c r="AM96" s="13"/>
    </row>
    <row r="97" spans="1:81" ht="24.9" customHeight="1" x14ac:dyDescent="0.25">
      <c r="A97" s="188" t="s">
        <v>92</v>
      </c>
      <c r="B97" s="1" t="s">
        <v>220</v>
      </c>
      <c r="C97" s="2">
        <v>1</v>
      </c>
      <c r="D97" s="16">
        <v>51</v>
      </c>
      <c r="E97" s="16">
        <v>10</v>
      </c>
      <c r="F97" s="99">
        <v>7.0000000000000007E-2</v>
      </c>
      <c r="G97" s="99">
        <v>0.44</v>
      </c>
      <c r="H97" s="99">
        <v>0.48</v>
      </c>
      <c r="I97" s="99">
        <v>0.01</v>
      </c>
      <c r="J97" s="99">
        <v>0.55000000000000004</v>
      </c>
      <c r="K97" s="99">
        <v>0.46</v>
      </c>
      <c r="L97" s="99">
        <v>0.55000000000000004</v>
      </c>
      <c r="M97" s="36">
        <v>52</v>
      </c>
      <c r="N97" s="36">
        <v>9</v>
      </c>
      <c r="O97" s="66">
        <v>0.03</v>
      </c>
      <c r="P97" s="66">
        <v>0.38</v>
      </c>
      <c r="Q97" s="66">
        <v>0.56999999999999995</v>
      </c>
      <c r="R97" s="66">
        <v>0.01</v>
      </c>
      <c r="S97" s="66">
        <v>0.46</v>
      </c>
      <c r="T97" s="66">
        <v>0.56000000000000005</v>
      </c>
      <c r="U97" s="66">
        <v>0.36</v>
      </c>
      <c r="V97" s="16">
        <v>52</v>
      </c>
      <c r="W97" s="16">
        <v>9</v>
      </c>
      <c r="X97" s="99">
        <v>0.04</v>
      </c>
      <c r="Y97" s="99">
        <v>0.38</v>
      </c>
      <c r="Z97" s="99">
        <v>0.57999999999999996</v>
      </c>
      <c r="AA97" s="99">
        <v>0.01</v>
      </c>
      <c r="AB97" s="99">
        <v>0.48</v>
      </c>
      <c r="AC97" s="99">
        <v>0.37</v>
      </c>
      <c r="AD97" s="99">
        <v>0.53</v>
      </c>
      <c r="AE97" s="16">
        <v>52</v>
      </c>
      <c r="AF97" s="16">
        <v>10</v>
      </c>
      <c r="AG97" s="99">
        <v>0.05</v>
      </c>
      <c r="AH97" s="99">
        <v>0.36</v>
      </c>
      <c r="AI97" s="99">
        <v>0.57999999999999996</v>
      </c>
      <c r="AJ97" s="99">
        <v>0.02</v>
      </c>
      <c r="AK97" s="99">
        <v>0.53</v>
      </c>
      <c r="AL97" s="99">
        <v>0.48</v>
      </c>
      <c r="AM97" s="99">
        <v>0.28999999999999998</v>
      </c>
      <c r="AN97" s="61">
        <v>52</v>
      </c>
      <c r="AO97" s="61">
        <v>10</v>
      </c>
      <c r="AP97" s="66">
        <v>0.06</v>
      </c>
      <c r="AQ97" s="66">
        <v>0.38</v>
      </c>
      <c r="AR97" s="66">
        <v>0.53</v>
      </c>
      <c r="AS97" s="66">
        <v>0.04</v>
      </c>
      <c r="AT97" s="66">
        <v>0.28000000000000003</v>
      </c>
      <c r="AU97" s="66">
        <v>0.51</v>
      </c>
      <c r="AV97" s="66">
        <v>0.53</v>
      </c>
      <c r="AW97" s="349">
        <v>52</v>
      </c>
      <c r="AX97" s="348" t="s">
        <v>910</v>
      </c>
      <c r="AY97" s="349">
        <v>8</v>
      </c>
      <c r="AZ97" s="348" t="s">
        <v>910</v>
      </c>
      <c r="BA97" s="371">
        <v>0.02</v>
      </c>
      <c r="BB97" s="371">
        <v>0.41</v>
      </c>
      <c r="BC97" s="371">
        <v>0.56000000000000005</v>
      </c>
      <c r="BD97" s="371">
        <v>0.01</v>
      </c>
      <c r="BE97" s="371">
        <v>0.28999999999999998</v>
      </c>
      <c r="BF97" s="371">
        <v>0.51</v>
      </c>
      <c r="BG97" s="371">
        <v>0.48</v>
      </c>
      <c r="BH97" s="469">
        <v>50</v>
      </c>
      <c r="BI97" s="471" t="s">
        <v>910</v>
      </c>
      <c r="BJ97" s="469">
        <v>9</v>
      </c>
      <c r="BK97" s="471" t="s">
        <v>910</v>
      </c>
      <c r="BL97" s="501">
        <v>0.05</v>
      </c>
      <c r="BM97" s="501">
        <v>0.42</v>
      </c>
      <c r="BN97" s="501">
        <v>0.52</v>
      </c>
      <c r="BO97" s="501">
        <v>0.01</v>
      </c>
      <c r="BP97" s="501">
        <v>0.56000000000000005</v>
      </c>
      <c r="BQ97" s="501">
        <v>0.61</v>
      </c>
      <c r="BR97" s="501">
        <v>0.42</v>
      </c>
      <c r="BS97" s="630">
        <v>50</v>
      </c>
      <c r="BT97" s="640" t="s">
        <v>910</v>
      </c>
      <c r="BU97" s="630">
        <v>10</v>
      </c>
      <c r="BV97" s="640" t="s">
        <v>910</v>
      </c>
      <c r="BW97" s="644">
        <v>0.08</v>
      </c>
      <c r="BX97" s="644">
        <v>0.45</v>
      </c>
      <c r="BY97" s="644">
        <v>0.45</v>
      </c>
      <c r="BZ97" s="644">
        <v>0.02</v>
      </c>
      <c r="CA97" s="644">
        <v>0.64</v>
      </c>
      <c r="CB97" s="644">
        <v>0.43</v>
      </c>
      <c r="CC97" s="644">
        <v>0.62</v>
      </c>
    </row>
    <row r="98" spans="1:81" ht="24.9" customHeight="1" x14ac:dyDescent="0.25">
      <c r="A98" s="188" t="s">
        <v>27</v>
      </c>
      <c r="B98" s="1" t="s">
        <v>220</v>
      </c>
      <c r="C98" s="2">
        <v>6</v>
      </c>
      <c r="D98" s="16">
        <v>51</v>
      </c>
      <c r="E98" s="16">
        <v>9</v>
      </c>
      <c r="F98" s="99">
        <v>0.02</v>
      </c>
      <c r="G98" s="99">
        <v>0.52</v>
      </c>
      <c r="H98" s="99">
        <v>0.46</v>
      </c>
      <c r="I98" s="99">
        <v>0</v>
      </c>
      <c r="J98" s="99">
        <v>0.53</v>
      </c>
      <c r="K98" s="99">
        <v>0.49</v>
      </c>
      <c r="L98" s="99">
        <v>0.53</v>
      </c>
      <c r="M98" s="36">
        <v>50</v>
      </c>
      <c r="N98" s="36">
        <v>10</v>
      </c>
      <c r="O98" s="66">
        <v>0.08</v>
      </c>
      <c r="P98" s="66">
        <v>0.43</v>
      </c>
      <c r="Q98" s="66">
        <v>0.48</v>
      </c>
      <c r="R98" s="66">
        <v>0.01</v>
      </c>
      <c r="S98" s="66">
        <v>0.49</v>
      </c>
      <c r="T98" s="66">
        <v>0.57999999999999996</v>
      </c>
      <c r="U98" s="66">
        <v>0.38</v>
      </c>
      <c r="V98" s="16">
        <v>49</v>
      </c>
      <c r="W98" s="16">
        <v>9</v>
      </c>
      <c r="X98" s="99">
        <v>0.06</v>
      </c>
      <c r="Y98" s="99">
        <v>0.54</v>
      </c>
      <c r="Z98" s="99">
        <v>0.41</v>
      </c>
      <c r="AA98" s="99">
        <v>0</v>
      </c>
      <c r="AB98" s="99">
        <v>0.54</v>
      </c>
      <c r="AC98" s="99">
        <v>0.41</v>
      </c>
      <c r="AD98" s="99">
        <v>0.56999999999999995</v>
      </c>
      <c r="AE98" s="16">
        <v>51</v>
      </c>
      <c r="AF98" s="16">
        <v>10</v>
      </c>
      <c r="AG98" s="99">
        <v>0.05</v>
      </c>
      <c r="AH98" s="99">
        <v>0.41</v>
      </c>
      <c r="AI98" s="99">
        <v>0.53</v>
      </c>
      <c r="AJ98" s="99">
        <v>0.02</v>
      </c>
      <c r="AK98" s="99">
        <v>0.54</v>
      </c>
      <c r="AL98" s="99">
        <v>0.49</v>
      </c>
      <c r="AM98" s="99">
        <v>0.31</v>
      </c>
      <c r="AN98" s="61">
        <v>52</v>
      </c>
      <c r="AO98" s="61">
        <v>9</v>
      </c>
      <c r="AP98" s="66">
        <v>0.03</v>
      </c>
      <c r="AQ98" s="66">
        <v>0.39</v>
      </c>
      <c r="AR98" s="66">
        <v>0.56000000000000005</v>
      </c>
      <c r="AS98" s="66">
        <v>0.02</v>
      </c>
      <c r="AT98" s="66">
        <v>0.28000000000000003</v>
      </c>
      <c r="AU98" s="66">
        <v>0.49</v>
      </c>
      <c r="AV98" s="66">
        <v>0.54</v>
      </c>
      <c r="AW98" s="349">
        <v>50</v>
      </c>
      <c r="AX98" s="348" t="s">
        <v>910</v>
      </c>
      <c r="AY98" s="349">
        <v>9</v>
      </c>
      <c r="AZ98" s="348" t="s">
        <v>910</v>
      </c>
      <c r="BA98" s="371">
        <v>0.05</v>
      </c>
      <c r="BB98" s="371">
        <v>0.52</v>
      </c>
      <c r="BC98" s="371">
        <v>0.42</v>
      </c>
      <c r="BD98" s="371">
        <v>0.02</v>
      </c>
      <c r="BE98" s="371">
        <v>0.32</v>
      </c>
      <c r="BF98" s="371">
        <v>0.54</v>
      </c>
      <c r="BG98" s="371">
        <v>0.51</v>
      </c>
      <c r="BH98" s="469">
        <v>50</v>
      </c>
      <c r="BI98" s="471" t="s">
        <v>910</v>
      </c>
      <c r="BJ98" s="469">
        <v>10</v>
      </c>
      <c r="BK98" s="471" t="s">
        <v>910</v>
      </c>
      <c r="BL98" s="501">
        <v>0.08</v>
      </c>
      <c r="BM98" s="501">
        <v>0.49</v>
      </c>
      <c r="BN98" s="501">
        <v>0.43</v>
      </c>
      <c r="BO98" s="501">
        <v>0.01</v>
      </c>
      <c r="BP98" s="501">
        <v>0.55000000000000004</v>
      </c>
      <c r="BQ98" s="501">
        <v>0.59</v>
      </c>
      <c r="BR98" s="501">
        <v>0.42</v>
      </c>
      <c r="BS98" s="630">
        <v>50</v>
      </c>
      <c r="BT98" s="640" t="s">
        <v>910</v>
      </c>
      <c r="BU98" s="630">
        <v>10</v>
      </c>
      <c r="BV98" s="640" t="s">
        <v>910</v>
      </c>
      <c r="BW98" s="644">
        <v>0.08</v>
      </c>
      <c r="BX98" s="644">
        <v>0.49</v>
      </c>
      <c r="BY98" s="644">
        <v>0.4</v>
      </c>
      <c r="BZ98" s="644">
        <v>0.04</v>
      </c>
      <c r="CA98" s="644">
        <v>0.67</v>
      </c>
      <c r="CB98" s="644">
        <v>0.44</v>
      </c>
      <c r="CC98" s="644">
        <v>0.6</v>
      </c>
    </row>
    <row r="99" spans="1:81" s="53" customFormat="1" ht="24.9" customHeight="1" x14ac:dyDescent="0.25">
      <c r="A99" s="188" t="s">
        <v>147</v>
      </c>
      <c r="B99" s="1" t="s">
        <v>220</v>
      </c>
      <c r="C99" s="2">
        <v>5</v>
      </c>
      <c r="D99" s="16">
        <v>53</v>
      </c>
      <c r="E99" s="16">
        <v>9</v>
      </c>
      <c r="F99" s="99">
        <v>0.03</v>
      </c>
      <c r="G99" s="99">
        <v>0.35</v>
      </c>
      <c r="H99" s="99">
        <v>0.6</v>
      </c>
      <c r="I99" s="99">
        <v>0.01</v>
      </c>
      <c r="J99" s="99">
        <v>0.51</v>
      </c>
      <c r="K99" s="99">
        <v>0.41</v>
      </c>
      <c r="L99" s="99">
        <v>0.5</v>
      </c>
      <c r="M99" s="36">
        <v>53</v>
      </c>
      <c r="N99" s="36">
        <v>10</v>
      </c>
      <c r="O99" s="66">
        <v>0.05</v>
      </c>
      <c r="P99" s="66">
        <v>0.34</v>
      </c>
      <c r="Q99" s="66">
        <v>0.57999999999999996</v>
      </c>
      <c r="R99" s="66">
        <v>0.03</v>
      </c>
      <c r="S99" s="66">
        <v>0.46</v>
      </c>
      <c r="T99" s="66">
        <v>0.53</v>
      </c>
      <c r="U99" s="66">
        <v>0.34</v>
      </c>
      <c r="V99" s="16">
        <v>51</v>
      </c>
      <c r="W99" s="16">
        <v>9</v>
      </c>
      <c r="X99" s="99">
        <v>0.05</v>
      </c>
      <c r="Y99" s="99">
        <v>0.45</v>
      </c>
      <c r="Z99" s="99">
        <v>0.49</v>
      </c>
      <c r="AA99" s="99">
        <v>0.02</v>
      </c>
      <c r="AB99" s="99">
        <v>0.51</v>
      </c>
      <c r="AC99" s="99">
        <v>0.38</v>
      </c>
      <c r="AD99" s="99">
        <v>0.52</v>
      </c>
      <c r="AE99" s="16">
        <v>54</v>
      </c>
      <c r="AF99" s="16">
        <v>9</v>
      </c>
      <c r="AG99" s="99">
        <v>0.02</v>
      </c>
      <c r="AH99" s="99">
        <v>0.35</v>
      </c>
      <c r="AI99" s="99">
        <v>0.6</v>
      </c>
      <c r="AJ99" s="99">
        <v>0.04</v>
      </c>
      <c r="AK99" s="99">
        <v>0.51</v>
      </c>
      <c r="AL99" s="99">
        <v>0.44</v>
      </c>
      <c r="AM99" s="99">
        <v>0.28000000000000003</v>
      </c>
      <c r="AN99" s="61">
        <v>53</v>
      </c>
      <c r="AO99" s="61">
        <v>8</v>
      </c>
      <c r="AP99" s="66">
        <v>0.02</v>
      </c>
      <c r="AQ99" s="66">
        <v>0.38</v>
      </c>
      <c r="AR99" s="66">
        <v>0.59</v>
      </c>
      <c r="AS99" s="66">
        <v>0.01</v>
      </c>
      <c r="AT99" s="66">
        <v>0.28000000000000003</v>
      </c>
      <c r="AU99" s="66">
        <v>0.5</v>
      </c>
      <c r="AV99" s="66">
        <v>0.5</v>
      </c>
      <c r="AW99" s="349">
        <v>51</v>
      </c>
      <c r="AX99" s="348" t="s">
        <v>910</v>
      </c>
      <c r="AY99" s="349">
        <v>10</v>
      </c>
      <c r="AZ99" s="348" t="s">
        <v>910</v>
      </c>
      <c r="BA99" s="371">
        <v>0.05</v>
      </c>
      <c r="BB99" s="371">
        <v>0.4</v>
      </c>
      <c r="BC99" s="371">
        <v>0.5</v>
      </c>
      <c r="BD99" s="371">
        <v>0.04</v>
      </c>
      <c r="BE99" s="371">
        <v>0.28000000000000003</v>
      </c>
      <c r="BF99" s="371">
        <v>0.51</v>
      </c>
      <c r="BG99" s="371">
        <v>0.47</v>
      </c>
      <c r="BH99" s="469">
        <v>52</v>
      </c>
      <c r="BI99" s="471" t="s">
        <v>910</v>
      </c>
      <c r="BJ99" s="469">
        <v>10</v>
      </c>
      <c r="BK99" s="471" t="s">
        <v>910</v>
      </c>
      <c r="BL99" s="501">
        <v>0.05</v>
      </c>
      <c r="BM99" s="501">
        <v>0.38</v>
      </c>
      <c r="BN99" s="501">
        <v>0.56000000000000005</v>
      </c>
      <c r="BO99" s="501">
        <v>0.01</v>
      </c>
      <c r="BP99" s="501">
        <v>0.56000000000000005</v>
      </c>
      <c r="BQ99" s="501">
        <v>0.57999999999999996</v>
      </c>
      <c r="BR99" s="501">
        <v>0.41</v>
      </c>
      <c r="BS99" s="630">
        <v>53</v>
      </c>
      <c r="BT99" s="640" t="s">
        <v>910</v>
      </c>
      <c r="BU99" s="630">
        <v>10</v>
      </c>
      <c r="BV99" s="640" t="s">
        <v>910</v>
      </c>
      <c r="BW99" s="644">
        <v>7.0000000000000007E-2</v>
      </c>
      <c r="BX99" s="644">
        <v>0.31</v>
      </c>
      <c r="BY99" s="644">
        <v>0.56999999999999995</v>
      </c>
      <c r="BZ99" s="644">
        <v>0.04</v>
      </c>
      <c r="CA99" s="644">
        <v>0.62</v>
      </c>
      <c r="CB99" s="644">
        <v>0.38</v>
      </c>
      <c r="CC99" s="644">
        <v>0.57999999999999996</v>
      </c>
    </row>
    <row r="100" spans="1:81" ht="24.9" customHeight="1" x14ac:dyDescent="0.25">
      <c r="A100" s="188" t="s">
        <v>112</v>
      </c>
      <c r="B100" s="1" t="s">
        <v>220</v>
      </c>
      <c r="C100" s="2">
        <v>4</v>
      </c>
      <c r="D100" s="16">
        <v>47</v>
      </c>
      <c r="E100" s="16">
        <v>9</v>
      </c>
      <c r="F100" s="99">
        <v>0.11</v>
      </c>
      <c r="G100" s="99">
        <v>0.56999999999999995</v>
      </c>
      <c r="H100" s="99">
        <v>0.3</v>
      </c>
      <c r="I100" s="99">
        <v>0.01</v>
      </c>
      <c r="J100" s="99">
        <v>0.61</v>
      </c>
      <c r="K100" s="99">
        <v>0.59</v>
      </c>
      <c r="L100" s="99">
        <v>0.57999999999999996</v>
      </c>
      <c r="M100" s="36">
        <v>50</v>
      </c>
      <c r="N100" s="36">
        <v>10</v>
      </c>
      <c r="O100" s="66">
        <v>7.0000000000000007E-2</v>
      </c>
      <c r="P100" s="66">
        <v>0.5</v>
      </c>
      <c r="Q100" s="66">
        <v>0.41</v>
      </c>
      <c r="R100" s="66">
        <v>0.02</v>
      </c>
      <c r="S100" s="66">
        <v>0.49</v>
      </c>
      <c r="T100" s="66">
        <v>0.56999999999999995</v>
      </c>
      <c r="U100" s="66">
        <v>0.4</v>
      </c>
      <c r="V100" s="16">
        <v>49</v>
      </c>
      <c r="W100" s="16">
        <v>11</v>
      </c>
      <c r="X100" s="99">
        <v>0.14000000000000001</v>
      </c>
      <c r="Y100" s="99">
        <v>0.39</v>
      </c>
      <c r="Z100" s="99">
        <v>0.45</v>
      </c>
      <c r="AA100" s="99">
        <v>0.03</v>
      </c>
      <c r="AB100" s="99">
        <v>0.52</v>
      </c>
      <c r="AC100" s="99">
        <v>0.43</v>
      </c>
      <c r="AD100" s="99">
        <v>0.56000000000000005</v>
      </c>
      <c r="AE100" s="16">
        <v>46</v>
      </c>
      <c r="AF100" s="16">
        <v>10</v>
      </c>
      <c r="AG100" s="99">
        <v>0.13</v>
      </c>
      <c r="AH100" s="99">
        <v>0.6</v>
      </c>
      <c r="AI100" s="99">
        <v>0.25</v>
      </c>
      <c r="AJ100" s="99">
        <v>0.02</v>
      </c>
      <c r="AK100" s="99">
        <v>0.62</v>
      </c>
      <c r="AL100" s="99">
        <v>0.56000000000000005</v>
      </c>
      <c r="AM100" s="99">
        <v>0.37</v>
      </c>
      <c r="AN100" s="61">
        <v>47</v>
      </c>
      <c r="AO100" s="61">
        <v>9</v>
      </c>
      <c r="AP100" s="66">
        <v>0.08</v>
      </c>
      <c r="AQ100" s="66">
        <v>0.52</v>
      </c>
      <c r="AR100" s="66">
        <v>0.4</v>
      </c>
      <c r="AS100" s="66">
        <v>0</v>
      </c>
      <c r="AT100" s="66">
        <v>0.36</v>
      </c>
      <c r="AU100" s="66">
        <v>0.59</v>
      </c>
      <c r="AV100" s="66">
        <v>0.6</v>
      </c>
      <c r="AW100" s="349">
        <v>45</v>
      </c>
      <c r="AX100" s="348" t="s">
        <v>910</v>
      </c>
      <c r="AY100" s="349">
        <v>10</v>
      </c>
      <c r="AZ100" s="348" t="s">
        <v>910</v>
      </c>
      <c r="BA100" s="371">
        <v>0.18</v>
      </c>
      <c r="BB100" s="371">
        <v>0.54</v>
      </c>
      <c r="BC100" s="371">
        <v>0.27</v>
      </c>
      <c r="BD100" s="371">
        <v>0.01</v>
      </c>
      <c r="BE100" s="371">
        <v>0.41</v>
      </c>
      <c r="BF100" s="371">
        <v>0.6</v>
      </c>
      <c r="BG100" s="371">
        <v>0.55000000000000004</v>
      </c>
      <c r="BH100" s="469">
        <v>47</v>
      </c>
      <c r="BI100" s="471" t="s">
        <v>910</v>
      </c>
      <c r="BJ100" s="469">
        <v>10</v>
      </c>
      <c r="BK100" s="471" t="s">
        <v>910</v>
      </c>
      <c r="BL100" s="501">
        <v>0.09</v>
      </c>
      <c r="BM100" s="501">
        <v>0.52</v>
      </c>
      <c r="BN100" s="501">
        <v>0.38</v>
      </c>
      <c r="BO100" s="501">
        <v>0.01</v>
      </c>
      <c r="BP100" s="501">
        <v>0.59</v>
      </c>
      <c r="BQ100" s="501">
        <v>0.69</v>
      </c>
      <c r="BR100" s="501">
        <v>0.48</v>
      </c>
      <c r="BS100" s="630">
        <v>47</v>
      </c>
      <c r="BT100" s="640" t="s">
        <v>910</v>
      </c>
      <c r="BU100" s="630">
        <v>10</v>
      </c>
      <c r="BV100" s="640" t="s">
        <v>910</v>
      </c>
      <c r="BW100" s="644">
        <v>0.14000000000000001</v>
      </c>
      <c r="BX100" s="644">
        <v>0.52</v>
      </c>
      <c r="BY100" s="644">
        <v>0.32</v>
      </c>
      <c r="BZ100" s="644">
        <v>0.02</v>
      </c>
      <c r="CA100" s="644">
        <v>0.68</v>
      </c>
      <c r="CB100" s="644">
        <v>0.46</v>
      </c>
      <c r="CC100" s="644">
        <v>0.59</v>
      </c>
    </row>
    <row r="101" spans="1:81" ht="24.9" customHeight="1" x14ac:dyDescent="0.25">
      <c r="A101" s="188" t="s">
        <v>48</v>
      </c>
      <c r="B101" s="1" t="s">
        <v>220</v>
      </c>
      <c r="C101" s="2">
        <v>4</v>
      </c>
      <c r="D101" s="16">
        <v>48</v>
      </c>
      <c r="E101" s="16">
        <v>8</v>
      </c>
      <c r="F101" s="99">
        <v>0</v>
      </c>
      <c r="G101" s="99">
        <v>0.65</v>
      </c>
      <c r="H101" s="99">
        <v>0.35</v>
      </c>
      <c r="I101" s="99">
        <v>0</v>
      </c>
      <c r="J101" s="99">
        <v>0.6</v>
      </c>
      <c r="K101" s="99">
        <v>0.48</v>
      </c>
      <c r="L101" s="99">
        <v>0.65</v>
      </c>
      <c r="M101" s="36">
        <v>47</v>
      </c>
      <c r="N101" s="36">
        <v>10</v>
      </c>
      <c r="O101" s="66">
        <v>0.14000000000000001</v>
      </c>
      <c r="P101" s="66">
        <v>0.45</v>
      </c>
      <c r="Q101" s="66">
        <v>0.41</v>
      </c>
      <c r="R101" s="66">
        <v>0</v>
      </c>
      <c r="S101" s="66">
        <v>0.52</v>
      </c>
      <c r="T101" s="66">
        <v>0.6</v>
      </c>
      <c r="U101" s="66">
        <v>0.42</v>
      </c>
      <c r="V101" s="16">
        <v>50</v>
      </c>
      <c r="W101" s="16">
        <v>10</v>
      </c>
      <c r="X101" s="99">
        <v>0.1</v>
      </c>
      <c r="Y101" s="99">
        <v>0.41</v>
      </c>
      <c r="Z101" s="99">
        <v>0.48</v>
      </c>
      <c r="AA101" s="99">
        <v>0</v>
      </c>
      <c r="AB101" s="99">
        <v>0.51</v>
      </c>
      <c r="AC101" s="99">
        <v>0.41</v>
      </c>
      <c r="AD101" s="99">
        <v>0.55000000000000004</v>
      </c>
      <c r="AE101" s="16">
        <v>48</v>
      </c>
      <c r="AF101" s="16">
        <v>7</v>
      </c>
      <c r="AG101" s="99">
        <v>0.03</v>
      </c>
      <c r="AH101" s="99">
        <v>0.57999999999999996</v>
      </c>
      <c r="AI101" s="99">
        <v>0.39</v>
      </c>
      <c r="AJ101" s="99">
        <v>0</v>
      </c>
      <c r="AK101" s="99">
        <v>0.63</v>
      </c>
      <c r="AL101" s="99">
        <v>0.51</v>
      </c>
      <c r="AM101" s="99">
        <v>0.35</v>
      </c>
      <c r="AN101" s="61">
        <v>47</v>
      </c>
      <c r="AO101" s="61">
        <v>8</v>
      </c>
      <c r="AP101" s="66">
        <v>0.12</v>
      </c>
      <c r="AQ101" s="66">
        <v>0.52</v>
      </c>
      <c r="AR101" s="66">
        <v>0.36</v>
      </c>
      <c r="AS101" s="66">
        <v>0</v>
      </c>
      <c r="AT101" s="66">
        <v>0.36</v>
      </c>
      <c r="AU101" s="66">
        <v>0.57999999999999996</v>
      </c>
      <c r="AV101" s="66">
        <v>0.56000000000000005</v>
      </c>
      <c r="AW101" s="349">
        <v>47</v>
      </c>
      <c r="AX101" s="348" t="s">
        <v>910</v>
      </c>
      <c r="AY101" s="349">
        <v>8</v>
      </c>
      <c r="AZ101" s="348" t="s">
        <v>910</v>
      </c>
      <c r="BA101" s="371">
        <v>0.09</v>
      </c>
      <c r="BB101" s="371">
        <v>0.47</v>
      </c>
      <c r="BC101" s="371">
        <v>0.44</v>
      </c>
      <c r="BD101" s="371">
        <v>0</v>
      </c>
      <c r="BE101" s="371">
        <v>0.33</v>
      </c>
      <c r="BF101" s="371">
        <v>0.57999999999999996</v>
      </c>
      <c r="BG101" s="371">
        <v>0.56000000000000005</v>
      </c>
      <c r="BH101" s="469">
        <v>49</v>
      </c>
      <c r="BI101" s="471" t="s">
        <v>910</v>
      </c>
      <c r="BJ101" s="469">
        <v>9</v>
      </c>
      <c r="BK101" s="471" t="s">
        <v>910</v>
      </c>
      <c r="BL101" s="501">
        <v>0.06</v>
      </c>
      <c r="BM101" s="501">
        <v>0.52</v>
      </c>
      <c r="BN101" s="501">
        <v>0.39</v>
      </c>
      <c r="BO101" s="501">
        <v>0.03</v>
      </c>
      <c r="BP101" s="501">
        <v>0.59</v>
      </c>
      <c r="BQ101" s="501">
        <v>0.63</v>
      </c>
      <c r="BR101" s="501">
        <v>0.45</v>
      </c>
      <c r="BS101" s="630">
        <v>48</v>
      </c>
      <c r="BT101" s="640" t="s">
        <v>910</v>
      </c>
      <c r="BU101" s="630">
        <v>10</v>
      </c>
      <c r="BV101" s="640" t="s">
        <v>910</v>
      </c>
      <c r="BW101" s="644">
        <v>7.0000000000000007E-2</v>
      </c>
      <c r="BX101" s="644">
        <v>0.54</v>
      </c>
      <c r="BY101" s="644">
        <v>0.36</v>
      </c>
      <c r="BZ101" s="644">
        <v>0.04</v>
      </c>
      <c r="CA101" s="644">
        <v>0.66</v>
      </c>
      <c r="CB101" s="644">
        <v>0.42</v>
      </c>
      <c r="CC101" s="644">
        <v>0.67</v>
      </c>
    </row>
    <row r="102" spans="1:81" s="134" customFormat="1" ht="24.9" customHeight="1" x14ac:dyDescent="0.25">
      <c r="A102" s="188" t="s">
        <v>926</v>
      </c>
      <c r="B102" s="1" t="s">
        <v>220</v>
      </c>
      <c r="C102" s="2">
        <v>3</v>
      </c>
      <c r="D102" s="16">
        <v>52</v>
      </c>
      <c r="E102" s="16">
        <v>8</v>
      </c>
      <c r="F102" s="99">
        <v>0.02</v>
      </c>
      <c r="G102" s="99">
        <v>0.43</v>
      </c>
      <c r="H102" s="99">
        <v>0.54</v>
      </c>
      <c r="I102" s="99">
        <v>0.01</v>
      </c>
      <c r="J102" s="99">
        <v>0.48</v>
      </c>
      <c r="K102" s="99">
        <v>0.55000000000000004</v>
      </c>
      <c r="L102" s="99">
        <v>0.56000000000000005</v>
      </c>
      <c r="M102" s="36">
        <v>51</v>
      </c>
      <c r="N102" s="36">
        <v>9</v>
      </c>
      <c r="O102" s="66">
        <v>0.05</v>
      </c>
      <c r="P102" s="66">
        <v>0.38</v>
      </c>
      <c r="Q102" s="66">
        <v>0.56000000000000005</v>
      </c>
      <c r="R102" s="66">
        <v>0</v>
      </c>
      <c r="S102" s="66">
        <v>0.48</v>
      </c>
      <c r="T102" s="66">
        <v>0.57999999999999996</v>
      </c>
      <c r="U102" s="66">
        <v>0.38</v>
      </c>
      <c r="V102" s="16">
        <v>52</v>
      </c>
      <c r="W102" s="16">
        <v>9</v>
      </c>
      <c r="X102" s="99">
        <v>0.03</v>
      </c>
      <c r="Y102" s="99">
        <v>0.36</v>
      </c>
      <c r="Z102" s="99">
        <v>0.6</v>
      </c>
      <c r="AA102" s="99">
        <v>0.01</v>
      </c>
      <c r="AB102" s="99">
        <v>0.5</v>
      </c>
      <c r="AC102" s="99">
        <v>0.39</v>
      </c>
      <c r="AD102" s="99">
        <v>0.52</v>
      </c>
      <c r="AE102" s="16">
        <v>51</v>
      </c>
      <c r="AF102" s="16">
        <v>10</v>
      </c>
      <c r="AG102" s="99">
        <v>7.0000000000000007E-2</v>
      </c>
      <c r="AH102" s="99">
        <v>0.41</v>
      </c>
      <c r="AI102" s="99">
        <v>0.51</v>
      </c>
      <c r="AJ102" s="99">
        <v>0.01</v>
      </c>
      <c r="AK102" s="99">
        <v>0.54</v>
      </c>
      <c r="AL102" s="99">
        <v>0.49</v>
      </c>
      <c r="AM102" s="99">
        <v>0.32</v>
      </c>
      <c r="AN102" s="61">
        <v>53</v>
      </c>
      <c r="AO102" s="61">
        <v>9</v>
      </c>
      <c r="AP102" s="66">
        <v>0.03</v>
      </c>
      <c r="AQ102" s="66">
        <v>0.33</v>
      </c>
      <c r="AR102" s="66">
        <v>0.6</v>
      </c>
      <c r="AS102" s="66">
        <v>0.04</v>
      </c>
      <c r="AT102" s="66">
        <v>0.27</v>
      </c>
      <c r="AU102" s="66">
        <v>0.5</v>
      </c>
      <c r="AV102" s="66">
        <v>0.52</v>
      </c>
      <c r="AW102" s="349">
        <v>51</v>
      </c>
      <c r="AX102" s="348" t="s">
        <v>910</v>
      </c>
      <c r="AY102" s="349">
        <v>9</v>
      </c>
      <c r="AZ102" s="348" t="s">
        <v>910</v>
      </c>
      <c r="BA102" s="371">
        <v>0.05</v>
      </c>
      <c r="BB102" s="371">
        <v>0.43</v>
      </c>
      <c r="BC102" s="371">
        <v>0.51</v>
      </c>
      <c r="BD102" s="371">
        <v>0.01</v>
      </c>
      <c r="BE102" s="371">
        <v>0.31</v>
      </c>
      <c r="BF102" s="371">
        <v>0.52</v>
      </c>
      <c r="BG102" s="371">
        <v>0.49</v>
      </c>
      <c r="BH102" s="469">
        <v>54</v>
      </c>
      <c r="BI102" s="471" t="s">
        <v>910</v>
      </c>
      <c r="BJ102" s="469">
        <v>10</v>
      </c>
      <c r="BK102" s="471" t="s">
        <v>910</v>
      </c>
      <c r="BL102" s="501">
        <v>0.03</v>
      </c>
      <c r="BM102" s="501">
        <v>0.28999999999999998</v>
      </c>
      <c r="BN102" s="501">
        <v>0.63</v>
      </c>
      <c r="BO102" s="501">
        <v>0.05</v>
      </c>
      <c r="BP102" s="501">
        <v>0.49</v>
      </c>
      <c r="BQ102" s="501">
        <v>0.57999999999999996</v>
      </c>
      <c r="BR102" s="501">
        <v>0.36</v>
      </c>
      <c r="BS102" s="630">
        <v>53</v>
      </c>
      <c r="BT102" s="640" t="s">
        <v>910</v>
      </c>
      <c r="BU102" s="630">
        <v>11</v>
      </c>
      <c r="BV102" s="640" t="s">
        <v>910</v>
      </c>
      <c r="BW102" s="644">
        <v>7.0000000000000007E-2</v>
      </c>
      <c r="BX102" s="644">
        <v>0.34</v>
      </c>
      <c r="BY102" s="644">
        <v>0.54</v>
      </c>
      <c r="BZ102" s="644">
        <v>0.05</v>
      </c>
      <c r="CA102" s="644">
        <v>0.57999999999999996</v>
      </c>
      <c r="CB102" s="644">
        <v>0.38</v>
      </c>
      <c r="CC102" s="644">
        <v>0.59</v>
      </c>
    </row>
    <row r="103" spans="1:81" ht="24.9" customHeight="1" x14ac:dyDescent="0.25">
      <c r="A103" s="188" t="s">
        <v>138</v>
      </c>
      <c r="B103" s="1" t="s">
        <v>220</v>
      </c>
      <c r="C103" s="2">
        <v>1</v>
      </c>
      <c r="D103" s="16">
        <v>53</v>
      </c>
      <c r="E103" s="16">
        <v>10</v>
      </c>
      <c r="F103" s="99">
        <v>0.04</v>
      </c>
      <c r="G103" s="99">
        <v>0.36</v>
      </c>
      <c r="H103" s="99">
        <v>0.56000000000000005</v>
      </c>
      <c r="I103" s="99">
        <v>0.05</v>
      </c>
      <c r="J103" s="99">
        <v>0.54</v>
      </c>
      <c r="K103" s="99">
        <v>0.51</v>
      </c>
      <c r="L103" s="99">
        <v>0.56999999999999995</v>
      </c>
      <c r="M103" s="36">
        <v>50</v>
      </c>
      <c r="N103" s="36">
        <v>9</v>
      </c>
      <c r="O103" s="66">
        <v>0.04</v>
      </c>
      <c r="P103" s="66">
        <v>0.47</v>
      </c>
      <c r="Q103" s="66">
        <v>0.46</v>
      </c>
      <c r="R103" s="66">
        <v>0.03</v>
      </c>
      <c r="S103" s="66">
        <v>0.51</v>
      </c>
      <c r="T103" s="66">
        <v>0.57999999999999996</v>
      </c>
      <c r="U103" s="66">
        <v>0.37</v>
      </c>
      <c r="V103" s="16">
        <v>49</v>
      </c>
      <c r="W103" s="16">
        <v>9</v>
      </c>
      <c r="X103" s="99">
        <v>0.04</v>
      </c>
      <c r="Y103" s="99">
        <v>0.49</v>
      </c>
      <c r="Z103" s="99">
        <v>0.46</v>
      </c>
      <c r="AA103" s="99">
        <v>0.01</v>
      </c>
      <c r="AB103" s="99">
        <v>0.54</v>
      </c>
      <c r="AC103" s="99">
        <v>0.4</v>
      </c>
      <c r="AD103" s="99">
        <v>0.57999999999999996</v>
      </c>
      <c r="AE103" s="16">
        <v>52</v>
      </c>
      <c r="AF103" s="16">
        <v>9</v>
      </c>
      <c r="AG103" s="99">
        <v>0.04</v>
      </c>
      <c r="AH103" s="99">
        <v>0.35</v>
      </c>
      <c r="AI103" s="99">
        <v>0.61</v>
      </c>
      <c r="AJ103" s="99">
        <v>0.01</v>
      </c>
      <c r="AK103" s="99">
        <v>0.55000000000000004</v>
      </c>
      <c r="AL103" s="99">
        <v>0.45</v>
      </c>
      <c r="AM103" s="99">
        <v>0.28999999999999998</v>
      </c>
      <c r="AN103" s="61">
        <v>51</v>
      </c>
      <c r="AO103" s="61">
        <v>9</v>
      </c>
      <c r="AP103" s="66">
        <v>0.05</v>
      </c>
      <c r="AQ103" s="66">
        <v>0.38</v>
      </c>
      <c r="AR103" s="66">
        <v>0.55000000000000004</v>
      </c>
      <c r="AS103" s="66">
        <v>0.02</v>
      </c>
      <c r="AT103" s="66">
        <v>0.3</v>
      </c>
      <c r="AU103" s="66">
        <v>0.51</v>
      </c>
      <c r="AV103" s="66">
        <v>0.54</v>
      </c>
      <c r="AW103" s="349">
        <v>51</v>
      </c>
      <c r="AX103" s="348" t="s">
        <v>910</v>
      </c>
      <c r="AY103" s="349">
        <v>8</v>
      </c>
      <c r="AZ103" s="348" t="s">
        <v>910</v>
      </c>
      <c r="BA103" s="371">
        <v>0.03</v>
      </c>
      <c r="BB103" s="371">
        <v>0.42</v>
      </c>
      <c r="BC103" s="371">
        <v>0.55000000000000004</v>
      </c>
      <c r="BD103" s="371">
        <v>0</v>
      </c>
      <c r="BE103" s="371">
        <v>0.28999999999999998</v>
      </c>
      <c r="BF103" s="371">
        <v>0.54</v>
      </c>
      <c r="BG103" s="371">
        <v>0.49</v>
      </c>
      <c r="BH103" s="469">
        <v>50</v>
      </c>
      <c r="BI103" s="471" t="s">
        <v>910</v>
      </c>
      <c r="BJ103" s="469">
        <v>9</v>
      </c>
      <c r="BK103" s="471" t="s">
        <v>910</v>
      </c>
      <c r="BL103" s="501">
        <v>0.06</v>
      </c>
      <c r="BM103" s="501">
        <v>0.39</v>
      </c>
      <c r="BN103" s="501">
        <v>0.55000000000000004</v>
      </c>
      <c r="BO103" s="501">
        <v>0</v>
      </c>
      <c r="BP103" s="501">
        <v>0.54</v>
      </c>
      <c r="BQ103" s="501">
        <v>0.64</v>
      </c>
      <c r="BR103" s="501">
        <v>0.43</v>
      </c>
      <c r="BS103" s="630">
        <v>52</v>
      </c>
      <c r="BT103" s="640" t="s">
        <v>910</v>
      </c>
      <c r="BU103" s="630">
        <v>10</v>
      </c>
      <c r="BV103" s="640" t="s">
        <v>910</v>
      </c>
      <c r="BW103" s="644">
        <v>7.0000000000000007E-2</v>
      </c>
      <c r="BX103" s="644">
        <v>0.36</v>
      </c>
      <c r="BY103" s="644">
        <v>0.55000000000000004</v>
      </c>
      <c r="BZ103" s="644">
        <v>0.02</v>
      </c>
      <c r="CA103" s="644">
        <v>0.59</v>
      </c>
      <c r="CB103" s="644">
        <v>0.35</v>
      </c>
      <c r="CC103" s="644">
        <v>0.59</v>
      </c>
    </row>
    <row r="104" spans="1:81" ht="24.9" customHeight="1" x14ac:dyDescent="0.25">
      <c r="A104" s="189" t="s">
        <v>291</v>
      </c>
      <c r="B104" s="69" t="s">
        <v>220</v>
      </c>
      <c r="C104" s="71">
        <v>3</v>
      </c>
      <c r="D104" s="16">
        <v>50</v>
      </c>
      <c r="E104" s="16">
        <v>9</v>
      </c>
      <c r="F104" s="99">
        <v>0.04</v>
      </c>
      <c r="G104" s="99">
        <v>0.53</v>
      </c>
      <c r="H104" s="99">
        <v>0.42</v>
      </c>
      <c r="I104" s="99">
        <v>0.01</v>
      </c>
      <c r="J104" s="99">
        <v>0.56999999999999995</v>
      </c>
      <c r="K104" s="99">
        <v>0.51</v>
      </c>
      <c r="L104" s="99">
        <v>0.59</v>
      </c>
      <c r="M104" s="36">
        <v>50</v>
      </c>
      <c r="N104" s="36">
        <v>9</v>
      </c>
      <c r="O104" s="66">
        <v>0.06</v>
      </c>
      <c r="P104" s="66">
        <v>0.43</v>
      </c>
      <c r="Q104" s="66">
        <v>0.5</v>
      </c>
      <c r="R104" s="66">
        <v>0.01</v>
      </c>
      <c r="S104" s="66">
        <v>0.5</v>
      </c>
      <c r="T104" s="66">
        <v>0.59</v>
      </c>
      <c r="U104" s="66">
        <v>0.39</v>
      </c>
      <c r="V104" s="16">
        <v>51</v>
      </c>
      <c r="W104" s="16">
        <v>10</v>
      </c>
      <c r="X104" s="99">
        <v>0.05</v>
      </c>
      <c r="Y104" s="99">
        <v>0.45</v>
      </c>
      <c r="Z104" s="99">
        <v>0.48</v>
      </c>
      <c r="AA104" s="99">
        <v>0.01</v>
      </c>
      <c r="AB104" s="99">
        <v>0.52</v>
      </c>
      <c r="AC104" s="99">
        <v>0.4</v>
      </c>
      <c r="AD104" s="99">
        <v>0.53</v>
      </c>
      <c r="AE104" s="16">
        <v>51</v>
      </c>
      <c r="AF104" s="16">
        <v>9</v>
      </c>
      <c r="AG104" s="99">
        <v>0.06</v>
      </c>
      <c r="AH104" s="99">
        <v>0.41</v>
      </c>
      <c r="AI104" s="99">
        <v>0.53</v>
      </c>
      <c r="AJ104" s="99">
        <v>0.01</v>
      </c>
      <c r="AK104" s="99">
        <v>0.56999999999999995</v>
      </c>
      <c r="AL104" s="99">
        <v>0.48</v>
      </c>
      <c r="AM104" s="99">
        <v>0.31</v>
      </c>
      <c r="AN104" s="61">
        <v>54</v>
      </c>
      <c r="AO104" s="61">
        <v>9</v>
      </c>
      <c r="AP104" s="66">
        <v>0.02</v>
      </c>
      <c r="AQ104" s="66">
        <v>0.3</v>
      </c>
      <c r="AR104" s="66">
        <v>0.65</v>
      </c>
      <c r="AS104" s="66">
        <v>0.02</v>
      </c>
      <c r="AT104" s="66">
        <v>0.24</v>
      </c>
      <c r="AU104" s="66">
        <v>0.49</v>
      </c>
      <c r="AV104" s="66">
        <v>0.48</v>
      </c>
      <c r="AW104" s="349">
        <v>52</v>
      </c>
      <c r="AX104" s="348" t="s">
        <v>910</v>
      </c>
      <c r="AY104" s="349">
        <v>9</v>
      </c>
      <c r="AZ104" s="348" t="s">
        <v>910</v>
      </c>
      <c r="BA104" s="371">
        <v>0.03</v>
      </c>
      <c r="BB104" s="371">
        <v>0.39</v>
      </c>
      <c r="BC104" s="371">
        <v>0.55000000000000004</v>
      </c>
      <c r="BD104" s="371">
        <v>0.02</v>
      </c>
      <c r="BE104" s="371">
        <v>0.27</v>
      </c>
      <c r="BF104" s="371">
        <v>0.51</v>
      </c>
      <c r="BG104" s="371">
        <v>0.46</v>
      </c>
      <c r="BH104" s="469">
        <v>54</v>
      </c>
      <c r="BI104" s="471" t="s">
        <v>910</v>
      </c>
      <c r="BJ104" s="469">
        <v>9</v>
      </c>
      <c r="BK104" s="471" t="s">
        <v>910</v>
      </c>
      <c r="BL104" s="501">
        <v>0.04</v>
      </c>
      <c r="BM104" s="501">
        <v>0.3</v>
      </c>
      <c r="BN104" s="501">
        <v>0.63</v>
      </c>
      <c r="BO104" s="501">
        <v>0.03</v>
      </c>
      <c r="BP104" s="501">
        <v>0.5</v>
      </c>
      <c r="BQ104" s="501">
        <v>0.57999999999999996</v>
      </c>
      <c r="BR104" s="501">
        <v>0.37</v>
      </c>
      <c r="BS104" s="630">
        <v>53</v>
      </c>
      <c r="BT104" s="640" t="s">
        <v>910</v>
      </c>
      <c r="BU104" s="630">
        <v>10</v>
      </c>
      <c r="BV104" s="640" t="s">
        <v>910</v>
      </c>
      <c r="BW104" s="644">
        <v>0.04</v>
      </c>
      <c r="BX104" s="644">
        <v>0.37</v>
      </c>
      <c r="BY104" s="644">
        <v>0.53</v>
      </c>
      <c r="BZ104" s="644">
        <v>0.06</v>
      </c>
      <c r="CA104" s="644">
        <v>0.59</v>
      </c>
      <c r="CB104" s="644">
        <v>0.36</v>
      </c>
      <c r="CC104" s="644">
        <v>0.57999999999999996</v>
      </c>
    </row>
    <row r="105" spans="1:81" ht="24.9" customHeight="1" x14ac:dyDescent="0.25">
      <c r="A105" s="188" t="s">
        <v>103</v>
      </c>
      <c r="B105" s="1" t="s">
        <v>220</v>
      </c>
      <c r="C105" s="2">
        <v>4</v>
      </c>
      <c r="D105" s="16">
        <v>48</v>
      </c>
      <c r="E105" s="16">
        <v>10</v>
      </c>
      <c r="F105" s="99">
        <v>0.13</v>
      </c>
      <c r="G105" s="99">
        <v>0.46</v>
      </c>
      <c r="H105" s="99">
        <v>0.42</v>
      </c>
      <c r="I105" s="99">
        <v>0</v>
      </c>
      <c r="J105" s="99">
        <v>0.56999999999999995</v>
      </c>
      <c r="K105" s="99">
        <v>0.47</v>
      </c>
      <c r="L105" s="99">
        <v>0.57999999999999996</v>
      </c>
      <c r="M105" s="36">
        <v>48</v>
      </c>
      <c r="N105" s="36">
        <v>10</v>
      </c>
      <c r="O105" s="66">
        <v>0.12</v>
      </c>
      <c r="P105" s="66">
        <v>0.5</v>
      </c>
      <c r="Q105" s="66">
        <v>0.37</v>
      </c>
      <c r="R105" s="66">
        <v>0.01</v>
      </c>
      <c r="S105" s="66">
        <v>0.53</v>
      </c>
      <c r="T105" s="66">
        <v>0.61</v>
      </c>
      <c r="U105" s="66">
        <v>0.43</v>
      </c>
      <c r="V105" s="16">
        <v>48</v>
      </c>
      <c r="W105" s="16">
        <v>10</v>
      </c>
      <c r="X105" s="99">
        <v>0.09</v>
      </c>
      <c r="Y105" s="99">
        <v>0.5</v>
      </c>
      <c r="Z105" s="99">
        <v>0.4</v>
      </c>
      <c r="AA105" s="99">
        <v>0.01</v>
      </c>
      <c r="AB105" s="99">
        <v>0.54</v>
      </c>
      <c r="AC105" s="99">
        <v>0.43</v>
      </c>
      <c r="AD105" s="99">
        <v>0.56999999999999995</v>
      </c>
      <c r="AE105" s="16">
        <v>46</v>
      </c>
      <c r="AF105" s="16">
        <v>10</v>
      </c>
      <c r="AG105" s="99">
        <v>0.13</v>
      </c>
      <c r="AH105" s="99">
        <v>0.52</v>
      </c>
      <c r="AI105" s="99">
        <v>0.34</v>
      </c>
      <c r="AJ105" s="99">
        <v>0.01</v>
      </c>
      <c r="AK105" s="99">
        <v>0.6</v>
      </c>
      <c r="AL105" s="99">
        <v>0.56999999999999995</v>
      </c>
      <c r="AM105" s="99">
        <v>0.39</v>
      </c>
      <c r="AN105" s="61">
        <v>49</v>
      </c>
      <c r="AO105" s="61">
        <v>9</v>
      </c>
      <c r="AP105" s="66">
        <v>0.1</v>
      </c>
      <c r="AQ105" s="66">
        <v>0.43</v>
      </c>
      <c r="AR105" s="66">
        <v>0.47</v>
      </c>
      <c r="AS105" s="66">
        <v>0.01</v>
      </c>
      <c r="AT105" s="66">
        <v>0.33</v>
      </c>
      <c r="AU105" s="66">
        <v>0.55000000000000004</v>
      </c>
      <c r="AV105" s="66">
        <v>0.56000000000000005</v>
      </c>
      <c r="AW105" s="349">
        <v>46</v>
      </c>
      <c r="AX105" s="348" t="s">
        <v>910</v>
      </c>
      <c r="AY105" s="349">
        <v>10</v>
      </c>
      <c r="AZ105" s="348" t="s">
        <v>910</v>
      </c>
      <c r="BA105" s="371">
        <v>0.16</v>
      </c>
      <c r="BB105" s="371">
        <v>0.46</v>
      </c>
      <c r="BC105" s="371">
        <v>0.37</v>
      </c>
      <c r="BD105" s="371">
        <v>0</v>
      </c>
      <c r="BE105" s="371">
        <v>0.38</v>
      </c>
      <c r="BF105" s="371">
        <v>0.59</v>
      </c>
      <c r="BG105" s="371">
        <v>0.52</v>
      </c>
      <c r="BH105" s="469">
        <v>48</v>
      </c>
      <c r="BI105" s="471" t="s">
        <v>910</v>
      </c>
      <c r="BJ105" s="469">
        <v>10</v>
      </c>
      <c r="BK105" s="471" t="s">
        <v>910</v>
      </c>
      <c r="BL105" s="501">
        <v>0.13</v>
      </c>
      <c r="BM105" s="501">
        <v>0.5</v>
      </c>
      <c r="BN105" s="501">
        <v>0.35</v>
      </c>
      <c r="BO105" s="501">
        <v>0.02</v>
      </c>
      <c r="BP105" s="501">
        <v>0.57999999999999996</v>
      </c>
      <c r="BQ105" s="501">
        <v>0.66</v>
      </c>
      <c r="BR105" s="501">
        <v>0.43</v>
      </c>
      <c r="BS105" s="630">
        <v>47</v>
      </c>
      <c r="BT105" s="640" t="s">
        <v>910</v>
      </c>
      <c r="BU105" s="630">
        <v>11</v>
      </c>
      <c r="BV105" s="640" t="s">
        <v>910</v>
      </c>
      <c r="BW105" s="644">
        <v>0.16</v>
      </c>
      <c r="BX105" s="644">
        <v>0.47</v>
      </c>
      <c r="BY105" s="644">
        <v>0.36</v>
      </c>
      <c r="BZ105" s="644">
        <v>0.01</v>
      </c>
      <c r="CA105" s="644">
        <v>0.66</v>
      </c>
      <c r="CB105" s="644">
        <v>0.49</v>
      </c>
      <c r="CC105" s="644">
        <v>0.65</v>
      </c>
    </row>
    <row r="106" spans="1:81" ht="24.9" customHeight="1" x14ac:dyDescent="0.25">
      <c r="A106" s="188" t="s">
        <v>86</v>
      </c>
      <c r="B106" s="1" t="s">
        <v>220</v>
      </c>
      <c r="C106" s="2">
        <v>1</v>
      </c>
      <c r="D106" s="16">
        <v>52</v>
      </c>
      <c r="E106" s="16">
        <v>9</v>
      </c>
      <c r="F106" s="99">
        <v>0.03</v>
      </c>
      <c r="G106" s="99">
        <v>0.42</v>
      </c>
      <c r="H106" s="99">
        <v>0.55000000000000004</v>
      </c>
      <c r="I106" s="99">
        <v>0</v>
      </c>
      <c r="J106" s="99">
        <v>0.54</v>
      </c>
      <c r="K106" s="99">
        <v>0.43</v>
      </c>
      <c r="L106" s="99">
        <v>0.55000000000000004</v>
      </c>
      <c r="M106" s="36">
        <v>49</v>
      </c>
      <c r="N106" s="36">
        <v>9</v>
      </c>
      <c r="O106" s="66">
        <v>7.0000000000000007E-2</v>
      </c>
      <c r="P106" s="66">
        <v>0.47</v>
      </c>
      <c r="Q106" s="66">
        <v>0.46</v>
      </c>
      <c r="R106" s="66">
        <v>0</v>
      </c>
      <c r="S106" s="66">
        <v>0.53</v>
      </c>
      <c r="T106" s="66">
        <v>0.59</v>
      </c>
      <c r="U106" s="66">
        <v>0.39</v>
      </c>
      <c r="V106" s="16">
        <v>51</v>
      </c>
      <c r="W106" s="16">
        <v>9</v>
      </c>
      <c r="X106" s="99">
        <v>0.05</v>
      </c>
      <c r="Y106" s="99">
        <v>0.47</v>
      </c>
      <c r="Z106" s="99">
        <v>0.45</v>
      </c>
      <c r="AA106" s="99">
        <v>0.02</v>
      </c>
      <c r="AB106" s="99">
        <v>0.51</v>
      </c>
      <c r="AC106" s="99">
        <v>0.4</v>
      </c>
      <c r="AD106" s="99">
        <v>0.54</v>
      </c>
      <c r="AE106" s="16">
        <v>51</v>
      </c>
      <c r="AF106" s="16">
        <v>9</v>
      </c>
      <c r="AG106" s="99">
        <v>0.04</v>
      </c>
      <c r="AH106" s="99">
        <v>0.41</v>
      </c>
      <c r="AI106" s="99">
        <v>0.51</v>
      </c>
      <c r="AJ106" s="99">
        <v>0.03</v>
      </c>
      <c r="AK106" s="99">
        <v>0.56000000000000005</v>
      </c>
      <c r="AL106" s="99">
        <v>0.5</v>
      </c>
      <c r="AM106" s="99">
        <v>0.31</v>
      </c>
      <c r="AN106" s="61">
        <v>51</v>
      </c>
      <c r="AO106" s="61">
        <v>9</v>
      </c>
      <c r="AP106" s="66">
        <v>0.06</v>
      </c>
      <c r="AQ106" s="66">
        <v>0.42</v>
      </c>
      <c r="AR106" s="66">
        <v>0.51</v>
      </c>
      <c r="AS106" s="66">
        <v>0.01</v>
      </c>
      <c r="AT106" s="66">
        <v>0.31</v>
      </c>
      <c r="AU106" s="66">
        <v>0.53</v>
      </c>
      <c r="AV106" s="66">
        <v>0.55000000000000004</v>
      </c>
      <c r="AW106" s="349">
        <v>50</v>
      </c>
      <c r="AX106" s="348" t="s">
        <v>910</v>
      </c>
      <c r="AY106" s="349">
        <v>10</v>
      </c>
      <c r="AZ106" s="348" t="s">
        <v>910</v>
      </c>
      <c r="BA106" s="371">
        <v>0.09</v>
      </c>
      <c r="BB106" s="371">
        <v>0.41</v>
      </c>
      <c r="BC106" s="371">
        <v>0.48</v>
      </c>
      <c r="BD106" s="371">
        <v>0.01</v>
      </c>
      <c r="BE106" s="371">
        <v>0.31</v>
      </c>
      <c r="BF106" s="371">
        <v>0.54</v>
      </c>
      <c r="BG106" s="371">
        <v>0.49</v>
      </c>
      <c r="BH106" s="469">
        <v>51</v>
      </c>
      <c r="BI106" s="471" t="s">
        <v>910</v>
      </c>
      <c r="BJ106" s="469">
        <v>9</v>
      </c>
      <c r="BK106" s="471" t="s">
        <v>910</v>
      </c>
      <c r="BL106" s="501">
        <v>0.05</v>
      </c>
      <c r="BM106" s="501">
        <v>0.41</v>
      </c>
      <c r="BN106" s="501">
        <v>0.53</v>
      </c>
      <c r="BO106" s="501">
        <v>0.02</v>
      </c>
      <c r="BP106" s="501">
        <v>0.54</v>
      </c>
      <c r="BQ106" s="501">
        <v>0.6</v>
      </c>
      <c r="BR106" s="501">
        <v>0.42</v>
      </c>
      <c r="BS106" s="630">
        <v>52</v>
      </c>
      <c r="BT106" s="640" t="s">
        <v>910</v>
      </c>
      <c r="BU106" s="630">
        <v>10</v>
      </c>
      <c r="BV106" s="640" t="s">
        <v>910</v>
      </c>
      <c r="BW106" s="644">
        <v>0.04</v>
      </c>
      <c r="BX106" s="644">
        <v>0.38</v>
      </c>
      <c r="BY106" s="644">
        <v>0.56999999999999995</v>
      </c>
      <c r="BZ106" s="644">
        <v>0.02</v>
      </c>
      <c r="CA106" s="644">
        <v>0.61</v>
      </c>
      <c r="CB106" s="644">
        <v>0.42</v>
      </c>
      <c r="CC106" s="644">
        <v>0.56999999999999995</v>
      </c>
    </row>
    <row r="107" spans="1:81" ht="24.9" customHeight="1" x14ac:dyDescent="0.25">
      <c r="A107" s="188" t="s">
        <v>46</v>
      </c>
      <c r="B107" s="1" t="s">
        <v>222</v>
      </c>
      <c r="C107" s="2">
        <v>5</v>
      </c>
      <c r="D107" s="16">
        <v>56</v>
      </c>
      <c r="E107" s="16">
        <v>8</v>
      </c>
      <c r="F107" s="99">
        <v>0</v>
      </c>
      <c r="G107" s="99">
        <v>0.28000000000000003</v>
      </c>
      <c r="H107" s="99">
        <v>0.69</v>
      </c>
      <c r="I107" s="99">
        <v>0.03</v>
      </c>
      <c r="J107" s="99">
        <v>0.47</v>
      </c>
      <c r="K107" s="99">
        <v>0.42</v>
      </c>
      <c r="L107" s="99">
        <v>0.49</v>
      </c>
      <c r="M107" s="36">
        <v>49</v>
      </c>
      <c r="N107" s="36">
        <v>9</v>
      </c>
      <c r="O107" s="66">
        <v>0.02</v>
      </c>
      <c r="P107" s="66">
        <v>0.61</v>
      </c>
      <c r="Q107" s="66">
        <v>0.34</v>
      </c>
      <c r="R107" s="66">
        <v>0.02</v>
      </c>
      <c r="S107" s="66">
        <v>0.54</v>
      </c>
      <c r="T107" s="66">
        <v>0.59</v>
      </c>
      <c r="U107" s="66">
        <v>0.39</v>
      </c>
      <c r="V107" s="16">
        <v>50</v>
      </c>
      <c r="W107" s="16">
        <v>11</v>
      </c>
      <c r="X107" s="99">
        <v>0.05</v>
      </c>
      <c r="Y107" s="99">
        <v>0.48</v>
      </c>
      <c r="Z107" s="99">
        <v>0.48</v>
      </c>
      <c r="AA107" s="99">
        <v>0</v>
      </c>
      <c r="AB107" s="99">
        <v>0.51</v>
      </c>
      <c r="AC107" s="99">
        <v>0.42</v>
      </c>
      <c r="AD107" s="99">
        <v>0.49</v>
      </c>
      <c r="AE107" s="16">
        <v>53</v>
      </c>
      <c r="AF107" s="16">
        <v>8</v>
      </c>
      <c r="AG107" s="99">
        <v>0.03</v>
      </c>
      <c r="AH107" s="99">
        <v>0.31</v>
      </c>
      <c r="AI107" s="99">
        <v>0.66</v>
      </c>
      <c r="AJ107" s="99">
        <v>0</v>
      </c>
      <c r="AK107" s="99">
        <v>0.53</v>
      </c>
      <c r="AL107" s="99">
        <v>0.41</v>
      </c>
      <c r="AM107" s="99">
        <v>0.27</v>
      </c>
      <c r="AN107" s="61">
        <v>54</v>
      </c>
      <c r="AO107" s="61">
        <v>8</v>
      </c>
      <c r="AP107" s="66">
        <v>0</v>
      </c>
      <c r="AQ107" s="66">
        <v>0.37</v>
      </c>
      <c r="AR107" s="66">
        <v>0.63</v>
      </c>
      <c r="AS107" s="66">
        <v>0</v>
      </c>
      <c r="AT107" s="66">
        <v>0.24</v>
      </c>
      <c r="AU107" s="66">
        <v>0.51</v>
      </c>
      <c r="AV107" s="66">
        <v>0.47</v>
      </c>
      <c r="AW107" s="349">
        <v>52</v>
      </c>
      <c r="AX107" s="348" t="s">
        <v>910</v>
      </c>
      <c r="AY107" s="349">
        <v>9</v>
      </c>
      <c r="AZ107" s="348" t="s">
        <v>910</v>
      </c>
      <c r="BA107" s="371">
        <v>0.06</v>
      </c>
      <c r="BB107" s="371">
        <v>0.44</v>
      </c>
      <c r="BC107" s="371">
        <v>0.5</v>
      </c>
      <c r="BD107" s="371">
        <v>0</v>
      </c>
      <c r="BE107" s="371">
        <v>0.33</v>
      </c>
      <c r="BF107" s="371">
        <v>0.49</v>
      </c>
      <c r="BG107" s="371">
        <v>0.47</v>
      </c>
    </row>
    <row r="108" spans="1:81" ht="24.9" customHeight="1" x14ac:dyDescent="0.25">
      <c r="A108" s="188" t="s">
        <v>61</v>
      </c>
      <c r="B108" s="1" t="s">
        <v>220</v>
      </c>
      <c r="C108" s="2">
        <v>6</v>
      </c>
      <c r="D108" s="16">
        <v>51</v>
      </c>
      <c r="E108" s="16">
        <v>10</v>
      </c>
      <c r="F108" s="99">
        <v>0.06</v>
      </c>
      <c r="G108" s="99">
        <v>0.42</v>
      </c>
      <c r="H108" s="99">
        <v>0.51</v>
      </c>
      <c r="I108" s="99">
        <v>0.01</v>
      </c>
      <c r="J108" s="99">
        <v>0.51</v>
      </c>
      <c r="K108" s="99">
        <v>0.37</v>
      </c>
      <c r="L108" s="99">
        <v>0.56000000000000005</v>
      </c>
      <c r="M108" s="36">
        <v>51</v>
      </c>
      <c r="N108" s="36">
        <v>10</v>
      </c>
      <c r="O108" s="66">
        <v>0.06</v>
      </c>
      <c r="P108" s="66">
        <v>0.42</v>
      </c>
      <c r="Q108" s="66">
        <v>0.5</v>
      </c>
      <c r="R108" s="66">
        <v>0.02</v>
      </c>
      <c r="S108" s="66">
        <v>0.5</v>
      </c>
      <c r="T108" s="66">
        <v>0.56999999999999995</v>
      </c>
      <c r="U108" s="66">
        <v>0.35</v>
      </c>
      <c r="V108" s="16">
        <v>50</v>
      </c>
      <c r="W108" s="16">
        <v>9</v>
      </c>
      <c r="X108" s="99">
        <v>0.05</v>
      </c>
      <c r="Y108" s="99">
        <v>0.49</v>
      </c>
      <c r="Z108" s="99">
        <v>0.45</v>
      </c>
      <c r="AA108" s="99">
        <v>0.01</v>
      </c>
      <c r="AB108" s="99">
        <v>0.51</v>
      </c>
      <c r="AC108" s="99">
        <v>0.4</v>
      </c>
      <c r="AD108" s="99">
        <v>0.56999999999999995</v>
      </c>
      <c r="AE108" s="16">
        <v>52</v>
      </c>
      <c r="AF108" s="16">
        <v>8</v>
      </c>
      <c r="AG108" s="99">
        <v>0.05</v>
      </c>
      <c r="AH108" s="99">
        <v>0.34</v>
      </c>
      <c r="AI108" s="99">
        <v>0.62</v>
      </c>
      <c r="AJ108" s="99">
        <v>0</v>
      </c>
      <c r="AK108" s="99">
        <v>0.55000000000000004</v>
      </c>
      <c r="AL108" s="99">
        <v>0.47</v>
      </c>
      <c r="AM108" s="99">
        <v>0.3</v>
      </c>
      <c r="AN108" s="61">
        <v>53</v>
      </c>
      <c r="AO108" s="61">
        <v>9</v>
      </c>
      <c r="AP108" s="66">
        <v>0.02</v>
      </c>
      <c r="AQ108" s="66">
        <v>0.42</v>
      </c>
      <c r="AR108" s="66">
        <v>0.5</v>
      </c>
      <c r="AS108" s="66">
        <v>0.06</v>
      </c>
      <c r="AT108" s="66">
        <v>0.24</v>
      </c>
      <c r="AU108" s="66">
        <v>0.52</v>
      </c>
      <c r="AV108" s="66">
        <v>0.51</v>
      </c>
      <c r="AW108" s="349">
        <v>51</v>
      </c>
      <c r="AX108" s="348" t="s">
        <v>910</v>
      </c>
      <c r="AY108" s="349">
        <v>9</v>
      </c>
      <c r="AZ108" s="348" t="s">
        <v>910</v>
      </c>
      <c r="BA108" s="371">
        <v>0.04</v>
      </c>
      <c r="BB108" s="371">
        <v>0.45</v>
      </c>
      <c r="BC108" s="371">
        <v>0.49</v>
      </c>
      <c r="BD108" s="371">
        <v>0.03</v>
      </c>
      <c r="BE108" s="371">
        <v>0.31</v>
      </c>
      <c r="BF108" s="371">
        <v>0.51</v>
      </c>
      <c r="BG108" s="371">
        <v>0.5</v>
      </c>
      <c r="BH108" s="469">
        <v>54</v>
      </c>
      <c r="BI108" s="471" t="s">
        <v>910</v>
      </c>
      <c r="BJ108" s="469">
        <v>11</v>
      </c>
      <c r="BK108" s="471" t="s">
        <v>910</v>
      </c>
      <c r="BL108" s="501">
        <v>0.06</v>
      </c>
      <c r="BM108" s="501">
        <v>0.3</v>
      </c>
      <c r="BN108" s="501">
        <v>0.6</v>
      </c>
      <c r="BO108" s="501">
        <v>0.03</v>
      </c>
      <c r="BP108" s="501">
        <v>0.47</v>
      </c>
      <c r="BQ108" s="501">
        <v>0.57999999999999996</v>
      </c>
      <c r="BR108" s="501">
        <v>0.32</v>
      </c>
      <c r="BS108" s="630">
        <v>53</v>
      </c>
      <c r="BT108" s="640" t="s">
        <v>910</v>
      </c>
      <c r="BU108" s="630">
        <v>11</v>
      </c>
      <c r="BV108" s="640" t="s">
        <v>910</v>
      </c>
      <c r="BW108" s="644">
        <v>0.05</v>
      </c>
      <c r="BX108" s="644">
        <v>0.33</v>
      </c>
      <c r="BY108" s="644">
        <v>0.56999999999999995</v>
      </c>
      <c r="BZ108" s="644">
        <v>0.05</v>
      </c>
      <c r="CA108" s="644">
        <v>0.6</v>
      </c>
      <c r="CB108" s="644">
        <v>0.33</v>
      </c>
      <c r="CC108" s="644">
        <v>0.56000000000000005</v>
      </c>
    </row>
    <row r="109" spans="1:81" ht="24.9" customHeight="1" x14ac:dyDescent="0.25">
      <c r="A109" s="188" t="s">
        <v>21</v>
      </c>
      <c r="B109" s="1" t="s">
        <v>220</v>
      </c>
      <c r="C109" s="2">
        <v>5</v>
      </c>
      <c r="D109" s="16">
        <v>51</v>
      </c>
      <c r="E109" s="16">
        <v>9</v>
      </c>
      <c r="F109" s="99">
        <v>0.06</v>
      </c>
      <c r="G109" s="99">
        <v>0.44</v>
      </c>
      <c r="H109" s="99">
        <v>0.48</v>
      </c>
      <c r="I109" s="99">
        <v>0.02</v>
      </c>
      <c r="J109" s="99">
        <v>0.55000000000000004</v>
      </c>
      <c r="K109" s="99">
        <v>0.55000000000000004</v>
      </c>
      <c r="L109" s="99">
        <v>0.54</v>
      </c>
      <c r="M109" s="36">
        <v>50</v>
      </c>
      <c r="N109" s="36">
        <v>9</v>
      </c>
      <c r="O109" s="66">
        <v>0.09</v>
      </c>
      <c r="P109" s="66">
        <v>0.43</v>
      </c>
      <c r="Q109" s="66">
        <v>0.46</v>
      </c>
      <c r="R109" s="66">
        <v>0.01</v>
      </c>
      <c r="S109" s="66">
        <v>0.5</v>
      </c>
      <c r="T109" s="66">
        <v>0.59</v>
      </c>
      <c r="U109" s="66">
        <v>0.4</v>
      </c>
      <c r="V109" s="16">
        <v>50</v>
      </c>
      <c r="W109" s="16">
        <v>8</v>
      </c>
      <c r="X109" s="99">
        <v>0.04</v>
      </c>
      <c r="Y109" s="99">
        <v>0.48</v>
      </c>
      <c r="Z109" s="99">
        <v>0.47</v>
      </c>
      <c r="AA109" s="99">
        <v>0.01</v>
      </c>
      <c r="AB109" s="99">
        <v>0.54</v>
      </c>
      <c r="AC109" s="99">
        <v>0.4</v>
      </c>
      <c r="AD109" s="99">
        <v>0.55000000000000004</v>
      </c>
      <c r="AE109" s="16">
        <v>50</v>
      </c>
      <c r="AF109" s="16">
        <v>9</v>
      </c>
      <c r="AG109" s="99">
        <v>0.06</v>
      </c>
      <c r="AH109" s="99">
        <v>0.46</v>
      </c>
      <c r="AI109" s="99">
        <v>0.46</v>
      </c>
      <c r="AJ109" s="99">
        <v>0.01</v>
      </c>
      <c r="AK109" s="99">
        <v>0.56999999999999995</v>
      </c>
      <c r="AL109" s="99">
        <v>0.52</v>
      </c>
      <c r="AM109" s="99">
        <v>0.32</v>
      </c>
      <c r="AN109" s="61">
        <v>51</v>
      </c>
      <c r="AO109" s="61">
        <v>9</v>
      </c>
      <c r="AP109" s="66">
        <v>0.05</v>
      </c>
      <c r="AQ109" s="66">
        <v>0.4</v>
      </c>
      <c r="AR109" s="66">
        <v>0.53</v>
      </c>
      <c r="AS109" s="66">
        <v>0.02</v>
      </c>
      <c r="AT109" s="66">
        <v>0.3</v>
      </c>
      <c r="AU109" s="66">
        <v>0.53</v>
      </c>
      <c r="AV109" s="66">
        <v>0.53</v>
      </c>
      <c r="AW109" s="349">
        <v>50</v>
      </c>
      <c r="AX109" s="348" t="s">
        <v>910</v>
      </c>
      <c r="AY109" s="349">
        <v>9</v>
      </c>
      <c r="AZ109" s="348" t="s">
        <v>910</v>
      </c>
      <c r="BA109" s="371">
        <v>0.06</v>
      </c>
      <c r="BB109" s="371">
        <v>0.46</v>
      </c>
      <c r="BC109" s="371">
        <v>0.47</v>
      </c>
      <c r="BD109" s="371">
        <v>0.01</v>
      </c>
      <c r="BE109" s="371">
        <v>0.31</v>
      </c>
      <c r="BF109" s="371">
        <v>0.54</v>
      </c>
      <c r="BG109" s="371">
        <v>0.51</v>
      </c>
      <c r="BH109" s="469">
        <v>53</v>
      </c>
      <c r="BI109" s="471" t="s">
        <v>910</v>
      </c>
      <c r="BJ109" s="469">
        <v>9</v>
      </c>
      <c r="BK109" s="471" t="s">
        <v>910</v>
      </c>
      <c r="BL109" s="501">
        <v>0.04</v>
      </c>
      <c r="BM109" s="501">
        <v>0.31</v>
      </c>
      <c r="BN109" s="501">
        <v>0.65</v>
      </c>
      <c r="BO109" s="501">
        <v>0.01</v>
      </c>
      <c r="BP109" s="501">
        <v>0.53</v>
      </c>
      <c r="BQ109" s="501">
        <v>0.56999999999999995</v>
      </c>
      <c r="BR109" s="501">
        <v>0.37</v>
      </c>
      <c r="BS109" s="630">
        <v>50</v>
      </c>
      <c r="BT109" s="640" t="s">
        <v>910</v>
      </c>
      <c r="BU109" s="630">
        <v>11</v>
      </c>
      <c r="BV109" s="640" t="s">
        <v>910</v>
      </c>
      <c r="BW109" s="644">
        <v>0.08</v>
      </c>
      <c r="BX109" s="644">
        <v>0.45</v>
      </c>
      <c r="BY109" s="644">
        <v>0.44</v>
      </c>
      <c r="BZ109" s="644">
        <v>0.03</v>
      </c>
      <c r="CA109" s="644">
        <v>0.64</v>
      </c>
      <c r="CB109" s="644">
        <v>0.44</v>
      </c>
      <c r="CC109" s="644">
        <v>0.61</v>
      </c>
    </row>
    <row r="110" spans="1:81" ht="24.9" customHeight="1" x14ac:dyDescent="0.25">
      <c r="A110" s="188" t="s">
        <v>124</v>
      </c>
      <c r="B110" s="1" t="s">
        <v>220</v>
      </c>
      <c r="C110" s="2">
        <v>4</v>
      </c>
      <c r="D110" s="16">
        <v>44</v>
      </c>
      <c r="E110" s="16">
        <v>9</v>
      </c>
      <c r="F110" s="99">
        <v>0.12</v>
      </c>
      <c r="G110" s="99">
        <v>0.67</v>
      </c>
      <c r="H110" s="99">
        <v>0.2</v>
      </c>
      <c r="I110" s="99">
        <v>0</v>
      </c>
      <c r="J110" s="99">
        <v>0.66</v>
      </c>
      <c r="K110" s="99">
        <v>0.48</v>
      </c>
      <c r="L110" s="99">
        <v>0.68</v>
      </c>
      <c r="M110" s="36">
        <v>43</v>
      </c>
      <c r="N110" s="36">
        <v>8</v>
      </c>
      <c r="O110" s="66">
        <v>0.17</v>
      </c>
      <c r="P110" s="66">
        <v>0.67</v>
      </c>
      <c r="Q110" s="66">
        <v>0.17</v>
      </c>
      <c r="R110" s="66">
        <v>0</v>
      </c>
      <c r="S110" s="66">
        <v>0.6</v>
      </c>
      <c r="T110" s="66">
        <v>0.68</v>
      </c>
      <c r="U110" s="66">
        <v>0.5</v>
      </c>
      <c r="V110" s="16">
        <v>44</v>
      </c>
      <c r="W110" s="16">
        <v>9</v>
      </c>
      <c r="X110" s="99">
        <v>0.19</v>
      </c>
      <c r="Y110" s="99">
        <v>0.56999999999999995</v>
      </c>
      <c r="Z110" s="99">
        <v>0.23</v>
      </c>
      <c r="AA110" s="99">
        <v>0</v>
      </c>
      <c r="AB110" s="99">
        <v>0.62</v>
      </c>
      <c r="AC110" s="99">
        <v>0.48</v>
      </c>
      <c r="AD110" s="99">
        <v>0.63</v>
      </c>
      <c r="AE110" s="16">
        <v>46</v>
      </c>
      <c r="AF110" s="16">
        <v>10</v>
      </c>
      <c r="AG110" s="99">
        <v>0.15</v>
      </c>
      <c r="AH110" s="99">
        <v>0.56000000000000005</v>
      </c>
      <c r="AI110" s="99">
        <v>0.28999999999999998</v>
      </c>
      <c r="AJ110" s="99">
        <v>0</v>
      </c>
      <c r="AK110" s="99">
        <v>0.61</v>
      </c>
      <c r="AL110" s="99">
        <v>0.56000000000000005</v>
      </c>
      <c r="AM110" s="99">
        <v>0.42</v>
      </c>
      <c r="AN110" s="61">
        <v>47</v>
      </c>
      <c r="AO110" s="61">
        <v>9</v>
      </c>
      <c r="AP110" s="66">
        <v>7.0000000000000007E-2</v>
      </c>
      <c r="AQ110" s="66">
        <v>0.55000000000000004</v>
      </c>
      <c r="AR110" s="66">
        <v>0.39</v>
      </c>
      <c r="AS110" s="66">
        <v>0</v>
      </c>
      <c r="AT110" s="66">
        <v>0.37</v>
      </c>
      <c r="AU110" s="66">
        <v>0.56999999999999995</v>
      </c>
      <c r="AV110" s="66">
        <v>0.57999999999999996</v>
      </c>
      <c r="AW110" s="349">
        <v>47</v>
      </c>
      <c r="AX110" s="348" t="s">
        <v>910</v>
      </c>
      <c r="AY110" s="349">
        <v>8</v>
      </c>
      <c r="AZ110" s="348" t="s">
        <v>910</v>
      </c>
      <c r="BA110" s="371">
        <v>0.04</v>
      </c>
      <c r="BB110" s="371">
        <v>0.62</v>
      </c>
      <c r="BC110" s="371">
        <v>0.33</v>
      </c>
      <c r="BD110" s="371">
        <v>0</v>
      </c>
      <c r="BE110" s="371">
        <v>0.37</v>
      </c>
      <c r="BF110" s="371">
        <v>0.57999999999999996</v>
      </c>
      <c r="BG110" s="371">
        <v>0.56000000000000005</v>
      </c>
      <c r="BH110" s="469">
        <v>48</v>
      </c>
      <c r="BI110" s="471" t="s">
        <v>910</v>
      </c>
      <c r="BJ110" s="469">
        <v>11</v>
      </c>
      <c r="BK110" s="471" t="s">
        <v>910</v>
      </c>
      <c r="BL110" s="501">
        <v>0.13</v>
      </c>
      <c r="BM110" s="501">
        <v>0.47</v>
      </c>
      <c r="BN110" s="501">
        <v>0.36</v>
      </c>
      <c r="BO110" s="501">
        <v>0.04</v>
      </c>
      <c r="BP110" s="501">
        <v>0.63</v>
      </c>
      <c r="BQ110" s="501">
        <v>0.62</v>
      </c>
      <c r="BR110" s="501">
        <v>0.49</v>
      </c>
      <c r="BS110" s="630">
        <v>49</v>
      </c>
      <c r="BT110" s="640" t="s">
        <v>910</v>
      </c>
      <c r="BU110" s="630">
        <v>10</v>
      </c>
      <c r="BV110" s="640" t="s">
        <v>910</v>
      </c>
      <c r="BW110" s="644">
        <v>0.08</v>
      </c>
      <c r="BX110" s="644">
        <v>0.5</v>
      </c>
      <c r="BY110" s="644">
        <v>0.4</v>
      </c>
      <c r="BZ110" s="644">
        <v>0.02</v>
      </c>
      <c r="CA110" s="644">
        <v>0.66</v>
      </c>
      <c r="CB110" s="644">
        <v>0.41</v>
      </c>
      <c r="CC110" s="644">
        <v>0.65</v>
      </c>
    </row>
    <row r="111" spans="1:81" ht="24.9" customHeight="1" x14ac:dyDescent="0.25">
      <c r="A111" s="188" t="s">
        <v>23</v>
      </c>
      <c r="B111" s="1" t="s">
        <v>220</v>
      </c>
      <c r="C111" s="2">
        <v>2</v>
      </c>
      <c r="D111" s="16">
        <v>53</v>
      </c>
      <c r="E111" s="16">
        <v>9</v>
      </c>
      <c r="F111" s="99">
        <v>0.02</v>
      </c>
      <c r="G111" s="99">
        <v>0.39</v>
      </c>
      <c r="H111" s="99">
        <v>0.56000000000000005</v>
      </c>
      <c r="I111" s="99">
        <v>0.04</v>
      </c>
      <c r="J111" s="99">
        <v>0.53</v>
      </c>
      <c r="K111" s="99">
        <v>0.45</v>
      </c>
      <c r="L111" s="99">
        <v>0.51</v>
      </c>
      <c r="M111" s="36">
        <v>52</v>
      </c>
      <c r="N111" s="36">
        <v>10</v>
      </c>
      <c r="O111" s="66">
        <v>0.06</v>
      </c>
      <c r="P111" s="66">
        <v>0.34</v>
      </c>
      <c r="Q111" s="66">
        <v>0.57999999999999996</v>
      </c>
      <c r="R111" s="66">
        <v>0.02</v>
      </c>
      <c r="S111" s="66">
        <v>0.47</v>
      </c>
      <c r="T111" s="66">
        <v>0.54</v>
      </c>
      <c r="U111" s="66">
        <v>0.36</v>
      </c>
      <c r="V111" s="16">
        <v>53</v>
      </c>
      <c r="W111" s="16">
        <v>9</v>
      </c>
      <c r="X111" s="99">
        <v>0.03</v>
      </c>
      <c r="Y111" s="99">
        <v>0.39</v>
      </c>
      <c r="Z111" s="99">
        <v>0.55000000000000004</v>
      </c>
      <c r="AA111" s="99">
        <v>0.03</v>
      </c>
      <c r="AB111" s="99">
        <v>0.48</v>
      </c>
      <c r="AC111" s="99">
        <v>0.37</v>
      </c>
      <c r="AD111" s="99">
        <v>0.49</v>
      </c>
      <c r="AE111" s="16">
        <v>52</v>
      </c>
      <c r="AF111" s="16">
        <v>10</v>
      </c>
      <c r="AG111" s="99">
        <v>0.06</v>
      </c>
      <c r="AH111" s="99">
        <v>0.37</v>
      </c>
      <c r="AI111" s="99">
        <v>0.55000000000000004</v>
      </c>
      <c r="AJ111" s="99">
        <v>0.03</v>
      </c>
      <c r="AK111" s="99">
        <v>0.53</v>
      </c>
      <c r="AL111" s="99">
        <v>0.49</v>
      </c>
      <c r="AM111" s="99">
        <v>0.3</v>
      </c>
      <c r="AN111" s="61">
        <v>53</v>
      </c>
      <c r="AO111" s="61">
        <v>10</v>
      </c>
      <c r="AP111" s="66">
        <v>0.03</v>
      </c>
      <c r="AQ111" s="66">
        <v>0.38</v>
      </c>
      <c r="AR111" s="66">
        <v>0.56000000000000005</v>
      </c>
      <c r="AS111" s="66">
        <v>0.04</v>
      </c>
      <c r="AT111" s="66">
        <v>0.28999999999999998</v>
      </c>
      <c r="AU111" s="66">
        <v>0.5</v>
      </c>
      <c r="AV111" s="66">
        <v>0.51</v>
      </c>
      <c r="AW111" s="349">
        <v>51</v>
      </c>
      <c r="AX111" s="348" t="s">
        <v>910</v>
      </c>
      <c r="AY111" s="349">
        <v>10</v>
      </c>
      <c r="AZ111" s="348" t="s">
        <v>910</v>
      </c>
      <c r="BA111" s="371">
        <v>0.06</v>
      </c>
      <c r="BB111" s="371">
        <v>0.44</v>
      </c>
      <c r="BC111" s="371">
        <v>0.49</v>
      </c>
      <c r="BD111" s="371">
        <v>0.01</v>
      </c>
      <c r="BE111" s="371">
        <v>0.31</v>
      </c>
      <c r="BF111" s="371">
        <v>0.53</v>
      </c>
      <c r="BG111" s="371">
        <v>0.49</v>
      </c>
      <c r="BH111" s="469">
        <v>52</v>
      </c>
      <c r="BI111" s="471" t="s">
        <v>910</v>
      </c>
      <c r="BJ111" s="469">
        <v>10</v>
      </c>
      <c r="BK111" s="471" t="s">
        <v>910</v>
      </c>
      <c r="BL111" s="501">
        <v>0.05</v>
      </c>
      <c r="BM111" s="501">
        <v>0.36</v>
      </c>
      <c r="BN111" s="501">
        <v>0.57999999999999996</v>
      </c>
      <c r="BO111" s="501">
        <v>0.02</v>
      </c>
      <c r="BP111" s="501">
        <v>0.53</v>
      </c>
      <c r="BQ111" s="501">
        <v>0.59</v>
      </c>
      <c r="BR111" s="501">
        <v>0.4</v>
      </c>
      <c r="BS111" s="630">
        <v>53</v>
      </c>
      <c r="BT111" s="640" t="s">
        <v>910</v>
      </c>
      <c r="BU111" s="630">
        <v>10</v>
      </c>
      <c r="BV111" s="640" t="s">
        <v>910</v>
      </c>
      <c r="BW111" s="644">
        <v>0.03</v>
      </c>
      <c r="BX111" s="644">
        <v>0.36</v>
      </c>
      <c r="BY111" s="644">
        <v>0.56999999999999995</v>
      </c>
      <c r="BZ111" s="644">
        <v>0.04</v>
      </c>
      <c r="CA111" s="644">
        <v>0.62</v>
      </c>
      <c r="CB111" s="644">
        <v>0.36</v>
      </c>
      <c r="CC111" s="644">
        <v>0.55000000000000004</v>
      </c>
    </row>
    <row r="112" spans="1:81" ht="24.9" customHeight="1" x14ac:dyDescent="0.25">
      <c r="A112" s="188" t="s">
        <v>224</v>
      </c>
      <c r="B112" s="1" t="s">
        <v>222</v>
      </c>
      <c r="C112" s="2">
        <v>1</v>
      </c>
      <c r="D112" s="16">
        <v>50</v>
      </c>
      <c r="E112" s="16">
        <v>9</v>
      </c>
      <c r="F112" s="99">
        <v>0.04</v>
      </c>
      <c r="G112" s="99">
        <v>0.5</v>
      </c>
      <c r="H112" s="99">
        <v>0.43</v>
      </c>
      <c r="I112" s="99">
        <v>0.02</v>
      </c>
      <c r="J112" s="99">
        <v>0.56999999999999995</v>
      </c>
      <c r="K112" s="99">
        <v>0.54</v>
      </c>
      <c r="L112" s="99">
        <v>0.54</v>
      </c>
      <c r="M112" s="36">
        <v>55</v>
      </c>
      <c r="N112" s="36">
        <v>8</v>
      </c>
      <c r="O112" s="66">
        <v>0</v>
      </c>
      <c r="P112" s="66">
        <v>0.23</v>
      </c>
      <c r="Q112" s="66">
        <v>0.74</v>
      </c>
      <c r="R112" s="66">
        <v>0.03</v>
      </c>
      <c r="S112" s="66">
        <v>0.44</v>
      </c>
      <c r="T112" s="66">
        <v>0.51</v>
      </c>
      <c r="U112" s="66">
        <v>0.28999999999999998</v>
      </c>
      <c r="V112" s="16">
        <v>56</v>
      </c>
      <c r="W112" s="16">
        <v>8</v>
      </c>
      <c r="X112" s="99">
        <v>0</v>
      </c>
      <c r="Y112" s="99">
        <v>0.32</v>
      </c>
      <c r="Z112" s="99">
        <v>0.63</v>
      </c>
      <c r="AA112" s="99">
        <v>0.05</v>
      </c>
      <c r="AB112" s="99">
        <v>0.45</v>
      </c>
      <c r="AC112" s="99">
        <v>0.34</v>
      </c>
      <c r="AD112" s="99">
        <v>0.44</v>
      </c>
      <c r="AE112" s="16">
        <v>58</v>
      </c>
      <c r="AF112" s="16">
        <v>9</v>
      </c>
      <c r="AG112" s="99">
        <v>0</v>
      </c>
      <c r="AH112" s="99">
        <v>0.14000000000000001</v>
      </c>
      <c r="AI112" s="99">
        <v>0.73</v>
      </c>
      <c r="AJ112" s="99">
        <v>0.14000000000000001</v>
      </c>
      <c r="AK112" s="99">
        <v>0.47</v>
      </c>
      <c r="AL112" s="99">
        <v>0.36</v>
      </c>
      <c r="AM112" s="99">
        <v>0.21</v>
      </c>
      <c r="AN112" s="61">
        <v>57</v>
      </c>
      <c r="AO112" s="61">
        <v>8</v>
      </c>
      <c r="AP112" s="66">
        <v>0</v>
      </c>
      <c r="AQ112" s="66">
        <v>0.18</v>
      </c>
      <c r="AR112" s="66">
        <v>0.78</v>
      </c>
      <c r="AS112" s="66">
        <v>0.04</v>
      </c>
      <c r="AT112" s="66">
        <v>0.21</v>
      </c>
      <c r="AU112" s="66">
        <v>0.41</v>
      </c>
      <c r="AV112" s="66">
        <v>0.45</v>
      </c>
      <c r="AW112" s="349">
        <v>55</v>
      </c>
      <c r="AX112" s="348" t="s">
        <v>910</v>
      </c>
      <c r="AY112" s="349">
        <v>9</v>
      </c>
      <c r="AZ112" s="348" t="s">
        <v>910</v>
      </c>
      <c r="BA112" s="371">
        <v>0.02</v>
      </c>
      <c r="BB112" s="371">
        <v>0.28999999999999998</v>
      </c>
      <c r="BC112" s="371">
        <v>0.64</v>
      </c>
      <c r="BD112" s="371">
        <v>0.05</v>
      </c>
      <c r="BE112" s="371">
        <v>0.25</v>
      </c>
      <c r="BF112" s="371">
        <v>0.45</v>
      </c>
      <c r="BG112" s="371">
        <v>0.42</v>
      </c>
      <c r="BH112" s="469">
        <v>56</v>
      </c>
      <c r="BI112" s="471" t="s">
        <v>910</v>
      </c>
      <c r="BJ112" s="469">
        <v>10</v>
      </c>
      <c r="BK112" s="471" t="s">
        <v>910</v>
      </c>
      <c r="BL112" s="501">
        <v>0</v>
      </c>
      <c r="BM112" s="501">
        <v>0.32</v>
      </c>
      <c r="BN112" s="501">
        <v>0.62</v>
      </c>
      <c r="BO112" s="501">
        <v>0.06</v>
      </c>
      <c r="BP112" s="501">
        <v>0.44</v>
      </c>
      <c r="BQ112" s="501">
        <v>0.56999999999999995</v>
      </c>
      <c r="BR112" s="501">
        <v>0.32</v>
      </c>
      <c r="BS112" s="630">
        <v>59</v>
      </c>
      <c r="BT112" s="640" t="s">
        <v>910</v>
      </c>
      <c r="BU112" s="630">
        <v>10</v>
      </c>
      <c r="BV112" s="640" t="s">
        <v>910</v>
      </c>
      <c r="BW112" s="644">
        <v>0.02</v>
      </c>
      <c r="BX112" s="644">
        <v>0.2</v>
      </c>
      <c r="BY112" s="644">
        <v>0.61</v>
      </c>
      <c r="BZ112" s="644">
        <v>0.17</v>
      </c>
      <c r="CA112" s="644">
        <v>0.5</v>
      </c>
      <c r="CB112" s="644">
        <v>0.3</v>
      </c>
      <c r="CC112" s="644">
        <v>0.44</v>
      </c>
    </row>
    <row r="113" spans="1:81" ht="24.9" customHeight="1" x14ac:dyDescent="0.25">
      <c r="A113" s="188" t="s">
        <v>88</v>
      </c>
      <c r="B113" s="1" t="s">
        <v>220</v>
      </c>
      <c r="C113" s="2">
        <v>2</v>
      </c>
      <c r="D113" s="16">
        <v>51</v>
      </c>
      <c r="E113" s="16">
        <v>8</v>
      </c>
      <c r="F113" s="99">
        <v>0.03</v>
      </c>
      <c r="G113" s="99">
        <v>0.49</v>
      </c>
      <c r="H113" s="99">
        <v>0.48</v>
      </c>
      <c r="I113" s="99">
        <v>0.01</v>
      </c>
      <c r="J113" s="99">
        <v>0.56000000000000005</v>
      </c>
      <c r="K113" s="99">
        <v>0.51</v>
      </c>
      <c r="L113" s="99">
        <v>0.55000000000000004</v>
      </c>
      <c r="M113" s="36">
        <v>50</v>
      </c>
      <c r="N113" s="36">
        <v>10</v>
      </c>
      <c r="O113" s="66">
        <v>0.05</v>
      </c>
      <c r="P113" s="66">
        <v>0.46</v>
      </c>
      <c r="Q113" s="66">
        <v>0.47</v>
      </c>
      <c r="R113" s="66">
        <v>0.02</v>
      </c>
      <c r="S113" s="66">
        <v>0.49</v>
      </c>
      <c r="T113" s="66">
        <v>0.56999999999999995</v>
      </c>
      <c r="U113" s="66">
        <v>0.39</v>
      </c>
      <c r="V113" s="16">
        <v>52</v>
      </c>
      <c r="W113" s="16">
        <v>10</v>
      </c>
      <c r="X113" s="99">
        <v>7.0000000000000007E-2</v>
      </c>
      <c r="Y113" s="99">
        <v>0.37</v>
      </c>
      <c r="Z113" s="99">
        <v>0.54</v>
      </c>
      <c r="AA113" s="99">
        <v>0.02</v>
      </c>
      <c r="AB113" s="99">
        <v>0.5</v>
      </c>
      <c r="AC113" s="99">
        <v>0.37</v>
      </c>
      <c r="AD113" s="99">
        <v>0.53</v>
      </c>
      <c r="AE113" s="16">
        <v>52</v>
      </c>
      <c r="AF113" s="16">
        <v>10</v>
      </c>
      <c r="AG113" s="99">
        <v>0.04</v>
      </c>
      <c r="AH113" s="99">
        <v>0.4</v>
      </c>
      <c r="AI113" s="99">
        <v>0.54</v>
      </c>
      <c r="AJ113" s="99">
        <v>0.03</v>
      </c>
      <c r="AK113" s="99">
        <v>0.53</v>
      </c>
      <c r="AL113" s="99">
        <v>0.46</v>
      </c>
      <c r="AM113" s="99">
        <v>0.3</v>
      </c>
      <c r="AN113" s="61">
        <v>52</v>
      </c>
      <c r="AO113" s="61">
        <v>8</v>
      </c>
      <c r="AP113" s="66">
        <v>0.02</v>
      </c>
      <c r="AQ113" s="66">
        <v>0.35</v>
      </c>
      <c r="AR113" s="66">
        <v>0.61</v>
      </c>
      <c r="AS113" s="66">
        <v>0.01</v>
      </c>
      <c r="AT113" s="66">
        <v>0.28000000000000003</v>
      </c>
      <c r="AU113" s="66">
        <v>0.52</v>
      </c>
      <c r="AV113" s="66">
        <v>0.51</v>
      </c>
      <c r="AW113" s="349">
        <v>49</v>
      </c>
      <c r="AX113" s="348" t="s">
        <v>910</v>
      </c>
      <c r="AY113" s="349">
        <v>8</v>
      </c>
      <c r="AZ113" s="348" t="s">
        <v>910</v>
      </c>
      <c r="BA113" s="371">
        <v>0.06</v>
      </c>
      <c r="BB113" s="371">
        <v>0.43</v>
      </c>
      <c r="BC113" s="371">
        <v>0.51</v>
      </c>
      <c r="BD113" s="371">
        <v>0</v>
      </c>
      <c r="BE113" s="371">
        <v>0.32</v>
      </c>
      <c r="BF113" s="371">
        <v>0.55000000000000004</v>
      </c>
      <c r="BG113" s="371">
        <v>0.51</v>
      </c>
      <c r="BH113" s="469">
        <v>50</v>
      </c>
      <c r="BI113" s="471" t="s">
        <v>910</v>
      </c>
      <c r="BJ113" s="469">
        <v>10</v>
      </c>
      <c r="BK113" s="471" t="s">
        <v>910</v>
      </c>
      <c r="BL113" s="501">
        <v>0.09</v>
      </c>
      <c r="BM113" s="501">
        <v>0.43</v>
      </c>
      <c r="BN113" s="501">
        <v>0.46</v>
      </c>
      <c r="BO113" s="501">
        <v>0.02</v>
      </c>
      <c r="BP113" s="501">
        <v>0.59</v>
      </c>
      <c r="BQ113" s="501">
        <v>0.63</v>
      </c>
      <c r="BR113" s="501">
        <v>0.46</v>
      </c>
      <c r="BS113" s="630">
        <v>52</v>
      </c>
      <c r="BT113" s="640" t="s">
        <v>910</v>
      </c>
      <c r="BU113" s="630">
        <v>9</v>
      </c>
      <c r="BV113" s="640" t="s">
        <v>910</v>
      </c>
      <c r="BW113" s="644">
        <v>0.05</v>
      </c>
      <c r="BX113" s="644">
        <v>0.43</v>
      </c>
      <c r="BY113" s="644">
        <v>0.5</v>
      </c>
      <c r="BZ113" s="644">
        <v>0.02</v>
      </c>
      <c r="CA113" s="644">
        <v>0.63</v>
      </c>
      <c r="CB113" s="644">
        <v>0.39</v>
      </c>
      <c r="CC113" s="644">
        <v>0.61</v>
      </c>
    </row>
    <row r="114" spans="1:81" ht="24.9" customHeight="1" x14ac:dyDescent="0.25">
      <c r="A114" s="188" t="s">
        <v>281</v>
      </c>
      <c r="B114" s="1" t="s">
        <v>220</v>
      </c>
      <c r="C114" s="2">
        <v>4</v>
      </c>
      <c r="D114" s="16">
        <v>52</v>
      </c>
      <c r="E114" s="16">
        <v>10</v>
      </c>
      <c r="F114" s="99">
        <v>0.04</v>
      </c>
      <c r="G114" s="99">
        <v>0.4</v>
      </c>
      <c r="H114" s="99">
        <v>0.52</v>
      </c>
      <c r="I114" s="99">
        <v>0.03</v>
      </c>
      <c r="J114" s="99">
        <v>0.52</v>
      </c>
      <c r="K114" s="99">
        <v>0.46</v>
      </c>
      <c r="L114" s="99">
        <v>0.5</v>
      </c>
      <c r="M114" s="36">
        <v>52</v>
      </c>
      <c r="N114" s="36">
        <v>11</v>
      </c>
      <c r="O114" s="66">
        <v>0.04</v>
      </c>
      <c r="P114" s="66">
        <v>0.39</v>
      </c>
      <c r="Q114" s="66">
        <v>0.53</v>
      </c>
      <c r="R114" s="66">
        <v>0.04</v>
      </c>
      <c r="S114" s="66">
        <v>0.48</v>
      </c>
      <c r="T114" s="66">
        <v>0.54</v>
      </c>
      <c r="U114" s="66">
        <v>0.35</v>
      </c>
      <c r="V114" s="16">
        <v>50</v>
      </c>
      <c r="W114" s="16">
        <v>9</v>
      </c>
      <c r="X114" s="99">
        <v>0.05</v>
      </c>
      <c r="Y114" s="99">
        <v>0.46</v>
      </c>
      <c r="Z114" s="99">
        <v>0.48</v>
      </c>
      <c r="AA114" s="99">
        <v>0.01</v>
      </c>
      <c r="AB114" s="99">
        <v>0.53</v>
      </c>
      <c r="AC114" s="99">
        <v>0.41</v>
      </c>
      <c r="AD114" s="99">
        <v>0.54</v>
      </c>
      <c r="AE114" s="16">
        <v>49</v>
      </c>
      <c r="AF114" s="16">
        <v>9</v>
      </c>
      <c r="AG114" s="99">
        <v>0.06</v>
      </c>
      <c r="AH114" s="99">
        <v>0.52</v>
      </c>
      <c r="AI114" s="99">
        <v>0.4</v>
      </c>
      <c r="AJ114" s="99">
        <v>0.01</v>
      </c>
      <c r="AK114" s="99">
        <v>0.57999999999999996</v>
      </c>
      <c r="AL114" s="99">
        <v>0.52</v>
      </c>
      <c r="AM114" s="99">
        <v>0.34</v>
      </c>
      <c r="AN114" s="61">
        <v>50</v>
      </c>
      <c r="AO114" s="61">
        <v>10</v>
      </c>
      <c r="AP114" s="66">
        <v>0.06</v>
      </c>
      <c r="AQ114" s="66">
        <v>0.4</v>
      </c>
      <c r="AR114" s="66">
        <v>0.53</v>
      </c>
      <c r="AS114" s="66">
        <v>0.01</v>
      </c>
      <c r="AT114" s="66">
        <v>0.32</v>
      </c>
      <c r="AU114" s="66">
        <v>0.52</v>
      </c>
      <c r="AV114" s="66">
        <v>0.53</v>
      </c>
      <c r="AW114" s="349">
        <v>49</v>
      </c>
      <c r="AX114" s="348" t="s">
        <v>910</v>
      </c>
      <c r="AY114" s="349">
        <v>9</v>
      </c>
      <c r="AZ114" s="348" t="s">
        <v>910</v>
      </c>
      <c r="BA114" s="371">
        <v>7.0000000000000007E-2</v>
      </c>
      <c r="BB114" s="371">
        <v>0.48</v>
      </c>
      <c r="BC114" s="371">
        <v>0.43</v>
      </c>
      <c r="BD114" s="371">
        <v>0.01</v>
      </c>
      <c r="BE114" s="371">
        <v>0.32</v>
      </c>
      <c r="BF114" s="371">
        <v>0.55000000000000004</v>
      </c>
      <c r="BG114" s="371">
        <v>0.51</v>
      </c>
      <c r="BH114" s="469">
        <v>50</v>
      </c>
      <c r="BI114" s="471" t="s">
        <v>910</v>
      </c>
      <c r="BJ114" s="469">
        <v>10</v>
      </c>
      <c r="BK114" s="471" t="s">
        <v>910</v>
      </c>
      <c r="BL114" s="501">
        <v>0.06</v>
      </c>
      <c r="BM114" s="501">
        <v>0.45</v>
      </c>
      <c r="BN114" s="501">
        <v>0.47</v>
      </c>
      <c r="BO114" s="501">
        <v>0.01</v>
      </c>
      <c r="BP114" s="501">
        <v>0.55000000000000004</v>
      </c>
      <c r="BQ114" s="501">
        <v>0.64</v>
      </c>
      <c r="BR114" s="501">
        <v>0.44</v>
      </c>
      <c r="BS114" s="630">
        <v>51</v>
      </c>
      <c r="BT114" s="640" t="s">
        <v>910</v>
      </c>
      <c r="BU114" s="630">
        <v>11</v>
      </c>
      <c r="BV114" s="640" t="s">
        <v>910</v>
      </c>
      <c r="BW114" s="644">
        <v>0.09</v>
      </c>
      <c r="BX114" s="644">
        <v>0.41</v>
      </c>
      <c r="BY114" s="644">
        <v>0.49</v>
      </c>
      <c r="BZ114" s="644">
        <v>0.01</v>
      </c>
      <c r="CA114" s="644">
        <v>0.64</v>
      </c>
      <c r="CB114" s="644">
        <v>0.41</v>
      </c>
      <c r="CC114" s="644">
        <v>0.61</v>
      </c>
    </row>
    <row r="115" spans="1:81" ht="24.9" customHeight="1" x14ac:dyDescent="0.25">
      <c r="A115" s="189" t="s">
        <v>292</v>
      </c>
      <c r="B115" s="1" t="s">
        <v>222</v>
      </c>
      <c r="C115" s="2">
        <v>1</v>
      </c>
      <c r="D115" s="16">
        <v>48</v>
      </c>
      <c r="E115" s="16">
        <v>10</v>
      </c>
      <c r="F115" s="99">
        <v>0.12</v>
      </c>
      <c r="G115" s="99">
        <v>0.5</v>
      </c>
      <c r="H115" s="99">
        <v>0.38</v>
      </c>
      <c r="I115" s="99">
        <v>0</v>
      </c>
      <c r="J115" s="99">
        <v>0.61</v>
      </c>
      <c r="K115" s="99">
        <v>0.51</v>
      </c>
      <c r="L115" s="99">
        <v>0.63</v>
      </c>
      <c r="M115" s="36">
        <v>45</v>
      </c>
      <c r="N115" s="36">
        <v>9</v>
      </c>
      <c r="O115" s="66">
        <v>0.18</v>
      </c>
      <c r="P115" s="66">
        <v>0.53</v>
      </c>
      <c r="Q115" s="66">
        <v>0.28999999999999998</v>
      </c>
      <c r="R115" s="66">
        <v>0</v>
      </c>
      <c r="S115" s="66">
        <v>0.6</v>
      </c>
      <c r="T115" s="66">
        <v>0.66</v>
      </c>
      <c r="U115" s="66">
        <v>0.46</v>
      </c>
      <c r="V115" s="16">
        <v>46</v>
      </c>
      <c r="W115" s="16">
        <v>9</v>
      </c>
      <c r="X115" s="99">
        <v>0.14000000000000001</v>
      </c>
      <c r="Y115" s="99">
        <v>0.56999999999999995</v>
      </c>
      <c r="Z115" s="99">
        <v>0.28999999999999998</v>
      </c>
      <c r="AA115" s="99">
        <v>0</v>
      </c>
      <c r="AB115" s="99">
        <v>0.6</v>
      </c>
      <c r="AC115" s="99">
        <v>0.49</v>
      </c>
      <c r="AD115" s="99">
        <v>0.59</v>
      </c>
      <c r="AE115" s="16">
        <v>47</v>
      </c>
      <c r="AF115" s="16">
        <v>9</v>
      </c>
      <c r="AG115" s="99">
        <v>0.04</v>
      </c>
      <c r="AH115" s="99">
        <v>0.61</v>
      </c>
      <c r="AI115" s="99">
        <v>0.35</v>
      </c>
      <c r="AJ115" s="99">
        <v>0</v>
      </c>
      <c r="AK115" s="99">
        <v>0.57999999999999996</v>
      </c>
      <c r="AL115" s="99">
        <v>0.53</v>
      </c>
      <c r="AM115" s="99">
        <v>0.38</v>
      </c>
      <c r="AN115" s="61">
        <v>53</v>
      </c>
      <c r="AO115" s="61">
        <v>8</v>
      </c>
      <c r="AP115" s="66">
        <v>0</v>
      </c>
      <c r="AQ115" s="66">
        <v>0.38</v>
      </c>
      <c r="AR115" s="66">
        <v>0.57999999999999996</v>
      </c>
      <c r="AS115" s="66">
        <v>0.04</v>
      </c>
      <c r="AT115" s="66">
        <v>0.23</v>
      </c>
      <c r="AU115" s="66">
        <v>0.52</v>
      </c>
      <c r="AV115" s="66">
        <v>0.51</v>
      </c>
      <c r="AW115" s="349">
        <v>50</v>
      </c>
      <c r="AX115" s="348" t="s">
        <v>910</v>
      </c>
      <c r="AY115" s="349">
        <v>10</v>
      </c>
      <c r="AZ115" s="348" t="s">
        <v>910</v>
      </c>
      <c r="BA115" s="371">
        <v>0.1</v>
      </c>
      <c r="BB115" s="371">
        <v>0.33</v>
      </c>
      <c r="BC115" s="371">
        <v>0.56999999999999995</v>
      </c>
      <c r="BD115" s="371">
        <v>0</v>
      </c>
      <c r="BE115" s="371">
        <v>0.3</v>
      </c>
      <c r="BF115" s="371">
        <v>0.55000000000000004</v>
      </c>
      <c r="BG115" s="371">
        <v>0.48</v>
      </c>
      <c r="BH115" s="469">
        <v>54</v>
      </c>
      <c r="BI115" s="471" t="s">
        <v>910</v>
      </c>
      <c r="BJ115" s="469">
        <v>8</v>
      </c>
      <c r="BK115" s="471" t="s">
        <v>910</v>
      </c>
      <c r="BL115" s="501">
        <v>0</v>
      </c>
      <c r="BM115" s="501">
        <v>0.38</v>
      </c>
      <c r="BN115" s="501">
        <v>0.62</v>
      </c>
      <c r="BO115" s="501">
        <v>0</v>
      </c>
      <c r="BP115" s="501">
        <v>0.49</v>
      </c>
      <c r="BQ115" s="501">
        <v>0.54</v>
      </c>
      <c r="BR115" s="501">
        <v>0.42</v>
      </c>
      <c r="BS115" s="630">
        <v>54</v>
      </c>
      <c r="BT115" s="640" t="s">
        <v>910</v>
      </c>
      <c r="BU115" s="630">
        <v>9</v>
      </c>
      <c r="BV115" s="640" t="s">
        <v>910</v>
      </c>
      <c r="BW115" s="644">
        <v>0</v>
      </c>
      <c r="BX115" s="644">
        <v>0.36</v>
      </c>
      <c r="BY115" s="644">
        <v>0.6</v>
      </c>
      <c r="BZ115" s="644">
        <v>0.04</v>
      </c>
      <c r="CA115" s="644">
        <v>0.65</v>
      </c>
      <c r="CB115" s="644">
        <v>0.34</v>
      </c>
      <c r="CC115" s="644">
        <v>0.46</v>
      </c>
    </row>
    <row r="116" spans="1:81" ht="24.9" customHeight="1" x14ac:dyDescent="0.25">
      <c r="A116" s="188" t="s">
        <v>173</v>
      </c>
      <c r="B116" s="1" t="s">
        <v>220</v>
      </c>
      <c r="C116" s="2">
        <v>3</v>
      </c>
      <c r="D116" s="16">
        <v>50</v>
      </c>
      <c r="E116" s="16">
        <v>9</v>
      </c>
      <c r="F116" s="99">
        <v>0.06</v>
      </c>
      <c r="G116" s="99">
        <v>0.5</v>
      </c>
      <c r="H116" s="99">
        <v>0.43</v>
      </c>
      <c r="I116" s="99">
        <v>0.01</v>
      </c>
      <c r="J116" s="99">
        <v>0.56999999999999995</v>
      </c>
      <c r="K116" s="99">
        <v>0.51</v>
      </c>
      <c r="L116" s="99">
        <v>0.59</v>
      </c>
      <c r="M116" s="36">
        <v>50</v>
      </c>
      <c r="N116" s="36">
        <v>9</v>
      </c>
      <c r="O116" s="66">
        <v>7.0000000000000007E-2</v>
      </c>
      <c r="P116" s="66">
        <v>0.45</v>
      </c>
      <c r="Q116" s="66">
        <v>0.48</v>
      </c>
      <c r="R116" s="66">
        <v>0.01</v>
      </c>
      <c r="S116" s="66">
        <v>0.5</v>
      </c>
      <c r="T116" s="66">
        <v>0.59</v>
      </c>
      <c r="U116" s="66">
        <v>0.39</v>
      </c>
      <c r="V116" s="16">
        <v>50</v>
      </c>
      <c r="W116" s="16">
        <v>10</v>
      </c>
      <c r="X116" s="99">
        <v>7.0000000000000007E-2</v>
      </c>
      <c r="Y116" s="99">
        <v>0.45</v>
      </c>
      <c r="Z116" s="99">
        <v>0.47</v>
      </c>
      <c r="AA116" s="99">
        <v>0.01</v>
      </c>
      <c r="AB116" s="99">
        <v>0.52</v>
      </c>
      <c r="AC116" s="99">
        <v>0.4</v>
      </c>
      <c r="AD116" s="99">
        <v>0.53</v>
      </c>
      <c r="AE116" s="16">
        <v>51</v>
      </c>
      <c r="AF116" s="16">
        <v>9</v>
      </c>
      <c r="AG116" s="99">
        <v>0.05</v>
      </c>
      <c r="AH116" s="99">
        <v>0.44</v>
      </c>
      <c r="AI116" s="99">
        <v>0.5</v>
      </c>
      <c r="AJ116" s="99">
        <v>0.01</v>
      </c>
      <c r="AK116" s="99">
        <v>0.56999999999999995</v>
      </c>
      <c r="AL116" s="99">
        <v>0.48</v>
      </c>
      <c r="AM116" s="99">
        <v>0.31</v>
      </c>
      <c r="AN116" s="61">
        <v>49</v>
      </c>
      <c r="AO116" s="61">
        <v>9</v>
      </c>
      <c r="AP116" s="66">
        <v>0.08</v>
      </c>
      <c r="AQ116" s="66">
        <v>0.45</v>
      </c>
      <c r="AR116" s="66">
        <v>0.47</v>
      </c>
      <c r="AS116" s="66">
        <v>0.01</v>
      </c>
      <c r="AT116" s="66">
        <v>0.35</v>
      </c>
      <c r="AU116" s="66">
        <v>0.55000000000000004</v>
      </c>
      <c r="AV116" s="66">
        <v>0.55000000000000004</v>
      </c>
      <c r="AW116" s="349">
        <v>49</v>
      </c>
      <c r="AX116" s="348" t="s">
        <v>910</v>
      </c>
      <c r="AY116" s="349">
        <v>8</v>
      </c>
      <c r="AZ116" s="348" t="s">
        <v>910</v>
      </c>
      <c r="BA116" s="371">
        <v>0.06</v>
      </c>
      <c r="BB116" s="371">
        <v>0.46</v>
      </c>
      <c r="BC116" s="371">
        <v>0.47</v>
      </c>
      <c r="BD116" s="371">
        <v>0.01</v>
      </c>
      <c r="BE116" s="371">
        <v>0.31</v>
      </c>
      <c r="BF116" s="371">
        <v>0.56000000000000005</v>
      </c>
      <c r="BG116" s="371">
        <v>0.52</v>
      </c>
      <c r="BH116" s="469">
        <v>50</v>
      </c>
      <c r="BI116" s="471" t="s">
        <v>910</v>
      </c>
      <c r="BJ116" s="469">
        <v>9</v>
      </c>
      <c r="BK116" s="471" t="s">
        <v>910</v>
      </c>
      <c r="BL116" s="501">
        <v>0.04</v>
      </c>
      <c r="BM116" s="501">
        <v>0.48</v>
      </c>
      <c r="BN116" s="501">
        <v>0.47</v>
      </c>
      <c r="BO116" s="501">
        <v>0.01</v>
      </c>
      <c r="BP116" s="501">
        <v>0.55000000000000004</v>
      </c>
      <c r="BQ116" s="501">
        <v>0.62</v>
      </c>
      <c r="BR116" s="501">
        <v>0.42</v>
      </c>
      <c r="BS116" s="630">
        <v>50</v>
      </c>
      <c r="BT116" s="640" t="s">
        <v>910</v>
      </c>
      <c r="BU116" s="630">
        <v>9</v>
      </c>
      <c r="BV116" s="640" t="s">
        <v>910</v>
      </c>
      <c r="BW116" s="644">
        <v>7.0000000000000007E-2</v>
      </c>
      <c r="BX116" s="644">
        <v>0.45</v>
      </c>
      <c r="BY116" s="644">
        <v>0.48</v>
      </c>
      <c r="BZ116" s="644">
        <v>0.01</v>
      </c>
      <c r="CA116" s="644">
        <v>0.63</v>
      </c>
      <c r="CB116" s="644">
        <v>0.39</v>
      </c>
      <c r="CC116" s="644">
        <v>0.63</v>
      </c>
    </row>
    <row r="117" spans="1:81" ht="24.9" customHeight="1" x14ac:dyDescent="0.25">
      <c r="A117" s="188" t="s">
        <v>33</v>
      </c>
      <c r="B117" s="1" t="s">
        <v>220</v>
      </c>
      <c r="C117" s="2">
        <v>6</v>
      </c>
      <c r="D117" s="16">
        <v>51</v>
      </c>
      <c r="E117" s="16">
        <v>9</v>
      </c>
      <c r="F117" s="99">
        <v>0.02</v>
      </c>
      <c r="G117" s="99">
        <v>0.52</v>
      </c>
      <c r="H117" s="99">
        <v>0.44</v>
      </c>
      <c r="I117" s="99">
        <v>0.02</v>
      </c>
      <c r="J117" s="99">
        <v>0.54</v>
      </c>
      <c r="K117" s="99">
        <v>0.51</v>
      </c>
      <c r="L117" s="99">
        <v>0.54</v>
      </c>
      <c r="M117" s="36">
        <v>53</v>
      </c>
      <c r="N117" s="36">
        <v>8</v>
      </c>
      <c r="O117" s="66">
        <v>0.01</v>
      </c>
      <c r="P117" s="66">
        <v>0.38</v>
      </c>
      <c r="Q117" s="66">
        <v>0.59</v>
      </c>
      <c r="R117" s="66">
        <v>0.03</v>
      </c>
      <c r="S117" s="66">
        <v>0.48</v>
      </c>
      <c r="T117" s="66">
        <v>0.54</v>
      </c>
      <c r="U117" s="66">
        <v>0.33</v>
      </c>
      <c r="V117" s="16">
        <v>54</v>
      </c>
      <c r="W117" s="16">
        <v>10</v>
      </c>
      <c r="X117" s="99">
        <v>0.04</v>
      </c>
      <c r="Y117" s="99">
        <v>0.28000000000000003</v>
      </c>
      <c r="Z117" s="99">
        <v>0.64</v>
      </c>
      <c r="AA117" s="99">
        <v>0.04</v>
      </c>
      <c r="AB117" s="99">
        <v>0.46</v>
      </c>
      <c r="AC117" s="99">
        <v>0.34</v>
      </c>
      <c r="AD117" s="99">
        <v>0.47</v>
      </c>
      <c r="AE117" s="16">
        <v>53</v>
      </c>
      <c r="AF117" s="16">
        <v>10</v>
      </c>
      <c r="AG117" s="99">
        <v>0.05</v>
      </c>
      <c r="AH117" s="99">
        <v>0.34</v>
      </c>
      <c r="AI117" s="99">
        <v>0.6</v>
      </c>
      <c r="AJ117" s="99">
        <v>0.02</v>
      </c>
      <c r="AK117" s="99">
        <v>0.52</v>
      </c>
      <c r="AL117" s="99">
        <v>0.46</v>
      </c>
      <c r="AM117" s="99">
        <v>0.3</v>
      </c>
      <c r="AN117" s="61">
        <v>53</v>
      </c>
      <c r="AO117" s="61">
        <v>9</v>
      </c>
      <c r="AP117" s="66">
        <v>0.01</v>
      </c>
      <c r="AQ117" s="66">
        <v>0.34</v>
      </c>
      <c r="AR117" s="66">
        <v>0.62</v>
      </c>
      <c r="AS117" s="66">
        <v>0.03</v>
      </c>
      <c r="AT117" s="66">
        <v>0.28000000000000003</v>
      </c>
      <c r="AU117" s="66">
        <v>0.5</v>
      </c>
      <c r="AV117" s="66">
        <v>0.49</v>
      </c>
      <c r="AW117" s="349">
        <v>50</v>
      </c>
      <c r="AX117" s="348" t="s">
        <v>910</v>
      </c>
      <c r="AY117" s="349">
        <v>8</v>
      </c>
      <c r="AZ117" s="348" t="s">
        <v>910</v>
      </c>
      <c r="BA117" s="371">
        <v>0.06</v>
      </c>
      <c r="BB117" s="371">
        <v>0.45</v>
      </c>
      <c r="BC117" s="371">
        <v>0.48</v>
      </c>
      <c r="BD117" s="371">
        <v>0.01</v>
      </c>
      <c r="BE117" s="371">
        <v>0.32</v>
      </c>
      <c r="BF117" s="371">
        <v>0.55000000000000004</v>
      </c>
      <c r="BG117" s="371">
        <v>0.5</v>
      </c>
      <c r="BH117" s="469">
        <v>50</v>
      </c>
      <c r="BI117" s="471" t="s">
        <v>910</v>
      </c>
      <c r="BJ117" s="469">
        <v>11</v>
      </c>
      <c r="BK117" s="471" t="s">
        <v>910</v>
      </c>
      <c r="BL117" s="501">
        <v>0.12</v>
      </c>
      <c r="BM117" s="501">
        <v>0.35</v>
      </c>
      <c r="BN117" s="501">
        <v>0.52</v>
      </c>
      <c r="BO117" s="501">
        <v>0</v>
      </c>
      <c r="BP117" s="501">
        <v>0.53</v>
      </c>
      <c r="BQ117" s="501">
        <v>0.62</v>
      </c>
      <c r="BR117" s="501">
        <v>0.42</v>
      </c>
      <c r="BS117" s="630">
        <v>50</v>
      </c>
      <c r="BT117" s="640" t="s">
        <v>910</v>
      </c>
      <c r="BU117" s="630">
        <v>11</v>
      </c>
      <c r="BV117" s="640" t="s">
        <v>910</v>
      </c>
      <c r="BW117" s="644">
        <v>0.1</v>
      </c>
      <c r="BX117" s="644">
        <v>0.41</v>
      </c>
      <c r="BY117" s="644">
        <v>0.47</v>
      </c>
      <c r="BZ117" s="644">
        <v>0.03</v>
      </c>
      <c r="CA117" s="644">
        <v>0.62</v>
      </c>
      <c r="CB117" s="644">
        <v>0.43</v>
      </c>
      <c r="CC117" s="644">
        <v>0.61</v>
      </c>
    </row>
    <row r="118" spans="1:81" ht="24.9" customHeight="1" x14ac:dyDescent="0.25">
      <c r="A118" s="188" t="s">
        <v>65</v>
      </c>
      <c r="B118" s="1" t="s">
        <v>220</v>
      </c>
      <c r="C118" s="2">
        <v>3</v>
      </c>
      <c r="D118" s="16">
        <v>52</v>
      </c>
      <c r="E118" s="16">
        <v>8</v>
      </c>
      <c r="F118" s="99">
        <v>0.02</v>
      </c>
      <c r="G118" s="99">
        <v>0.43</v>
      </c>
      <c r="H118" s="99">
        <v>0.54</v>
      </c>
      <c r="I118" s="99">
        <v>0.01</v>
      </c>
      <c r="J118" s="99">
        <v>0.55000000000000004</v>
      </c>
      <c r="K118" s="99">
        <v>0.48</v>
      </c>
      <c r="L118" s="99">
        <v>0.56000000000000005</v>
      </c>
      <c r="M118" s="36">
        <v>50</v>
      </c>
      <c r="N118" s="36">
        <v>9</v>
      </c>
      <c r="O118" s="66">
        <v>0.06</v>
      </c>
      <c r="P118" s="66">
        <v>0.43</v>
      </c>
      <c r="Q118" s="66">
        <v>0.5</v>
      </c>
      <c r="R118" s="66">
        <v>0.01</v>
      </c>
      <c r="S118" s="66">
        <v>0.48</v>
      </c>
      <c r="T118" s="66">
        <v>0.57999999999999996</v>
      </c>
      <c r="U118" s="66">
        <v>0.38</v>
      </c>
      <c r="V118" s="16">
        <v>51</v>
      </c>
      <c r="W118" s="16">
        <v>9</v>
      </c>
      <c r="X118" s="99">
        <v>0.04</v>
      </c>
      <c r="Y118" s="99">
        <v>0.42</v>
      </c>
      <c r="Z118" s="99">
        <v>0.54</v>
      </c>
      <c r="AA118" s="99">
        <v>0.01</v>
      </c>
      <c r="AB118" s="99">
        <v>0.5</v>
      </c>
      <c r="AC118" s="99">
        <v>0.39</v>
      </c>
      <c r="AD118" s="99">
        <v>0.52</v>
      </c>
      <c r="AE118" s="16">
        <v>51</v>
      </c>
      <c r="AF118" s="16">
        <v>10</v>
      </c>
      <c r="AG118" s="99">
        <v>0.05</v>
      </c>
      <c r="AH118" s="99">
        <v>0.4</v>
      </c>
      <c r="AI118" s="99">
        <v>0.53</v>
      </c>
      <c r="AJ118" s="99">
        <v>0.02</v>
      </c>
      <c r="AK118" s="99">
        <v>0.54</v>
      </c>
      <c r="AL118" s="99">
        <v>0.49</v>
      </c>
      <c r="AM118" s="99">
        <v>0.32</v>
      </c>
      <c r="AN118" s="61">
        <v>52</v>
      </c>
      <c r="AO118" s="61">
        <v>9</v>
      </c>
      <c r="AP118" s="66">
        <v>0.04</v>
      </c>
      <c r="AQ118" s="66">
        <v>0.37</v>
      </c>
      <c r="AR118" s="66">
        <v>0.56999999999999995</v>
      </c>
      <c r="AS118" s="66">
        <v>0.02</v>
      </c>
      <c r="AT118" s="66">
        <v>0.27</v>
      </c>
      <c r="AU118" s="66">
        <v>0.5</v>
      </c>
      <c r="AV118" s="66">
        <v>0.52</v>
      </c>
      <c r="AW118" s="349">
        <v>49</v>
      </c>
      <c r="AX118" s="348" t="s">
        <v>910</v>
      </c>
      <c r="AY118" s="349">
        <v>8</v>
      </c>
      <c r="AZ118" s="348" t="s">
        <v>910</v>
      </c>
      <c r="BA118" s="371">
        <v>0.06</v>
      </c>
      <c r="BB118" s="371">
        <v>0.5</v>
      </c>
      <c r="BC118" s="371">
        <v>0.43</v>
      </c>
      <c r="BD118" s="371">
        <v>0</v>
      </c>
      <c r="BE118" s="371">
        <v>0.31</v>
      </c>
      <c r="BF118" s="371">
        <v>0.55000000000000004</v>
      </c>
      <c r="BG118" s="371">
        <v>0.53</v>
      </c>
      <c r="BH118" s="469">
        <v>51</v>
      </c>
      <c r="BI118" s="471" t="s">
        <v>910</v>
      </c>
      <c r="BJ118" s="469">
        <v>9</v>
      </c>
      <c r="BK118" s="471" t="s">
        <v>910</v>
      </c>
      <c r="BL118" s="501">
        <v>7.0000000000000007E-2</v>
      </c>
      <c r="BM118" s="501">
        <v>0.42</v>
      </c>
      <c r="BN118" s="501">
        <v>0.49</v>
      </c>
      <c r="BO118" s="501">
        <v>0.02</v>
      </c>
      <c r="BP118" s="501">
        <v>0.55000000000000004</v>
      </c>
      <c r="BQ118" s="501">
        <v>0.63</v>
      </c>
      <c r="BR118" s="501">
        <v>0.43</v>
      </c>
      <c r="BS118" s="630">
        <v>48</v>
      </c>
      <c r="BT118" s="640" t="s">
        <v>910</v>
      </c>
      <c r="BU118" s="630">
        <v>9</v>
      </c>
      <c r="BV118" s="640" t="s">
        <v>910</v>
      </c>
      <c r="BW118" s="644">
        <v>0.08</v>
      </c>
      <c r="BX118" s="644">
        <v>0.53</v>
      </c>
      <c r="BY118" s="644">
        <v>0.38</v>
      </c>
      <c r="BZ118" s="644">
        <v>0.01</v>
      </c>
      <c r="CA118" s="644">
        <v>0.68</v>
      </c>
      <c r="CB118" s="644">
        <v>0.42</v>
      </c>
      <c r="CC118" s="644">
        <v>0.67</v>
      </c>
    </row>
    <row r="119" spans="1:81" ht="24.9" customHeight="1" x14ac:dyDescent="0.25">
      <c r="A119" s="188" t="s">
        <v>106</v>
      </c>
      <c r="B119" s="1" t="s">
        <v>222</v>
      </c>
      <c r="C119" s="2">
        <v>1</v>
      </c>
      <c r="D119" s="16">
        <v>56</v>
      </c>
      <c r="E119" s="16">
        <v>10</v>
      </c>
      <c r="F119" s="99">
        <v>0.1</v>
      </c>
      <c r="G119" s="99">
        <v>0.19</v>
      </c>
      <c r="H119" s="99">
        <v>0.71</v>
      </c>
      <c r="I119" s="99">
        <v>0</v>
      </c>
      <c r="J119" s="99">
        <v>0.46</v>
      </c>
      <c r="K119" s="99">
        <v>0.38</v>
      </c>
      <c r="L119" s="99">
        <v>0.44</v>
      </c>
      <c r="M119" s="36">
        <v>55</v>
      </c>
      <c r="N119" s="36">
        <v>8</v>
      </c>
      <c r="O119" s="66">
        <v>0.03</v>
      </c>
      <c r="P119" s="66">
        <v>0.26</v>
      </c>
      <c r="Q119" s="66">
        <v>0.68</v>
      </c>
      <c r="R119" s="66">
        <v>0.03</v>
      </c>
      <c r="S119" s="66">
        <v>0.46</v>
      </c>
      <c r="T119" s="66">
        <v>0.51</v>
      </c>
      <c r="U119" s="66">
        <v>0.28999999999999998</v>
      </c>
      <c r="V119" s="16">
        <v>53</v>
      </c>
      <c r="W119" s="16">
        <v>9</v>
      </c>
      <c r="X119" s="99">
        <v>0</v>
      </c>
      <c r="Y119" s="99">
        <v>0.43</v>
      </c>
      <c r="Z119" s="99">
        <v>0.56999999999999995</v>
      </c>
      <c r="AA119" s="99">
        <v>0</v>
      </c>
      <c r="AB119" s="99">
        <v>0.46</v>
      </c>
      <c r="AC119" s="99">
        <v>0.34</v>
      </c>
      <c r="AD119" s="99">
        <v>0.5</v>
      </c>
      <c r="AE119" s="16">
        <v>53</v>
      </c>
      <c r="AF119" s="16">
        <v>11</v>
      </c>
      <c r="AG119" s="99">
        <v>0.08</v>
      </c>
      <c r="AH119" s="99">
        <v>0.32</v>
      </c>
      <c r="AI119" s="99">
        <v>0.59</v>
      </c>
      <c r="AJ119" s="99">
        <v>0</v>
      </c>
      <c r="AK119" s="99">
        <v>0.53</v>
      </c>
      <c r="AL119" s="99">
        <v>0.43</v>
      </c>
      <c r="AM119" s="99">
        <v>0.28000000000000003</v>
      </c>
      <c r="AN119" s="61">
        <v>55</v>
      </c>
      <c r="AO119" s="61">
        <v>11</v>
      </c>
      <c r="AP119" s="66">
        <v>0.05</v>
      </c>
      <c r="AQ119" s="66">
        <v>0.36</v>
      </c>
      <c r="AR119" s="66">
        <v>0.59</v>
      </c>
      <c r="AS119" s="66">
        <v>0</v>
      </c>
      <c r="AT119" s="66">
        <v>0.3</v>
      </c>
      <c r="AU119" s="66">
        <v>0.43</v>
      </c>
      <c r="AV119" s="66">
        <v>0.43</v>
      </c>
      <c r="AW119" s="349">
        <v>51</v>
      </c>
      <c r="AX119" s="348" t="s">
        <v>910</v>
      </c>
      <c r="AY119" s="349">
        <v>9</v>
      </c>
      <c r="AZ119" s="348" t="s">
        <v>910</v>
      </c>
      <c r="BA119" s="371">
        <v>0.03</v>
      </c>
      <c r="BB119" s="371">
        <v>0.35</v>
      </c>
      <c r="BC119" s="371">
        <v>0.62</v>
      </c>
      <c r="BD119" s="371">
        <v>0</v>
      </c>
      <c r="BE119" s="371">
        <v>0.26</v>
      </c>
      <c r="BF119" s="371">
        <v>0.53</v>
      </c>
      <c r="BG119" s="371">
        <v>0.49</v>
      </c>
      <c r="BH119" s="469">
        <v>58</v>
      </c>
      <c r="BI119" s="471" t="s">
        <v>910</v>
      </c>
      <c r="BJ119" s="469">
        <v>9</v>
      </c>
      <c r="BK119" s="471" t="s">
        <v>910</v>
      </c>
      <c r="BL119" s="501">
        <v>0</v>
      </c>
      <c r="BM119" s="501">
        <v>0.21</v>
      </c>
      <c r="BN119" s="501">
        <v>0.71</v>
      </c>
      <c r="BO119" s="501">
        <v>0.09</v>
      </c>
      <c r="BP119" s="501">
        <v>0.44</v>
      </c>
      <c r="BQ119" s="501">
        <v>0.52</v>
      </c>
      <c r="BR119" s="501">
        <v>0.33</v>
      </c>
      <c r="BS119" s="630">
        <v>57</v>
      </c>
      <c r="BT119" s="640" t="s">
        <v>910</v>
      </c>
      <c r="BU119" s="630">
        <v>9</v>
      </c>
      <c r="BV119" s="640" t="s">
        <v>910</v>
      </c>
      <c r="BW119" s="644">
        <v>0.03</v>
      </c>
      <c r="BX119" s="644">
        <v>0.17</v>
      </c>
      <c r="BY119" s="644">
        <v>0.69</v>
      </c>
      <c r="BZ119" s="644">
        <v>0.1</v>
      </c>
      <c r="CA119" s="644">
        <v>0.54</v>
      </c>
      <c r="CB119" s="644">
        <v>0.31</v>
      </c>
      <c r="CC119" s="644">
        <v>0.56000000000000005</v>
      </c>
    </row>
    <row r="120" spans="1:81" ht="24.9" customHeight="1" x14ac:dyDescent="0.25">
      <c r="A120" s="188" t="s">
        <v>188</v>
      </c>
      <c r="B120" s="1" t="s">
        <v>220</v>
      </c>
      <c r="C120" s="2">
        <v>4</v>
      </c>
      <c r="D120" s="16">
        <v>44</v>
      </c>
      <c r="E120" s="16">
        <v>9</v>
      </c>
      <c r="F120" s="99">
        <v>0.2</v>
      </c>
      <c r="G120" s="99">
        <v>0.51</v>
      </c>
      <c r="H120" s="99">
        <v>0.28999999999999998</v>
      </c>
      <c r="I120" s="99">
        <v>0</v>
      </c>
      <c r="J120" s="99">
        <v>0.62</v>
      </c>
      <c r="K120" s="99">
        <v>0.61</v>
      </c>
      <c r="L120" s="99">
        <v>0.65</v>
      </c>
      <c r="M120" s="36">
        <v>45</v>
      </c>
      <c r="N120" s="36">
        <v>10</v>
      </c>
      <c r="O120" s="66">
        <v>0.15</v>
      </c>
      <c r="P120" s="66">
        <v>0.59</v>
      </c>
      <c r="Q120" s="66">
        <v>0.26</v>
      </c>
      <c r="R120" s="66">
        <v>0</v>
      </c>
      <c r="S120" s="66">
        <v>0.54</v>
      </c>
      <c r="T120" s="66">
        <v>0.67</v>
      </c>
      <c r="U120" s="66">
        <v>0.49</v>
      </c>
      <c r="V120" s="16">
        <v>42</v>
      </c>
      <c r="W120" s="16">
        <v>8</v>
      </c>
      <c r="X120" s="99">
        <v>0.24</v>
      </c>
      <c r="Y120" s="99">
        <v>0.55000000000000004</v>
      </c>
      <c r="Z120" s="99">
        <v>0.21</v>
      </c>
      <c r="AA120" s="99">
        <v>0</v>
      </c>
      <c r="AB120" s="99">
        <v>0.65</v>
      </c>
      <c r="AC120" s="99">
        <v>0.48</v>
      </c>
      <c r="AD120" s="99">
        <v>0.65</v>
      </c>
      <c r="AE120" s="16">
        <v>47</v>
      </c>
      <c r="AF120" s="16">
        <v>10</v>
      </c>
      <c r="AG120" s="99">
        <v>0.1</v>
      </c>
      <c r="AH120" s="99">
        <v>0.59</v>
      </c>
      <c r="AI120" s="99">
        <v>0.32</v>
      </c>
      <c r="AJ120" s="99">
        <v>0</v>
      </c>
      <c r="AK120" s="99">
        <v>0.6</v>
      </c>
      <c r="AL120" s="99">
        <v>0.52</v>
      </c>
      <c r="AM120" s="99">
        <v>0.39</v>
      </c>
      <c r="AN120" s="61">
        <v>44</v>
      </c>
      <c r="AO120" s="61">
        <v>10</v>
      </c>
      <c r="AP120" s="66">
        <v>0.22</v>
      </c>
      <c r="AQ120" s="66">
        <v>0.47</v>
      </c>
      <c r="AR120" s="66">
        <v>0.31</v>
      </c>
      <c r="AS120" s="66">
        <v>0</v>
      </c>
      <c r="AT120" s="66">
        <v>0.41</v>
      </c>
      <c r="AU120" s="66">
        <v>0.65</v>
      </c>
      <c r="AV120" s="66">
        <v>0.61</v>
      </c>
      <c r="AW120" s="349">
        <v>49</v>
      </c>
      <c r="AX120" s="348" t="s">
        <v>910</v>
      </c>
      <c r="AY120" s="349">
        <v>9</v>
      </c>
      <c r="AZ120" s="348" t="s">
        <v>910</v>
      </c>
      <c r="BA120" s="371">
        <v>0.1</v>
      </c>
      <c r="BB120" s="371">
        <v>0.4</v>
      </c>
      <c r="BC120" s="371">
        <v>0.5</v>
      </c>
      <c r="BD120" s="371">
        <v>0</v>
      </c>
      <c r="BE120" s="371">
        <v>0.35</v>
      </c>
      <c r="BF120" s="371">
        <v>0.53</v>
      </c>
      <c r="BG120" s="371">
        <v>0.51</v>
      </c>
      <c r="BH120" s="469">
        <v>48</v>
      </c>
      <c r="BI120" s="471" t="s">
        <v>910</v>
      </c>
      <c r="BJ120" s="469">
        <v>10</v>
      </c>
      <c r="BK120" s="471" t="s">
        <v>910</v>
      </c>
      <c r="BL120" s="501">
        <v>0.08</v>
      </c>
      <c r="BM120" s="501">
        <v>0.44</v>
      </c>
      <c r="BN120" s="501">
        <v>0.47</v>
      </c>
      <c r="BO120" s="501">
        <v>0</v>
      </c>
      <c r="BP120" s="501">
        <v>0.6</v>
      </c>
      <c r="BQ120" s="501">
        <v>0.67</v>
      </c>
      <c r="BR120" s="501">
        <v>0.44</v>
      </c>
      <c r="BS120" s="630">
        <v>48</v>
      </c>
      <c r="BT120" s="640" t="s">
        <v>910</v>
      </c>
      <c r="BU120" s="630">
        <v>12</v>
      </c>
      <c r="BV120" s="640" t="s">
        <v>910</v>
      </c>
      <c r="BW120" s="644">
        <v>0.16</v>
      </c>
      <c r="BX120" s="644">
        <v>0.41</v>
      </c>
      <c r="BY120" s="644">
        <v>0.44</v>
      </c>
      <c r="BZ120" s="644">
        <v>0</v>
      </c>
      <c r="CA120" s="644">
        <v>0.65</v>
      </c>
      <c r="CB120" s="644">
        <v>0.45</v>
      </c>
      <c r="CC120" s="644">
        <v>0.61</v>
      </c>
    </row>
    <row r="121" spans="1:81" s="461" customFormat="1" ht="24.9" customHeight="1" x14ac:dyDescent="0.25">
      <c r="A121" s="470" t="s">
        <v>964</v>
      </c>
      <c r="B121" s="1" t="s">
        <v>220</v>
      </c>
      <c r="C121" s="471">
        <v>2</v>
      </c>
      <c r="D121" s="502"/>
      <c r="E121" s="502"/>
      <c r="F121" s="508"/>
      <c r="G121" s="508"/>
      <c r="H121" s="508"/>
      <c r="I121" s="508"/>
      <c r="J121" s="508"/>
      <c r="K121" s="508"/>
      <c r="L121" s="508"/>
      <c r="M121" s="512"/>
      <c r="N121" s="512"/>
      <c r="O121" s="506"/>
      <c r="P121" s="506"/>
      <c r="Q121" s="506"/>
      <c r="R121" s="506"/>
      <c r="S121" s="506"/>
      <c r="T121" s="506"/>
      <c r="U121" s="506"/>
      <c r="V121" s="502"/>
      <c r="W121" s="502"/>
      <c r="X121" s="508"/>
      <c r="Y121" s="508"/>
      <c r="Z121" s="508"/>
      <c r="AA121" s="508"/>
      <c r="AB121" s="508"/>
      <c r="AC121" s="508"/>
      <c r="AD121" s="508"/>
      <c r="AE121" s="502"/>
      <c r="AF121" s="502"/>
      <c r="AG121" s="508"/>
      <c r="AH121" s="508"/>
      <c r="AI121" s="508"/>
      <c r="AJ121" s="508"/>
      <c r="AK121" s="508"/>
      <c r="AL121" s="508"/>
      <c r="AM121" s="508"/>
      <c r="AN121" s="472"/>
      <c r="AO121" s="472"/>
      <c r="AP121" s="506"/>
      <c r="AQ121" s="506"/>
      <c r="AR121" s="506"/>
      <c r="AS121" s="506"/>
      <c r="AT121" s="506"/>
      <c r="AU121" s="506"/>
      <c r="AV121" s="506"/>
      <c r="AW121" s="475"/>
      <c r="AX121" s="493"/>
      <c r="AY121" s="475"/>
      <c r="AZ121" s="493"/>
      <c r="BA121" s="507"/>
      <c r="BB121" s="507"/>
      <c r="BC121" s="507"/>
      <c r="BD121" s="507"/>
      <c r="BE121" s="507"/>
      <c r="BF121" s="507"/>
      <c r="BG121" s="507"/>
      <c r="BH121" s="469">
        <v>52</v>
      </c>
      <c r="BI121" s="471" t="s">
        <v>910</v>
      </c>
      <c r="BJ121" s="469">
        <v>9</v>
      </c>
      <c r="BK121" s="471" t="s">
        <v>910</v>
      </c>
      <c r="BL121" s="501">
        <v>0.05</v>
      </c>
      <c r="BM121" s="501">
        <v>0.32</v>
      </c>
      <c r="BN121" s="501">
        <v>0.63</v>
      </c>
      <c r="BO121" s="501">
        <v>0</v>
      </c>
      <c r="BP121" s="501">
        <v>0.56000000000000005</v>
      </c>
      <c r="BQ121" s="501">
        <v>0.67</v>
      </c>
      <c r="BR121" s="501">
        <v>0.41</v>
      </c>
      <c r="BS121" s="630">
        <v>50</v>
      </c>
      <c r="BT121" s="640" t="s">
        <v>910</v>
      </c>
      <c r="BU121" s="630">
        <v>9</v>
      </c>
      <c r="BV121" s="640" t="s">
        <v>910</v>
      </c>
      <c r="BW121" s="644">
        <v>0.06</v>
      </c>
      <c r="BX121" s="644">
        <v>0.39</v>
      </c>
      <c r="BY121" s="644">
        <v>0.55000000000000004</v>
      </c>
      <c r="BZ121" s="644">
        <v>0</v>
      </c>
      <c r="CA121" s="644">
        <v>0.68</v>
      </c>
      <c r="CB121" s="644">
        <v>0.41</v>
      </c>
      <c r="CC121" s="644">
        <v>0.61</v>
      </c>
    </row>
    <row r="122" spans="1:81" ht="24.9" customHeight="1" x14ac:dyDescent="0.25">
      <c r="A122" s="188" t="s">
        <v>130</v>
      </c>
      <c r="B122" s="1" t="s">
        <v>220</v>
      </c>
      <c r="C122" s="2">
        <v>3</v>
      </c>
      <c r="D122" s="16">
        <v>51</v>
      </c>
      <c r="E122" s="16">
        <v>10</v>
      </c>
      <c r="F122" s="99">
        <v>0.05</v>
      </c>
      <c r="G122" s="99">
        <v>0.44</v>
      </c>
      <c r="H122" s="99">
        <v>0.48</v>
      </c>
      <c r="I122" s="99">
        <v>0.04</v>
      </c>
      <c r="J122" s="99">
        <v>0.52</v>
      </c>
      <c r="K122" s="99">
        <v>0.43</v>
      </c>
      <c r="L122" s="99">
        <v>0.51</v>
      </c>
      <c r="M122" s="36">
        <v>50</v>
      </c>
      <c r="N122" s="36">
        <v>9</v>
      </c>
      <c r="O122" s="66">
        <v>0.04</v>
      </c>
      <c r="P122" s="66">
        <v>0.49</v>
      </c>
      <c r="Q122" s="66">
        <v>0.47</v>
      </c>
      <c r="R122" s="66">
        <v>0</v>
      </c>
      <c r="S122" s="66">
        <v>0.5</v>
      </c>
      <c r="T122" s="66">
        <v>0.59</v>
      </c>
      <c r="U122" s="66">
        <v>0.38</v>
      </c>
      <c r="V122" s="16">
        <v>51</v>
      </c>
      <c r="W122" s="16">
        <v>8</v>
      </c>
      <c r="X122" s="99">
        <v>0.03</v>
      </c>
      <c r="Y122" s="99">
        <v>0.41</v>
      </c>
      <c r="Z122" s="99">
        <v>0.56999999999999995</v>
      </c>
      <c r="AA122" s="99">
        <v>0</v>
      </c>
      <c r="AB122" s="99">
        <v>0.51</v>
      </c>
      <c r="AC122" s="99">
        <v>0.38</v>
      </c>
      <c r="AD122" s="99">
        <v>0.54</v>
      </c>
      <c r="AE122" s="16">
        <v>51</v>
      </c>
      <c r="AF122" s="16">
        <v>9</v>
      </c>
      <c r="AG122" s="99">
        <v>0.05</v>
      </c>
      <c r="AH122" s="99">
        <v>0.42</v>
      </c>
      <c r="AI122" s="99">
        <v>0.53</v>
      </c>
      <c r="AJ122" s="99">
        <v>0</v>
      </c>
      <c r="AK122" s="99">
        <v>0.55000000000000004</v>
      </c>
      <c r="AL122" s="99">
        <v>0.51</v>
      </c>
      <c r="AM122" s="99">
        <v>0.31</v>
      </c>
      <c r="AN122" s="61">
        <v>50</v>
      </c>
      <c r="AO122" s="61">
        <v>9</v>
      </c>
      <c r="AP122" s="66">
        <v>0.05</v>
      </c>
      <c r="AQ122" s="66">
        <v>0.41</v>
      </c>
      <c r="AR122" s="66">
        <v>0.53</v>
      </c>
      <c r="AS122" s="66">
        <v>0.01</v>
      </c>
      <c r="AT122" s="66">
        <v>0.32</v>
      </c>
      <c r="AU122" s="66">
        <v>0.54</v>
      </c>
      <c r="AV122" s="66">
        <v>0.52</v>
      </c>
      <c r="AW122" s="349">
        <v>50</v>
      </c>
      <c r="AX122" s="348" t="s">
        <v>910</v>
      </c>
      <c r="AY122" s="349">
        <v>9</v>
      </c>
      <c r="AZ122" s="348" t="s">
        <v>910</v>
      </c>
      <c r="BA122" s="371">
        <v>0.05</v>
      </c>
      <c r="BB122" s="371">
        <v>0.46</v>
      </c>
      <c r="BC122" s="371">
        <v>0.47</v>
      </c>
      <c r="BD122" s="371">
        <v>0.02</v>
      </c>
      <c r="BE122" s="371">
        <v>0.3</v>
      </c>
      <c r="BF122" s="371">
        <v>0.54</v>
      </c>
      <c r="BG122" s="371">
        <v>0.49</v>
      </c>
      <c r="BH122" s="469">
        <v>52</v>
      </c>
      <c r="BI122" s="471" t="s">
        <v>910</v>
      </c>
      <c r="BJ122" s="469">
        <v>11</v>
      </c>
      <c r="BK122" s="471" t="s">
        <v>910</v>
      </c>
      <c r="BL122" s="501">
        <v>0.1</v>
      </c>
      <c r="BM122" s="501">
        <v>0.28999999999999998</v>
      </c>
      <c r="BN122" s="501">
        <v>0.57999999999999996</v>
      </c>
      <c r="BO122" s="501">
        <v>0.02</v>
      </c>
      <c r="BP122" s="501">
        <v>0.48</v>
      </c>
      <c r="BQ122" s="501">
        <v>0.62</v>
      </c>
      <c r="BR122" s="501">
        <v>0.4</v>
      </c>
      <c r="BS122" s="630">
        <v>52</v>
      </c>
      <c r="BT122" s="640" t="s">
        <v>910</v>
      </c>
      <c r="BU122" s="630">
        <v>9</v>
      </c>
      <c r="BV122" s="640" t="s">
        <v>910</v>
      </c>
      <c r="BW122" s="644">
        <v>0.03</v>
      </c>
      <c r="BX122" s="644">
        <v>0.41</v>
      </c>
      <c r="BY122" s="644">
        <v>0.55000000000000004</v>
      </c>
      <c r="BZ122" s="644">
        <v>0.02</v>
      </c>
      <c r="CA122" s="644">
        <v>0.63</v>
      </c>
      <c r="CB122" s="644">
        <v>0.31</v>
      </c>
      <c r="CC122" s="644">
        <v>0.61</v>
      </c>
    </row>
    <row r="123" spans="1:81" s="461" customFormat="1" ht="24.9" customHeight="1" x14ac:dyDescent="0.25">
      <c r="A123" s="470" t="s">
        <v>966</v>
      </c>
      <c r="B123" s="1" t="s">
        <v>220</v>
      </c>
      <c r="C123" s="471">
        <v>1</v>
      </c>
      <c r="D123" s="502"/>
      <c r="E123" s="502"/>
      <c r="F123" s="508"/>
      <c r="G123" s="508"/>
      <c r="H123" s="508"/>
      <c r="I123" s="508"/>
      <c r="J123" s="508"/>
      <c r="K123" s="508"/>
      <c r="L123" s="508"/>
      <c r="M123" s="512"/>
      <c r="N123" s="512"/>
      <c r="O123" s="506"/>
      <c r="P123" s="506"/>
      <c r="Q123" s="506"/>
      <c r="R123" s="506"/>
      <c r="S123" s="506"/>
      <c r="T123" s="506"/>
      <c r="U123" s="506"/>
      <c r="V123" s="502"/>
      <c r="W123" s="502"/>
      <c r="X123" s="508"/>
      <c r="Y123" s="508"/>
      <c r="Z123" s="508"/>
      <c r="AA123" s="508"/>
      <c r="AB123" s="508"/>
      <c r="AC123" s="508"/>
      <c r="AD123" s="508"/>
      <c r="AE123" s="502"/>
      <c r="AF123" s="502"/>
      <c r="AG123" s="508"/>
      <c r="AH123" s="508"/>
      <c r="AI123" s="508"/>
      <c r="AJ123" s="508"/>
      <c r="AK123" s="508"/>
      <c r="AL123" s="508"/>
      <c r="AM123" s="508"/>
      <c r="AN123" s="472"/>
      <c r="AO123" s="472"/>
      <c r="AP123" s="506"/>
      <c r="AQ123" s="506"/>
      <c r="AR123" s="506"/>
      <c r="AS123" s="506"/>
      <c r="AT123" s="506"/>
      <c r="AU123" s="506"/>
      <c r="AV123" s="506"/>
      <c r="AW123" s="475"/>
      <c r="AX123" s="493"/>
      <c r="AY123" s="475"/>
      <c r="AZ123" s="493"/>
      <c r="BA123" s="507"/>
      <c r="BB123" s="507"/>
      <c r="BC123" s="507"/>
      <c r="BD123" s="507"/>
      <c r="BE123" s="507"/>
      <c r="BF123" s="507"/>
      <c r="BG123" s="507"/>
      <c r="BH123" s="469">
        <v>51</v>
      </c>
      <c r="BI123" s="471" t="s">
        <v>910</v>
      </c>
      <c r="BJ123" s="469">
        <v>9</v>
      </c>
      <c r="BK123" s="471" t="s">
        <v>910</v>
      </c>
      <c r="BL123" s="501">
        <v>0.05</v>
      </c>
      <c r="BM123" s="501">
        <v>0.46</v>
      </c>
      <c r="BN123" s="501">
        <v>0.49</v>
      </c>
      <c r="BO123" s="501">
        <v>0</v>
      </c>
      <c r="BP123" s="501">
        <v>0.56000000000000005</v>
      </c>
      <c r="BQ123" s="501">
        <v>0.67</v>
      </c>
      <c r="BR123" s="501">
        <v>0.36</v>
      </c>
      <c r="BS123" s="630">
        <v>54</v>
      </c>
      <c r="BT123" s="640" t="s">
        <v>910</v>
      </c>
      <c r="BU123" s="630">
        <v>8</v>
      </c>
      <c r="BV123" s="640" t="s">
        <v>910</v>
      </c>
      <c r="BW123" s="644">
        <v>0.01</v>
      </c>
      <c r="BX123" s="644">
        <v>0.28999999999999998</v>
      </c>
      <c r="BY123" s="644">
        <v>0.68</v>
      </c>
      <c r="BZ123" s="644">
        <v>0.01</v>
      </c>
      <c r="CA123" s="644">
        <v>0.59</v>
      </c>
      <c r="CB123" s="644">
        <v>0.34</v>
      </c>
      <c r="CC123" s="644">
        <v>0.56000000000000005</v>
      </c>
    </row>
    <row r="124" spans="1:81" ht="24.9" customHeight="1" x14ac:dyDescent="0.25">
      <c r="A124" s="188" t="s">
        <v>90</v>
      </c>
      <c r="B124" s="1" t="s">
        <v>220</v>
      </c>
      <c r="C124" s="2">
        <v>1</v>
      </c>
      <c r="D124" s="16">
        <v>54</v>
      </c>
      <c r="E124" s="16">
        <v>9</v>
      </c>
      <c r="F124" s="99">
        <v>0.04</v>
      </c>
      <c r="G124" s="99">
        <v>0.25</v>
      </c>
      <c r="H124" s="99">
        <v>0.7</v>
      </c>
      <c r="I124" s="99">
        <v>0.01</v>
      </c>
      <c r="J124" s="99">
        <v>0.51</v>
      </c>
      <c r="K124" s="99">
        <v>0.43</v>
      </c>
      <c r="L124" s="99">
        <v>0.52</v>
      </c>
      <c r="M124" s="36">
        <v>56</v>
      </c>
      <c r="N124" s="36">
        <v>10</v>
      </c>
      <c r="O124" s="66">
        <v>0.03</v>
      </c>
      <c r="P124" s="66">
        <v>0.25</v>
      </c>
      <c r="Q124" s="66">
        <v>0.66</v>
      </c>
      <c r="R124" s="66">
        <v>0.06</v>
      </c>
      <c r="S124" s="66">
        <v>0.41</v>
      </c>
      <c r="T124" s="66">
        <v>0.49</v>
      </c>
      <c r="U124" s="66">
        <v>0.3</v>
      </c>
      <c r="V124" s="16">
        <v>55</v>
      </c>
      <c r="W124" s="16">
        <v>8</v>
      </c>
      <c r="X124" s="99">
        <v>0</v>
      </c>
      <c r="Y124" s="99">
        <v>0.31</v>
      </c>
      <c r="Z124" s="99">
        <v>0.68</v>
      </c>
      <c r="AA124" s="99">
        <v>0.01</v>
      </c>
      <c r="AB124" s="99">
        <v>0.44</v>
      </c>
      <c r="AC124" s="99">
        <v>0.34</v>
      </c>
      <c r="AD124" s="99">
        <v>0.48</v>
      </c>
      <c r="AE124" s="16">
        <v>55</v>
      </c>
      <c r="AF124" s="16">
        <v>10</v>
      </c>
      <c r="AG124" s="99">
        <v>0.02</v>
      </c>
      <c r="AH124" s="99">
        <v>0.25</v>
      </c>
      <c r="AI124" s="99">
        <v>0.69</v>
      </c>
      <c r="AJ124" s="99">
        <v>0.03</v>
      </c>
      <c r="AK124" s="99">
        <v>0.48</v>
      </c>
      <c r="AL124" s="99">
        <v>0.4</v>
      </c>
      <c r="AM124" s="99">
        <v>0.26</v>
      </c>
      <c r="AN124" s="61">
        <v>56</v>
      </c>
      <c r="AO124" s="61">
        <v>9</v>
      </c>
      <c r="AP124" s="66">
        <v>0.02</v>
      </c>
      <c r="AQ124" s="66">
        <v>0.27</v>
      </c>
      <c r="AR124" s="66">
        <v>0.66</v>
      </c>
      <c r="AS124" s="66">
        <v>0.05</v>
      </c>
      <c r="AT124" s="66">
        <v>0.24</v>
      </c>
      <c r="AU124" s="66">
        <v>0.43</v>
      </c>
      <c r="AV124" s="66">
        <v>0.43</v>
      </c>
      <c r="AW124" s="349">
        <v>52</v>
      </c>
      <c r="AX124" s="348" t="s">
        <v>910</v>
      </c>
      <c r="AY124" s="349">
        <v>10</v>
      </c>
      <c r="AZ124" s="348" t="s">
        <v>910</v>
      </c>
      <c r="BA124" s="371">
        <v>0.04</v>
      </c>
      <c r="BB124" s="371">
        <v>0.38</v>
      </c>
      <c r="BC124" s="371">
        <v>0.54</v>
      </c>
      <c r="BD124" s="371">
        <v>0.04</v>
      </c>
      <c r="BE124" s="371">
        <v>0.28999999999999998</v>
      </c>
      <c r="BF124" s="371">
        <v>0.49</v>
      </c>
      <c r="BG124" s="371">
        <v>0.46</v>
      </c>
      <c r="BH124" s="469">
        <v>53</v>
      </c>
      <c r="BI124" s="471" t="s">
        <v>910</v>
      </c>
      <c r="BJ124" s="469">
        <v>9</v>
      </c>
      <c r="BK124" s="471" t="s">
        <v>910</v>
      </c>
      <c r="BL124" s="501">
        <v>0.05</v>
      </c>
      <c r="BM124" s="501">
        <v>0.3</v>
      </c>
      <c r="BN124" s="501">
        <v>0.61</v>
      </c>
      <c r="BO124" s="501">
        <v>0.04</v>
      </c>
      <c r="BP124" s="501">
        <v>0.5</v>
      </c>
      <c r="BQ124" s="501">
        <v>0.56000000000000005</v>
      </c>
      <c r="BR124" s="501">
        <v>0.37</v>
      </c>
      <c r="BS124" s="630">
        <v>53</v>
      </c>
      <c r="BT124" s="640" t="s">
        <v>910</v>
      </c>
      <c r="BU124" s="630">
        <v>8</v>
      </c>
      <c r="BV124" s="640" t="s">
        <v>910</v>
      </c>
      <c r="BW124" s="644">
        <v>0.02</v>
      </c>
      <c r="BX124" s="644">
        <v>0.31</v>
      </c>
      <c r="BY124" s="644">
        <v>0.66</v>
      </c>
      <c r="BZ124" s="644">
        <v>0.01</v>
      </c>
      <c r="CA124" s="644">
        <v>0.62</v>
      </c>
      <c r="CB124" s="644">
        <v>0.32</v>
      </c>
      <c r="CC124" s="644">
        <v>0.56999999999999995</v>
      </c>
    </row>
    <row r="125" spans="1:81" ht="24.9" customHeight="1" x14ac:dyDescent="0.25">
      <c r="A125" s="188" t="s">
        <v>50</v>
      </c>
      <c r="B125" s="1" t="s">
        <v>222</v>
      </c>
      <c r="C125" s="2">
        <v>1</v>
      </c>
      <c r="D125" s="16">
        <v>52</v>
      </c>
      <c r="E125" s="16">
        <v>9</v>
      </c>
      <c r="F125" s="99">
        <v>0.05</v>
      </c>
      <c r="G125" s="99">
        <v>0.43</v>
      </c>
      <c r="H125" s="99">
        <v>0.52</v>
      </c>
      <c r="I125" s="99">
        <v>0</v>
      </c>
      <c r="J125" s="99">
        <v>0.54</v>
      </c>
      <c r="K125" s="99">
        <v>0.43</v>
      </c>
      <c r="L125" s="99">
        <v>0.53</v>
      </c>
      <c r="M125" s="36">
        <v>50</v>
      </c>
      <c r="N125" s="36">
        <v>11</v>
      </c>
      <c r="O125" s="66">
        <v>0.08</v>
      </c>
      <c r="P125" s="66">
        <v>0.36</v>
      </c>
      <c r="Q125" s="66">
        <v>0.55000000000000004</v>
      </c>
      <c r="R125" s="66">
        <v>0.01</v>
      </c>
      <c r="S125" s="66">
        <v>0.49</v>
      </c>
      <c r="T125" s="66">
        <v>0.56000000000000005</v>
      </c>
      <c r="U125" s="66">
        <v>0.4</v>
      </c>
      <c r="V125" s="16">
        <v>53</v>
      </c>
      <c r="W125" s="16">
        <v>9</v>
      </c>
      <c r="X125" s="99">
        <v>0.05</v>
      </c>
      <c r="Y125" s="99">
        <v>0.32</v>
      </c>
      <c r="Z125" s="99">
        <v>0.59</v>
      </c>
      <c r="AA125" s="99">
        <v>0.04</v>
      </c>
      <c r="AB125" s="99">
        <v>0.45</v>
      </c>
      <c r="AC125" s="99">
        <v>0.34</v>
      </c>
      <c r="AD125" s="99">
        <v>0.5</v>
      </c>
      <c r="AE125" s="16">
        <v>51</v>
      </c>
      <c r="AF125" s="16">
        <v>9</v>
      </c>
      <c r="AG125" s="99">
        <v>0.05</v>
      </c>
      <c r="AH125" s="99">
        <v>0.39</v>
      </c>
      <c r="AI125" s="99">
        <v>0.56000000000000005</v>
      </c>
      <c r="AJ125" s="99">
        <v>0</v>
      </c>
      <c r="AK125" s="99">
        <v>0.54</v>
      </c>
      <c r="AL125" s="99">
        <v>0.52</v>
      </c>
      <c r="AM125" s="99">
        <v>0.32</v>
      </c>
      <c r="AN125" s="61">
        <v>53</v>
      </c>
      <c r="AO125" s="61">
        <v>8</v>
      </c>
      <c r="AP125" s="66">
        <v>0</v>
      </c>
      <c r="AQ125" s="66">
        <v>0.45</v>
      </c>
      <c r="AR125" s="66">
        <v>0.55000000000000004</v>
      </c>
      <c r="AS125" s="66">
        <v>0</v>
      </c>
      <c r="AT125" s="66">
        <v>0.26</v>
      </c>
      <c r="AU125" s="66">
        <v>0.5</v>
      </c>
      <c r="AV125" s="66">
        <v>0.52</v>
      </c>
      <c r="AW125" s="349">
        <v>51</v>
      </c>
      <c r="AX125" s="348" t="s">
        <v>910</v>
      </c>
      <c r="AY125" s="349">
        <v>12</v>
      </c>
      <c r="AZ125" s="348" t="s">
        <v>910</v>
      </c>
      <c r="BA125" s="371">
        <v>0.11</v>
      </c>
      <c r="BB125" s="371">
        <v>0.33</v>
      </c>
      <c r="BC125" s="371">
        <v>0.48</v>
      </c>
      <c r="BD125" s="371">
        <v>0.08</v>
      </c>
      <c r="BE125" s="371">
        <v>0.32</v>
      </c>
      <c r="BF125" s="371">
        <v>0.51</v>
      </c>
      <c r="BG125" s="371">
        <v>0.49</v>
      </c>
      <c r="BH125" s="469">
        <v>50</v>
      </c>
      <c r="BI125" s="471" t="s">
        <v>910</v>
      </c>
      <c r="BJ125" s="469">
        <v>11</v>
      </c>
      <c r="BK125" s="471" t="s">
        <v>910</v>
      </c>
      <c r="BL125" s="501">
        <v>0.1</v>
      </c>
      <c r="BM125" s="501">
        <v>0.45</v>
      </c>
      <c r="BN125" s="501">
        <v>0.41</v>
      </c>
      <c r="BO125" s="501">
        <v>0.03</v>
      </c>
      <c r="BP125" s="501">
        <v>0.56999999999999995</v>
      </c>
      <c r="BQ125" s="501">
        <v>0.57999999999999996</v>
      </c>
      <c r="BR125" s="501">
        <v>0.42</v>
      </c>
    </row>
    <row r="126" spans="1:81" s="461" customFormat="1" ht="24.9" customHeight="1" x14ac:dyDescent="0.25">
      <c r="A126" s="470" t="s">
        <v>968</v>
      </c>
      <c r="B126" s="1" t="s">
        <v>220</v>
      </c>
      <c r="C126" s="471">
        <v>3</v>
      </c>
      <c r="D126" s="502"/>
      <c r="E126" s="502"/>
      <c r="F126" s="508"/>
      <c r="G126" s="508"/>
      <c r="H126" s="508"/>
      <c r="I126" s="508"/>
      <c r="J126" s="508"/>
      <c r="K126" s="508"/>
      <c r="L126" s="508"/>
      <c r="M126" s="512"/>
      <c r="N126" s="512"/>
      <c r="O126" s="506"/>
      <c r="P126" s="506"/>
      <c r="Q126" s="506"/>
      <c r="R126" s="506"/>
      <c r="S126" s="506"/>
      <c r="T126" s="506"/>
      <c r="U126" s="506"/>
      <c r="V126" s="502"/>
      <c r="W126" s="502"/>
      <c r="X126" s="508"/>
      <c r="Y126" s="508"/>
      <c r="Z126" s="508"/>
      <c r="AA126" s="508"/>
      <c r="AB126" s="508"/>
      <c r="AC126" s="508"/>
      <c r="AD126" s="508"/>
      <c r="AE126" s="502"/>
      <c r="AF126" s="502"/>
      <c r="AG126" s="508"/>
      <c r="AH126" s="508"/>
      <c r="AI126" s="508"/>
      <c r="AJ126" s="508"/>
      <c r="AK126" s="508"/>
      <c r="AL126" s="508"/>
      <c r="AM126" s="508"/>
      <c r="AN126" s="472"/>
      <c r="AO126" s="472"/>
      <c r="AP126" s="506"/>
      <c r="AQ126" s="506"/>
      <c r="AR126" s="506"/>
      <c r="AS126" s="506"/>
      <c r="AT126" s="506"/>
      <c r="AU126" s="506"/>
      <c r="AV126" s="506"/>
      <c r="AW126" s="475"/>
      <c r="AX126" s="493"/>
      <c r="AY126" s="475"/>
      <c r="AZ126" s="493"/>
      <c r="BA126" s="507"/>
      <c r="BB126" s="507"/>
      <c r="BC126" s="507"/>
      <c r="BD126" s="507"/>
      <c r="BE126" s="507"/>
      <c r="BF126" s="507"/>
      <c r="BG126" s="507"/>
      <c r="BH126" s="469">
        <v>53</v>
      </c>
      <c r="BI126" s="471" t="s">
        <v>910</v>
      </c>
      <c r="BJ126" s="469">
        <v>9</v>
      </c>
      <c r="BK126" s="471" t="s">
        <v>910</v>
      </c>
      <c r="BL126" s="501">
        <v>0.05</v>
      </c>
      <c r="BM126" s="501">
        <v>0.33</v>
      </c>
      <c r="BN126" s="501">
        <v>0.62</v>
      </c>
      <c r="BO126" s="501">
        <v>0</v>
      </c>
      <c r="BP126" s="501">
        <v>0.54</v>
      </c>
      <c r="BQ126" s="501">
        <v>0.6</v>
      </c>
      <c r="BR126" s="501">
        <v>0.39</v>
      </c>
      <c r="BS126" s="630">
        <v>52</v>
      </c>
      <c r="BT126" s="640" t="s">
        <v>910</v>
      </c>
      <c r="BU126" s="630">
        <v>10</v>
      </c>
      <c r="BV126" s="640" t="s">
        <v>910</v>
      </c>
      <c r="BW126" s="644">
        <v>0.04</v>
      </c>
      <c r="BX126" s="644">
        <v>0.34</v>
      </c>
      <c r="BY126" s="644">
        <v>0.6</v>
      </c>
      <c r="BZ126" s="644">
        <v>0.02</v>
      </c>
      <c r="CA126" s="644">
        <v>0.62</v>
      </c>
      <c r="CB126" s="644">
        <v>0.39</v>
      </c>
      <c r="CC126" s="644">
        <v>0.6</v>
      </c>
    </row>
    <row r="127" spans="1:81" ht="24.9" customHeight="1" x14ac:dyDescent="0.25">
      <c r="A127" s="188" t="s">
        <v>290</v>
      </c>
      <c r="B127" s="1" t="s">
        <v>222</v>
      </c>
      <c r="C127" s="2">
        <v>6</v>
      </c>
      <c r="D127" s="16">
        <v>50</v>
      </c>
      <c r="E127" s="16">
        <v>9</v>
      </c>
      <c r="F127" s="99">
        <v>0.06</v>
      </c>
      <c r="G127" s="99">
        <v>0.52</v>
      </c>
      <c r="H127" s="99">
        <v>0.41</v>
      </c>
      <c r="I127" s="99">
        <v>0.01</v>
      </c>
      <c r="J127" s="99">
        <v>0.56999999999999995</v>
      </c>
      <c r="K127" s="99">
        <v>0.46</v>
      </c>
      <c r="L127" s="99">
        <v>0.56999999999999995</v>
      </c>
      <c r="M127" s="36">
        <v>49</v>
      </c>
      <c r="N127" s="36">
        <v>10</v>
      </c>
      <c r="O127" s="66">
        <v>0.1</v>
      </c>
      <c r="P127" s="66">
        <v>0.47</v>
      </c>
      <c r="Q127" s="66">
        <v>0.43</v>
      </c>
      <c r="R127" s="66">
        <v>0.01</v>
      </c>
      <c r="S127" s="66">
        <v>0.51</v>
      </c>
      <c r="T127" s="66">
        <v>0.57999999999999996</v>
      </c>
      <c r="U127" s="66">
        <v>0.4</v>
      </c>
      <c r="V127" s="16">
        <v>49</v>
      </c>
      <c r="W127" s="16">
        <v>9</v>
      </c>
      <c r="X127" s="99">
        <v>0.06</v>
      </c>
      <c r="Y127" s="99">
        <v>0.53</v>
      </c>
      <c r="Z127" s="99">
        <v>0.4</v>
      </c>
      <c r="AA127" s="99">
        <v>0</v>
      </c>
      <c r="AB127" s="99">
        <v>0.54</v>
      </c>
      <c r="AC127" s="99">
        <v>0.4</v>
      </c>
      <c r="AD127" s="99">
        <v>0.56000000000000005</v>
      </c>
      <c r="AE127" s="16">
        <v>51</v>
      </c>
      <c r="AF127" s="16">
        <v>9</v>
      </c>
      <c r="AG127" s="99">
        <v>0.02</v>
      </c>
      <c r="AH127" s="99">
        <v>0.43</v>
      </c>
      <c r="AI127" s="99">
        <v>0.54</v>
      </c>
      <c r="AJ127" s="99">
        <v>0.01</v>
      </c>
      <c r="AK127" s="99">
        <v>0.56999999999999995</v>
      </c>
      <c r="AL127" s="99">
        <v>0.48</v>
      </c>
      <c r="AM127" s="99">
        <v>0.31</v>
      </c>
      <c r="AN127" s="61">
        <v>51</v>
      </c>
      <c r="AO127" s="61">
        <v>10</v>
      </c>
      <c r="AP127" s="66">
        <v>0.05</v>
      </c>
      <c r="AQ127" s="66">
        <v>0.4</v>
      </c>
      <c r="AR127" s="66">
        <v>0.52</v>
      </c>
      <c r="AS127" s="66">
        <v>0.03</v>
      </c>
      <c r="AT127" s="66">
        <v>0.32</v>
      </c>
      <c r="AU127" s="66">
        <v>0.53</v>
      </c>
      <c r="AV127" s="66">
        <v>0.49</v>
      </c>
      <c r="AW127" s="349">
        <v>48</v>
      </c>
      <c r="AX127" s="348" t="s">
        <v>910</v>
      </c>
      <c r="AY127" s="349">
        <v>8</v>
      </c>
      <c r="AZ127" s="348" t="s">
        <v>910</v>
      </c>
      <c r="BA127" s="371">
        <v>0.06</v>
      </c>
      <c r="BB127" s="371">
        <v>0.54</v>
      </c>
      <c r="BC127" s="371">
        <v>0.39</v>
      </c>
      <c r="BD127" s="371">
        <v>0.01</v>
      </c>
      <c r="BE127" s="371">
        <v>0.32</v>
      </c>
      <c r="BF127" s="371">
        <v>0.57999999999999996</v>
      </c>
      <c r="BG127" s="371">
        <v>0.55000000000000004</v>
      </c>
      <c r="BH127" s="469">
        <v>47</v>
      </c>
      <c r="BI127" s="471" t="s">
        <v>910</v>
      </c>
      <c r="BJ127" s="469">
        <v>9</v>
      </c>
      <c r="BK127" s="471" t="s">
        <v>910</v>
      </c>
      <c r="BL127" s="501">
        <v>0.1</v>
      </c>
      <c r="BM127" s="501">
        <v>0.53</v>
      </c>
      <c r="BN127" s="501">
        <v>0.37</v>
      </c>
      <c r="BO127" s="501">
        <v>0</v>
      </c>
      <c r="BP127" s="501">
        <v>0.62</v>
      </c>
      <c r="BQ127" s="501">
        <v>0.7</v>
      </c>
      <c r="BR127" s="501">
        <v>0.45</v>
      </c>
      <c r="BS127" s="630">
        <v>49</v>
      </c>
      <c r="BT127" s="640" t="s">
        <v>910</v>
      </c>
      <c r="BU127" s="630">
        <v>9</v>
      </c>
      <c r="BV127" s="640" t="s">
        <v>910</v>
      </c>
      <c r="BW127" s="644">
        <v>0.06</v>
      </c>
      <c r="BX127" s="644">
        <v>0.49</v>
      </c>
      <c r="BY127" s="644">
        <v>0.44</v>
      </c>
      <c r="BZ127" s="644">
        <v>0.01</v>
      </c>
      <c r="CA127" s="644">
        <v>0.71</v>
      </c>
      <c r="CB127" s="644">
        <v>0.4</v>
      </c>
      <c r="CC127" s="644">
        <v>0.63</v>
      </c>
    </row>
    <row r="128" spans="1:81" s="461" customFormat="1" ht="24.9" customHeight="1" x14ac:dyDescent="0.25">
      <c r="A128" s="470" t="s">
        <v>970</v>
      </c>
      <c r="B128" s="1" t="s">
        <v>220</v>
      </c>
      <c r="C128" s="471">
        <v>2</v>
      </c>
      <c r="D128" s="502"/>
      <c r="E128" s="502"/>
      <c r="F128" s="508"/>
      <c r="G128" s="508"/>
      <c r="H128" s="508"/>
      <c r="I128" s="508"/>
      <c r="J128" s="508"/>
      <c r="K128" s="508"/>
      <c r="L128" s="508"/>
      <c r="M128" s="512"/>
      <c r="N128" s="512"/>
      <c r="O128" s="506"/>
      <c r="P128" s="506"/>
      <c r="Q128" s="506"/>
      <c r="R128" s="506"/>
      <c r="S128" s="506"/>
      <c r="T128" s="506"/>
      <c r="U128" s="506"/>
      <c r="V128" s="502"/>
      <c r="W128" s="502"/>
      <c r="X128" s="508"/>
      <c r="Y128" s="508"/>
      <c r="Z128" s="508"/>
      <c r="AA128" s="508"/>
      <c r="AB128" s="508"/>
      <c r="AC128" s="508"/>
      <c r="AD128" s="508"/>
      <c r="AE128" s="502"/>
      <c r="AF128" s="502"/>
      <c r="AG128" s="508"/>
      <c r="AH128" s="508"/>
      <c r="AI128" s="508"/>
      <c r="AJ128" s="508"/>
      <c r="AK128" s="508"/>
      <c r="AL128" s="508"/>
      <c r="AM128" s="508"/>
      <c r="AN128" s="472"/>
      <c r="AO128" s="472"/>
      <c r="AP128" s="506"/>
      <c r="AQ128" s="506"/>
      <c r="AR128" s="506"/>
      <c r="AS128" s="506"/>
      <c r="AT128" s="506"/>
      <c r="AU128" s="506"/>
      <c r="AV128" s="506"/>
      <c r="AW128" s="475"/>
      <c r="AX128" s="493"/>
      <c r="AY128" s="475"/>
      <c r="AZ128" s="493"/>
      <c r="BA128" s="507"/>
      <c r="BB128" s="507"/>
      <c r="BC128" s="507"/>
      <c r="BD128" s="507"/>
      <c r="BE128" s="507"/>
      <c r="BF128" s="507"/>
      <c r="BG128" s="507"/>
      <c r="BH128" s="469">
        <v>49</v>
      </c>
      <c r="BI128" s="471" t="s">
        <v>910</v>
      </c>
      <c r="BJ128" s="469">
        <v>11</v>
      </c>
      <c r="BK128" s="471" t="s">
        <v>910</v>
      </c>
      <c r="BL128" s="501">
        <v>0.15</v>
      </c>
      <c r="BM128" s="501">
        <v>0.39</v>
      </c>
      <c r="BN128" s="501">
        <v>0.44</v>
      </c>
      <c r="BO128" s="501">
        <v>0.02</v>
      </c>
      <c r="BP128" s="501">
        <v>0.61</v>
      </c>
      <c r="BQ128" s="501">
        <v>0.62</v>
      </c>
      <c r="BR128" s="501">
        <v>0.41</v>
      </c>
      <c r="BS128" s="630">
        <v>51</v>
      </c>
      <c r="BT128" s="640" t="s">
        <v>910</v>
      </c>
      <c r="BU128" s="630">
        <v>10</v>
      </c>
      <c r="BV128" s="640" t="s">
        <v>910</v>
      </c>
      <c r="BW128" s="644">
        <v>0.08</v>
      </c>
      <c r="BX128" s="644">
        <v>0.35</v>
      </c>
      <c r="BY128" s="644">
        <v>0.55000000000000004</v>
      </c>
      <c r="BZ128" s="644">
        <v>0.03</v>
      </c>
      <c r="CA128" s="644">
        <v>0.62</v>
      </c>
      <c r="CB128" s="644">
        <v>0.39</v>
      </c>
      <c r="CC128" s="644">
        <v>0.57999999999999996</v>
      </c>
    </row>
    <row r="129" spans="1:81" ht="24.9" customHeight="1" x14ac:dyDescent="0.25">
      <c r="A129" s="188" t="s">
        <v>193</v>
      </c>
      <c r="B129" s="1" t="s">
        <v>222</v>
      </c>
      <c r="C129" s="2">
        <v>2</v>
      </c>
      <c r="D129" s="16">
        <v>47</v>
      </c>
      <c r="E129" s="16">
        <v>14</v>
      </c>
      <c r="F129" s="99">
        <v>0</v>
      </c>
      <c r="G129" s="99">
        <v>0.5</v>
      </c>
      <c r="H129" s="99">
        <v>0.5</v>
      </c>
      <c r="I129" s="99">
        <v>0</v>
      </c>
      <c r="J129" s="99">
        <v>0.63</v>
      </c>
      <c r="K129" s="99">
        <v>0.63</v>
      </c>
      <c r="L129" s="99">
        <v>0.56999999999999995</v>
      </c>
      <c r="M129" s="13" t="s">
        <v>226</v>
      </c>
      <c r="N129" s="13" t="s">
        <v>226</v>
      </c>
      <c r="O129" s="66"/>
      <c r="P129" s="66"/>
      <c r="Q129" s="66"/>
      <c r="R129" s="66"/>
      <c r="S129" s="66"/>
      <c r="T129" s="66"/>
      <c r="U129" s="66"/>
      <c r="V129" s="13" t="s">
        <v>226</v>
      </c>
      <c r="W129" s="13" t="s">
        <v>226</v>
      </c>
      <c r="X129" s="13"/>
      <c r="Y129" s="13"/>
      <c r="Z129" s="13"/>
      <c r="AA129" s="13"/>
      <c r="AB129" s="13"/>
      <c r="AC129" s="13"/>
      <c r="AD129" s="13"/>
      <c r="AE129" s="13" t="s">
        <v>226</v>
      </c>
      <c r="AF129" s="13" t="s">
        <v>226</v>
      </c>
      <c r="AG129" s="13"/>
      <c r="AH129" s="13"/>
      <c r="AI129" s="13"/>
      <c r="AJ129" s="13"/>
      <c r="AK129" s="13"/>
      <c r="AL129" s="13"/>
      <c r="AM129" s="13"/>
      <c r="AN129" s="61">
        <v>49</v>
      </c>
      <c r="AO129" s="61">
        <v>10</v>
      </c>
      <c r="AP129" s="66">
        <v>0.09</v>
      </c>
      <c r="AQ129" s="66">
        <v>0.45</v>
      </c>
      <c r="AR129" s="66">
        <v>0.44</v>
      </c>
      <c r="AS129" s="66">
        <v>0.02</v>
      </c>
      <c r="AT129" s="66">
        <v>0.34</v>
      </c>
      <c r="AU129" s="66">
        <v>0.54</v>
      </c>
      <c r="AV129" s="66">
        <v>0.56999999999999995</v>
      </c>
      <c r="AW129" s="349">
        <v>35</v>
      </c>
      <c r="AX129" s="348" t="s">
        <v>912</v>
      </c>
      <c r="AY129" s="349">
        <v>5</v>
      </c>
      <c r="AZ129" s="348" t="s">
        <v>912</v>
      </c>
      <c r="BA129" s="371">
        <v>0.44</v>
      </c>
      <c r="BB129" s="371">
        <v>0.56000000000000005</v>
      </c>
      <c r="BC129" s="371">
        <v>0</v>
      </c>
      <c r="BD129" s="371">
        <v>0</v>
      </c>
      <c r="BE129" s="371">
        <v>0.56999999999999995</v>
      </c>
      <c r="BF129" s="371">
        <v>0.74</v>
      </c>
      <c r="BG129" s="371">
        <v>0.75</v>
      </c>
    </row>
    <row r="130" spans="1:81" ht="24.9" customHeight="1" x14ac:dyDescent="0.25">
      <c r="A130" s="188" t="s">
        <v>233</v>
      </c>
      <c r="B130" s="1" t="s">
        <v>222</v>
      </c>
      <c r="C130" s="2">
        <v>4</v>
      </c>
      <c r="D130" s="13" t="s">
        <v>226</v>
      </c>
      <c r="E130" s="13" t="s">
        <v>226</v>
      </c>
      <c r="F130" s="13"/>
      <c r="G130" s="13"/>
      <c r="H130" s="13"/>
      <c r="I130" s="13"/>
      <c r="J130" s="13"/>
      <c r="K130" s="13"/>
      <c r="L130" s="13"/>
      <c r="M130" s="13" t="s">
        <v>226</v>
      </c>
      <c r="N130" s="13" t="s">
        <v>226</v>
      </c>
      <c r="O130" s="66"/>
      <c r="P130" s="66"/>
      <c r="Q130" s="66"/>
      <c r="R130" s="66"/>
      <c r="S130" s="66"/>
      <c r="T130" s="66"/>
      <c r="U130" s="66"/>
      <c r="V130" s="16">
        <v>54</v>
      </c>
      <c r="W130" s="16">
        <v>1</v>
      </c>
      <c r="X130" s="99">
        <v>0</v>
      </c>
      <c r="Y130" s="99">
        <v>0</v>
      </c>
      <c r="Z130" s="99">
        <v>1</v>
      </c>
      <c r="AA130" s="99">
        <v>0</v>
      </c>
      <c r="AB130" s="99">
        <v>0.42</v>
      </c>
      <c r="AC130" s="99">
        <v>0.36</v>
      </c>
      <c r="AD130" s="99">
        <v>0.62</v>
      </c>
      <c r="AE130" s="13" t="s">
        <v>226</v>
      </c>
      <c r="AF130" s="13" t="s">
        <v>226</v>
      </c>
      <c r="AG130" s="13"/>
      <c r="AH130" s="13"/>
      <c r="AI130" s="13"/>
      <c r="AJ130" s="13"/>
      <c r="AK130" s="13"/>
      <c r="AL130" s="13"/>
      <c r="AM130" s="13"/>
    </row>
    <row r="131" spans="1:81" ht="24.9" customHeight="1" x14ac:dyDescent="0.25">
      <c r="A131" s="188" t="s">
        <v>158</v>
      </c>
      <c r="B131" s="1" t="s">
        <v>222</v>
      </c>
      <c r="C131" s="2">
        <v>5</v>
      </c>
      <c r="D131" s="16">
        <v>53</v>
      </c>
      <c r="E131" s="16">
        <v>9</v>
      </c>
      <c r="F131" s="99">
        <v>0.02</v>
      </c>
      <c r="G131" s="99">
        <v>0.4</v>
      </c>
      <c r="H131" s="99">
        <v>0.56000000000000005</v>
      </c>
      <c r="I131" s="99">
        <v>0.02</v>
      </c>
      <c r="J131" s="99">
        <v>0.5</v>
      </c>
      <c r="K131" s="99">
        <v>0.4</v>
      </c>
      <c r="L131" s="99">
        <v>0.53</v>
      </c>
      <c r="M131" s="13">
        <v>54</v>
      </c>
      <c r="N131" s="13">
        <v>8</v>
      </c>
      <c r="O131" s="66">
        <v>0.02</v>
      </c>
      <c r="P131" s="66">
        <v>0.3</v>
      </c>
      <c r="Q131" s="66">
        <v>0.67</v>
      </c>
      <c r="R131" s="66">
        <v>0</v>
      </c>
      <c r="S131" s="66">
        <v>0.43</v>
      </c>
      <c r="T131" s="66">
        <v>0.55000000000000004</v>
      </c>
      <c r="U131" s="66">
        <v>0.32</v>
      </c>
      <c r="V131" s="16">
        <v>53</v>
      </c>
      <c r="W131" s="16">
        <v>9</v>
      </c>
      <c r="X131" s="99">
        <v>0</v>
      </c>
      <c r="Y131" s="99">
        <v>0.45</v>
      </c>
      <c r="Z131" s="99">
        <v>0.52</v>
      </c>
      <c r="AA131" s="99">
        <v>0.02</v>
      </c>
      <c r="AB131" s="99">
        <v>0.48</v>
      </c>
      <c r="AC131" s="99">
        <v>0.37</v>
      </c>
      <c r="AD131" s="99">
        <v>0.52</v>
      </c>
      <c r="AE131" s="13">
        <v>53</v>
      </c>
      <c r="AF131" s="13">
        <v>9</v>
      </c>
      <c r="AG131" s="99">
        <v>0.05</v>
      </c>
      <c r="AH131" s="99">
        <v>0.34</v>
      </c>
      <c r="AI131" s="99">
        <v>0.6</v>
      </c>
      <c r="AJ131" s="99">
        <v>0</v>
      </c>
      <c r="AK131" s="99">
        <v>0.52</v>
      </c>
      <c r="AL131" s="99">
        <v>0.44</v>
      </c>
      <c r="AM131" s="99">
        <v>0.3</v>
      </c>
      <c r="AN131" s="61">
        <v>57</v>
      </c>
      <c r="AO131" s="61">
        <v>11</v>
      </c>
      <c r="AP131" s="66">
        <v>0</v>
      </c>
      <c r="AQ131" s="66">
        <v>0.24</v>
      </c>
      <c r="AR131" s="66">
        <v>0.71</v>
      </c>
      <c r="AS131" s="66">
        <v>0.05</v>
      </c>
      <c r="AT131" s="66">
        <v>0.24</v>
      </c>
      <c r="AU131" s="66">
        <v>0.45</v>
      </c>
      <c r="AV131" s="66">
        <v>0.43</v>
      </c>
      <c r="AW131" s="349">
        <v>50</v>
      </c>
      <c r="AX131" s="348" t="s">
        <v>910</v>
      </c>
      <c r="AY131" s="349">
        <v>11</v>
      </c>
      <c r="AZ131" s="348" t="s">
        <v>910</v>
      </c>
      <c r="BA131" s="371">
        <v>0.12</v>
      </c>
      <c r="BB131" s="371">
        <v>0.38</v>
      </c>
      <c r="BC131" s="371">
        <v>0.5</v>
      </c>
      <c r="BD131" s="371">
        <v>0</v>
      </c>
      <c r="BE131" s="371">
        <v>0.32</v>
      </c>
      <c r="BF131" s="371">
        <v>0.51</v>
      </c>
      <c r="BG131" s="371">
        <v>0.49</v>
      </c>
      <c r="BH131" s="469">
        <v>54</v>
      </c>
      <c r="BI131" s="471" t="s">
        <v>910</v>
      </c>
      <c r="BJ131" s="469">
        <v>10</v>
      </c>
      <c r="BK131" s="471" t="s">
        <v>910</v>
      </c>
      <c r="BL131" s="501">
        <v>0.02</v>
      </c>
      <c r="BM131" s="501">
        <v>0.3</v>
      </c>
      <c r="BN131" s="501">
        <v>0.64</v>
      </c>
      <c r="BO131" s="501">
        <v>0.03</v>
      </c>
      <c r="BP131" s="501">
        <v>0.5</v>
      </c>
      <c r="BQ131" s="501">
        <v>0.56999999999999995</v>
      </c>
      <c r="BR131" s="501">
        <v>0.34</v>
      </c>
      <c r="BS131" s="630">
        <v>55</v>
      </c>
      <c r="BT131" s="640" t="s">
        <v>910</v>
      </c>
      <c r="BU131" s="630">
        <v>10</v>
      </c>
      <c r="BV131" s="640" t="s">
        <v>910</v>
      </c>
      <c r="BW131" s="644">
        <v>0.06</v>
      </c>
      <c r="BX131" s="644">
        <v>0.24</v>
      </c>
      <c r="BY131" s="644">
        <v>0.67</v>
      </c>
      <c r="BZ131" s="644">
        <v>0.04</v>
      </c>
      <c r="CA131" s="644">
        <v>0.56000000000000005</v>
      </c>
      <c r="CB131" s="644">
        <v>0.31</v>
      </c>
      <c r="CC131" s="644">
        <v>0.56999999999999995</v>
      </c>
    </row>
    <row r="132" spans="1:81" ht="24.9" customHeight="1" x14ac:dyDescent="0.25">
      <c r="A132" s="188" t="s">
        <v>216</v>
      </c>
      <c r="B132" s="1" t="s">
        <v>222</v>
      </c>
      <c r="C132" s="2">
        <v>6</v>
      </c>
      <c r="D132" s="16">
        <v>34</v>
      </c>
      <c r="E132" s="16">
        <v>0</v>
      </c>
      <c r="F132" s="99">
        <v>1</v>
      </c>
      <c r="G132" s="99">
        <v>0</v>
      </c>
      <c r="H132" s="99">
        <v>0</v>
      </c>
      <c r="I132" s="99">
        <v>0</v>
      </c>
      <c r="J132" s="99">
        <v>0.82</v>
      </c>
      <c r="K132" s="99">
        <v>0.67</v>
      </c>
      <c r="L132" s="99">
        <v>0.75</v>
      </c>
      <c r="M132" s="13" t="s">
        <v>228</v>
      </c>
      <c r="N132" s="13" t="s">
        <v>228</v>
      </c>
      <c r="O132" s="66"/>
      <c r="P132" s="66"/>
      <c r="Q132" s="66"/>
      <c r="R132" s="66"/>
      <c r="S132" s="66"/>
      <c r="T132" s="66"/>
      <c r="U132" s="66"/>
      <c r="V132" s="13" t="s">
        <v>226</v>
      </c>
      <c r="W132" s="13" t="s">
        <v>226</v>
      </c>
      <c r="X132" s="13"/>
      <c r="Y132" s="13"/>
      <c r="Z132" s="13"/>
      <c r="AA132" s="13"/>
      <c r="AB132" s="13"/>
      <c r="AC132" s="13"/>
      <c r="AD132" s="13"/>
      <c r="AE132" s="13" t="s">
        <v>226</v>
      </c>
      <c r="AF132" s="13" t="s">
        <v>226</v>
      </c>
      <c r="AG132" s="13"/>
      <c r="AH132" s="13"/>
      <c r="AI132" s="13"/>
      <c r="AJ132" s="13"/>
      <c r="AK132" s="13"/>
      <c r="AL132" s="13"/>
      <c r="AM132" s="13"/>
      <c r="AW132" s="349">
        <v>47</v>
      </c>
      <c r="AX132" s="348" t="s">
        <v>910</v>
      </c>
      <c r="AY132" s="349">
        <v>0</v>
      </c>
      <c r="AZ132" s="348" t="s">
        <v>912</v>
      </c>
      <c r="BA132" s="371">
        <v>0</v>
      </c>
      <c r="BB132" s="371">
        <v>1</v>
      </c>
      <c r="BC132" s="371">
        <v>0</v>
      </c>
      <c r="BD132" s="371">
        <v>0</v>
      </c>
      <c r="BE132" s="371">
        <v>0.28999999999999998</v>
      </c>
      <c r="BF132" s="371">
        <v>0.63</v>
      </c>
      <c r="BG132" s="371">
        <v>0.55000000000000004</v>
      </c>
    </row>
    <row r="133" spans="1:81" ht="24.9" customHeight="1" x14ac:dyDescent="0.25">
      <c r="A133" s="188" t="s">
        <v>120</v>
      </c>
      <c r="B133" s="1" t="s">
        <v>222</v>
      </c>
      <c r="C133" s="2">
        <v>4</v>
      </c>
      <c r="D133" s="16">
        <v>54</v>
      </c>
      <c r="E133" s="16">
        <v>8</v>
      </c>
      <c r="F133" s="99">
        <v>0.06</v>
      </c>
      <c r="G133" s="99">
        <v>0.19</v>
      </c>
      <c r="H133" s="99">
        <v>0.75</v>
      </c>
      <c r="I133" s="99">
        <v>0</v>
      </c>
      <c r="J133" s="99">
        <v>0.48</v>
      </c>
      <c r="K133" s="99">
        <v>0.47</v>
      </c>
      <c r="L133" s="99">
        <v>0.49</v>
      </c>
      <c r="M133" s="16">
        <v>52</v>
      </c>
      <c r="N133" s="16">
        <v>7</v>
      </c>
      <c r="O133" s="66">
        <v>0</v>
      </c>
      <c r="P133" s="66">
        <v>0.4</v>
      </c>
      <c r="Q133" s="66">
        <v>0.6</v>
      </c>
      <c r="R133" s="66">
        <v>0</v>
      </c>
      <c r="S133" s="66">
        <v>0.49</v>
      </c>
      <c r="T133" s="66">
        <v>0.56000000000000005</v>
      </c>
      <c r="U133" s="66">
        <v>0.32</v>
      </c>
      <c r="V133" s="16">
        <v>60</v>
      </c>
      <c r="W133" s="16">
        <v>6</v>
      </c>
      <c r="X133" s="99">
        <v>0</v>
      </c>
      <c r="Y133" s="99">
        <v>0.09</v>
      </c>
      <c r="Z133" s="99">
        <v>0.91</v>
      </c>
      <c r="AA133" s="99">
        <v>0</v>
      </c>
      <c r="AB133" s="99">
        <v>0.31</v>
      </c>
      <c r="AC133" s="99">
        <v>0.28999999999999998</v>
      </c>
      <c r="AD133" s="99">
        <v>0.38</v>
      </c>
      <c r="AE133" s="16">
        <v>54</v>
      </c>
      <c r="AF133" s="16">
        <v>9</v>
      </c>
      <c r="AG133" s="99">
        <v>0</v>
      </c>
      <c r="AH133" s="99">
        <v>0.38</v>
      </c>
      <c r="AI133" s="99">
        <v>0.62</v>
      </c>
      <c r="AJ133" s="99">
        <v>0</v>
      </c>
      <c r="AK133" s="99">
        <v>0.5</v>
      </c>
      <c r="AL133" s="99">
        <v>0.5</v>
      </c>
      <c r="AM133" s="99">
        <v>0.25</v>
      </c>
      <c r="AN133" s="61">
        <v>57</v>
      </c>
      <c r="AO133" s="61">
        <v>10</v>
      </c>
      <c r="AP133" s="66">
        <v>0</v>
      </c>
      <c r="AQ133" s="66">
        <v>0.25</v>
      </c>
      <c r="AR133" s="66">
        <v>0.57999999999999996</v>
      </c>
      <c r="AS133" s="66">
        <v>0.17</v>
      </c>
      <c r="AT133" s="66">
        <v>0.14000000000000001</v>
      </c>
      <c r="AU133" s="66">
        <v>0.5</v>
      </c>
      <c r="AV133" s="66">
        <v>0.42</v>
      </c>
      <c r="AW133" s="349">
        <v>52</v>
      </c>
      <c r="AX133" s="348" t="s">
        <v>910</v>
      </c>
      <c r="AY133" s="349">
        <v>10</v>
      </c>
      <c r="AZ133" s="348" t="s">
        <v>910</v>
      </c>
      <c r="BA133" s="371">
        <v>0.05</v>
      </c>
      <c r="BB133" s="371">
        <v>0.32</v>
      </c>
      <c r="BC133" s="371">
        <v>0.59</v>
      </c>
      <c r="BD133" s="371">
        <v>0.05</v>
      </c>
      <c r="BE133" s="371">
        <v>0.28999999999999998</v>
      </c>
      <c r="BF133" s="371">
        <v>0.48</v>
      </c>
      <c r="BG133" s="371">
        <v>0.49</v>
      </c>
      <c r="BH133" s="469">
        <v>59</v>
      </c>
      <c r="BI133" s="471" t="s">
        <v>910</v>
      </c>
      <c r="BJ133" s="469">
        <v>8</v>
      </c>
      <c r="BK133" s="471" t="s">
        <v>910</v>
      </c>
      <c r="BL133" s="501">
        <v>0</v>
      </c>
      <c r="BM133" s="501">
        <v>0.12</v>
      </c>
      <c r="BN133" s="501">
        <v>0.82</v>
      </c>
      <c r="BO133" s="501">
        <v>0.06</v>
      </c>
      <c r="BP133" s="501">
        <v>0.33</v>
      </c>
      <c r="BQ133" s="501">
        <v>0.36</v>
      </c>
      <c r="BR133" s="501">
        <v>0.22</v>
      </c>
      <c r="BS133" s="630">
        <v>52</v>
      </c>
      <c r="BT133" s="640" t="s">
        <v>910</v>
      </c>
      <c r="BU133" s="630">
        <v>8</v>
      </c>
      <c r="BV133" s="640" t="s">
        <v>910</v>
      </c>
      <c r="BW133" s="644">
        <v>0</v>
      </c>
      <c r="BX133" s="644">
        <v>0.41</v>
      </c>
      <c r="BY133" s="644">
        <v>0.55000000000000004</v>
      </c>
      <c r="BZ133" s="644">
        <v>0.05</v>
      </c>
      <c r="CA133" s="644">
        <v>0.64</v>
      </c>
      <c r="CB133" s="644">
        <v>0.36</v>
      </c>
      <c r="CC133" s="644">
        <v>0.59</v>
      </c>
    </row>
    <row r="134" spans="1:81" ht="24.9" customHeight="1" x14ac:dyDescent="0.25">
      <c r="A134" s="188" t="s">
        <v>52</v>
      </c>
      <c r="B134" s="1" t="s">
        <v>222</v>
      </c>
      <c r="C134" s="2">
        <v>6</v>
      </c>
      <c r="D134" s="16">
        <v>53</v>
      </c>
      <c r="E134" s="16">
        <v>9</v>
      </c>
      <c r="F134" s="99">
        <v>0.01</v>
      </c>
      <c r="G134" s="99">
        <v>0.36</v>
      </c>
      <c r="H134" s="99">
        <v>0.61</v>
      </c>
      <c r="I134" s="99">
        <v>0.01</v>
      </c>
      <c r="J134" s="99">
        <v>0.53</v>
      </c>
      <c r="K134" s="99">
        <v>0.47</v>
      </c>
      <c r="L134" s="99">
        <v>0.55000000000000004</v>
      </c>
      <c r="M134" s="16">
        <v>54</v>
      </c>
      <c r="N134" s="16">
        <v>10</v>
      </c>
      <c r="O134" s="66">
        <v>0.03</v>
      </c>
      <c r="P134" s="66">
        <v>0.36</v>
      </c>
      <c r="Q134" s="66">
        <v>0.61</v>
      </c>
      <c r="R134" s="66">
        <v>0.01</v>
      </c>
      <c r="S134" s="66">
        <v>0.43</v>
      </c>
      <c r="T134" s="66">
        <v>0.53</v>
      </c>
      <c r="U134" s="66">
        <v>0.31</v>
      </c>
      <c r="V134" s="16">
        <v>54</v>
      </c>
      <c r="W134" s="16">
        <v>8</v>
      </c>
      <c r="X134" s="99">
        <v>0.02</v>
      </c>
      <c r="Y134" s="99">
        <v>0.28999999999999998</v>
      </c>
      <c r="Z134" s="99">
        <v>0.67</v>
      </c>
      <c r="AA134" s="99">
        <v>0.02</v>
      </c>
      <c r="AB134" s="99">
        <v>0.5</v>
      </c>
      <c r="AC134" s="99">
        <v>0.35</v>
      </c>
      <c r="AD134" s="99">
        <v>0.44</v>
      </c>
      <c r="AE134" s="16">
        <v>55</v>
      </c>
      <c r="AF134" s="16">
        <v>10</v>
      </c>
      <c r="AG134" s="99">
        <v>0.02</v>
      </c>
      <c r="AH134" s="99">
        <v>0.38</v>
      </c>
      <c r="AI134" s="99">
        <v>0.57999999999999996</v>
      </c>
      <c r="AJ134" s="99">
        <v>0.03</v>
      </c>
      <c r="AK134" s="99">
        <v>0.49</v>
      </c>
      <c r="AL134" s="99">
        <v>0.46</v>
      </c>
      <c r="AM134" s="99">
        <v>0.25</v>
      </c>
      <c r="AN134" s="61">
        <v>56</v>
      </c>
      <c r="AO134" s="61">
        <v>10</v>
      </c>
      <c r="AP134" s="66">
        <v>0.04</v>
      </c>
      <c r="AQ134" s="66">
        <v>0.23</v>
      </c>
      <c r="AR134" s="66">
        <v>0.7</v>
      </c>
      <c r="AS134" s="66">
        <v>0.03</v>
      </c>
      <c r="AT134" s="66">
        <v>0.25</v>
      </c>
      <c r="AU134" s="66">
        <v>0.43</v>
      </c>
      <c r="AV134" s="66">
        <v>0.44</v>
      </c>
      <c r="AW134" s="349">
        <v>53</v>
      </c>
      <c r="AX134" s="348" t="s">
        <v>910</v>
      </c>
      <c r="AY134" s="349">
        <v>8</v>
      </c>
      <c r="AZ134" s="348" t="s">
        <v>910</v>
      </c>
      <c r="BA134" s="371">
        <v>0</v>
      </c>
      <c r="BB134" s="371">
        <v>0.35</v>
      </c>
      <c r="BC134" s="371">
        <v>0.65</v>
      </c>
      <c r="BD134" s="371">
        <v>0</v>
      </c>
      <c r="BE134" s="371">
        <v>0.24</v>
      </c>
      <c r="BF134" s="371">
        <v>0.49</v>
      </c>
      <c r="BG134" s="371">
        <v>0.48</v>
      </c>
      <c r="BH134" s="469">
        <v>57</v>
      </c>
      <c r="BI134" s="471" t="s">
        <v>910</v>
      </c>
      <c r="BJ134" s="469">
        <v>8</v>
      </c>
      <c r="BK134" s="471" t="s">
        <v>910</v>
      </c>
      <c r="BL134" s="501">
        <v>0</v>
      </c>
      <c r="BM134" s="501">
        <v>0.2</v>
      </c>
      <c r="BN134" s="501">
        <v>0.76</v>
      </c>
      <c r="BO134" s="501">
        <v>0.05</v>
      </c>
      <c r="BP134" s="501">
        <v>0.41</v>
      </c>
      <c r="BQ134" s="501">
        <v>0.51</v>
      </c>
      <c r="BR134" s="501">
        <v>0.3</v>
      </c>
      <c r="BS134" s="630">
        <v>56</v>
      </c>
      <c r="BT134" s="640" t="s">
        <v>910</v>
      </c>
      <c r="BU134" s="630">
        <v>9</v>
      </c>
      <c r="BV134" s="640" t="s">
        <v>910</v>
      </c>
      <c r="BW134" s="644">
        <v>0</v>
      </c>
      <c r="BX134" s="644">
        <v>0.27</v>
      </c>
      <c r="BY134" s="644">
        <v>0.68</v>
      </c>
      <c r="BZ134" s="644">
        <v>0.05</v>
      </c>
      <c r="CA134" s="644">
        <v>0.6</v>
      </c>
      <c r="CB134" s="644">
        <v>0.33</v>
      </c>
      <c r="CC134" s="644">
        <v>0.53</v>
      </c>
    </row>
    <row r="135" spans="1:81" ht="24.9" customHeight="1" x14ac:dyDescent="0.25">
      <c r="A135" s="188" t="s">
        <v>40</v>
      </c>
      <c r="B135" s="1" t="s">
        <v>222</v>
      </c>
      <c r="C135" s="2">
        <v>2</v>
      </c>
      <c r="D135" s="16">
        <v>52</v>
      </c>
      <c r="E135" s="16">
        <v>8</v>
      </c>
      <c r="F135" s="99">
        <v>0</v>
      </c>
      <c r="G135" s="99">
        <v>0.46</v>
      </c>
      <c r="H135" s="99">
        <v>0.54</v>
      </c>
      <c r="I135" s="99">
        <v>0</v>
      </c>
      <c r="J135" s="99">
        <v>0.55000000000000004</v>
      </c>
      <c r="K135" s="99">
        <v>0.44</v>
      </c>
      <c r="L135" s="99">
        <v>0.51</v>
      </c>
      <c r="M135" s="16">
        <v>51</v>
      </c>
      <c r="N135" s="16">
        <v>10</v>
      </c>
      <c r="O135" s="66">
        <v>0.06</v>
      </c>
      <c r="P135" s="66">
        <v>0.36</v>
      </c>
      <c r="Q135" s="66">
        <v>0.53</v>
      </c>
      <c r="R135" s="66">
        <v>0.05</v>
      </c>
      <c r="S135" s="66">
        <v>0.46</v>
      </c>
      <c r="T135" s="66">
        <v>0.56999999999999995</v>
      </c>
      <c r="U135" s="66">
        <v>0.39</v>
      </c>
      <c r="V135" s="16">
        <v>50</v>
      </c>
      <c r="W135" s="16">
        <v>8</v>
      </c>
      <c r="X135" s="99">
        <v>0.05</v>
      </c>
      <c r="Y135" s="99">
        <v>0.43</v>
      </c>
      <c r="Z135" s="99">
        <v>0.52</v>
      </c>
      <c r="AA135" s="99">
        <v>0</v>
      </c>
      <c r="AB135" s="99">
        <v>0.51</v>
      </c>
      <c r="AC135" s="99">
        <v>0.37</v>
      </c>
      <c r="AD135" s="99">
        <v>0.56000000000000005</v>
      </c>
      <c r="AE135" s="16">
        <v>54</v>
      </c>
      <c r="AF135" s="16">
        <v>10</v>
      </c>
      <c r="AG135" s="99">
        <v>0.04</v>
      </c>
      <c r="AH135" s="99">
        <v>0.3</v>
      </c>
      <c r="AI135" s="99">
        <v>0.63</v>
      </c>
      <c r="AJ135" s="99">
        <v>0.03</v>
      </c>
      <c r="AK135" s="99">
        <v>0.51</v>
      </c>
      <c r="AL135" s="99">
        <v>0.48</v>
      </c>
      <c r="AM135" s="99">
        <v>0.26</v>
      </c>
      <c r="AN135" s="61">
        <v>53</v>
      </c>
      <c r="AO135" s="61">
        <v>10</v>
      </c>
      <c r="AP135" s="66">
        <v>0.04</v>
      </c>
      <c r="AQ135" s="66">
        <v>0.33</v>
      </c>
      <c r="AR135" s="66">
        <v>0.61</v>
      </c>
      <c r="AS135" s="66">
        <v>0.02</v>
      </c>
      <c r="AT135" s="66">
        <v>0.28000000000000003</v>
      </c>
      <c r="AU135" s="66">
        <v>0.49</v>
      </c>
      <c r="AV135" s="66">
        <v>0.5</v>
      </c>
      <c r="AW135" s="349">
        <v>50</v>
      </c>
      <c r="AX135" s="348" t="s">
        <v>910</v>
      </c>
      <c r="AY135" s="349">
        <v>10</v>
      </c>
      <c r="AZ135" s="348" t="s">
        <v>910</v>
      </c>
      <c r="BA135" s="371">
        <v>0.06</v>
      </c>
      <c r="BB135" s="371">
        <v>0.41</v>
      </c>
      <c r="BC135" s="371">
        <v>0.51</v>
      </c>
      <c r="BD135" s="371">
        <v>0.02</v>
      </c>
      <c r="BE135" s="371">
        <v>0.3</v>
      </c>
      <c r="BF135" s="371">
        <v>0.53</v>
      </c>
      <c r="BG135" s="371">
        <v>0.48</v>
      </c>
      <c r="BH135" s="469">
        <v>50</v>
      </c>
      <c r="BI135" s="471" t="s">
        <v>910</v>
      </c>
      <c r="BJ135" s="469">
        <v>9</v>
      </c>
      <c r="BK135" s="471" t="s">
        <v>910</v>
      </c>
      <c r="BL135" s="501">
        <v>0.04</v>
      </c>
      <c r="BM135" s="501">
        <v>0.4</v>
      </c>
      <c r="BN135" s="501">
        <v>0.54</v>
      </c>
      <c r="BO135" s="501">
        <v>0.01</v>
      </c>
      <c r="BP135" s="501">
        <v>0.53</v>
      </c>
      <c r="BQ135" s="501">
        <v>0.64</v>
      </c>
      <c r="BR135" s="501">
        <v>0.42</v>
      </c>
      <c r="BS135" s="630">
        <v>54</v>
      </c>
      <c r="BT135" s="640" t="s">
        <v>910</v>
      </c>
      <c r="BU135" s="630">
        <v>9</v>
      </c>
      <c r="BV135" s="640" t="s">
        <v>910</v>
      </c>
      <c r="BW135" s="644">
        <v>0</v>
      </c>
      <c r="BX135" s="644">
        <v>0.34</v>
      </c>
      <c r="BY135" s="644">
        <v>0.66</v>
      </c>
      <c r="BZ135" s="644">
        <v>0</v>
      </c>
      <c r="CA135" s="644">
        <v>0.63</v>
      </c>
      <c r="CB135" s="644">
        <v>0.37</v>
      </c>
      <c r="CC135" s="644">
        <v>0.59</v>
      </c>
    </row>
    <row r="136" spans="1:81" ht="24.9" customHeight="1" x14ac:dyDescent="0.25">
      <c r="A136" s="188" t="s">
        <v>229</v>
      </c>
      <c r="B136" s="1" t="s">
        <v>222</v>
      </c>
      <c r="C136" s="2">
        <v>2</v>
      </c>
      <c r="D136" s="13" t="s">
        <v>226</v>
      </c>
      <c r="E136" s="13" t="s">
        <v>226</v>
      </c>
      <c r="F136" s="13"/>
      <c r="G136" s="13"/>
      <c r="H136" s="13"/>
      <c r="I136" s="13"/>
      <c r="J136" s="13"/>
      <c r="K136" s="13"/>
      <c r="L136" s="13"/>
      <c r="M136" s="16">
        <v>43</v>
      </c>
      <c r="N136" s="16">
        <v>12</v>
      </c>
      <c r="O136" s="66">
        <v>0.22</v>
      </c>
      <c r="P136" s="66">
        <v>0.44</v>
      </c>
      <c r="Q136" s="66">
        <v>0.33</v>
      </c>
      <c r="R136" s="66">
        <v>0</v>
      </c>
      <c r="S136" s="66">
        <v>0.61</v>
      </c>
      <c r="T136" s="66">
        <v>0.66</v>
      </c>
      <c r="U136" s="66">
        <v>0.5</v>
      </c>
      <c r="V136" s="13" t="s">
        <v>226</v>
      </c>
      <c r="W136" s="13" t="s">
        <v>226</v>
      </c>
      <c r="X136" s="13"/>
      <c r="Y136" s="13"/>
      <c r="Z136" s="13"/>
      <c r="AA136" s="13"/>
      <c r="AB136" s="13"/>
      <c r="AC136" s="13"/>
      <c r="AD136" s="13"/>
      <c r="AE136" s="13" t="s">
        <v>226</v>
      </c>
      <c r="AF136" s="13" t="s">
        <v>226</v>
      </c>
      <c r="AG136" s="13"/>
      <c r="AH136" s="13"/>
      <c r="AI136" s="13"/>
      <c r="AJ136" s="13"/>
      <c r="AK136" s="13"/>
      <c r="AL136" s="13"/>
      <c r="AM136" s="13"/>
      <c r="BH136" s="469">
        <v>57</v>
      </c>
      <c r="BI136" s="471" t="s">
        <v>910</v>
      </c>
      <c r="BJ136" s="469">
        <v>0</v>
      </c>
      <c r="BK136" s="471" t="s">
        <v>912</v>
      </c>
      <c r="BL136" s="501">
        <v>0</v>
      </c>
      <c r="BM136" s="501">
        <v>0</v>
      </c>
      <c r="BN136" s="501">
        <v>1</v>
      </c>
      <c r="BO136" s="501">
        <v>0</v>
      </c>
      <c r="BP136" s="501">
        <v>0.38</v>
      </c>
      <c r="BQ136" s="501">
        <v>0.8</v>
      </c>
      <c r="BR136" s="501">
        <v>0.25</v>
      </c>
      <c r="BS136" s="630">
        <v>39</v>
      </c>
      <c r="BT136" s="640" t="s">
        <v>912</v>
      </c>
      <c r="BU136" s="630">
        <v>11</v>
      </c>
      <c r="BV136" s="640" t="s">
        <v>910</v>
      </c>
      <c r="BW136" s="644">
        <v>0.46</v>
      </c>
      <c r="BX136" s="644">
        <v>0.38</v>
      </c>
      <c r="BY136" s="644">
        <v>0.15</v>
      </c>
      <c r="BZ136" s="644">
        <v>0</v>
      </c>
      <c r="CA136" s="644">
        <v>0.76</v>
      </c>
      <c r="CB136" s="644">
        <v>0.62</v>
      </c>
      <c r="CC136" s="644">
        <v>0.75</v>
      </c>
    </row>
    <row r="137" spans="1:81" s="461" customFormat="1" ht="24.9" customHeight="1" x14ac:dyDescent="0.25">
      <c r="A137" s="470" t="s">
        <v>972</v>
      </c>
      <c r="B137" s="1" t="s">
        <v>222</v>
      </c>
      <c r="C137" s="471">
        <v>4</v>
      </c>
      <c r="D137" s="505"/>
      <c r="E137" s="505"/>
      <c r="F137" s="505"/>
      <c r="G137" s="505"/>
      <c r="H137" s="505"/>
      <c r="I137" s="505"/>
      <c r="J137" s="505"/>
      <c r="K137" s="505"/>
      <c r="L137" s="505"/>
      <c r="M137" s="502"/>
      <c r="N137" s="502"/>
      <c r="O137" s="506"/>
      <c r="P137" s="506"/>
      <c r="Q137" s="506"/>
      <c r="R137" s="506"/>
      <c r="S137" s="506"/>
      <c r="T137" s="506"/>
      <c r="U137" s="506"/>
      <c r="V137" s="505"/>
      <c r="W137" s="505"/>
      <c r="X137" s="505"/>
      <c r="Y137" s="505"/>
      <c r="Z137" s="505"/>
      <c r="AA137" s="505"/>
      <c r="AB137" s="505"/>
      <c r="AC137" s="505"/>
      <c r="AD137" s="505"/>
      <c r="AE137" s="505"/>
      <c r="AF137" s="505"/>
      <c r="AG137" s="505"/>
      <c r="AH137" s="505"/>
      <c r="AI137" s="505"/>
      <c r="AJ137" s="505"/>
      <c r="AK137" s="505"/>
      <c r="AL137" s="505"/>
      <c r="AM137" s="505"/>
      <c r="BH137" s="469">
        <v>46</v>
      </c>
      <c r="BI137" s="471" t="s">
        <v>910</v>
      </c>
      <c r="BJ137" s="469">
        <v>10</v>
      </c>
      <c r="BK137" s="471" t="s">
        <v>910</v>
      </c>
      <c r="BL137" s="501">
        <v>7.0000000000000007E-2</v>
      </c>
      <c r="BM137" s="501">
        <v>0.6</v>
      </c>
      <c r="BN137" s="501">
        <v>0.33</v>
      </c>
      <c r="BO137" s="501">
        <v>0</v>
      </c>
      <c r="BP137" s="501">
        <v>0.7</v>
      </c>
      <c r="BQ137" s="501">
        <v>0.73</v>
      </c>
      <c r="BR137" s="501">
        <v>0.53</v>
      </c>
      <c r="BS137" s="630">
        <v>42</v>
      </c>
      <c r="BT137" s="640" t="s">
        <v>912</v>
      </c>
      <c r="BU137" s="630">
        <v>8</v>
      </c>
      <c r="BV137" s="640" t="s">
        <v>910</v>
      </c>
      <c r="BW137" s="644">
        <v>0.15</v>
      </c>
      <c r="BX137" s="644">
        <v>0.62</v>
      </c>
      <c r="BY137" s="644">
        <v>0.23</v>
      </c>
      <c r="BZ137" s="644">
        <v>0</v>
      </c>
      <c r="CA137" s="644">
        <v>0.73</v>
      </c>
      <c r="CB137" s="644">
        <v>0.6</v>
      </c>
      <c r="CC137" s="644">
        <v>0.72</v>
      </c>
    </row>
    <row r="138" spans="1:81" ht="24.9" customHeight="1" x14ac:dyDescent="0.25">
      <c r="A138" s="188" t="s">
        <v>155</v>
      </c>
      <c r="B138" s="1" t="s">
        <v>222</v>
      </c>
      <c r="C138" s="2">
        <v>5</v>
      </c>
      <c r="D138" s="16">
        <v>53</v>
      </c>
      <c r="E138" s="16">
        <v>5</v>
      </c>
      <c r="F138" s="99">
        <v>0</v>
      </c>
      <c r="G138" s="99">
        <v>0.33</v>
      </c>
      <c r="H138" s="99">
        <v>0.67</v>
      </c>
      <c r="I138" s="99">
        <v>0</v>
      </c>
      <c r="J138" s="99">
        <v>0.45</v>
      </c>
      <c r="K138" s="99">
        <v>0.71</v>
      </c>
      <c r="L138" s="99">
        <v>0.5</v>
      </c>
      <c r="M138" s="16">
        <v>51</v>
      </c>
      <c r="N138" s="16">
        <v>13</v>
      </c>
      <c r="O138" s="66">
        <v>0.08</v>
      </c>
      <c r="P138" s="66">
        <v>0.25</v>
      </c>
      <c r="Q138" s="66">
        <v>0.57999999999999996</v>
      </c>
      <c r="R138" s="66">
        <v>0.08</v>
      </c>
      <c r="S138" s="66">
        <v>0.46</v>
      </c>
      <c r="T138" s="66">
        <v>0.56000000000000005</v>
      </c>
      <c r="U138" s="66">
        <v>0.41</v>
      </c>
      <c r="V138" s="13">
        <v>52</v>
      </c>
      <c r="W138" s="13">
        <v>4</v>
      </c>
      <c r="X138" s="99">
        <v>0</v>
      </c>
      <c r="Y138" s="99">
        <v>0.5</v>
      </c>
      <c r="Z138" s="99">
        <v>0.5</v>
      </c>
      <c r="AA138" s="99">
        <v>0</v>
      </c>
      <c r="AB138" s="99">
        <v>0.45</v>
      </c>
      <c r="AC138" s="99">
        <v>0.36</v>
      </c>
      <c r="AD138" s="99">
        <v>0.62</v>
      </c>
      <c r="AE138" s="16">
        <v>51</v>
      </c>
      <c r="AF138" s="16">
        <v>11</v>
      </c>
      <c r="AG138" s="99">
        <v>0</v>
      </c>
      <c r="AH138" s="99">
        <v>0.4</v>
      </c>
      <c r="AI138" s="99">
        <v>0.6</v>
      </c>
      <c r="AJ138" s="99">
        <v>0</v>
      </c>
      <c r="AK138" s="99">
        <v>0.54</v>
      </c>
      <c r="AL138" s="99">
        <v>0.44</v>
      </c>
      <c r="AM138" s="99">
        <v>0.3</v>
      </c>
      <c r="AN138" s="61">
        <v>54</v>
      </c>
      <c r="AO138" s="61">
        <v>11</v>
      </c>
      <c r="AP138" s="66">
        <v>0</v>
      </c>
      <c r="AQ138" s="66">
        <v>0.33</v>
      </c>
      <c r="AR138" s="66">
        <v>0.67</v>
      </c>
      <c r="AS138" s="66">
        <v>0</v>
      </c>
      <c r="AT138" s="66">
        <v>0.23</v>
      </c>
      <c r="AU138" s="66">
        <v>0.47</v>
      </c>
      <c r="AV138" s="66">
        <v>0.39</v>
      </c>
      <c r="AW138" s="349">
        <v>54</v>
      </c>
      <c r="AX138" s="348" t="s">
        <v>910</v>
      </c>
      <c r="AY138" s="349">
        <v>6</v>
      </c>
      <c r="AZ138" s="348" t="s">
        <v>912</v>
      </c>
      <c r="BA138" s="371">
        <v>0</v>
      </c>
      <c r="BB138" s="371">
        <v>0.33</v>
      </c>
      <c r="BC138" s="371">
        <v>0.67</v>
      </c>
      <c r="BD138" s="371">
        <v>0</v>
      </c>
      <c r="BE138" s="371">
        <v>0.17</v>
      </c>
      <c r="BF138" s="371">
        <v>0.57999999999999996</v>
      </c>
      <c r="BG138" s="371">
        <v>0.33</v>
      </c>
      <c r="BH138" s="469">
        <v>55</v>
      </c>
      <c r="BI138" s="471" t="s">
        <v>910</v>
      </c>
      <c r="BJ138" s="469">
        <v>6</v>
      </c>
      <c r="BK138" s="471" t="s">
        <v>912</v>
      </c>
      <c r="BL138" s="501">
        <v>0</v>
      </c>
      <c r="BM138" s="501">
        <v>0.25</v>
      </c>
      <c r="BN138" s="501">
        <v>0.75</v>
      </c>
      <c r="BO138" s="501">
        <v>0</v>
      </c>
      <c r="BP138" s="501">
        <v>0.47</v>
      </c>
      <c r="BQ138" s="501">
        <v>0.47</v>
      </c>
      <c r="BR138" s="501">
        <v>0.38</v>
      </c>
      <c r="BS138" s="630">
        <v>52</v>
      </c>
      <c r="BT138" s="640" t="s">
        <v>910</v>
      </c>
      <c r="BU138" s="630">
        <v>5</v>
      </c>
      <c r="BV138" s="640" t="s">
        <v>912</v>
      </c>
      <c r="BW138" s="644">
        <v>0</v>
      </c>
      <c r="BX138" s="644">
        <v>0.5</v>
      </c>
      <c r="BY138" s="644">
        <v>0.5</v>
      </c>
      <c r="BZ138" s="644">
        <v>0</v>
      </c>
      <c r="CA138" s="644">
        <v>0.82</v>
      </c>
      <c r="CB138" s="644">
        <v>0.13</v>
      </c>
      <c r="CC138" s="644">
        <v>0.78</v>
      </c>
    </row>
    <row r="139" spans="1:81" ht="24.9" customHeight="1" x14ac:dyDescent="0.25">
      <c r="A139" s="188" t="s">
        <v>235</v>
      </c>
      <c r="B139" s="1" t="s">
        <v>222</v>
      </c>
      <c r="C139" s="2">
        <v>2</v>
      </c>
      <c r="D139" s="13" t="s">
        <v>226</v>
      </c>
      <c r="E139" s="13" t="s">
        <v>226</v>
      </c>
      <c r="F139" s="13"/>
      <c r="G139" s="13"/>
      <c r="H139" s="13"/>
      <c r="I139" s="13"/>
      <c r="J139" s="13"/>
      <c r="K139" s="13"/>
      <c r="L139" s="13"/>
      <c r="M139" s="13" t="s">
        <v>226</v>
      </c>
      <c r="N139" s="13" t="s">
        <v>226</v>
      </c>
      <c r="O139" s="66"/>
      <c r="P139" s="66"/>
      <c r="Q139" s="66"/>
      <c r="R139" s="66"/>
      <c r="S139" s="66"/>
      <c r="T139" s="66"/>
      <c r="U139" s="66"/>
      <c r="V139" s="13" t="s">
        <v>226</v>
      </c>
      <c r="W139" s="13" t="s">
        <v>226</v>
      </c>
      <c r="X139" s="13"/>
      <c r="Y139" s="13"/>
      <c r="Z139" s="13"/>
      <c r="AA139" s="13"/>
      <c r="AB139" s="13"/>
      <c r="AC139" s="13"/>
      <c r="AD139" s="13"/>
      <c r="AE139" s="16">
        <v>53</v>
      </c>
      <c r="AF139" s="16">
        <v>10</v>
      </c>
      <c r="AG139" s="99">
        <v>0</v>
      </c>
      <c r="AH139" s="99">
        <v>0.33</v>
      </c>
      <c r="AI139" s="99">
        <v>0.67</v>
      </c>
      <c r="AJ139" s="99">
        <v>0</v>
      </c>
      <c r="AK139" s="99">
        <v>0.53</v>
      </c>
      <c r="AL139" s="99">
        <v>0.45</v>
      </c>
      <c r="AM139" s="99">
        <v>0.28999999999999998</v>
      </c>
      <c r="AN139" s="61">
        <v>47</v>
      </c>
      <c r="AO139" s="61">
        <v>9</v>
      </c>
      <c r="AP139" s="66">
        <v>0</v>
      </c>
      <c r="AQ139" s="66">
        <v>0.67</v>
      </c>
      <c r="AR139" s="66">
        <v>0.33</v>
      </c>
      <c r="AS139" s="66">
        <v>0</v>
      </c>
      <c r="AT139" s="66">
        <v>0.48</v>
      </c>
      <c r="AU139" s="66">
        <v>0.53</v>
      </c>
      <c r="AV139" s="66">
        <v>0.56999999999999995</v>
      </c>
      <c r="AW139" s="349">
        <v>50</v>
      </c>
      <c r="AX139" s="348" t="s">
        <v>910</v>
      </c>
      <c r="AY139" s="349">
        <v>10</v>
      </c>
      <c r="AZ139" s="348" t="s">
        <v>910</v>
      </c>
      <c r="BA139" s="371">
        <v>0.14000000000000001</v>
      </c>
      <c r="BB139" s="371">
        <v>0.28999999999999998</v>
      </c>
      <c r="BC139" s="371">
        <v>0.56999999999999995</v>
      </c>
      <c r="BD139" s="371">
        <v>0</v>
      </c>
      <c r="BE139" s="371">
        <v>0.34</v>
      </c>
      <c r="BF139" s="371">
        <v>0.55000000000000004</v>
      </c>
      <c r="BG139" s="371">
        <v>0.47</v>
      </c>
      <c r="BH139" s="469">
        <v>52</v>
      </c>
      <c r="BI139" s="471" t="s">
        <v>910</v>
      </c>
      <c r="BJ139" s="469">
        <v>8</v>
      </c>
      <c r="BK139" s="471" t="s">
        <v>910</v>
      </c>
      <c r="BL139" s="501">
        <v>0.05</v>
      </c>
      <c r="BM139" s="501">
        <v>0.33</v>
      </c>
      <c r="BN139" s="501">
        <v>0.62</v>
      </c>
      <c r="BO139" s="501">
        <v>0</v>
      </c>
      <c r="BP139" s="501">
        <v>0.57999999999999996</v>
      </c>
      <c r="BQ139" s="501">
        <v>0.6</v>
      </c>
      <c r="BR139" s="501">
        <v>0.37</v>
      </c>
      <c r="BS139" s="630">
        <v>46</v>
      </c>
      <c r="BT139" s="640" t="s">
        <v>910</v>
      </c>
      <c r="BU139" s="630">
        <v>10</v>
      </c>
      <c r="BV139" s="640" t="s">
        <v>910</v>
      </c>
      <c r="BW139" s="644">
        <v>0.16</v>
      </c>
      <c r="BX139" s="644">
        <v>0.47</v>
      </c>
      <c r="BY139" s="644">
        <v>0.37</v>
      </c>
      <c r="BZ139" s="644">
        <v>0</v>
      </c>
      <c r="CA139" s="644">
        <v>0.7</v>
      </c>
      <c r="CB139" s="644">
        <v>0.5</v>
      </c>
      <c r="CC139" s="644">
        <v>0.67</v>
      </c>
    </row>
    <row r="140" spans="1:81" ht="24.9" customHeight="1" x14ac:dyDescent="0.25">
      <c r="A140" s="188" t="s">
        <v>144</v>
      </c>
      <c r="B140" s="1" t="s">
        <v>222</v>
      </c>
      <c r="C140" s="2">
        <v>2</v>
      </c>
      <c r="D140" s="16">
        <v>49</v>
      </c>
      <c r="E140" s="16">
        <v>10</v>
      </c>
      <c r="F140" s="99">
        <v>0.12</v>
      </c>
      <c r="G140" s="99">
        <v>0.48</v>
      </c>
      <c r="H140" s="99">
        <v>0.4</v>
      </c>
      <c r="I140" s="99">
        <v>0</v>
      </c>
      <c r="J140" s="99">
        <v>0.57999999999999996</v>
      </c>
      <c r="K140" s="99">
        <v>0.57999999999999996</v>
      </c>
      <c r="L140" s="99">
        <v>0.57999999999999996</v>
      </c>
      <c r="M140" s="16">
        <v>56</v>
      </c>
      <c r="N140" s="16">
        <v>9</v>
      </c>
      <c r="O140" s="66">
        <v>0.05</v>
      </c>
      <c r="P140" s="66">
        <v>0.23</v>
      </c>
      <c r="Q140" s="66">
        <v>0.69</v>
      </c>
      <c r="R140" s="66">
        <v>0.03</v>
      </c>
      <c r="S140" s="66">
        <v>0.42</v>
      </c>
      <c r="T140" s="66">
        <v>0.47</v>
      </c>
      <c r="U140" s="66">
        <v>0.32</v>
      </c>
      <c r="V140" s="16">
        <v>54</v>
      </c>
      <c r="W140" s="16">
        <v>10</v>
      </c>
      <c r="X140" s="99">
        <v>0.04</v>
      </c>
      <c r="Y140" s="99">
        <v>0.35</v>
      </c>
      <c r="Z140" s="99">
        <v>0.55000000000000004</v>
      </c>
      <c r="AA140" s="99">
        <v>0.06</v>
      </c>
      <c r="AB140" s="99">
        <v>0.45</v>
      </c>
      <c r="AC140" s="99">
        <v>0.37</v>
      </c>
      <c r="AD140" s="99">
        <v>0.48</v>
      </c>
      <c r="AE140" s="16">
        <v>55</v>
      </c>
      <c r="AF140" s="16">
        <v>9</v>
      </c>
      <c r="AG140" s="99">
        <v>0.02</v>
      </c>
      <c r="AH140" s="99">
        <v>0.18</v>
      </c>
      <c r="AI140" s="99">
        <v>0.77</v>
      </c>
      <c r="AJ140" s="99">
        <v>0.02</v>
      </c>
      <c r="AK140" s="99">
        <v>0.46</v>
      </c>
      <c r="AL140" s="99">
        <v>0.45</v>
      </c>
      <c r="AM140" s="99">
        <v>0.28000000000000003</v>
      </c>
      <c r="AN140" s="61">
        <v>58</v>
      </c>
      <c r="AO140" s="61">
        <v>10</v>
      </c>
      <c r="AP140" s="66">
        <v>0.02</v>
      </c>
      <c r="AQ140" s="66">
        <v>0.21</v>
      </c>
      <c r="AR140" s="66">
        <v>0.68</v>
      </c>
      <c r="AS140" s="66">
        <v>0.09</v>
      </c>
      <c r="AT140" s="66">
        <v>0.22</v>
      </c>
      <c r="AU140" s="66">
        <v>0.4</v>
      </c>
      <c r="AV140" s="66">
        <v>0.43</v>
      </c>
      <c r="AW140" s="349">
        <v>56</v>
      </c>
      <c r="AX140" s="348" t="s">
        <v>910</v>
      </c>
      <c r="AY140" s="349">
        <v>9</v>
      </c>
      <c r="AZ140" s="348" t="s">
        <v>910</v>
      </c>
      <c r="BA140" s="371">
        <v>0.02</v>
      </c>
      <c r="BB140" s="371">
        <v>0.24</v>
      </c>
      <c r="BC140" s="371">
        <v>0.73</v>
      </c>
      <c r="BD140" s="371">
        <v>0.02</v>
      </c>
      <c r="BE140" s="371">
        <v>0.26</v>
      </c>
      <c r="BF140" s="371">
        <v>0.44</v>
      </c>
      <c r="BG140" s="371">
        <v>0.4</v>
      </c>
      <c r="BH140" s="469">
        <v>54</v>
      </c>
      <c r="BI140" s="471" t="s">
        <v>910</v>
      </c>
      <c r="BJ140" s="469">
        <v>10</v>
      </c>
      <c r="BK140" s="471" t="s">
        <v>910</v>
      </c>
      <c r="BL140" s="501">
        <v>0.03</v>
      </c>
      <c r="BM140" s="501">
        <v>0.32</v>
      </c>
      <c r="BN140" s="501">
        <v>0.61</v>
      </c>
      <c r="BO140" s="501">
        <v>0.04</v>
      </c>
      <c r="BP140" s="501">
        <v>0.47</v>
      </c>
      <c r="BQ140" s="501">
        <v>0.59</v>
      </c>
      <c r="BR140" s="501">
        <v>0.36</v>
      </c>
      <c r="BS140" s="630">
        <v>54</v>
      </c>
      <c r="BT140" s="640" t="s">
        <v>910</v>
      </c>
      <c r="BU140" s="630">
        <v>9</v>
      </c>
      <c r="BV140" s="640" t="s">
        <v>910</v>
      </c>
      <c r="BW140" s="644">
        <v>0.02</v>
      </c>
      <c r="BX140" s="644">
        <v>0.31</v>
      </c>
      <c r="BY140" s="644">
        <v>0.63</v>
      </c>
      <c r="BZ140" s="644">
        <v>0.04</v>
      </c>
      <c r="CA140" s="644">
        <v>0.57999999999999996</v>
      </c>
      <c r="CB140" s="644">
        <v>0.34</v>
      </c>
      <c r="CC140" s="644">
        <v>0.57999999999999996</v>
      </c>
    </row>
    <row r="141" spans="1:81" ht="24.9" customHeight="1" x14ac:dyDescent="0.25">
      <c r="A141" s="188" t="s">
        <v>210</v>
      </c>
      <c r="B141" s="1" t="s">
        <v>222</v>
      </c>
      <c r="C141" s="2">
        <v>1</v>
      </c>
      <c r="D141" s="16">
        <v>54</v>
      </c>
      <c r="E141" s="16">
        <v>5</v>
      </c>
      <c r="F141" s="99">
        <v>0</v>
      </c>
      <c r="G141" s="99">
        <v>0.28999999999999998</v>
      </c>
      <c r="H141" s="99">
        <v>0.71</v>
      </c>
      <c r="I141" s="99">
        <v>0</v>
      </c>
      <c r="J141" s="99">
        <v>0.5</v>
      </c>
      <c r="K141" s="99">
        <v>0.39</v>
      </c>
      <c r="L141" s="99">
        <v>0.5</v>
      </c>
      <c r="M141" s="16">
        <v>54</v>
      </c>
      <c r="N141" s="16">
        <v>9</v>
      </c>
      <c r="O141" s="66">
        <v>0</v>
      </c>
      <c r="P141" s="66">
        <v>0.38</v>
      </c>
      <c r="Q141" s="66">
        <v>0.62</v>
      </c>
      <c r="R141" s="66">
        <v>0</v>
      </c>
      <c r="S141" s="66">
        <v>0.4</v>
      </c>
      <c r="T141" s="66">
        <v>0.56999999999999995</v>
      </c>
      <c r="U141" s="66">
        <v>0.32</v>
      </c>
      <c r="V141" s="16">
        <v>53</v>
      </c>
      <c r="W141" s="16">
        <v>9</v>
      </c>
      <c r="X141" s="99">
        <v>0</v>
      </c>
      <c r="Y141" s="99">
        <v>0.5</v>
      </c>
      <c r="Z141" s="99">
        <v>0.5</v>
      </c>
      <c r="AA141" s="99">
        <v>0</v>
      </c>
      <c r="AB141" s="99">
        <v>0.48</v>
      </c>
      <c r="AC141" s="99">
        <v>0.3</v>
      </c>
      <c r="AD141" s="99">
        <v>0.56999999999999995</v>
      </c>
      <c r="AE141" s="16">
        <v>55</v>
      </c>
      <c r="AF141" s="16">
        <v>8</v>
      </c>
      <c r="AG141" s="99">
        <v>0</v>
      </c>
      <c r="AH141" s="99">
        <v>0.17</v>
      </c>
      <c r="AI141" s="99">
        <v>0.83</v>
      </c>
      <c r="AJ141" s="99">
        <v>0</v>
      </c>
      <c r="AK141" s="99">
        <v>0.45</v>
      </c>
      <c r="AL141" s="99">
        <v>0.5</v>
      </c>
      <c r="AM141" s="99">
        <v>0.25</v>
      </c>
      <c r="AN141" s="61">
        <v>54</v>
      </c>
      <c r="AO141" s="61">
        <v>11</v>
      </c>
      <c r="AP141" s="66">
        <v>0.08</v>
      </c>
      <c r="AQ141" s="66">
        <v>0.16</v>
      </c>
      <c r="AR141" s="66">
        <v>0.72</v>
      </c>
      <c r="AS141" s="66">
        <v>0.04</v>
      </c>
      <c r="AT141" s="66">
        <v>0.28999999999999998</v>
      </c>
      <c r="AU141" s="66">
        <v>0.42</v>
      </c>
      <c r="AV141" s="66">
        <v>0.52</v>
      </c>
      <c r="AW141" s="349">
        <v>53</v>
      </c>
      <c r="AX141" s="348" t="s">
        <v>910</v>
      </c>
      <c r="AY141" s="349">
        <v>8</v>
      </c>
      <c r="AZ141" s="348" t="s">
        <v>910</v>
      </c>
      <c r="BA141" s="371">
        <v>0</v>
      </c>
      <c r="BB141" s="371">
        <v>0.54</v>
      </c>
      <c r="BC141" s="371">
        <v>0.38</v>
      </c>
      <c r="BD141" s="371">
        <v>0.08</v>
      </c>
      <c r="BE141" s="371">
        <v>0.24</v>
      </c>
      <c r="BF141" s="371">
        <v>0.48</v>
      </c>
      <c r="BG141" s="371">
        <v>0.49</v>
      </c>
      <c r="BH141" s="469">
        <v>53</v>
      </c>
      <c r="BI141" s="471" t="s">
        <v>910</v>
      </c>
      <c r="BJ141" s="469">
        <v>10</v>
      </c>
      <c r="BK141" s="471" t="s">
        <v>910</v>
      </c>
      <c r="BL141" s="501">
        <v>7.0000000000000007E-2</v>
      </c>
      <c r="BM141" s="501">
        <v>0.24</v>
      </c>
      <c r="BN141" s="501">
        <v>0.69</v>
      </c>
      <c r="BO141" s="501">
        <v>0</v>
      </c>
      <c r="BP141" s="501">
        <v>0.53</v>
      </c>
      <c r="BQ141" s="501">
        <v>0.59</v>
      </c>
      <c r="BR141" s="501">
        <v>0.41</v>
      </c>
      <c r="BS141" s="630">
        <v>53</v>
      </c>
      <c r="BT141" s="640" t="s">
        <v>910</v>
      </c>
      <c r="BU141" s="630">
        <v>8</v>
      </c>
      <c r="BV141" s="640" t="s">
        <v>910</v>
      </c>
      <c r="BW141" s="644">
        <v>0</v>
      </c>
      <c r="BX141" s="644">
        <v>0.36</v>
      </c>
      <c r="BY141" s="644">
        <v>0.62</v>
      </c>
      <c r="BZ141" s="644">
        <v>0.02</v>
      </c>
      <c r="CA141" s="644">
        <v>0.61</v>
      </c>
      <c r="CB141" s="644">
        <v>0.36</v>
      </c>
      <c r="CC141" s="644">
        <v>0.56999999999999995</v>
      </c>
    </row>
    <row r="142" spans="1:81" ht="24.9" customHeight="1" x14ac:dyDescent="0.25">
      <c r="A142" s="188" t="s">
        <v>67</v>
      </c>
      <c r="B142" s="1" t="s">
        <v>222</v>
      </c>
      <c r="C142" s="2">
        <v>1</v>
      </c>
      <c r="D142" s="16">
        <v>54</v>
      </c>
      <c r="E142" s="16">
        <v>8</v>
      </c>
      <c r="F142" s="99">
        <v>0.02</v>
      </c>
      <c r="G142" s="99">
        <v>0.31</v>
      </c>
      <c r="H142" s="99">
        <v>0.65</v>
      </c>
      <c r="I142" s="99">
        <v>0.02</v>
      </c>
      <c r="J142" s="99">
        <v>0.49</v>
      </c>
      <c r="K142" s="99">
        <v>0.41</v>
      </c>
      <c r="L142" s="99">
        <v>0.49</v>
      </c>
      <c r="M142" s="16">
        <v>56</v>
      </c>
      <c r="N142" s="16">
        <v>9</v>
      </c>
      <c r="O142" s="66">
        <v>0.01</v>
      </c>
      <c r="P142" s="66">
        <v>0.3</v>
      </c>
      <c r="Q142" s="66">
        <v>0.65</v>
      </c>
      <c r="R142" s="66">
        <v>0.04</v>
      </c>
      <c r="S142" s="66">
        <v>0.44</v>
      </c>
      <c r="T142" s="66">
        <v>0.49</v>
      </c>
      <c r="U142" s="66">
        <v>0.3</v>
      </c>
      <c r="V142" s="16">
        <v>53</v>
      </c>
      <c r="W142" s="16">
        <v>8</v>
      </c>
      <c r="X142" s="99">
        <v>0</v>
      </c>
      <c r="Y142" s="99">
        <v>0.34</v>
      </c>
      <c r="Z142" s="99">
        <v>0.65</v>
      </c>
      <c r="AA142" s="99">
        <v>0.01</v>
      </c>
      <c r="AB142" s="99">
        <v>0.49</v>
      </c>
      <c r="AC142" s="99">
        <v>0.36</v>
      </c>
      <c r="AD142" s="99">
        <v>0.49</v>
      </c>
      <c r="AE142" s="16">
        <v>55</v>
      </c>
      <c r="AF142" s="16">
        <v>8</v>
      </c>
      <c r="AG142" s="99">
        <v>0.02</v>
      </c>
      <c r="AH142" s="99">
        <v>0.22</v>
      </c>
      <c r="AI142" s="99">
        <v>0.75</v>
      </c>
      <c r="AJ142" s="99">
        <v>0.02</v>
      </c>
      <c r="AK142" s="99">
        <v>0.49</v>
      </c>
      <c r="AL142" s="99">
        <v>0.4</v>
      </c>
      <c r="AM142" s="99">
        <v>0.24</v>
      </c>
      <c r="AN142" s="61">
        <v>58</v>
      </c>
      <c r="AO142" s="61">
        <v>9</v>
      </c>
      <c r="AP142" s="66">
        <v>0</v>
      </c>
      <c r="AQ142" s="66">
        <v>0.18</v>
      </c>
      <c r="AR142" s="66">
        <v>0.75</v>
      </c>
      <c r="AS142" s="66">
        <v>7.0000000000000007E-2</v>
      </c>
      <c r="AT142" s="66">
        <v>0.2</v>
      </c>
      <c r="AU142" s="66">
        <v>0.41</v>
      </c>
      <c r="AV142" s="66">
        <v>0.39</v>
      </c>
      <c r="AW142" s="349">
        <v>56</v>
      </c>
      <c r="AX142" s="348" t="s">
        <v>910</v>
      </c>
      <c r="AY142" s="349">
        <v>10</v>
      </c>
      <c r="AZ142" s="348" t="s">
        <v>910</v>
      </c>
      <c r="BA142" s="371">
        <v>0.02</v>
      </c>
      <c r="BB142" s="371">
        <v>0.27</v>
      </c>
      <c r="BC142" s="371">
        <v>0.64</v>
      </c>
      <c r="BD142" s="371">
        <v>0.08</v>
      </c>
      <c r="BE142" s="371">
        <v>0.24</v>
      </c>
      <c r="BF142" s="371">
        <v>0.44</v>
      </c>
      <c r="BG142" s="371">
        <v>0.41</v>
      </c>
      <c r="BH142" s="469">
        <v>59</v>
      </c>
      <c r="BI142" s="471" t="s">
        <v>910</v>
      </c>
      <c r="BJ142" s="469">
        <v>10</v>
      </c>
      <c r="BK142" s="471" t="s">
        <v>910</v>
      </c>
      <c r="BL142" s="501">
        <v>0.01</v>
      </c>
      <c r="BM142" s="501">
        <v>0.19</v>
      </c>
      <c r="BN142" s="501">
        <v>0.72</v>
      </c>
      <c r="BO142" s="501">
        <v>0.08</v>
      </c>
      <c r="BP142" s="501">
        <v>0.37</v>
      </c>
      <c r="BQ142" s="501">
        <v>0.44</v>
      </c>
      <c r="BR142" s="501">
        <v>0.3</v>
      </c>
      <c r="BS142" s="630">
        <v>60</v>
      </c>
      <c r="BT142" s="640" t="s">
        <v>910</v>
      </c>
      <c r="BU142" s="630">
        <v>10</v>
      </c>
      <c r="BV142" s="640" t="s">
        <v>910</v>
      </c>
      <c r="BW142" s="644">
        <v>0.01</v>
      </c>
      <c r="BX142" s="644">
        <v>0.16</v>
      </c>
      <c r="BY142" s="644">
        <v>0.75</v>
      </c>
      <c r="BZ142" s="644">
        <v>0.09</v>
      </c>
      <c r="CA142" s="644">
        <v>0.51</v>
      </c>
      <c r="CB142" s="644">
        <v>0.25</v>
      </c>
      <c r="CC142" s="644">
        <v>0.43</v>
      </c>
    </row>
    <row r="143" spans="1:81" s="461" customFormat="1" ht="24.9" customHeight="1" x14ac:dyDescent="0.25">
      <c r="A143" s="470" t="s">
        <v>928</v>
      </c>
      <c r="B143" s="1" t="s">
        <v>222</v>
      </c>
      <c r="C143" s="471">
        <v>6</v>
      </c>
      <c r="D143" s="502"/>
      <c r="E143" s="502"/>
      <c r="F143" s="508"/>
      <c r="G143" s="508"/>
      <c r="H143" s="508"/>
      <c r="I143" s="508"/>
      <c r="J143" s="508"/>
      <c r="K143" s="508"/>
      <c r="L143" s="508"/>
      <c r="M143" s="502"/>
      <c r="N143" s="502"/>
      <c r="O143" s="506"/>
      <c r="P143" s="506"/>
      <c r="Q143" s="506"/>
      <c r="R143" s="506"/>
      <c r="S143" s="506"/>
      <c r="T143" s="506"/>
      <c r="U143" s="506"/>
      <c r="V143" s="502"/>
      <c r="W143" s="502"/>
      <c r="X143" s="508"/>
      <c r="Y143" s="508"/>
      <c r="Z143" s="508"/>
      <c r="AA143" s="508"/>
      <c r="AB143" s="508"/>
      <c r="AC143" s="508"/>
      <c r="AD143" s="508"/>
      <c r="AE143" s="502"/>
      <c r="AF143" s="502"/>
      <c r="AG143" s="508"/>
      <c r="AH143" s="508"/>
      <c r="AI143" s="508"/>
      <c r="AJ143" s="508"/>
      <c r="AK143" s="508"/>
      <c r="AL143" s="508"/>
      <c r="AM143" s="508"/>
      <c r="AN143" s="472"/>
      <c r="AO143" s="472"/>
      <c r="AP143" s="506"/>
      <c r="AQ143" s="506"/>
      <c r="AR143" s="506"/>
      <c r="AS143" s="506"/>
      <c r="AT143" s="506"/>
      <c r="AU143" s="506"/>
      <c r="AV143" s="506"/>
      <c r="AW143" s="475"/>
      <c r="AX143" s="493"/>
      <c r="AY143" s="475"/>
      <c r="AZ143" s="493"/>
      <c r="BA143" s="507"/>
      <c r="BB143" s="507"/>
      <c r="BC143" s="507"/>
      <c r="BD143" s="507"/>
      <c r="BE143" s="507"/>
      <c r="BF143" s="507"/>
      <c r="BG143" s="507"/>
      <c r="BH143" s="469">
        <v>46</v>
      </c>
      <c r="BI143" s="471" t="s">
        <v>910</v>
      </c>
      <c r="BJ143" s="469">
        <v>10</v>
      </c>
      <c r="BK143" s="471" t="s">
        <v>910</v>
      </c>
      <c r="BL143" s="501">
        <v>0.28999999999999998</v>
      </c>
      <c r="BM143" s="501">
        <v>0.28999999999999998</v>
      </c>
      <c r="BN143" s="501">
        <v>0.43</v>
      </c>
      <c r="BO143" s="501">
        <v>0</v>
      </c>
      <c r="BP143" s="501">
        <v>0.72</v>
      </c>
      <c r="BQ143" s="501">
        <v>0.63</v>
      </c>
      <c r="BR143" s="501">
        <v>0.61</v>
      </c>
      <c r="BS143" s="630">
        <v>42</v>
      </c>
      <c r="BT143" s="640" t="s">
        <v>912</v>
      </c>
      <c r="BU143" s="630">
        <v>9</v>
      </c>
      <c r="BV143" s="640" t="s">
        <v>910</v>
      </c>
      <c r="BW143" s="644">
        <v>0.17</v>
      </c>
      <c r="BX143" s="644">
        <v>0.5</v>
      </c>
      <c r="BY143" s="644">
        <v>0.33</v>
      </c>
      <c r="BZ143" s="644">
        <v>0</v>
      </c>
      <c r="CA143" s="644">
        <v>0.79</v>
      </c>
      <c r="CB143" s="644">
        <v>0.54</v>
      </c>
      <c r="CC143" s="644">
        <v>0.65</v>
      </c>
    </row>
    <row r="144" spans="1:81" ht="24.9" customHeight="1" x14ac:dyDescent="0.25">
      <c r="A144" s="188" t="s">
        <v>31</v>
      </c>
      <c r="B144" s="1" t="s">
        <v>222</v>
      </c>
      <c r="C144" s="2">
        <v>6</v>
      </c>
      <c r="D144" s="16">
        <v>55</v>
      </c>
      <c r="E144" s="16">
        <v>10</v>
      </c>
      <c r="F144" s="99">
        <v>0</v>
      </c>
      <c r="G144" s="99">
        <v>0.45</v>
      </c>
      <c r="H144" s="99">
        <v>0.55000000000000004</v>
      </c>
      <c r="I144" s="99">
        <v>0</v>
      </c>
      <c r="J144" s="99">
        <v>0.47</v>
      </c>
      <c r="K144" s="99">
        <v>0.41</v>
      </c>
      <c r="L144" s="99">
        <v>0.5</v>
      </c>
      <c r="M144" s="16">
        <v>46</v>
      </c>
      <c r="N144" s="16">
        <v>10</v>
      </c>
      <c r="O144" s="66">
        <v>0.17</v>
      </c>
      <c r="P144" s="66">
        <v>0.57999999999999996</v>
      </c>
      <c r="Q144" s="66">
        <v>0.25</v>
      </c>
      <c r="R144" s="66">
        <v>0</v>
      </c>
      <c r="S144" s="66">
        <v>0.62</v>
      </c>
      <c r="T144" s="66">
        <v>0.65</v>
      </c>
      <c r="U144" s="66">
        <v>0.44</v>
      </c>
      <c r="V144" s="16">
        <v>51</v>
      </c>
      <c r="W144" s="16">
        <v>13</v>
      </c>
      <c r="X144" s="99">
        <v>0.13</v>
      </c>
      <c r="Y144" s="99">
        <v>0.38</v>
      </c>
      <c r="Z144" s="99">
        <v>0.5</v>
      </c>
      <c r="AA144" s="99">
        <v>0</v>
      </c>
      <c r="AB144" s="99">
        <v>0.52</v>
      </c>
      <c r="AC144" s="99">
        <v>0.39</v>
      </c>
      <c r="AD144" s="99">
        <v>0.53</v>
      </c>
      <c r="AE144" s="16">
        <v>52</v>
      </c>
      <c r="AF144" s="16">
        <v>11</v>
      </c>
      <c r="AG144" s="99">
        <v>0</v>
      </c>
      <c r="AH144" s="99">
        <v>0.5</v>
      </c>
      <c r="AI144" s="99">
        <v>0.5</v>
      </c>
      <c r="AJ144" s="99">
        <v>0</v>
      </c>
      <c r="AK144" s="99">
        <v>0.61</v>
      </c>
      <c r="AL144" s="99">
        <v>0.49</v>
      </c>
      <c r="AM144" s="99">
        <v>0.37</v>
      </c>
      <c r="AN144" s="61">
        <v>53</v>
      </c>
      <c r="AO144" s="61">
        <v>5</v>
      </c>
      <c r="AP144" s="66">
        <v>0</v>
      </c>
      <c r="AQ144" s="66">
        <v>0.25</v>
      </c>
      <c r="AR144" s="66">
        <v>0.75</v>
      </c>
      <c r="AS144" s="66">
        <v>0</v>
      </c>
      <c r="AT144" s="66">
        <v>0.21</v>
      </c>
      <c r="AU144" s="66">
        <v>0.57999999999999996</v>
      </c>
      <c r="AV144" s="66">
        <v>0.37</v>
      </c>
      <c r="AW144" s="349">
        <v>55</v>
      </c>
      <c r="AX144" s="348" t="s">
        <v>910</v>
      </c>
      <c r="AY144" s="349">
        <v>10</v>
      </c>
      <c r="AZ144" s="348" t="s">
        <v>910</v>
      </c>
      <c r="BA144" s="371">
        <v>0</v>
      </c>
      <c r="BB144" s="371">
        <v>0.4</v>
      </c>
      <c r="BC144" s="371">
        <v>0.4</v>
      </c>
      <c r="BD144" s="371">
        <v>0.2</v>
      </c>
      <c r="BE144" s="371">
        <v>0.23</v>
      </c>
      <c r="BF144" s="371">
        <v>0.44</v>
      </c>
      <c r="BG144" s="371">
        <v>0.46</v>
      </c>
      <c r="BH144" s="469">
        <v>48</v>
      </c>
      <c r="BI144" s="471" t="s">
        <v>910</v>
      </c>
      <c r="BJ144" s="469">
        <v>7</v>
      </c>
      <c r="BK144" s="471" t="s">
        <v>910</v>
      </c>
      <c r="BL144" s="501">
        <v>0</v>
      </c>
      <c r="BM144" s="501">
        <v>0.7</v>
      </c>
      <c r="BN144" s="501">
        <v>0.3</v>
      </c>
      <c r="BO144" s="501">
        <v>0</v>
      </c>
      <c r="BP144" s="501">
        <v>0.56999999999999995</v>
      </c>
      <c r="BQ144" s="501">
        <v>0.64</v>
      </c>
      <c r="BR144" s="501">
        <v>0.55000000000000004</v>
      </c>
      <c r="BS144" s="630">
        <v>53</v>
      </c>
      <c r="BT144" s="640" t="s">
        <v>910</v>
      </c>
      <c r="BU144" s="630">
        <v>6</v>
      </c>
      <c r="BV144" s="640" t="s">
        <v>912</v>
      </c>
      <c r="BW144" s="644">
        <v>0</v>
      </c>
      <c r="BX144" s="644">
        <v>0.28999999999999998</v>
      </c>
      <c r="BY144" s="644">
        <v>0.71</v>
      </c>
      <c r="BZ144" s="644">
        <v>0</v>
      </c>
      <c r="CA144" s="644">
        <v>0.61</v>
      </c>
      <c r="CB144" s="644">
        <v>0.21</v>
      </c>
      <c r="CC144" s="644">
        <v>0.56999999999999995</v>
      </c>
    </row>
    <row r="145" spans="1:81" ht="24.9" customHeight="1" x14ac:dyDescent="0.25">
      <c r="A145" s="188" t="s">
        <v>54</v>
      </c>
      <c r="B145" s="1" t="s">
        <v>222</v>
      </c>
      <c r="C145" s="2">
        <v>6</v>
      </c>
      <c r="D145" s="16">
        <v>59</v>
      </c>
      <c r="E145" s="16">
        <v>7</v>
      </c>
      <c r="F145" s="99">
        <v>0</v>
      </c>
      <c r="G145" s="99">
        <v>0.14000000000000001</v>
      </c>
      <c r="H145" s="99">
        <v>0.83</v>
      </c>
      <c r="I145" s="99">
        <v>0.03</v>
      </c>
      <c r="J145" s="99">
        <v>0.43</v>
      </c>
      <c r="K145" s="99">
        <v>0.28000000000000003</v>
      </c>
      <c r="L145" s="99">
        <v>0.38</v>
      </c>
      <c r="M145" s="16">
        <v>61</v>
      </c>
      <c r="N145" s="16">
        <v>9</v>
      </c>
      <c r="O145" s="66">
        <v>0</v>
      </c>
      <c r="P145" s="66">
        <v>0.14000000000000001</v>
      </c>
      <c r="Q145" s="66">
        <v>0.74</v>
      </c>
      <c r="R145" s="66">
        <v>0.11</v>
      </c>
      <c r="S145" s="66">
        <v>0.38</v>
      </c>
      <c r="T145" s="66">
        <v>0.41</v>
      </c>
      <c r="U145" s="66">
        <v>0.23</v>
      </c>
      <c r="V145" s="16">
        <v>59</v>
      </c>
      <c r="W145" s="16">
        <v>6</v>
      </c>
      <c r="X145" s="99">
        <v>0</v>
      </c>
      <c r="Y145" s="99">
        <v>0.04</v>
      </c>
      <c r="Z145" s="99">
        <v>0.92</v>
      </c>
      <c r="AA145" s="99">
        <v>0.04</v>
      </c>
      <c r="AB145" s="99">
        <v>0.39</v>
      </c>
      <c r="AC145" s="99">
        <v>0.27</v>
      </c>
      <c r="AD145" s="99">
        <v>0.44</v>
      </c>
      <c r="AE145" s="16">
        <v>60</v>
      </c>
      <c r="AF145" s="16">
        <v>9</v>
      </c>
      <c r="AG145" s="99">
        <v>0</v>
      </c>
      <c r="AH145" s="99">
        <v>0.13</v>
      </c>
      <c r="AI145" s="99">
        <v>0.77</v>
      </c>
      <c r="AJ145" s="99">
        <v>0.1</v>
      </c>
      <c r="AK145" s="99">
        <v>0.38</v>
      </c>
      <c r="AL145" s="99">
        <v>0.35</v>
      </c>
      <c r="AM145" s="99">
        <v>0.21</v>
      </c>
      <c r="AN145" s="61">
        <v>59</v>
      </c>
      <c r="AO145" s="61">
        <v>12</v>
      </c>
      <c r="AP145" s="66">
        <v>0</v>
      </c>
      <c r="AQ145" s="66">
        <v>0.24</v>
      </c>
      <c r="AR145" s="66">
        <v>0.64</v>
      </c>
      <c r="AS145" s="66">
        <v>0.12</v>
      </c>
      <c r="AT145" s="66">
        <v>0.21</v>
      </c>
      <c r="AU145" s="66">
        <v>0.4</v>
      </c>
      <c r="AV145" s="66">
        <v>0.39</v>
      </c>
      <c r="AW145" s="349">
        <v>58</v>
      </c>
      <c r="AX145" s="348" t="s">
        <v>910</v>
      </c>
      <c r="AY145" s="349">
        <v>8</v>
      </c>
      <c r="AZ145" s="348" t="s">
        <v>910</v>
      </c>
      <c r="BA145" s="371">
        <v>0</v>
      </c>
      <c r="BB145" s="371">
        <v>0.19</v>
      </c>
      <c r="BC145" s="371">
        <v>0.74</v>
      </c>
      <c r="BD145" s="371">
        <v>0.06</v>
      </c>
      <c r="BE145" s="371">
        <v>0.19</v>
      </c>
      <c r="BF145" s="371">
        <v>0.41</v>
      </c>
      <c r="BG145" s="371">
        <v>0.37</v>
      </c>
      <c r="BH145" s="469">
        <v>60</v>
      </c>
      <c r="BI145" s="471" t="s">
        <v>910</v>
      </c>
      <c r="BJ145" s="469">
        <v>9</v>
      </c>
      <c r="BK145" s="471" t="s">
        <v>910</v>
      </c>
      <c r="BL145" s="501">
        <v>0</v>
      </c>
      <c r="BM145" s="501">
        <v>0.12</v>
      </c>
      <c r="BN145" s="501">
        <v>0.81</v>
      </c>
      <c r="BO145" s="501">
        <v>0.08</v>
      </c>
      <c r="BP145" s="501">
        <v>0.42</v>
      </c>
      <c r="BQ145" s="501">
        <v>0.43</v>
      </c>
      <c r="BR145" s="501">
        <v>0.3</v>
      </c>
      <c r="BS145" s="630">
        <v>62</v>
      </c>
      <c r="BT145" s="640" t="s">
        <v>911</v>
      </c>
      <c r="BU145" s="630">
        <v>8</v>
      </c>
      <c r="BV145" s="640" t="s">
        <v>910</v>
      </c>
      <c r="BW145" s="644">
        <v>0</v>
      </c>
      <c r="BX145" s="644">
        <v>0</v>
      </c>
      <c r="BY145" s="644">
        <v>0.74</v>
      </c>
      <c r="BZ145" s="644">
        <v>0.26</v>
      </c>
      <c r="CA145" s="644">
        <v>0.41</v>
      </c>
      <c r="CB145" s="644">
        <v>0.25</v>
      </c>
      <c r="CC145" s="644">
        <v>0.41</v>
      </c>
    </row>
    <row r="146" spans="1:81" s="219" customFormat="1" ht="24.9" customHeight="1" x14ac:dyDescent="0.25">
      <c r="A146" s="188" t="s">
        <v>878</v>
      </c>
      <c r="B146" s="1" t="s">
        <v>222</v>
      </c>
      <c r="C146" s="2">
        <v>4</v>
      </c>
      <c r="D146" s="16"/>
      <c r="E146" s="16"/>
      <c r="F146" s="99"/>
      <c r="G146" s="99"/>
      <c r="H146" s="99"/>
      <c r="I146" s="99"/>
      <c r="J146" s="99"/>
      <c r="K146" s="99"/>
      <c r="L146" s="99"/>
      <c r="M146" s="16"/>
      <c r="N146" s="16"/>
      <c r="O146" s="66"/>
      <c r="P146" s="66"/>
      <c r="Q146" s="66"/>
      <c r="R146" s="66"/>
      <c r="S146" s="66"/>
      <c r="T146" s="66"/>
      <c r="U146" s="66"/>
      <c r="V146" s="16"/>
      <c r="W146" s="16"/>
      <c r="X146" s="99"/>
      <c r="Y146" s="99"/>
      <c r="Z146" s="99"/>
      <c r="AA146" s="99"/>
      <c r="AB146" s="99"/>
      <c r="AC146" s="99"/>
      <c r="AD146" s="99"/>
      <c r="AE146" s="16"/>
      <c r="AF146" s="16"/>
      <c r="AG146" s="99"/>
      <c r="AH146" s="99"/>
      <c r="AI146" s="99"/>
      <c r="AJ146" s="99"/>
      <c r="AK146" s="99"/>
      <c r="AL146" s="99"/>
      <c r="AM146" s="99"/>
      <c r="AN146" s="61"/>
      <c r="AO146" s="61"/>
      <c r="AP146" s="66"/>
      <c r="AQ146" s="66"/>
      <c r="AR146" s="66"/>
      <c r="AS146" s="66"/>
      <c r="AT146" s="66"/>
      <c r="AU146" s="66"/>
      <c r="AV146" s="66"/>
      <c r="AX146" s="336"/>
      <c r="AZ146" s="336"/>
      <c r="BS146" s="630">
        <v>54</v>
      </c>
      <c r="BT146" s="640" t="s">
        <v>910</v>
      </c>
      <c r="BU146" s="630">
        <v>7</v>
      </c>
      <c r="BV146" s="640" t="s">
        <v>910</v>
      </c>
      <c r="BW146" s="644">
        <v>0</v>
      </c>
      <c r="BX146" s="644">
        <v>0.25</v>
      </c>
      <c r="BY146" s="644">
        <v>0.75</v>
      </c>
      <c r="BZ146" s="644">
        <v>0</v>
      </c>
      <c r="CA146" s="644">
        <v>0.34</v>
      </c>
      <c r="CB146" s="644">
        <v>0.38</v>
      </c>
      <c r="CC146" s="644">
        <v>0.53</v>
      </c>
    </row>
    <row r="147" spans="1:81" ht="24.9" customHeight="1" x14ac:dyDescent="0.25">
      <c r="A147" s="188" t="s">
        <v>142</v>
      </c>
      <c r="B147" s="1" t="s">
        <v>222</v>
      </c>
      <c r="C147" s="2">
        <v>2</v>
      </c>
      <c r="D147" s="16">
        <v>45</v>
      </c>
      <c r="E147" s="16">
        <v>9</v>
      </c>
      <c r="F147" s="99">
        <v>0.19</v>
      </c>
      <c r="G147" s="99">
        <v>0.56000000000000005</v>
      </c>
      <c r="H147" s="99">
        <v>0.25</v>
      </c>
      <c r="I147" s="99">
        <v>0</v>
      </c>
      <c r="J147" s="99">
        <v>0.6</v>
      </c>
      <c r="K147" s="99">
        <v>0.65</v>
      </c>
      <c r="L147" s="99">
        <v>0.63</v>
      </c>
      <c r="M147" s="16">
        <v>53</v>
      </c>
      <c r="N147" s="16">
        <v>9</v>
      </c>
      <c r="O147" s="66">
        <v>0</v>
      </c>
      <c r="P147" s="66">
        <v>0.33</v>
      </c>
      <c r="Q147" s="66">
        <v>0.56000000000000005</v>
      </c>
      <c r="R147" s="66">
        <v>0.11</v>
      </c>
      <c r="S147" s="66">
        <v>0.48</v>
      </c>
      <c r="T147" s="66">
        <v>0.5</v>
      </c>
      <c r="U147" s="66">
        <v>0.39</v>
      </c>
      <c r="V147" s="16">
        <v>51</v>
      </c>
      <c r="W147" s="16">
        <v>10</v>
      </c>
      <c r="X147" s="99">
        <v>7.0000000000000007E-2</v>
      </c>
      <c r="Y147" s="99">
        <v>0.33</v>
      </c>
      <c r="Z147" s="99">
        <v>0.6</v>
      </c>
      <c r="AA147" s="99">
        <v>0</v>
      </c>
      <c r="AB147" s="99">
        <v>0.49</v>
      </c>
      <c r="AC147" s="99">
        <v>0.39</v>
      </c>
      <c r="AD147" s="99">
        <v>0.55000000000000004</v>
      </c>
      <c r="AE147" s="16">
        <v>42</v>
      </c>
      <c r="AF147" s="16">
        <v>9</v>
      </c>
      <c r="AG147" s="99">
        <v>0.27</v>
      </c>
      <c r="AH147" s="99">
        <v>0.55000000000000004</v>
      </c>
      <c r="AI147" s="99">
        <v>0.18</v>
      </c>
      <c r="AJ147" s="99">
        <v>0</v>
      </c>
      <c r="AK147" s="99">
        <v>0.68</v>
      </c>
      <c r="AL147" s="99">
        <v>0.65</v>
      </c>
      <c r="AM147" s="99">
        <v>0.44</v>
      </c>
      <c r="AN147" s="61">
        <v>50</v>
      </c>
      <c r="AO147" s="61">
        <v>9</v>
      </c>
      <c r="AP147" s="66">
        <v>7.0000000000000007E-2</v>
      </c>
      <c r="AQ147" s="66">
        <v>0.36</v>
      </c>
      <c r="AR147" s="66">
        <v>0.56999999999999995</v>
      </c>
      <c r="AS147" s="66">
        <v>0</v>
      </c>
      <c r="AT147" s="66">
        <v>0.32</v>
      </c>
      <c r="AU147" s="66">
        <v>0.51</v>
      </c>
      <c r="AV147" s="66">
        <v>0.51</v>
      </c>
      <c r="AW147" s="349">
        <v>51</v>
      </c>
      <c r="AX147" s="348" t="s">
        <v>910</v>
      </c>
      <c r="AY147" s="349">
        <v>6</v>
      </c>
      <c r="AZ147" s="348" t="s">
        <v>912</v>
      </c>
      <c r="BA147" s="371">
        <v>0</v>
      </c>
      <c r="BB147" s="371">
        <v>0.69</v>
      </c>
      <c r="BC147" s="371">
        <v>0.31</v>
      </c>
      <c r="BD147" s="371">
        <v>0</v>
      </c>
      <c r="BE147" s="371">
        <v>0.26</v>
      </c>
      <c r="BF147" s="371">
        <v>0.55000000000000004</v>
      </c>
      <c r="BG147" s="371">
        <v>0.47</v>
      </c>
      <c r="BH147" s="469">
        <v>54</v>
      </c>
      <c r="BI147" s="471" t="s">
        <v>910</v>
      </c>
      <c r="BJ147" s="469">
        <v>8</v>
      </c>
      <c r="BK147" s="471" t="s">
        <v>910</v>
      </c>
      <c r="BL147" s="501">
        <v>0</v>
      </c>
      <c r="BM147" s="501">
        <v>0.14000000000000001</v>
      </c>
      <c r="BN147" s="501">
        <v>0.86</v>
      </c>
      <c r="BO147" s="501">
        <v>0</v>
      </c>
      <c r="BP147" s="501">
        <v>0.48</v>
      </c>
      <c r="BQ147" s="501">
        <v>0.5</v>
      </c>
      <c r="BR147" s="501">
        <v>0.43</v>
      </c>
      <c r="BS147" s="630">
        <v>53</v>
      </c>
      <c r="BT147" s="640" t="s">
        <v>910</v>
      </c>
      <c r="BU147" s="630">
        <v>9</v>
      </c>
      <c r="BV147" s="640" t="s">
        <v>910</v>
      </c>
      <c r="BW147" s="644">
        <v>0.11</v>
      </c>
      <c r="BX147" s="644">
        <v>0.26</v>
      </c>
      <c r="BY147" s="644">
        <v>0.63</v>
      </c>
      <c r="BZ147" s="644">
        <v>0</v>
      </c>
      <c r="CA147" s="644">
        <v>0.65</v>
      </c>
      <c r="CB147" s="644">
        <v>0.36</v>
      </c>
      <c r="CC147" s="644">
        <v>0.55000000000000004</v>
      </c>
    </row>
    <row r="148" spans="1:81" ht="24.9" customHeight="1" x14ac:dyDescent="0.25">
      <c r="A148" s="188" t="s">
        <v>149</v>
      </c>
      <c r="B148" s="1" t="s">
        <v>222</v>
      </c>
      <c r="C148" s="2">
        <v>5</v>
      </c>
      <c r="D148" s="16">
        <v>49</v>
      </c>
      <c r="E148" s="16">
        <v>10</v>
      </c>
      <c r="F148" s="99">
        <v>7.0000000000000007E-2</v>
      </c>
      <c r="G148" s="99">
        <v>0.6</v>
      </c>
      <c r="H148" s="99">
        <v>0.33</v>
      </c>
      <c r="I148" s="99">
        <v>0</v>
      </c>
      <c r="J148" s="99">
        <v>0.56999999999999995</v>
      </c>
      <c r="K148" s="99">
        <v>0.47</v>
      </c>
      <c r="L148" s="99">
        <v>0.56999999999999995</v>
      </c>
      <c r="M148" s="16">
        <v>47</v>
      </c>
      <c r="N148" s="16">
        <v>11</v>
      </c>
      <c r="O148" s="66">
        <v>0.2</v>
      </c>
      <c r="P148" s="66">
        <v>0.37</v>
      </c>
      <c r="Q148" s="66">
        <v>0.39</v>
      </c>
      <c r="R148" s="66">
        <v>0.05</v>
      </c>
      <c r="S148" s="66">
        <v>0.55000000000000004</v>
      </c>
      <c r="T148" s="66">
        <v>0.63</v>
      </c>
      <c r="U148" s="66">
        <v>0.43</v>
      </c>
      <c r="V148" s="16">
        <v>46</v>
      </c>
      <c r="W148" s="16">
        <v>9</v>
      </c>
      <c r="X148" s="99">
        <v>0.16</v>
      </c>
      <c r="Y148" s="99">
        <v>0.41</v>
      </c>
      <c r="Z148" s="99">
        <v>0.44</v>
      </c>
      <c r="AA148" s="99">
        <v>0</v>
      </c>
      <c r="AB148" s="99">
        <v>0.56999999999999995</v>
      </c>
      <c r="AC148" s="99">
        <v>0.47</v>
      </c>
      <c r="AD148" s="99">
        <v>0.57999999999999996</v>
      </c>
      <c r="AE148" s="16">
        <v>51</v>
      </c>
      <c r="AF148" s="16">
        <v>8</v>
      </c>
      <c r="AG148" s="99">
        <v>0</v>
      </c>
      <c r="AH148" s="99">
        <v>0.5</v>
      </c>
      <c r="AI148" s="99">
        <v>0.5</v>
      </c>
      <c r="AJ148" s="99">
        <v>0</v>
      </c>
      <c r="AK148" s="99">
        <v>0.55000000000000004</v>
      </c>
      <c r="AL148" s="99">
        <v>0.53</v>
      </c>
      <c r="AM148" s="99">
        <v>0.31</v>
      </c>
      <c r="AN148" s="61">
        <v>46</v>
      </c>
      <c r="AO148" s="61">
        <v>10</v>
      </c>
      <c r="AP148" s="66">
        <v>0.22</v>
      </c>
      <c r="AQ148" s="66">
        <v>0.35</v>
      </c>
      <c r="AR148" s="66">
        <v>0.43</v>
      </c>
      <c r="AS148" s="66">
        <v>0</v>
      </c>
      <c r="AT148" s="66">
        <v>0.4</v>
      </c>
      <c r="AU148" s="66">
        <v>0.62</v>
      </c>
      <c r="AV148" s="66">
        <v>0.56000000000000005</v>
      </c>
      <c r="AW148" s="349">
        <v>47</v>
      </c>
      <c r="AX148" s="348" t="s">
        <v>910</v>
      </c>
      <c r="AY148" s="349">
        <v>7</v>
      </c>
      <c r="AZ148" s="348" t="s">
        <v>910</v>
      </c>
      <c r="BA148" s="371">
        <v>0.03</v>
      </c>
      <c r="BB148" s="371">
        <v>0.62</v>
      </c>
      <c r="BC148" s="371">
        <v>0.34</v>
      </c>
      <c r="BD148" s="371">
        <v>0</v>
      </c>
      <c r="BE148" s="371">
        <v>0.35</v>
      </c>
      <c r="BF148" s="371">
        <v>0.59</v>
      </c>
      <c r="BG148" s="371">
        <v>0.6</v>
      </c>
      <c r="BH148" s="469">
        <v>48</v>
      </c>
      <c r="BI148" s="471" t="s">
        <v>910</v>
      </c>
      <c r="BJ148" s="469">
        <v>9</v>
      </c>
      <c r="BK148" s="471" t="s">
        <v>910</v>
      </c>
      <c r="BL148" s="501">
        <v>0.12</v>
      </c>
      <c r="BM148" s="501">
        <v>0.46</v>
      </c>
      <c r="BN148" s="501">
        <v>0.42</v>
      </c>
      <c r="BO148" s="501">
        <v>0</v>
      </c>
      <c r="BP148" s="501">
        <v>0.59</v>
      </c>
      <c r="BQ148" s="501">
        <v>0.73</v>
      </c>
      <c r="BR148" s="501">
        <v>0.38</v>
      </c>
      <c r="BS148" s="630">
        <v>49</v>
      </c>
      <c r="BT148" s="640" t="s">
        <v>910</v>
      </c>
      <c r="BU148" s="630">
        <v>9</v>
      </c>
      <c r="BV148" s="640" t="s">
        <v>910</v>
      </c>
      <c r="BW148" s="644">
        <v>0.06</v>
      </c>
      <c r="BX148" s="644">
        <v>0.46</v>
      </c>
      <c r="BY148" s="644">
        <v>0.49</v>
      </c>
      <c r="BZ148" s="644">
        <v>0</v>
      </c>
      <c r="CA148" s="644">
        <v>0.62</v>
      </c>
      <c r="CB148" s="644">
        <v>0.4</v>
      </c>
      <c r="CC148" s="644">
        <v>0.65</v>
      </c>
    </row>
    <row r="149" spans="1:81" ht="24.9" customHeight="1" x14ac:dyDescent="0.25">
      <c r="A149" s="188" t="s">
        <v>140</v>
      </c>
      <c r="B149" s="1" t="s">
        <v>222</v>
      </c>
      <c r="C149" s="2">
        <v>2</v>
      </c>
      <c r="D149" s="16">
        <v>45</v>
      </c>
      <c r="E149" s="16">
        <v>11</v>
      </c>
      <c r="F149" s="99">
        <v>0.25</v>
      </c>
      <c r="G149" s="99">
        <v>0.5</v>
      </c>
      <c r="H149" s="99">
        <v>0.25</v>
      </c>
      <c r="I149" s="99">
        <v>0</v>
      </c>
      <c r="J149" s="99">
        <v>0.62</v>
      </c>
      <c r="K149" s="99">
        <v>0.33</v>
      </c>
      <c r="L149" s="99">
        <v>0.59</v>
      </c>
      <c r="M149" s="16">
        <v>54</v>
      </c>
      <c r="N149" s="16">
        <v>8</v>
      </c>
      <c r="O149" s="66">
        <v>0</v>
      </c>
      <c r="P149" s="66">
        <v>0.2</v>
      </c>
      <c r="Q149" s="66">
        <v>0.75</v>
      </c>
      <c r="R149" s="66">
        <v>0.05</v>
      </c>
      <c r="S149" s="66">
        <v>0.45</v>
      </c>
      <c r="T149" s="66">
        <v>0.53</v>
      </c>
      <c r="U149" s="66">
        <v>0.28000000000000003</v>
      </c>
      <c r="V149" s="16">
        <v>53</v>
      </c>
      <c r="W149" s="16">
        <v>8</v>
      </c>
      <c r="X149" s="99">
        <v>0</v>
      </c>
      <c r="Y149" s="99">
        <v>0.35</v>
      </c>
      <c r="Z149" s="99">
        <v>0.61</v>
      </c>
      <c r="AA149" s="99">
        <v>0.04</v>
      </c>
      <c r="AB149" s="99">
        <v>0.5</v>
      </c>
      <c r="AC149" s="99">
        <v>0.37</v>
      </c>
      <c r="AD149" s="99">
        <v>0.5</v>
      </c>
      <c r="AE149" s="16">
        <v>53</v>
      </c>
      <c r="AF149" s="16">
        <v>8</v>
      </c>
      <c r="AG149" s="99">
        <v>0.06</v>
      </c>
      <c r="AH149" s="99">
        <v>0.27</v>
      </c>
      <c r="AI149" s="99">
        <v>0.67</v>
      </c>
      <c r="AJ149" s="99">
        <v>0</v>
      </c>
      <c r="AK149" s="99">
        <v>0.55000000000000004</v>
      </c>
      <c r="AL149" s="99">
        <v>0.51</v>
      </c>
      <c r="AM149" s="99">
        <v>0.24</v>
      </c>
      <c r="AN149" s="61">
        <v>51</v>
      </c>
      <c r="AO149" s="61">
        <v>9</v>
      </c>
      <c r="AP149" s="66">
        <v>0</v>
      </c>
      <c r="AQ149" s="66">
        <v>0.48</v>
      </c>
      <c r="AR149" s="66">
        <v>0.52</v>
      </c>
      <c r="AS149" s="66">
        <v>0</v>
      </c>
      <c r="AT149" s="66">
        <v>0.3</v>
      </c>
      <c r="AU149" s="66">
        <v>0.53</v>
      </c>
      <c r="AV149" s="66">
        <v>0.55000000000000004</v>
      </c>
      <c r="AW149" s="349">
        <v>48</v>
      </c>
      <c r="AX149" s="348" t="s">
        <v>910</v>
      </c>
      <c r="AY149" s="349">
        <v>9</v>
      </c>
      <c r="AZ149" s="348" t="s">
        <v>910</v>
      </c>
      <c r="BA149" s="371">
        <v>0.09</v>
      </c>
      <c r="BB149" s="371">
        <v>0.44</v>
      </c>
      <c r="BC149" s="371">
        <v>0.47</v>
      </c>
      <c r="BD149" s="371">
        <v>0</v>
      </c>
      <c r="BE149" s="371">
        <v>0.33</v>
      </c>
      <c r="BF149" s="371">
        <v>0.57999999999999996</v>
      </c>
      <c r="BG149" s="371">
        <v>0.54</v>
      </c>
      <c r="BH149" s="469">
        <v>52</v>
      </c>
      <c r="BI149" s="471" t="s">
        <v>910</v>
      </c>
      <c r="BJ149" s="469">
        <v>9</v>
      </c>
      <c r="BK149" s="471" t="s">
        <v>910</v>
      </c>
      <c r="BL149" s="501">
        <v>0.03</v>
      </c>
      <c r="BM149" s="501">
        <v>0.43</v>
      </c>
      <c r="BN149" s="501">
        <v>0.53</v>
      </c>
      <c r="BO149" s="501">
        <v>0.03</v>
      </c>
      <c r="BP149" s="501">
        <v>0.56999999999999995</v>
      </c>
      <c r="BQ149" s="501">
        <v>0.64</v>
      </c>
      <c r="BR149" s="501">
        <v>0.41</v>
      </c>
      <c r="BS149" s="630">
        <v>51</v>
      </c>
      <c r="BT149" s="640" t="s">
        <v>910</v>
      </c>
      <c r="BU149" s="630">
        <v>9</v>
      </c>
      <c r="BV149" s="640" t="s">
        <v>910</v>
      </c>
      <c r="BW149" s="644">
        <v>0.05</v>
      </c>
      <c r="BX149" s="644">
        <v>0.44</v>
      </c>
      <c r="BY149" s="644">
        <v>0.46</v>
      </c>
      <c r="BZ149" s="644">
        <v>0.05</v>
      </c>
      <c r="CA149" s="644">
        <v>0.69</v>
      </c>
      <c r="CB149" s="644">
        <v>0.45</v>
      </c>
      <c r="CC149" s="644">
        <v>0.6</v>
      </c>
    </row>
    <row r="150" spans="1:81" ht="24.9" customHeight="1" x14ac:dyDescent="0.25">
      <c r="A150" s="188" t="s">
        <v>122</v>
      </c>
      <c r="B150" s="1" t="s">
        <v>222</v>
      </c>
      <c r="C150" s="2">
        <v>6</v>
      </c>
      <c r="D150" s="16">
        <v>55</v>
      </c>
      <c r="E150" s="16">
        <v>8</v>
      </c>
      <c r="F150" s="99">
        <v>0.01</v>
      </c>
      <c r="G150" s="99">
        <v>0.3</v>
      </c>
      <c r="H150" s="99">
        <v>0.68</v>
      </c>
      <c r="I150" s="99">
        <v>0.01</v>
      </c>
      <c r="J150" s="99">
        <v>0.52</v>
      </c>
      <c r="K150" s="99">
        <v>0.47</v>
      </c>
      <c r="L150" s="99">
        <v>0.55000000000000004</v>
      </c>
      <c r="M150" s="16">
        <v>55</v>
      </c>
      <c r="N150" s="16">
        <v>9</v>
      </c>
      <c r="O150" s="66">
        <v>0.01</v>
      </c>
      <c r="P150" s="66">
        <v>0.3</v>
      </c>
      <c r="Q150" s="66">
        <v>0.67</v>
      </c>
      <c r="R150" s="66">
        <v>0.02</v>
      </c>
      <c r="S150" s="66">
        <v>0.44</v>
      </c>
      <c r="T150" s="66">
        <v>0.5</v>
      </c>
      <c r="U150" s="66">
        <v>0.31</v>
      </c>
      <c r="V150" s="16">
        <v>54</v>
      </c>
      <c r="W150" s="16">
        <v>9</v>
      </c>
      <c r="X150" s="99">
        <v>0.02</v>
      </c>
      <c r="Y150" s="99">
        <v>0.32</v>
      </c>
      <c r="Z150" s="99">
        <v>0.62</v>
      </c>
      <c r="AA150" s="99">
        <v>0.04</v>
      </c>
      <c r="AB150" s="99">
        <v>0.46</v>
      </c>
      <c r="AC150" s="99">
        <v>0.33</v>
      </c>
      <c r="AD150" s="99">
        <v>0.48</v>
      </c>
      <c r="AE150" s="16">
        <v>54</v>
      </c>
      <c r="AF150" s="16">
        <v>9</v>
      </c>
      <c r="AG150" s="99">
        <v>0.02</v>
      </c>
      <c r="AH150" s="99">
        <v>0.32</v>
      </c>
      <c r="AI150" s="99">
        <v>0.64</v>
      </c>
      <c r="AJ150" s="99">
        <v>0.02</v>
      </c>
      <c r="AK150" s="99">
        <v>0.52</v>
      </c>
      <c r="AL150" s="99">
        <v>0.42</v>
      </c>
      <c r="AM150" s="99">
        <v>0.27</v>
      </c>
      <c r="AN150" s="61">
        <v>52</v>
      </c>
      <c r="AO150" s="61">
        <v>9</v>
      </c>
      <c r="AP150" s="66">
        <v>0.04</v>
      </c>
      <c r="AQ150" s="66">
        <v>0.4</v>
      </c>
      <c r="AR150" s="66">
        <v>0.54</v>
      </c>
      <c r="AS150" s="66">
        <v>0.02</v>
      </c>
      <c r="AT150" s="66">
        <v>0.28000000000000003</v>
      </c>
      <c r="AU150" s="66">
        <v>0.53</v>
      </c>
      <c r="AV150" s="66">
        <v>0.48</v>
      </c>
      <c r="AW150" s="349">
        <v>52</v>
      </c>
      <c r="AX150" s="348" t="s">
        <v>910</v>
      </c>
      <c r="AY150" s="349">
        <v>9</v>
      </c>
      <c r="AZ150" s="348" t="s">
        <v>910</v>
      </c>
      <c r="BA150" s="371">
        <v>0.03</v>
      </c>
      <c r="BB150" s="371">
        <v>0.4</v>
      </c>
      <c r="BC150" s="371">
        <v>0.55000000000000004</v>
      </c>
      <c r="BD150" s="371">
        <v>0.02</v>
      </c>
      <c r="BE150" s="371">
        <v>0.26</v>
      </c>
      <c r="BF150" s="371">
        <v>0.51</v>
      </c>
      <c r="BG150" s="371">
        <v>0.47</v>
      </c>
      <c r="BH150" s="469">
        <v>54</v>
      </c>
      <c r="BI150" s="471" t="s">
        <v>910</v>
      </c>
      <c r="BJ150" s="469">
        <v>11</v>
      </c>
      <c r="BK150" s="471" t="s">
        <v>910</v>
      </c>
      <c r="BL150" s="501">
        <v>0.03</v>
      </c>
      <c r="BM150" s="501">
        <v>0.33</v>
      </c>
      <c r="BN150" s="501">
        <v>0.59</v>
      </c>
      <c r="BO150" s="501">
        <v>0.05</v>
      </c>
      <c r="BP150" s="501">
        <v>0.49</v>
      </c>
      <c r="BQ150" s="501">
        <v>0.59</v>
      </c>
      <c r="BR150" s="501">
        <v>0.35</v>
      </c>
      <c r="BS150" s="630">
        <v>54</v>
      </c>
      <c r="BT150" s="640" t="s">
        <v>910</v>
      </c>
      <c r="BU150" s="630">
        <v>11</v>
      </c>
      <c r="BV150" s="640" t="s">
        <v>910</v>
      </c>
      <c r="BW150" s="644">
        <v>0.05</v>
      </c>
      <c r="BX150" s="644">
        <v>0.32</v>
      </c>
      <c r="BY150" s="644">
        <v>0.55000000000000004</v>
      </c>
      <c r="BZ150" s="644">
        <v>7.0000000000000007E-2</v>
      </c>
      <c r="CA150" s="644">
        <v>0.61</v>
      </c>
      <c r="CB150" s="644">
        <v>0.39</v>
      </c>
      <c r="CC150" s="644">
        <v>0.51</v>
      </c>
    </row>
    <row r="151" spans="1:81" ht="24.9" customHeight="1" x14ac:dyDescent="0.25">
      <c r="A151" s="188" t="s">
        <v>198</v>
      </c>
      <c r="B151" s="1" t="s">
        <v>222</v>
      </c>
      <c r="C151" s="2">
        <v>5</v>
      </c>
      <c r="D151" s="16">
        <v>63</v>
      </c>
      <c r="E151" s="16">
        <v>10</v>
      </c>
      <c r="F151" s="99">
        <v>0</v>
      </c>
      <c r="G151" s="99">
        <v>0.13</v>
      </c>
      <c r="H151" s="99">
        <v>0.67</v>
      </c>
      <c r="I151" s="99">
        <v>0.2</v>
      </c>
      <c r="J151" s="99">
        <v>0.34</v>
      </c>
      <c r="K151" s="99">
        <v>0.25</v>
      </c>
      <c r="L151" s="99">
        <v>0.34</v>
      </c>
      <c r="M151" s="16">
        <v>61</v>
      </c>
      <c r="N151" s="16">
        <v>8</v>
      </c>
      <c r="O151" s="66">
        <v>0</v>
      </c>
      <c r="P151" s="66">
        <v>0.13</v>
      </c>
      <c r="Q151" s="66">
        <v>0.74</v>
      </c>
      <c r="R151" s="66">
        <v>0.13</v>
      </c>
      <c r="S151" s="66">
        <v>0.35</v>
      </c>
      <c r="T151" s="66">
        <v>0.33</v>
      </c>
      <c r="U151" s="66">
        <v>0.25</v>
      </c>
      <c r="V151" s="16">
        <v>62</v>
      </c>
      <c r="W151" s="16">
        <v>10</v>
      </c>
      <c r="X151" s="99">
        <v>0</v>
      </c>
      <c r="Y151" s="99">
        <v>0.11</v>
      </c>
      <c r="Z151" s="99">
        <v>0.74</v>
      </c>
      <c r="AA151" s="99">
        <v>0.15</v>
      </c>
      <c r="AB151" s="99">
        <v>0.33</v>
      </c>
      <c r="AC151" s="99">
        <v>0.25</v>
      </c>
      <c r="AD151" s="99">
        <v>0.37</v>
      </c>
      <c r="AE151" s="16">
        <v>58</v>
      </c>
      <c r="AF151" s="16">
        <v>10</v>
      </c>
      <c r="AG151" s="99">
        <v>0.02</v>
      </c>
      <c r="AH151" s="99">
        <v>0.17</v>
      </c>
      <c r="AI151" s="99">
        <v>0.76</v>
      </c>
      <c r="AJ151" s="99">
        <v>0.04</v>
      </c>
      <c r="AK151" s="99">
        <v>0.43</v>
      </c>
      <c r="AL151" s="99">
        <v>0.36</v>
      </c>
      <c r="AM151" s="99">
        <v>0.22</v>
      </c>
      <c r="AN151" s="61">
        <v>58</v>
      </c>
      <c r="AO151" s="61">
        <v>9</v>
      </c>
      <c r="AP151" s="66">
        <v>0</v>
      </c>
      <c r="AQ151" s="66">
        <v>0.17</v>
      </c>
      <c r="AR151" s="66">
        <v>0.75</v>
      </c>
      <c r="AS151" s="66">
        <v>0.08</v>
      </c>
      <c r="AT151" s="66">
        <v>0.19</v>
      </c>
      <c r="AU151" s="66">
        <v>0.42</v>
      </c>
      <c r="AV151" s="66">
        <v>0.41</v>
      </c>
      <c r="AW151" s="349">
        <v>57</v>
      </c>
      <c r="AX151" s="348" t="s">
        <v>910</v>
      </c>
      <c r="AY151" s="349">
        <v>9</v>
      </c>
      <c r="AZ151" s="348" t="s">
        <v>910</v>
      </c>
      <c r="BA151" s="371">
        <v>0.02</v>
      </c>
      <c r="BB151" s="371">
        <v>0.19</v>
      </c>
      <c r="BC151" s="371">
        <v>0.73</v>
      </c>
      <c r="BD151" s="371">
        <v>0.06</v>
      </c>
      <c r="BE151" s="371">
        <v>0.21</v>
      </c>
      <c r="BF151" s="371">
        <v>0.41</v>
      </c>
      <c r="BG151" s="371">
        <v>0.4</v>
      </c>
      <c r="BH151" s="469">
        <v>59</v>
      </c>
      <c r="BI151" s="471" t="s">
        <v>910</v>
      </c>
      <c r="BJ151" s="469">
        <v>11</v>
      </c>
      <c r="BK151" s="471" t="s">
        <v>910</v>
      </c>
      <c r="BL151" s="501">
        <v>0.04</v>
      </c>
      <c r="BM151" s="501">
        <v>0.15</v>
      </c>
      <c r="BN151" s="501">
        <v>0.7</v>
      </c>
      <c r="BO151" s="501">
        <v>0.11</v>
      </c>
      <c r="BP151" s="501">
        <v>0.41</v>
      </c>
      <c r="BQ151" s="501">
        <v>0.4</v>
      </c>
      <c r="BR151" s="501">
        <v>0.28000000000000003</v>
      </c>
      <c r="BS151" s="630">
        <v>61</v>
      </c>
      <c r="BT151" s="640" t="s">
        <v>911</v>
      </c>
      <c r="BU151" s="630">
        <v>10</v>
      </c>
      <c r="BV151" s="640" t="s">
        <v>910</v>
      </c>
      <c r="BW151" s="644">
        <v>0.01</v>
      </c>
      <c r="BX151" s="644">
        <v>0.12</v>
      </c>
      <c r="BY151" s="644">
        <v>0.72</v>
      </c>
      <c r="BZ151" s="644">
        <v>0.14000000000000001</v>
      </c>
      <c r="CA151" s="644">
        <v>0.47</v>
      </c>
      <c r="CB151" s="644">
        <v>0.24</v>
      </c>
      <c r="CC151" s="644">
        <v>0.43</v>
      </c>
    </row>
    <row r="152" spans="1:81" ht="24.9" customHeight="1" x14ac:dyDescent="0.25">
      <c r="A152" s="188" t="s">
        <v>165</v>
      </c>
      <c r="B152" s="1" t="s">
        <v>222</v>
      </c>
      <c r="C152" s="2">
        <v>1</v>
      </c>
      <c r="D152" s="16">
        <v>54</v>
      </c>
      <c r="E152" s="16">
        <v>11</v>
      </c>
      <c r="F152" s="99">
        <v>0.03</v>
      </c>
      <c r="G152" s="99">
        <v>0.42</v>
      </c>
      <c r="H152" s="99">
        <v>0.53</v>
      </c>
      <c r="I152" s="99">
        <v>0.03</v>
      </c>
      <c r="J152" s="99">
        <v>0.51</v>
      </c>
      <c r="K152" s="99">
        <v>0.4</v>
      </c>
      <c r="L152" s="99">
        <v>0.48</v>
      </c>
      <c r="M152" s="16">
        <v>52</v>
      </c>
      <c r="N152" s="16">
        <v>9</v>
      </c>
      <c r="O152" s="66">
        <v>0.06</v>
      </c>
      <c r="P152" s="66">
        <v>0.28999999999999998</v>
      </c>
      <c r="Q152" s="66">
        <v>0.65</v>
      </c>
      <c r="R152" s="66">
        <v>0</v>
      </c>
      <c r="S152" s="66">
        <v>0.48</v>
      </c>
      <c r="T152" s="66">
        <v>0.56000000000000005</v>
      </c>
      <c r="U152" s="66">
        <v>0.36</v>
      </c>
      <c r="V152" s="16">
        <v>51</v>
      </c>
      <c r="W152" s="16">
        <v>11</v>
      </c>
      <c r="X152" s="99">
        <v>0.15</v>
      </c>
      <c r="Y152" s="99">
        <v>0.35</v>
      </c>
      <c r="Z152" s="99">
        <v>0.45</v>
      </c>
      <c r="AA152" s="99">
        <v>0.05</v>
      </c>
      <c r="AB152" s="99">
        <v>0.49</v>
      </c>
      <c r="AC152" s="99">
        <v>0.4</v>
      </c>
      <c r="AD152" s="99">
        <v>0.56000000000000005</v>
      </c>
      <c r="AE152" s="16">
        <v>54</v>
      </c>
      <c r="AF152" s="16">
        <v>11</v>
      </c>
      <c r="AG152" s="99">
        <v>0.04</v>
      </c>
      <c r="AH152" s="99">
        <v>0.36</v>
      </c>
      <c r="AI152" s="99">
        <v>0.56000000000000005</v>
      </c>
      <c r="AJ152" s="99">
        <v>0.04</v>
      </c>
      <c r="AK152" s="99">
        <v>0.49</v>
      </c>
      <c r="AL152" s="99">
        <v>0.48</v>
      </c>
      <c r="AM152" s="99">
        <v>0.3</v>
      </c>
      <c r="AN152" s="61">
        <v>52</v>
      </c>
      <c r="AO152" s="61">
        <v>9</v>
      </c>
      <c r="AP152" s="66">
        <v>0.05</v>
      </c>
      <c r="AQ152" s="66">
        <v>0.36</v>
      </c>
      <c r="AR152" s="66">
        <v>0.56999999999999995</v>
      </c>
      <c r="AS152" s="66">
        <v>0.02</v>
      </c>
      <c r="AT152" s="66">
        <v>0.28000000000000003</v>
      </c>
      <c r="AU152" s="66">
        <v>0.51</v>
      </c>
      <c r="AV152" s="66">
        <v>0.51</v>
      </c>
      <c r="AW152" s="349">
        <v>49</v>
      </c>
      <c r="AX152" s="348" t="s">
        <v>910</v>
      </c>
      <c r="AY152" s="349">
        <v>9</v>
      </c>
      <c r="AZ152" s="348" t="s">
        <v>910</v>
      </c>
      <c r="BA152" s="371">
        <v>0.05</v>
      </c>
      <c r="BB152" s="371">
        <v>0.56999999999999995</v>
      </c>
      <c r="BC152" s="371">
        <v>0.36</v>
      </c>
      <c r="BD152" s="371">
        <v>0.02</v>
      </c>
      <c r="BE152" s="371">
        <v>0.34</v>
      </c>
      <c r="BF152" s="371">
        <v>0.54</v>
      </c>
      <c r="BG152" s="371">
        <v>0.53</v>
      </c>
      <c r="BH152" s="469">
        <v>50</v>
      </c>
      <c r="BI152" s="471" t="s">
        <v>910</v>
      </c>
      <c r="BJ152" s="469">
        <v>10</v>
      </c>
      <c r="BK152" s="471" t="s">
        <v>910</v>
      </c>
      <c r="BL152" s="501">
        <v>0.08</v>
      </c>
      <c r="BM152" s="501">
        <v>0.37</v>
      </c>
      <c r="BN152" s="501">
        <v>0.56000000000000005</v>
      </c>
      <c r="BO152" s="501">
        <v>0</v>
      </c>
      <c r="BP152" s="501">
        <v>0.56000000000000005</v>
      </c>
      <c r="BQ152" s="501">
        <v>0.67</v>
      </c>
      <c r="BR152" s="501">
        <v>0.4</v>
      </c>
      <c r="BS152" s="630">
        <v>54</v>
      </c>
      <c r="BT152" s="640" t="s">
        <v>910</v>
      </c>
      <c r="BU152" s="630">
        <v>9</v>
      </c>
      <c r="BV152" s="640" t="s">
        <v>910</v>
      </c>
      <c r="BW152" s="644">
        <v>0.04</v>
      </c>
      <c r="BX152" s="644">
        <v>0.33</v>
      </c>
      <c r="BY152" s="644">
        <v>0.6</v>
      </c>
      <c r="BZ152" s="644">
        <v>0.02</v>
      </c>
      <c r="CA152" s="644">
        <v>0.59</v>
      </c>
      <c r="CB152" s="644">
        <v>0.34</v>
      </c>
      <c r="CC152" s="644">
        <v>0.56999999999999995</v>
      </c>
    </row>
    <row r="153" spans="1:81" ht="24.9" customHeight="1" x14ac:dyDescent="0.25">
      <c r="A153" s="188" t="s">
        <v>230</v>
      </c>
      <c r="B153" s="1" t="s">
        <v>222</v>
      </c>
      <c r="C153" s="2">
        <v>6</v>
      </c>
      <c r="D153" s="13" t="s">
        <v>226</v>
      </c>
      <c r="E153" s="13" t="s">
        <v>226</v>
      </c>
      <c r="F153" s="13"/>
      <c r="G153" s="13"/>
      <c r="H153" s="13"/>
      <c r="I153" s="13"/>
      <c r="J153" s="13"/>
      <c r="K153" s="13"/>
      <c r="L153" s="13"/>
      <c r="M153" s="16">
        <v>45</v>
      </c>
      <c r="N153" s="16">
        <v>13</v>
      </c>
      <c r="O153" s="66">
        <v>0.17</v>
      </c>
      <c r="P153" s="66">
        <v>0.5</v>
      </c>
      <c r="Q153" s="66">
        <v>0.33</v>
      </c>
      <c r="R153" s="66">
        <v>0</v>
      </c>
      <c r="S153" s="66">
        <v>0.56999999999999995</v>
      </c>
      <c r="T153" s="66">
        <v>0.66</v>
      </c>
      <c r="U153" s="66">
        <v>0.43</v>
      </c>
      <c r="V153" s="16">
        <v>47</v>
      </c>
      <c r="W153" s="16">
        <v>9</v>
      </c>
      <c r="X153" s="99">
        <v>0</v>
      </c>
      <c r="Y153" s="99">
        <v>0.75</v>
      </c>
      <c r="Z153" s="99">
        <v>0.25</v>
      </c>
      <c r="AA153" s="99">
        <v>0</v>
      </c>
      <c r="AB153" s="99">
        <v>0.62</v>
      </c>
      <c r="AC153" s="99">
        <v>0.39</v>
      </c>
      <c r="AD153" s="99">
        <v>0.56000000000000005</v>
      </c>
      <c r="AE153" s="16">
        <v>50</v>
      </c>
      <c r="AF153" s="16">
        <v>12</v>
      </c>
      <c r="AG153" s="99">
        <v>0</v>
      </c>
      <c r="AH153" s="99">
        <v>0.5</v>
      </c>
      <c r="AI153" s="99">
        <v>0.5</v>
      </c>
      <c r="AJ153" s="99">
        <v>0</v>
      </c>
      <c r="AK153" s="99">
        <v>0.61</v>
      </c>
      <c r="AL153" s="99">
        <v>0.33</v>
      </c>
      <c r="AM153" s="99">
        <v>0.38</v>
      </c>
      <c r="AN153" s="61">
        <v>37</v>
      </c>
      <c r="AO153" s="61">
        <v>1</v>
      </c>
      <c r="AP153" s="66">
        <v>0</v>
      </c>
      <c r="AQ153" s="66">
        <v>1</v>
      </c>
      <c r="AR153" s="66">
        <v>0</v>
      </c>
      <c r="AS153" s="66">
        <v>0</v>
      </c>
      <c r="AT153" s="66">
        <v>0.55000000000000004</v>
      </c>
      <c r="AU153" s="66">
        <v>0.83</v>
      </c>
      <c r="AV153" s="66">
        <v>0.71</v>
      </c>
    </row>
    <row r="154" spans="1:81" ht="24.9" customHeight="1" x14ac:dyDescent="0.25">
      <c r="A154" s="188" t="s">
        <v>212</v>
      </c>
      <c r="B154" s="1" t="s">
        <v>222</v>
      </c>
      <c r="C154" s="2">
        <v>3</v>
      </c>
      <c r="D154" s="16">
        <v>56</v>
      </c>
      <c r="E154" s="16">
        <v>10</v>
      </c>
      <c r="F154" s="99">
        <v>0.06</v>
      </c>
      <c r="G154" s="99">
        <v>0.19</v>
      </c>
      <c r="H154" s="99">
        <v>0.63</v>
      </c>
      <c r="I154" s="99">
        <v>0.13</v>
      </c>
      <c r="J154" s="99">
        <v>0.5</v>
      </c>
      <c r="K154" s="99">
        <v>0.32</v>
      </c>
      <c r="L154" s="99">
        <v>0.48</v>
      </c>
      <c r="M154" s="16">
        <v>50</v>
      </c>
      <c r="N154" s="16">
        <v>7</v>
      </c>
      <c r="O154" s="66">
        <v>7.0000000000000007E-2</v>
      </c>
      <c r="P154" s="66">
        <v>0.4</v>
      </c>
      <c r="Q154" s="66">
        <v>0.53</v>
      </c>
      <c r="R154" s="66">
        <v>0</v>
      </c>
      <c r="S154" s="66">
        <v>0.45</v>
      </c>
      <c r="T154" s="66">
        <v>0.63</v>
      </c>
      <c r="U154" s="66">
        <v>0.33</v>
      </c>
      <c r="V154" s="16">
        <v>50</v>
      </c>
      <c r="W154" s="16">
        <v>11</v>
      </c>
      <c r="X154" s="99">
        <v>0.13</v>
      </c>
      <c r="Y154" s="99">
        <v>0.38</v>
      </c>
      <c r="Z154" s="99">
        <v>0.5</v>
      </c>
      <c r="AA154" s="99">
        <v>0</v>
      </c>
      <c r="AB154" s="99">
        <v>0.51</v>
      </c>
      <c r="AC154" s="99">
        <v>0.38</v>
      </c>
      <c r="AD154" s="99">
        <v>0.52</v>
      </c>
      <c r="AE154" s="16">
        <v>52</v>
      </c>
      <c r="AF154" s="16">
        <v>11</v>
      </c>
      <c r="AG154" s="99">
        <v>0.05</v>
      </c>
      <c r="AH154" s="99">
        <v>0.45</v>
      </c>
      <c r="AI154" s="99">
        <v>0.45</v>
      </c>
      <c r="AJ154" s="99">
        <v>0.05</v>
      </c>
      <c r="AK154" s="99">
        <v>0.5</v>
      </c>
      <c r="AL154" s="99">
        <v>0.5</v>
      </c>
      <c r="AM154" s="99">
        <v>0.32</v>
      </c>
      <c r="AN154" s="61">
        <v>50</v>
      </c>
      <c r="AO154" s="61">
        <v>9</v>
      </c>
      <c r="AP154" s="66">
        <v>0.04</v>
      </c>
      <c r="AQ154" s="66">
        <v>0.46</v>
      </c>
      <c r="AR154" s="66">
        <v>0.5</v>
      </c>
      <c r="AS154" s="66">
        <v>0</v>
      </c>
      <c r="AT154" s="66">
        <v>0.27</v>
      </c>
      <c r="AU154" s="66">
        <v>0.55000000000000004</v>
      </c>
      <c r="AV154" s="66">
        <v>0.53</v>
      </c>
      <c r="AW154" s="349">
        <v>51</v>
      </c>
      <c r="AX154" s="348" t="s">
        <v>910</v>
      </c>
      <c r="AY154" s="349">
        <v>9</v>
      </c>
      <c r="AZ154" s="348" t="s">
        <v>910</v>
      </c>
      <c r="BA154" s="371">
        <v>0.04</v>
      </c>
      <c r="BB154" s="371">
        <v>0.44</v>
      </c>
      <c r="BC154" s="371">
        <v>0.52</v>
      </c>
      <c r="BD154" s="371">
        <v>0</v>
      </c>
      <c r="BE154" s="371">
        <v>0.3</v>
      </c>
      <c r="BF154" s="371">
        <v>0.53</v>
      </c>
      <c r="BG154" s="371">
        <v>0.45</v>
      </c>
      <c r="BH154" s="469">
        <v>48</v>
      </c>
      <c r="BI154" s="471" t="s">
        <v>910</v>
      </c>
      <c r="BJ154" s="469">
        <v>11</v>
      </c>
      <c r="BK154" s="471" t="s">
        <v>910</v>
      </c>
      <c r="BL154" s="501">
        <v>0.14000000000000001</v>
      </c>
      <c r="BM154" s="501">
        <v>0.43</v>
      </c>
      <c r="BN154" s="501">
        <v>0.43</v>
      </c>
      <c r="BO154" s="501">
        <v>0</v>
      </c>
      <c r="BP154" s="501">
        <v>0.59</v>
      </c>
      <c r="BQ154" s="501">
        <v>0.64</v>
      </c>
      <c r="BR154" s="501">
        <v>0.44</v>
      </c>
      <c r="BS154" s="630">
        <v>52</v>
      </c>
      <c r="BT154" s="640" t="s">
        <v>910</v>
      </c>
      <c r="BU154" s="630">
        <v>9</v>
      </c>
      <c r="BV154" s="640" t="s">
        <v>910</v>
      </c>
      <c r="BW154" s="644">
        <v>0.04</v>
      </c>
      <c r="BX154" s="644">
        <v>0.35</v>
      </c>
      <c r="BY154" s="644">
        <v>0.62</v>
      </c>
      <c r="BZ154" s="644">
        <v>0</v>
      </c>
      <c r="CA154" s="644">
        <v>0.64</v>
      </c>
      <c r="CB154" s="644">
        <v>0.33</v>
      </c>
      <c r="CC154" s="644">
        <v>0.67</v>
      </c>
    </row>
    <row r="155" spans="1:81" ht="24.9" customHeight="1" x14ac:dyDescent="0.25">
      <c r="A155" s="188" t="s">
        <v>57</v>
      </c>
      <c r="B155" s="1" t="s">
        <v>222</v>
      </c>
      <c r="C155" s="2">
        <v>3</v>
      </c>
      <c r="D155" s="16">
        <v>50</v>
      </c>
      <c r="E155" s="16">
        <v>10</v>
      </c>
      <c r="F155" s="99">
        <v>7.0000000000000007E-2</v>
      </c>
      <c r="G155" s="99">
        <v>0.44</v>
      </c>
      <c r="H155" s="99">
        <v>0.49</v>
      </c>
      <c r="I155" s="99">
        <v>0</v>
      </c>
      <c r="J155" s="99">
        <v>0.56999999999999995</v>
      </c>
      <c r="K155" s="99">
        <v>0.49</v>
      </c>
      <c r="L155" s="99">
        <v>0.54</v>
      </c>
      <c r="M155" s="16">
        <v>48</v>
      </c>
      <c r="N155" s="16">
        <v>10</v>
      </c>
      <c r="O155" s="66">
        <v>0.08</v>
      </c>
      <c r="P155" s="66">
        <v>0.57999999999999996</v>
      </c>
      <c r="Q155" s="66">
        <v>0.28999999999999998</v>
      </c>
      <c r="R155" s="66">
        <v>0.04</v>
      </c>
      <c r="S155" s="66">
        <v>0.48</v>
      </c>
      <c r="T155" s="66">
        <v>0.62</v>
      </c>
      <c r="U155" s="66">
        <v>0.43</v>
      </c>
      <c r="V155" s="16">
        <v>48</v>
      </c>
      <c r="W155" s="16">
        <v>9</v>
      </c>
      <c r="X155" s="99">
        <v>0.09</v>
      </c>
      <c r="Y155" s="99">
        <v>0.53</v>
      </c>
      <c r="Z155" s="99">
        <v>0.38</v>
      </c>
      <c r="AA155" s="99">
        <v>0</v>
      </c>
      <c r="AB155" s="99">
        <v>0.55000000000000004</v>
      </c>
      <c r="AC155" s="99">
        <v>0.45</v>
      </c>
      <c r="AD155" s="99">
        <v>0.55000000000000004</v>
      </c>
      <c r="AE155" s="16">
        <v>48</v>
      </c>
      <c r="AF155" s="16">
        <v>10</v>
      </c>
      <c r="AG155" s="99">
        <v>0.11</v>
      </c>
      <c r="AH155" s="99">
        <v>0.56000000000000005</v>
      </c>
      <c r="AI155" s="99">
        <v>0.33</v>
      </c>
      <c r="AJ155" s="99">
        <v>0</v>
      </c>
      <c r="AK155" s="99">
        <v>0.62</v>
      </c>
      <c r="AL155" s="99">
        <v>0.53</v>
      </c>
      <c r="AM155" s="99">
        <v>0.36</v>
      </c>
      <c r="AN155" s="61">
        <v>49</v>
      </c>
      <c r="AO155" s="61">
        <v>6</v>
      </c>
      <c r="AP155" s="66">
        <v>0</v>
      </c>
      <c r="AQ155" s="66">
        <v>0.54</v>
      </c>
      <c r="AR155" s="66">
        <v>0.46</v>
      </c>
      <c r="AS155" s="66">
        <v>0</v>
      </c>
      <c r="AT155" s="66">
        <v>0.35</v>
      </c>
      <c r="AU155" s="66">
        <v>0.49</v>
      </c>
      <c r="AV155" s="66">
        <v>0.62</v>
      </c>
      <c r="AW155" s="349">
        <v>49</v>
      </c>
      <c r="AX155" s="348" t="s">
        <v>910</v>
      </c>
      <c r="AY155" s="349">
        <v>9</v>
      </c>
      <c r="AZ155" s="348" t="s">
        <v>910</v>
      </c>
      <c r="BA155" s="371">
        <v>0.04</v>
      </c>
      <c r="BB155" s="371">
        <v>0.43</v>
      </c>
      <c r="BC155" s="371">
        <v>0.5</v>
      </c>
      <c r="BD155" s="371">
        <v>0.04</v>
      </c>
      <c r="BE155" s="371">
        <v>0.34</v>
      </c>
      <c r="BF155" s="371">
        <v>0.54</v>
      </c>
      <c r="BG155" s="371">
        <v>0.48</v>
      </c>
      <c r="BH155" s="469">
        <v>53</v>
      </c>
      <c r="BI155" s="471" t="s">
        <v>910</v>
      </c>
      <c r="BJ155" s="469">
        <v>9</v>
      </c>
      <c r="BK155" s="471" t="s">
        <v>910</v>
      </c>
      <c r="BL155" s="501">
        <v>0.04</v>
      </c>
      <c r="BM155" s="501">
        <v>0.36</v>
      </c>
      <c r="BN155" s="501">
        <v>0.61</v>
      </c>
      <c r="BO155" s="501">
        <v>0</v>
      </c>
      <c r="BP155" s="501">
        <v>0.56000000000000005</v>
      </c>
      <c r="BQ155" s="501">
        <v>0.56000000000000005</v>
      </c>
      <c r="BR155" s="501">
        <v>0.36</v>
      </c>
      <c r="BS155" s="630">
        <v>51</v>
      </c>
      <c r="BT155" s="640" t="s">
        <v>910</v>
      </c>
      <c r="BU155" s="630">
        <v>9</v>
      </c>
      <c r="BV155" s="640" t="s">
        <v>910</v>
      </c>
      <c r="BW155" s="644">
        <v>0.06</v>
      </c>
      <c r="BX155" s="644">
        <v>0.38</v>
      </c>
      <c r="BY155" s="644">
        <v>0.56000000000000005</v>
      </c>
      <c r="BZ155" s="644">
        <v>0</v>
      </c>
      <c r="CA155" s="644">
        <v>0.61</v>
      </c>
      <c r="CB155" s="644">
        <v>0.43</v>
      </c>
      <c r="CC155" s="644">
        <v>0.64</v>
      </c>
    </row>
    <row r="156" spans="1:81" ht="24.9" customHeight="1" x14ac:dyDescent="0.25">
      <c r="A156" s="188" t="s">
        <v>196</v>
      </c>
      <c r="B156" s="1" t="s">
        <v>222</v>
      </c>
      <c r="C156" s="2">
        <v>5</v>
      </c>
      <c r="D156" s="16">
        <v>59</v>
      </c>
      <c r="E156" s="16">
        <v>8</v>
      </c>
      <c r="F156" s="99">
        <v>0</v>
      </c>
      <c r="G156" s="99">
        <v>0.13</v>
      </c>
      <c r="H156" s="99">
        <v>0.87</v>
      </c>
      <c r="I156" s="99">
        <v>0</v>
      </c>
      <c r="J156" s="99">
        <v>0.42</v>
      </c>
      <c r="K156" s="99">
        <v>0.42</v>
      </c>
      <c r="L156" s="99">
        <v>0.44</v>
      </c>
      <c r="M156" s="16">
        <v>59</v>
      </c>
      <c r="N156" s="16">
        <v>8</v>
      </c>
      <c r="O156" s="66">
        <v>0</v>
      </c>
      <c r="P156" s="66">
        <v>0.12</v>
      </c>
      <c r="Q156" s="66">
        <v>0.82</v>
      </c>
      <c r="R156" s="66">
        <v>0.06</v>
      </c>
      <c r="S156" s="66">
        <v>0.39</v>
      </c>
      <c r="T156" s="66">
        <v>0.42</v>
      </c>
      <c r="U156" s="66">
        <v>0.22</v>
      </c>
      <c r="V156" s="16">
        <v>62</v>
      </c>
      <c r="W156" s="16">
        <v>6</v>
      </c>
      <c r="X156" s="99">
        <v>0</v>
      </c>
      <c r="Y156" s="99">
        <v>0</v>
      </c>
      <c r="Z156" s="99">
        <v>0.84</v>
      </c>
      <c r="AA156" s="99">
        <v>0.16</v>
      </c>
      <c r="AB156" s="99">
        <v>0.27</v>
      </c>
      <c r="AC156" s="99">
        <v>0.27</v>
      </c>
      <c r="AD156" s="99">
        <v>0.37</v>
      </c>
      <c r="AE156" s="16">
        <v>64</v>
      </c>
      <c r="AF156" s="16">
        <v>6</v>
      </c>
      <c r="AG156" s="99">
        <v>0</v>
      </c>
      <c r="AH156" s="99">
        <v>0</v>
      </c>
      <c r="AI156" s="99">
        <v>0.79</v>
      </c>
      <c r="AJ156" s="99">
        <v>0.21</v>
      </c>
      <c r="AK156" s="99">
        <v>0.31</v>
      </c>
      <c r="AL156" s="99">
        <v>0.28000000000000003</v>
      </c>
      <c r="AM156" s="99">
        <v>0.16</v>
      </c>
      <c r="AN156" s="61">
        <v>60</v>
      </c>
      <c r="AO156" s="61">
        <v>7</v>
      </c>
      <c r="AP156" s="66">
        <v>0</v>
      </c>
      <c r="AQ156" s="66">
        <v>0.06</v>
      </c>
      <c r="AR156" s="66">
        <v>0.91</v>
      </c>
      <c r="AS156" s="66">
        <v>0.03</v>
      </c>
      <c r="AT156" s="66">
        <v>0.17</v>
      </c>
      <c r="AU156" s="66">
        <v>0.38</v>
      </c>
      <c r="AV156" s="66">
        <v>0.39</v>
      </c>
      <c r="AW156" s="349">
        <v>62</v>
      </c>
      <c r="AX156" s="348" t="s">
        <v>911</v>
      </c>
      <c r="AY156" s="349">
        <v>9</v>
      </c>
      <c r="AZ156" s="348" t="s">
        <v>910</v>
      </c>
      <c r="BA156" s="371">
        <v>0</v>
      </c>
      <c r="BB156" s="371">
        <v>0.14000000000000001</v>
      </c>
      <c r="BC156" s="371">
        <v>0.7</v>
      </c>
      <c r="BD156" s="371">
        <v>0.16</v>
      </c>
      <c r="BE156" s="371">
        <v>0.16</v>
      </c>
      <c r="BF156" s="371">
        <v>0.32</v>
      </c>
      <c r="BG156" s="371">
        <v>0.28999999999999998</v>
      </c>
      <c r="BH156" s="469">
        <v>58</v>
      </c>
      <c r="BI156" s="471" t="s">
        <v>910</v>
      </c>
      <c r="BJ156" s="469">
        <v>11</v>
      </c>
      <c r="BK156" s="471" t="s">
        <v>910</v>
      </c>
      <c r="BL156" s="501">
        <v>0</v>
      </c>
      <c r="BM156" s="501">
        <v>0.18</v>
      </c>
      <c r="BN156" s="501">
        <v>0.68</v>
      </c>
      <c r="BO156" s="501">
        <v>0.14000000000000001</v>
      </c>
      <c r="BP156" s="501">
        <v>0.37</v>
      </c>
      <c r="BQ156" s="501">
        <v>0.45</v>
      </c>
      <c r="BR156" s="501">
        <v>0.2</v>
      </c>
      <c r="BS156" s="630">
        <v>66</v>
      </c>
      <c r="BT156" s="640" t="s">
        <v>911</v>
      </c>
      <c r="BU156" s="630">
        <v>7</v>
      </c>
      <c r="BV156" s="640" t="s">
        <v>910</v>
      </c>
      <c r="BW156" s="644">
        <v>0</v>
      </c>
      <c r="BX156" s="644">
        <v>0</v>
      </c>
      <c r="BY156" s="644">
        <v>0.65</v>
      </c>
      <c r="BZ156" s="644">
        <v>0.35</v>
      </c>
      <c r="CA156" s="644">
        <v>0.43</v>
      </c>
      <c r="CB156" s="644">
        <v>0.15</v>
      </c>
      <c r="CC156" s="644">
        <v>0.32</v>
      </c>
    </row>
    <row r="157" spans="1:81" ht="24.9" customHeight="1" x14ac:dyDescent="0.25">
      <c r="A157" s="188" t="s">
        <v>19</v>
      </c>
      <c r="B157" s="1" t="s">
        <v>222</v>
      </c>
      <c r="C157" s="2">
        <v>5</v>
      </c>
      <c r="D157" s="16">
        <v>57</v>
      </c>
      <c r="E157" s="16">
        <v>8</v>
      </c>
      <c r="F157" s="99">
        <v>0</v>
      </c>
      <c r="G157" s="99">
        <v>0.24</v>
      </c>
      <c r="H157" s="99">
        <v>0.73</v>
      </c>
      <c r="I157" s="99">
        <v>0.03</v>
      </c>
      <c r="J157" s="99">
        <v>0.45</v>
      </c>
      <c r="K157" s="99">
        <v>0.33</v>
      </c>
      <c r="L157" s="99">
        <v>0.45</v>
      </c>
      <c r="M157" s="16">
        <v>59</v>
      </c>
      <c r="N157" s="16">
        <v>8</v>
      </c>
      <c r="O157" s="66">
        <v>0</v>
      </c>
      <c r="P157" s="66">
        <v>0.22</v>
      </c>
      <c r="Q157" s="66">
        <v>0.73</v>
      </c>
      <c r="R157" s="66">
        <v>0.05</v>
      </c>
      <c r="S157" s="66">
        <v>0.38</v>
      </c>
      <c r="T157" s="66">
        <v>0.45</v>
      </c>
      <c r="U157" s="66">
        <v>0.23</v>
      </c>
      <c r="V157" s="16">
        <v>58</v>
      </c>
      <c r="W157" s="16">
        <v>9</v>
      </c>
      <c r="X157" s="99">
        <v>0</v>
      </c>
      <c r="Y157" s="99">
        <v>0.23</v>
      </c>
      <c r="Z157" s="99">
        <v>0.71</v>
      </c>
      <c r="AA157" s="99">
        <v>0.06</v>
      </c>
      <c r="AB157" s="99">
        <v>0.41</v>
      </c>
      <c r="AC157" s="99">
        <v>0.28000000000000003</v>
      </c>
      <c r="AD157" s="99">
        <v>0.42</v>
      </c>
      <c r="AE157" s="16">
        <v>59</v>
      </c>
      <c r="AF157" s="16">
        <v>7</v>
      </c>
      <c r="AG157" s="99">
        <v>0</v>
      </c>
      <c r="AH157" s="99">
        <v>0.13</v>
      </c>
      <c r="AI157" s="99">
        <v>0.84</v>
      </c>
      <c r="AJ157" s="99">
        <v>0.04</v>
      </c>
      <c r="AK157" s="99">
        <v>0.41</v>
      </c>
      <c r="AL157" s="99">
        <v>0.4</v>
      </c>
      <c r="AM157" s="99">
        <v>0.19</v>
      </c>
      <c r="AN157" s="61">
        <v>58</v>
      </c>
      <c r="AO157" s="61">
        <v>8</v>
      </c>
      <c r="AP157" s="66">
        <v>0</v>
      </c>
      <c r="AQ157" s="66">
        <v>0.17</v>
      </c>
      <c r="AR157" s="66">
        <v>0.78</v>
      </c>
      <c r="AS157" s="66">
        <v>0.05</v>
      </c>
      <c r="AT157" s="66">
        <v>0.2</v>
      </c>
      <c r="AU157" s="66">
        <v>0.41</v>
      </c>
      <c r="AV157" s="66">
        <v>0.41</v>
      </c>
      <c r="AW157" s="349">
        <v>57</v>
      </c>
      <c r="AX157" s="348" t="s">
        <v>910</v>
      </c>
      <c r="AY157" s="349">
        <v>9</v>
      </c>
      <c r="AZ157" s="348" t="s">
        <v>910</v>
      </c>
      <c r="BA157" s="371">
        <v>0.02</v>
      </c>
      <c r="BB157" s="371">
        <v>0.2</v>
      </c>
      <c r="BC157" s="371">
        <v>0.7</v>
      </c>
      <c r="BD157" s="371">
        <v>7.0000000000000007E-2</v>
      </c>
      <c r="BE157" s="371">
        <v>0.2</v>
      </c>
      <c r="BF157" s="371">
        <v>0.43</v>
      </c>
      <c r="BG157" s="371">
        <v>0.4</v>
      </c>
      <c r="BH157" s="469">
        <v>56</v>
      </c>
      <c r="BI157" s="471" t="s">
        <v>910</v>
      </c>
      <c r="BJ157" s="469">
        <v>8</v>
      </c>
      <c r="BK157" s="471" t="s">
        <v>910</v>
      </c>
      <c r="BL157" s="501">
        <v>0</v>
      </c>
      <c r="BM157" s="501">
        <v>0.25</v>
      </c>
      <c r="BN157" s="501">
        <v>0.73</v>
      </c>
      <c r="BO157" s="501">
        <v>0.03</v>
      </c>
      <c r="BP157" s="501">
        <v>0.44</v>
      </c>
      <c r="BQ157" s="501">
        <v>0.54</v>
      </c>
      <c r="BR157" s="501">
        <v>0.32</v>
      </c>
      <c r="BS157" s="630">
        <v>57</v>
      </c>
      <c r="BT157" s="640" t="s">
        <v>910</v>
      </c>
      <c r="BU157" s="630">
        <v>11</v>
      </c>
      <c r="BV157" s="640" t="s">
        <v>910</v>
      </c>
      <c r="BW157" s="644">
        <v>0.03</v>
      </c>
      <c r="BX157" s="644">
        <v>0.24</v>
      </c>
      <c r="BY157" s="644">
        <v>0.63</v>
      </c>
      <c r="BZ157" s="644">
        <v>0.09</v>
      </c>
      <c r="CA157" s="644">
        <v>0.55000000000000004</v>
      </c>
      <c r="CB157" s="644">
        <v>0.3</v>
      </c>
      <c r="CC157" s="644">
        <v>0.48</v>
      </c>
    </row>
    <row r="158" spans="1:81" ht="24.9" customHeight="1" x14ac:dyDescent="0.25">
      <c r="A158" s="188" t="s">
        <v>118</v>
      </c>
      <c r="B158" s="1" t="s">
        <v>222</v>
      </c>
      <c r="C158" s="2">
        <v>3</v>
      </c>
      <c r="D158" s="16">
        <v>54</v>
      </c>
      <c r="E158" s="16">
        <v>11</v>
      </c>
      <c r="F158" s="99">
        <v>0</v>
      </c>
      <c r="G158" s="99">
        <v>0.47</v>
      </c>
      <c r="H158" s="99">
        <v>0.43</v>
      </c>
      <c r="I158" s="99">
        <v>0.1</v>
      </c>
      <c r="J158" s="99">
        <v>0.53</v>
      </c>
      <c r="K158" s="99">
        <v>0.36</v>
      </c>
      <c r="L158" s="99">
        <v>0.52</v>
      </c>
      <c r="M158" s="16">
        <v>50</v>
      </c>
      <c r="N158" s="16">
        <v>9</v>
      </c>
      <c r="O158" s="66">
        <v>0.04</v>
      </c>
      <c r="P158" s="66">
        <v>0.46</v>
      </c>
      <c r="Q158" s="66">
        <v>0.5</v>
      </c>
      <c r="R158" s="66">
        <v>0</v>
      </c>
      <c r="S158" s="66">
        <v>0.52</v>
      </c>
      <c r="T158" s="66">
        <v>0.59</v>
      </c>
      <c r="U158" s="66">
        <v>0.35</v>
      </c>
      <c r="V158" s="16">
        <v>52</v>
      </c>
      <c r="W158" s="16">
        <v>7</v>
      </c>
      <c r="X158" s="99">
        <v>0.04</v>
      </c>
      <c r="Y158" s="99">
        <v>0.32</v>
      </c>
      <c r="Z158" s="99">
        <v>0.64</v>
      </c>
      <c r="AA158" s="99">
        <v>0</v>
      </c>
      <c r="AB158" s="99">
        <v>0.5</v>
      </c>
      <c r="AC158" s="99">
        <v>0.38</v>
      </c>
      <c r="AD158" s="99">
        <v>0.51</v>
      </c>
      <c r="AE158" s="16">
        <v>56</v>
      </c>
      <c r="AF158" s="16">
        <v>9</v>
      </c>
      <c r="AG158" s="99">
        <v>0</v>
      </c>
      <c r="AH158" s="99">
        <v>0.41</v>
      </c>
      <c r="AI158" s="99">
        <v>0.52</v>
      </c>
      <c r="AJ158" s="99">
        <v>7.0000000000000007E-2</v>
      </c>
      <c r="AK158" s="99">
        <v>0.49</v>
      </c>
      <c r="AL158" s="99">
        <v>0.4</v>
      </c>
      <c r="AM158" s="99">
        <v>0.27</v>
      </c>
      <c r="AN158" s="61">
        <v>53</v>
      </c>
      <c r="AO158" s="61">
        <v>8</v>
      </c>
      <c r="AP158" s="66">
        <v>0.03</v>
      </c>
      <c r="AQ158" s="66">
        <v>0.38</v>
      </c>
      <c r="AR158" s="66">
        <v>0.59</v>
      </c>
      <c r="AS158" s="66">
        <v>0</v>
      </c>
      <c r="AT158" s="66">
        <v>0.28000000000000003</v>
      </c>
      <c r="AU158" s="66">
        <v>0.52</v>
      </c>
      <c r="AV158" s="66">
        <v>0.54</v>
      </c>
      <c r="AW158" s="349">
        <v>56</v>
      </c>
      <c r="AX158" s="348" t="s">
        <v>910</v>
      </c>
      <c r="AY158" s="349">
        <v>8</v>
      </c>
      <c r="AZ158" s="348" t="s">
        <v>910</v>
      </c>
      <c r="BA158" s="371">
        <v>0</v>
      </c>
      <c r="BB158" s="371">
        <v>0.24</v>
      </c>
      <c r="BC158" s="371">
        <v>0.7</v>
      </c>
      <c r="BD158" s="371">
        <v>0.05</v>
      </c>
      <c r="BE158" s="371">
        <v>0.2</v>
      </c>
      <c r="BF158" s="371">
        <v>0.46</v>
      </c>
      <c r="BG158" s="371">
        <v>0.42</v>
      </c>
      <c r="BH158" s="469">
        <v>56</v>
      </c>
      <c r="BI158" s="471" t="s">
        <v>910</v>
      </c>
      <c r="BJ158" s="469">
        <v>11</v>
      </c>
      <c r="BK158" s="471" t="s">
        <v>910</v>
      </c>
      <c r="BL158" s="501">
        <v>0.03</v>
      </c>
      <c r="BM158" s="501">
        <v>0.35</v>
      </c>
      <c r="BN158" s="501">
        <v>0.55000000000000004</v>
      </c>
      <c r="BO158" s="501">
        <v>0.08</v>
      </c>
      <c r="BP158" s="501">
        <v>0.47</v>
      </c>
      <c r="BQ158" s="501">
        <v>0.55000000000000004</v>
      </c>
      <c r="BR158" s="501">
        <v>0.31</v>
      </c>
      <c r="BS158" s="630">
        <v>53</v>
      </c>
      <c r="BT158" s="640" t="s">
        <v>910</v>
      </c>
      <c r="BU158" s="630">
        <v>10</v>
      </c>
      <c r="BV158" s="640" t="s">
        <v>910</v>
      </c>
      <c r="BW158" s="644">
        <v>7.0000000000000007E-2</v>
      </c>
      <c r="BX158" s="644">
        <v>0.23</v>
      </c>
      <c r="BY158" s="644">
        <v>0.67</v>
      </c>
      <c r="BZ158" s="644">
        <v>0.03</v>
      </c>
      <c r="CA158" s="644">
        <v>0.59</v>
      </c>
      <c r="CB158" s="644">
        <v>0.33</v>
      </c>
      <c r="CC158" s="644">
        <v>0.53</v>
      </c>
    </row>
    <row r="159" spans="1:81" ht="24.9" customHeight="1" x14ac:dyDescent="0.25">
      <c r="A159" s="188" t="s">
        <v>206</v>
      </c>
      <c r="B159" s="1" t="s">
        <v>222</v>
      </c>
      <c r="C159" s="2">
        <v>5</v>
      </c>
      <c r="D159" s="16">
        <v>49</v>
      </c>
      <c r="E159" s="16">
        <v>9</v>
      </c>
      <c r="F159" s="99">
        <v>0.16</v>
      </c>
      <c r="G159" s="99">
        <v>0.31</v>
      </c>
      <c r="H159" s="99">
        <v>0.53</v>
      </c>
      <c r="I159" s="99">
        <v>0</v>
      </c>
      <c r="J159" s="99">
        <v>0.57999999999999996</v>
      </c>
      <c r="K159" s="99">
        <v>0.47</v>
      </c>
      <c r="L159" s="99">
        <v>0.54</v>
      </c>
      <c r="M159" s="16">
        <v>56</v>
      </c>
      <c r="N159" s="16">
        <v>10</v>
      </c>
      <c r="O159" s="66">
        <v>0.05</v>
      </c>
      <c r="P159" s="66">
        <v>0.23</v>
      </c>
      <c r="Q159" s="66">
        <v>0.7</v>
      </c>
      <c r="R159" s="66">
        <v>0.03</v>
      </c>
      <c r="S159" s="66">
        <v>0.44</v>
      </c>
      <c r="T159" s="66">
        <v>0.47</v>
      </c>
      <c r="U159" s="66">
        <v>0.3</v>
      </c>
      <c r="V159" s="16">
        <v>55</v>
      </c>
      <c r="W159" s="16">
        <v>9</v>
      </c>
      <c r="X159" s="99">
        <v>0</v>
      </c>
      <c r="Y159" s="99">
        <v>0.35</v>
      </c>
      <c r="Z159" s="99">
        <v>0.63</v>
      </c>
      <c r="AA159" s="99">
        <v>0.02</v>
      </c>
      <c r="AB159" s="99">
        <v>0.45</v>
      </c>
      <c r="AC159" s="99">
        <v>0.33</v>
      </c>
      <c r="AD159" s="99">
        <v>0.47</v>
      </c>
      <c r="AE159" s="16">
        <v>55</v>
      </c>
      <c r="AF159" s="16">
        <v>9</v>
      </c>
      <c r="AG159" s="99">
        <v>0.02</v>
      </c>
      <c r="AH159" s="99">
        <v>0.27</v>
      </c>
      <c r="AI159" s="99">
        <v>0.69</v>
      </c>
      <c r="AJ159" s="99">
        <v>0.02</v>
      </c>
      <c r="AK159" s="99">
        <v>0.49</v>
      </c>
      <c r="AL159" s="99">
        <v>0.4</v>
      </c>
      <c r="AM159" s="99">
        <v>0.23</v>
      </c>
      <c r="AN159" s="61">
        <v>59</v>
      </c>
      <c r="AO159" s="61">
        <v>10</v>
      </c>
      <c r="AP159" s="66">
        <v>0</v>
      </c>
      <c r="AQ159" s="66">
        <v>0.22</v>
      </c>
      <c r="AR159" s="66">
        <v>0.73</v>
      </c>
      <c r="AS159" s="66">
        <v>0.05</v>
      </c>
      <c r="AT159" s="66">
        <v>0.19</v>
      </c>
      <c r="AU159" s="66">
        <v>0.39</v>
      </c>
      <c r="AV159" s="66">
        <v>0.45</v>
      </c>
      <c r="AW159" s="349">
        <v>56</v>
      </c>
      <c r="AX159" s="348" t="s">
        <v>910</v>
      </c>
      <c r="AY159" s="349">
        <v>8</v>
      </c>
      <c r="AZ159" s="348" t="s">
        <v>910</v>
      </c>
      <c r="BA159" s="371">
        <v>0</v>
      </c>
      <c r="BB159" s="371">
        <v>0.28000000000000003</v>
      </c>
      <c r="BC159" s="371">
        <v>0.72</v>
      </c>
      <c r="BD159" s="371">
        <v>0</v>
      </c>
      <c r="BE159" s="371">
        <v>0.22</v>
      </c>
      <c r="BF159" s="371">
        <v>0.46</v>
      </c>
      <c r="BG159" s="371">
        <v>0.4</v>
      </c>
      <c r="BH159" s="469">
        <v>58</v>
      </c>
      <c r="BI159" s="471" t="s">
        <v>910</v>
      </c>
      <c r="BJ159" s="469">
        <v>12</v>
      </c>
      <c r="BK159" s="471" t="s">
        <v>910</v>
      </c>
      <c r="BL159" s="501">
        <v>0.02</v>
      </c>
      <c r="BM159" s="501">
        <v>0.15</v>
      </c>
      <c r="BN159" s="501">
        <v>0.72</v>
      </c>
      <c r="BO159" s="501">
        <v>0.11</v>
      </c>
      <c r="BP159" s="501">
        <v>0.41</v>
      </c>
      <c r="BQ159" s="501">
        <v>0.46</v>
      </c>
      <c r="BR159" s="501">
        <v>0.22</v>
      </c>
      <c r="BS159" s="630">
        <v>57</v>
      </c>
      <c r="BT159" s="640" t="s">
        <v>910</v>
      </c>
      <c r="BU159" s="630">
        <v>9</v>
      </c>
      <c r="BV159" s="640" t="s">
        <v>910</v>
      </c>
      <c r="BW159" s="644">
        <v>0</v>
      </c>
      <c r="BX159" s="644">
        <v>0.2</v>
      </c>
      <c r="BY159" s="644">
        <v>0.73</v>
      </c>
      <c r="BZ159" s="644">
        <v>7.0000000000000007E-2</v>
      </c>
      <c r="CA159" s="644">
        <v>0.54</v>
      </c>
      <c r="CB159" s="644">
        <v>0.27</v>
      </c>
      <c r="CC159" s="644">
        <v>0.53</v>
      </c>
    </row>
    <row r="160" spans="1:81" ht="24.9" customHeight="1" x14ac:dyDescent="0.25">
      <c r="A160" s="188" t="s">
        <v>202</v>
      </c>
      <c r="B160" s="1" t="s">
        <v>222</v>
      </c>
      <c r="C160" s="2">
        <v>5</v>
      </c>
      <c r="D160" s="16">
        <v>53</v>
      </c>
      <c r="E160" s="16">
        <v>8</v>
      </c>
      <c r="F160" s="99">
        <v>0.02</v>
      </c>
      <c r="G160" s="99">
        <v>0.33</v>
      </c>
      <c r="H160" s="99">
        <v>0.64</v>
      </c>
      <c r="I160" s="99">
        <v>0.02</v>
      </c>
      <c r="J160" s="99">
        <v>0.5</v>
      </c>
      <c r="K160" s="99">
        <v>0.49</v>
      </c>
      <c r="L160" s="99">
        <v>0.57999999999999996</v>
      </c>
      <c r="M160" s="16">
        <v>56</v>
      </c>
      <c r="N160" s="16">
        <v>9</v>
      </c>
      <c r="O160" s="66">
        <v>0.02</v>
      </c>
      <c r="P160" s="66">
        <v>0.25</v>
      </c>
      <c r="Q160" s="66">
        <v>0.68</v>
      </c>
      <c r="R160" s="66">
        <v>0.06</v>
      </c>
      <c r="S160" s="66">
        <v>0.43</v>
      </c>
      <c r="T160" s="66">
        <v>0.48</v>
      </c>
      <c r="U160" s="66">
        <v>0.28000000000000003</v>
      </c>
      <c r="V160" s="16">
        <v>55</v>
      </c>
      <c r="W160" s="16">
        <v>8</v>
      </c>
      <c r="X160" s="99">
        <v>0.01</v>
      </c>
      <c r="Y160" s="99">
        <v>0.31</v>
      </c>
      <c r="Z160" s="99">
        <v>0.64</v>
      </c>
      <c r="AA160" s="99">
        <v>0.04</v>
      </c>
      <c r="AB160" s="99">
        <v>0.45</v>
      </c>
      <c r="AC160" s="99">
        <v>0.33</v>
      </c>
      <c r="AD160" s="99">
        <v>0.44</v>
      </c>
      <c r="AE160" s="16">
        <v>58</v>
      </c>
      <c r="AF160" s="16">
        <v>8</v>
      </c>
      <c r="AG160" s="99">
        <v>0</v>
      </c>
      <c r="AH160" s="99">
        <v>0.18</v>
      </c>
      <c r="AI160" s="99">
        <v>0.74</v>
      </c>
      <c r="AJ160" s="99">
        <v>0.08</v>
      </c>
      <c r="AK160" s="99">
        <v>0.45</v>
      </c>
      <c r="AL160" s="99">
        <v>0.39</v>
      </c>
      <c r="AM160" s="99">
        <v>0.21</v>
      </c>
      <c r="AN160" s="61">
        <v>60</v>
      </c>
      <c r="AO160" s="61">
        <v>8</v>
      </c>
      <c r="AP160" s="66">
        <v>0</v>
      </c>
      <c r="AQ160" s="66">
        <v>0.14000000000000001</v>
      </c>
      <c r="AR160" s="66">
        <v>0.8</v>
      </c>
      <c r="AS160" s="66">
        <v>0.06</v>
      </c>
      <c r="AT160" s="66">
        <v>0.17</v>
      </c>
      <c r="AU160" s="66">
        <v>0.37</v>
      </c>
      <c r="AV160" s="66">
        <v>0.39</v>
      </c>
      <c r="AW160" s="349">
        <v>56</v>
      </c>
      <c r="AX160" s="348" t="s">
        <v>910</v>
      </c>
      <c r="AY160" s="349">
        <v>8</v>
      </c>
      <c r="AZ160" s="348" t="s">
        <v>910</v>
      </c>
      <c r="BA160" s="371">
        <v>0</v>
      </c>
      <c r="BB160" s="371">
        <v>0.21</v>
      </c>
      <c r="BC160" s="371">
        <v>0.73</v>
      </c>
      <c r="BD160" s="371">
        <v>0.06</v>
      </c>
      <c r="BE160" s="371">
        <v>0.22</v>
      </c>
      <c r="BF160" s="371">
        <v>0.45</v>
      </c>
      <c r="BG160" s="371">
        <v>0.38</v>
      </c>
      <c r="BH160" s="469">
        <v>59</v>
      </c>
      <c r="BI160" s="471" t="s">
        <v>910</v>
      </c>
      <c r="BJ160" s="469">
        <v>9</v>
      </c>
      <c r="BK160" s="471" t="s">
        <v>910</v>
      </c>
      <c r="BL160" s="501">
        <v>0.01</v>
      </c>
      <c r="BM160" s="501">
        <v>0.12</v>
      </c>
      <c r="BN160" s="501">
        <v>0.8</v>
      </c>
      <c r="BO160" s="501">
        <v>7.0000000000000007E-2</v>
      </c>
      <c r="BP160" s="501">
        <v>0.39</v>
      </c>
      <c r="BQ160" s="501">
        <v>0.51</v>
      </c>
      <c r="BR160" s="501">
        <v>0.28999999999999998</v>
      </c>
      <c r="BS160" s="630">
        <v>56</v>
      </c>
      <c r="BT160" s="640" t="s">
        <v>910</v>
      </c>
      <c r="BU160" s="630">
        <v>10</v>
      </c>
      <c r="BV160" s="640" t="s">
        <v>910</v>
      </c>
      <c r="BW160" s="644">
        <v>0.03</v>
      </c>
      <c r="BX160" s="644">
        <v>0.26</v>
      </c>
      <c r="BY160" s="644">
        <v>0.68</v>
      </c>
      <c r="BZ160" s="644">
        <v>0.03</v>
      </c>
      <c r="CA160" s="644">
        <v>0.57999999999999996</v>
      </c>
      <c r="CB160" s="644">
        <v>0.32</v>
      </c>
      <c r="CC160" s="644">
        <v>0.54</v>
      </c>
    </row>
    <row r="161" spans="1:81" ht="24.9" customHeight="1" x14ac:dyDescent="0.25">
      <c r="A161" s="188" t="s">
        <v>880</v>
      </c>
      <c r="B161" s="1" t="s">
        <v>222</v>
      </c>
      <c r="C161" s="2">
        <v>5</v>
      </c>
      <c r="D161" s="16">
        <v>56</v>
      </c>
      <c r="E161" s="16">
        <v>8</v>
      </c>
      <c r="F161" s="99">
        <v>0</v>
      </c>
      <c r="G161" s="99">
        <v>0.21</v>
      </c>
      <c r="H161" s="99">
        <v>0.74</v>
      </c>
      <c r="I161" s="99">
        <v>0.05</v>
      </c>
      <c r="J161" s="99">
        <v>0.5</v>
      </c>
      <c r="K161" s="99">
        <v>0.37</v>
      </c>
      <c r="L161" s="99">
        <v>0.51</v>
      </c>
      <c r="M161" s="16">
        <v>57</v>
      </c>
      <c r="N161" s="16">
        <v>10</v>
      </c>
      <c r="O161" s="66">
        <v>7.0000000000000007E-2</v>
      </c>
      <c r="P161" s="66">
        <v>0.14000000000000001</v>
      </c>
      <c r="Q161" s="66">
        <v>0.71</v>
      </c>
      <c r="R161" s="66">
        <v>7.0000000000000007E-2</v>
      </c>
      <c r="S161" s="66">
        <v>0.35</v>
      </c>
      <c r="T161" s="66">
        <v>0.44</v>
      </c>
      <c r="U161" s="66">
        <v>0.32</v>
      </c>
      <c r="V161" s="16">
        <v>59</v>
      </c>
      <c r="W161" s="16">
        <v>8</v>
      </c>
      <c r="X161" s="99">
        <v>0</v>
      </c>
      <c r="Y161" s="99">
        <v>0.11</v>
      </c>
      <c r="Z161" s="99">
        <v>0.8</v>
      </c>
      <c r="AA161" s="99">
        <v>0.09</v>
      </c>
      <c r="AB161" s="99">
        <v>0.35</v>
      </c>
      <c r="AC161" s="99">
        <v>0.33</v>
      </c>
      <c r="AD161" s="99">
        <v>0.4</v>
      </c>
      <c r="AE161" s="16">
        <v>61</v>
      </c>
      <c r="AF161" s="16">
        <v>7</v>
      </c>
      <c r="AG161" s="99">
        <v>0</v>
      </c>
      <c r="AH161" s="99">
        <v>0.05</v>
      </c>
      <c r="AI161" s="99">
        <v>0.9</v>
      </c>
      <c r="AJ161" s="99">
        <v>0.05</v>
      </c>
      <c r="AK161" s="99">
        <v>0.43</v>
      </c>
      <c r="AL161" s="99">
        <v>0.34</v>
      </c>
      <c r="AM161" s="99">
        <v>0.16</v>
      </c>
      <c r="AN161" s="61">
        <v>59</v>
      </c>
      <c r="AO161" s="61">
        <v>8</v>
      </c>
      <c r="AP161" s="66">
        <v>0</v>
      </c>
      <c r="AQ161" s="66">
        <v>0.14000000000000001</v>
      </c>
      <c r="AR161" s="66">
        <v>0.81</v>
      </c>
      <c r="AS161" s="66">
        <v>0.05</v>
      </c>
      <c r="AT161" s="66">
        <v>0.17</v>
      </c>
      <c r="AU161" s="66">
        <v>0.41</v>
      </c>
      <c r="AV161" s="66">
        <v>0.4</v>
      </c>
      <c r="AW161" s="349">
        <v>56</v>
      </c>
      <c r="AX161" s="348" t="s">
        <v>910</v>
      </c>
      <c r="AY161" s="349">
        <v>9</v>
      </c>
      <c r="AZ161" s="348" t="s">
        <v>910</v>
      </c>
      <c r="BA161" s="371">
        <v>0</v>
      </c>
      <c r="BB161" s="371">
        <v>0.23</v>
      </c>
      <c r="BC161" s="371">
        <v>0.7</v>
      </c>
      <c r="BD161" s="371">
        <v>7.0000000000000007E-2</v>
      </c>
      <c r="BE161" s="371">
        <v>0.23</v>
      </c>
      <c r="BF161" s="371">
        <v>0.44</v>
      </c>
      <c r="BG161" s="371">
        <v>0.42</v>
      </c>
      <c r="BH161" s="469">
        <v>58</v>
      </c>
      <c r="BI161" s="471" t="s">
        <v>910</v>
      </c>
      <c r="BJ161" s="469">
        <v>11</v>
      </c>
      <c r="BK161" s="471" t="s">
        <v>910</v>
      </c>
      <c r="BL161" s="501">
        <v>0.03</v>
      </c>
      <c r="BM161" s="501">
        <v>0.18</v>
      </c>
      <c r="BN161" s="501">
        <v>0.74</v>
      </c>
      <c r="BO161" s="501">
        <v>0.05</v>
      </c>
      <c r="BP161" s="501">
        <v>0.4</v>
      </c>
      <c r="BQ161" s="501">
        <v>0.53</v>
      </c>
      <c r="BR161" s="501">
        <v>0.32</v>
      </c>
      <c r="BS161" s="630">
        <v>59</v>
      </c>
      <c r="BT161" s="640" t="s">
        <v>910</v>
      </c>
      <c r="BU161" s="630">
        <v>9</v>
      </c>
      <c r="BV161" s="640" t="s">
        <v>910</v>
      </c>
      <c r="BW161" s="644">
        <v>0</v>
      </c>
      <c r="BX161" s="644">
        <v>0.15</v>
      </c>
      <c r="BY161" s="644">
        <v>0.74</v>
      </c>
      <c r="BZ161" s="644">
        <v>0.11</v>
      </c>
      <c r="CA161" s="644">
        <v>0.53</v>
      </c>
      <c r="CB161" s="644">
        <v>0.32</v>
      </c>
      <c r="CC161" s="644">
        <v>0.44</v>
      </c>
    </row>
    <row r="162" spans="1:81" ht="24.9" customHeight="1" x14ac:dyDescent="0.25">
      <c r="A162" s="188" t="s">
        <v>177</v>
      </c>
      <c r="B162" s="1" t="s">
        <v>222</v>
      </c>
      <c r="C162" s="2">
        <v>5</v>
      </c>
      <c r="D162" s="16">
        <v>54</v>
      </c>
      <c r="E162" s="16">
        <v>8</v>
      </c>
      <c r="F162" s="99">
        <v>0</v>
      </c>
      <c r="G162" s="99">
        <v>0.4</v>
      </c>
      <c r="H162" s="99">
        <v>0.56999999999999995</v>
      </c>
      <c r="I162" s="99">
        <v>0.03</v>
      </c>
      <c r="J162" s="99">
        <v>0.51</v>
      </c>
      <c r="K162" s="99">
        <v>0.47</v>
      </c>
      <c r="L162" s="99">
        <v>0.48</v>
      </c>
      <c r="M162" s="16">
        <v>54</v>
      </c>
      <c r="N162" s="16">
        <v>8</v>
      </c>
      <c r="O162" s="66">
        <v>0</v>
      </c>
      <c r="P162" s="66">
        <v>0.31</v>
      </c>
      <c r="Q162" s="66">
        <v>0.69</v>
      </c>
      <c r="R162" s="66">
        <v>0</v>
      </c>
      <c r="S162" s="66">
        <v>0.44</v>
      </c>
      <c r="T162" s="66">
        <v>0.53</v>
      </c>
      <c r="U162" s="66">
        <v>0.32</v>
      </c>
      <c r="V162" s="16">
        <v>56</v>
      </c>
      <c r="W162" s="16">
        <v>7</v>
      </c>
      <c r="X162" s="99">
        <v>0</v>
      </c>
      <c r="Y162" s="99">
        <v>0.28000000000000003</v>
      </c>
      <c r="Z162" s="99">
        <v>0.67</v>
      </c>
      <c r="AA162" s="99">
        <v>0.06</v>
      </c>
      <c r="AB162" s="99">
        <v>0.43</v>
      </c>
      <c r="AC162" s="99">
        <v>0.33</v>
      </c>
      <c r="AD162" s="99">
        <v>0.48</v>
      </c>
      <c r="AE162" s="16">
        <v>57</v>
      </c>
      <c r="AF162" s="16">
        <v>9</v>
      </c>
      <c r="AG162" s="99">
        <v>0</v>
      </c>
      <c r="AH162" s="99">
        <v>0.25</v>
      </c>
      <c r="AI162" s="99">
        <v>0.7</v>
      </c>
      <c r="AJ162" s="99">
        <v>0.05</v>
      </c>
      <c r="AK162" s="99">
        <v>0.46</v>
      </c>
      <c r="AL162" s="99">
        <v>0.39</v>
      </c>
      <c r="AM162" s="99">
        <v>0.23</v>
      </c>
      <c r="AN162" s="61">
        <v>58</v>
      </c>
      <c r="AO162" s="61">
        <v>7</v>
      </c>
      <c r="AP162" s="66">
        <v>0</v>
      </c>
      <c r="AQ162" s="66">
        <v>0.14000000000000001</v>
      </c>
      <c r="AR162" s="66">
        <v>0.86</v>
      </c>
      <c r="AS162" s="66">
        <v>0</v>
      </c>
      <c r="AT162" s="66">
        <v>0.19</v>
      </c>
      <c r="AU162" s="66">
        <v>0.38</v>
      </c>
      <c r="AV162" s="66">
        <v>0.51</v>
      </c>
      <c r="AW162" s="349">
        <v>56</v>
      </c>
      <c r="AX162" s="348" t="s">
        <v>910</v>
      </c>
      <c r="AY162" s="349">
        <v>10</v>
      </c>
      <c r="AZ162" s="348" t="s">
        <v>910</v>
      </c>
      <c r="BA162" s="371">
        <v>0</v>
      </c>
      <c r="BB162" s="371">
        <v>0.43</v>
      </c>
      <c r="BC162" s="371">
        <v>0.5</v>
      </c>
      <c r="BD162" s="371">
        <v>7.0000000000000007E-2</v>
      </c>
      <c r="BE162" s="371">
        <v>0.21</v>
      </c>
      <c r="BF162" s="371">
        <v>0.48</v>
      </c>
      <c r="BG162" s="371">
        <v>0.45</v>
      </c>
      <c r="BH162" s="469">
        <v>60</v>
      </c>
      <c r="BI162" s="471" t="s">
        <v>910</v>
      </c>
      <c r="BJ162" s="469">
        <v>6</v>
      </c>
      <c r="BK162" s="471" t="s">
        <v>912</v>
      </c>
      <c r="BL162" s="501">
        <v>0</v>
      </c>
      <c r="BM162" s="501">
        <v>0.06</v>
      </c>
      <c r="BN162" s="501">
        <v>0.87</v>
      </c>
      <c r="BO162" s="501">
        <v>0.06</v>
      </c>
      <c r="BP162" s="501">
        <v>0.35</v>
      </c>
      <c r="BQ162" s="501">
        <v>0.5</v>
      </c>
      <c r="BR162" s="501">
        <v>0.23</v>
      </c>
      <c r="BS162" s="630">
        <v>57</v>
      </c>
      <c r="BT162" s="640" t="s">
        <v>910</v>
      </c>
      <c r="BU162" s="630">
        <v>10</v>
      </c>
      <c r="BV162" s="640" t="s">
        <v>910</v>
      </c>
      <c r="BW162" s="644">
        <v>0.02</v>
      </c>
      <c r="BX162" s="644">
        <v>0.21</v>
      </c>
      <c r="BY162" s="644">
        <v>0.67</v>
      </c>
      <c r="BZ162" s="644">
        <v>0.1</v>
      </c>
      <c r="CA162" s="644">
        <v>0.51</v>
      </c>
      <c r="CB162" s="644">
        <v>0.32</v>
      </c>
      <c r="CC162" s="644">
        <v>0.5</v>
      </c>
    </row>
    <row r="163" spans="1:81" ht="24.9" customHeight="1" x14ac:dyDescent="0.25">
      <c r="A163" s="188" t="s">
        <v>289</v>
      </c>
      <c r="B163" s="1" t="s">
        <v>222</v>
      </c>
      <c r="C163" s="2">
        <v>4</v>
      </c>
      <c r="D163" s="16">
        <v>40</v>
      </c>
      <c r="E163" s="16">
        <v>7</v>
      </c>
      <c r="F163" s="99">
        <v>0.5</v>
      </c>
      <c r="G163" s="99">
        <v>0.5</v>
      </c>
      <c r="H163" s="99">
        <v>0</v>
      </c>
      <c r="I163" s="99">
        <v>0</v>
      </c>
      <c r="J163" s="99">
        <v>0.69</v>
      </c>
      <c r="K163" s="99">
        <v>0.64</v>
      </c>
      <c r="L163" s="99">
        <v>0.77</v>
      </c>
      <c r="M163" s="36">
        <v>41</v>
      </c>
      <c r="N163" s="36">
        <v>8</v>
      </c>
      <c r="O163" s="66">
        <v>0.3</v>
      </c>
      <c r="P163" s="66">
        <v>0.6</v>
      </c>
      <c r="Q163" s="66">
        <v>0.1</v>
      </c>
      <c r="R163" s="66">
        <v>0</v>
      </c>
      <c r="S163" s="66">
        <v>0.6</v>
      </c>
      <c r="T163" s="66">
        <v>0.7</v>
      </c>
      <c r="U163" s="66">
        <v>0.54</v>
      </c>
      <c r="V163" s="16">
        <v>47</v>
      </c>
      <c r="W163" s="16">
        <v>8</v>
      </c>
      <c r="X163" s="99">
        <v>0.13</v>
      </c>
      <c r="Y163" s="99">
        <v>0.5</v>
      </c>
      <c r="Z163" s="99">
        <v>0.38</v>
      </c>
      <c r="AA163" s="99">
        <v>0</v>
      </c>
      <c r="AB163" s="99">
        <v>0.52</v>
      </c>
      <c r="AC163" s="99">
        <v>0.52</v>
      </c>
      <c r="AD163" s="99">
        <v>0.6</v>
      </c>
      <c r="AE163" s="16">
        <v>47</v>
      </c>
      <c r="AF163" s="16">
        <v>5</v>
      </c>
      <c r="AG163" s="99">
        <v>0</v>
      </c>
      <c r="AH163" s="99">
        <v>0.75</v>
      </c>
      <c r="AI163" s="99">
        <v>0.25</v>
      </c>
      <c r="AJ163" s="99">
        <v>0</v>
      </c>
      <c r="AK163" s="99">
        <v>0.62</v>
      </c>
      <c r="AL163" s="99">
        <v>0.51</v>
      </c>
      <c r="AM163" s="99">
        <v>0.42</v>
      </c>
      <c r="AN163" s="61">
        <v>39</v>
      </c>
      <c r="AO163" s="61">
        <v>8</v>
      </c>
      <c r="AP163" s="66">
        <v>0.17</v>
      </c>
      <c r="AQ163" s="66">
        <v>0.83</v>
      </c>
      <c r="AR163" s="66">
        <v>0</v>
      </c>
      <c r="AS163" s="66">
        <v>0</v>
      </c>
      <c r="AT163" s="66">
        <v>0.41</v>
      </c>
      <c r="AU163" s="66">
        <v>0.79</v>
      </c>
      <c r="AV163" s="66">
        <v>0.67</v>
      </c>
      <c r="AW163" s="349">
        <v>45</v>
      </c>
      <c r="AX163" s="348" t="s">
        <v>910</v>
      </c>
      <c r="AY163" s="349">
        <v>9</v>
      </c>
      <c r="AZ163" s="348" t="s">
        <v>910</v>
      </c>
      <c r="BA163" s="371">
        <v>0.09</v>
      </c>
      <c r="BB163" s="371">
        <v>0.64</v>
      </c>
      <c r="BC163" s="371">
        <v>0.27</v>
      </c>
      <c r="BD163" s="371">
        <v>0</v>
      </c>
      <c r="BE163" s="371">
        <v>0.43</v>
      </c>
      <c r="BF163" s="371">
        <v>0.63</v>
      </c>
      <c r="BG163" s="371">
        <v>0.51</v>
      </c>
      <c r="BH163" s="469">
        <v>50</v>
      </c>
      <c r="BI163" s="471" t="s">
        <v>910</v>
      </c>
      <c r="BJ163" s="469">
        <v>8</v>
      </c>
      <c r="BK163" s="471" t="s">
        <v>910</v>
      </c>
      <c r="BL163" s="501">
        <v>0.09</v>
      </c>
      <c r="BM163" s="501">
        <v>0.45</v>
      </c>
      <c r="BN163" s="501">
        <v>0.45</v>
      </c>
      <c r="BO163" s="501">
        <v>0</v>
      </c>
      <c r="BP163" s="501">
        <v>0.61</v>
      </c>
      <c r="BQ163" s="501">
        <v>0.56000000000000005</v>
      </c>
      <c r="BR163" s="501">
        <v>0.39</v>
      </c>
      <c r="BS163" s="630">
        <v>48</v>
      </c>
      <c r="BT163" s="640" t="s">
        <v>910</v>
      </c>
      <c r="BU163" s="630">
        <v>9</v>
      </c>
      <c r="BV163" s="640" t="s">
        <v>910</v>
      </c>
      <c r="BW163" s="644">
        <v>0.1</v>
      </c>
      <c r="BX163" s="644">
        <v>0.6</v>
      </c>
      <c r="BY163" s="644">
        <v>0.3</v>
      </c>
      <c r="BZ163" s="644">
        <v>0</v>
      </c>
      <c r="CA163" s="644">
        <v>0.61</v>
      </c>
      <c r="CB163" s="644">
        <v>0.43</v>
      </c>
      <c r="CC163" s="644">
        <v>0.66</v>
      </c>
    </row>
    <row r="164" spans="1:81" ht="24.9" customHeight="1" x14ac:dyDescent="0.25">
      <c r="A164" s="188" t="s">
        <v>71</v>
      </c>
      <c r="B164" s="1" t="s">
        <v>222</v>
      </c>
      <c r="C164" s="2">
        <v>6</v>
      </c>
      <c r="D164" s="16">
        <v>54</v>
      </c>
      <c r="E164" s="16">
        <v>8</v>
      </c>
      <c r="F164" s="99">
        <v>0.03</v>
      </c>
      <c r="G164" s="99">
        <v>0.26</v>
      </c>
      <c r="H164" s="99">
        <v>0.7</v>
      </c>
      <c r="I164" s="99">
        <v>0.01</v>
      </c>
      <c r="J164" s="99">
        <v>0.46</v>
      </c>
      <c r="K164" s="99">
        <v>0.37</v>
      </c>
      <c r="L164" s="99">
        <v>0.48</v>
      </c>
      <c r="M164" s="16">
        <v>55</v>
      </c>
      <c r="N164" s="16">
        <v>9</v>
      </c>
      <c r="O164" s="66">
        <v>0.01</v>
      </c>
      <c r="P164" s="66">
        <v>0.28999999999999998</v>
      </c>
      <c r="Q164" s="66">
        <v>0.69</v>
      </c>
      <c r="R164" s="66">
        <v>0.01</v>
      </c>
      <c r="S164" s="66">
        <v>0.45</v>
      </c>
      <c r="T164" s="66">
        <v>0.5</v>
      </c>
      <c r="U164" s="66">
        <v>0.3</v>
      </c>
      <c r="V164" s="16">
        <v>55</v>
      </c>
      <c r="W164" s="16">
        <v>8</v>
      </c>
      <c r="X164" s="99">
        <v>0</v>
      </c>
      <c r="Y164" s="99">
        <v>0.31</v>
      </c>
      <c r="Z164" s="99">
        <v>0.69</v>
      </c>
      <c r="AA164" s="99">
        <v>0</v>
      </c>
      <c r="AB164" s="99">
        <v>0.43</v>
      </c>
      <c r="AC164" s="99">
        <v>0.33</v>
      </c>
      <c r="AD164" s="99">
        <v>0.49</v>
      </c>
      <c r="AE164" s="16">
        <v>55</v>
      </c>
      <c r="AF164" s="16">
        <v>9</v>
      </c>
      <c r="AG164" s="99">
        <v>0.02</v>
      </c>
      <c r="AH164" s="99">
        <v>0.27</v>
      </c>
      <c r="AI164" s="99">
        <v>0.67</v>
      </c>
      <c r="AJ164" s="99">
        <v>0.03</v>
      </c>
      <c r="AK164" s="99">
        <v>0.5</v>
      </c>
      <c r="AL164" s="99">
        <v>0.4</v>
      </c>
      <c r="AM164" s="99">
        <v>0.24</v>
      </c>
      <c r="AN164" s="61">
        <v>54</v>
      </c>
      <c r="AO164" s="61">
        <v>9</v>
      </c>
      <c r="AP164" s="66">
        <v>0.03</v>
      </c>
      <c r="AQ164" s="66">
        <v>0.25</v>
      </c>
      <c r="AR164" s="66">
        <v>0.69</v>
      </c>
      <c r="AS164" s="66">
        <v>0.02</v>
      </c>
      <c r="AT164" s="66">
        <v>0.25</v>
      </c>
      <c r="AU164" s="66">
        <v>0.46</v>
      </c>
      <c r="AV164" s="66">
        <v>0.51</v>
      </c>
      <c r="AW164" s="349">
        <v>55</v>
      </c>
      <c r="AX164" s="348" t="s">
        <v>910</v>
      </c>
      <c r="AY164" s="349">
        <v>7</v>
      </c>
      <c r="AZ164" s="348" t="s">
        <v>910</v>
      </c>
      <c r="BA164" s="371">
        <v>0</v>
      </c>
      <c r="BB164" s="371">
        <v>0.31</v>
      </c>
      <c r="BC164" s="371">
        <v>0.68</v>
      </c>
      <c r="BD164" s="371">
        <v>0.01</v>
      </c>
      <c r="BE164" s="371">
        <v>0.22</v>
      </c>
      <c r="BF164" s="371">
        <v>0.46</v>
      </c>
      <c r="BG164" s="371">
        <v>0.43</v>
      </c>
      <c r="BH164" s="469">
        <v>56</v>
      </c>
      <c r="BI164" s="471" t="s">
        <v>910</v>
      </c>
      <c r="BJ164" s="469">
        <v>9</v>
      </c>
      <c r="BK164" s="471" t="s">
        <v>910</v>
      </c>
      <c r="BL164" s="501">
        <v>0.03</v>
      </c>
      <c r="BM164" s="501">
        <v>0.18</v>
      </c>
      <c r="BN164" s="501">
        <v>0.78</v>
      </c>
      <c r="BO164" s="501">
        <v>0.02</v>
      </c>
      <c r="BP164" s="501">
        <v>0.45</v>
      </c>
      <c r="BQ164" s="501">
        <v>0.56999999999999995</v>
      </c>
      <c r="BR164" s="501">
        <v>0.33</v>
      </c>
      <c r="BS164" s="630">
        <v>56</v>
      </c>
      <c r="BT164" s="640" t="s">
        <v>910</v>
      </c>
      <c r="BU164" s="630">
        <v>11</v>
      </c>
      <c r="BV164" s="640" t="s">
        <v>910</v>
      </c>
      <c r="BW164" s="644">
        <v>0.05</v>
      </c>
      <c r="BX164" s="644">
        <v>0.22</v>
      </c>
      <c r="BY164" s="644">
        <v>0.68</v>
      </c>
      <c r="BZ164" s="644">
        <v>0.06</v>
      </c>
      <c r="CA164" s="644">
        <v>0.56999999999999995</v>
      </c>
      <c r="CB164" s="644">
        <v>0.37</v>
      </c>
      <c r="CC164" s="644">
        <v>0.55000000000000004</v>
      </c>
    </row>
    <row r="165" spans="1:81" ht="24.9" customHeight="1" x14ac:dyDescent="0.25">
      <c r="A165" s="188" t="s">
        <v>208</v>
      </c>
      <c r="B165" s="1" t="s">
        <v>222</v>
      </c>
      <c r="C165" s="2">
        <v>4</v>
      </c>
      <c r="D165" s="16">
        <v>55</v>
      </c>
      <c r="E165" s="16">
        <v>8</v>
      </c>
      <c r="F165" s="99">
        <v>0.08</v>
      </c>
      <c r="G165" s="99">
        <v>0.08</v>
      </c>
      <c r="H165" s="99">
        <v>0.83</v>
      </c>
      <c r="I165" s="99">
        <v>0</v>
      </c>
      <c r="J165" s="99">
        <v>0.49</v>
      </c>
      <c r="K165" s="99">
        <v>0.41</v>
      </c>
      <c r="L165" s="99">
        <v>0.52</v>
      </c>
      <c r="M165" s="16">
        <v>57</v>
      </c>
      <c r="N165" s="16">
        <v>8</v>
      </c>
      <c r="O165" s="66">
        <v>0</v>
      </c>
      <c r="P165" s="66">
        <v>0.25</v>
      </c>
      <c r="Q165" s="66">
        <v>0.75</v>
      </c>
      <c r="R165" s="66">
        <v>0</v>
      </c>
      <c r="S165" s="66">
        <v>0.41</v>
      </c>
      <c r="T165" s="66">
        <v>0.46</v>
      </c>
      <c r="U165" s="66">
        <v>0.26</v>
      </c>
      <c r="V165" s="16">
        <v>56</v>
      </c>
      <c r="W165" s="16">
        <v>6</v>
      </c>
      <c r="X165" s="99">
        <v>0</v>
      </c>
      <c r="Y165" s="99">
        <v>0.13</v>
      </c>
      <c r="Z165" s="99">
        <v>0.87</v>
      </c>
      <c r="AA165" s="99">
        <v>0</v>
      </c>
      <c r="AB165" s="99">
        <v>0.41</v>
      </c>
      <c r="AC165" s="99">
        <v>0.33</v>
      </c>
      <c r="AD165" s="99">
        <v>0.46</v>
      </c>
      <c r="AE165" s="16">
        <v>58</v>
      </c>
      <c r="AF165" s="16">
        <v>9</v>
      </c>
      <c r="AG165" s="99">
        <v>0</v>
      </c>
      <c r="AH165" s="99">
        <v>0.11</v>
      </c>
      <c r="AI165" s="99">
        <v>0.78</v>
      </c>
      <c r="AJ165" s="99">
        <v>0.11</v>
      </c>
      <c r="AK165" s="99">
        <v>0.45</v>
      </c>
      <c r="AL165" s="99">
        <v>0.33</v>
      </c>
      <c r="AM165" s="99">
        <v>0.21</v>
      </c>
      <c r="AN165" s="61">
        <v>52</v>
      </c>
      <c r="AO165" s="61">
        <v>11</v>
      </c>
      <c r="AP165" s="66">
        <v>0.06</v>
      </c>
      <c r="AQ165" s="66">
        <v>0.31</v>
      </c>
      <c r="AR165" s="66">
        <v>0.56000000000000005</v>
      </c>
      <c r="AS165" s="66">
        <v>0.06</v>
      </c>
      <c r="AT165" s="66">
        <v>0.27</v>
      </c>
      <c r="AU165" s="66">
        <v>0.55000000000000004</v>
      </c>
      <c r="AV165" s="66">
        <v>0.52</v>
      </c>
      <c r="AW165" s="349">
        <v>56</v>
      </c>
      <c r="AX165" s="348" t="s">
        <v>910</v>
      </c>
      <c r="AY165" s="349">
        <v>9</v>
      </c>
      <c r="AZ165" s="348" t="s">
        <v>910</v>
      </c>
      <c r="BA165" s="371">
        <v>0.06</v>
      </c>
      <c r="BB165" s="371">
        <v>0</v>
      </c>
      <c r="BC165" s="371">
        <v>0.88</v>
      </c>
      <c r="BD165" s="371">
        <v>0.06</v>
      </c>
      <c r="BE165" s="371">
        <v>0.24</v>
      </c>
      <c r="BF165" s="371">
        <v>0.4</v>
      </c>
      <c r="BG165" s="371">
        <v>0.39</v>
      </c>
      <c r="BH165" s="469">
        <v>55</v>
      </c>
      <c r="BI165" s="471" t="s">
        <v>910</v>
      </c>
      <c r="BJ165" s="469">
        <v>9</v>
      </c>
      <c r="BK165" s="471" t="s">
        <v>910</v>
      </c>
      <c r="BL165" s="501">
        <v>0.05</v>
      </c>
      <c r="BM165" s="501">
        <v>0.21</v>
      </c>
      <c r="BN165" s="501">
        <v>0.74</v>
      </c>
      <c r="BO165" s="501">
        <v>0</v>
      </c>
      <c r="BP165" s="501">
        <v>0.4</v>
      </c>
      <c r="BQ165" s="501">
        <v>0.62</v>
      </c>
      <c r="BR165" s="501">
        <v>0.33</v>
      </c>
      <c r="BS165" s="630">
        <v>55</v>
      </c>
      <c r="BT165" s="640" t="s">
        <v>910</v>
      </c>
      <c r="BU165" s="630">
        <v>14</v>
      </c>
      <c r="BV165" s="640" t="s">
        <v>911</v>
      </c>
      <c r="BW165" s="644">
        <v>0</v>
      </c>
      <c r="BX165" s="644">
        <v>0.3</v>
      </c>
      <c r="BY165" s="644">
        <v>0.61</v>
      </c>
      <c r="BZ165" s="644">
        <v>0.09</v>
      </c>
      <c r="CA165" s="644">
        <v>0.63</v>
      </c>
      <c r="CB165" s="644">
        <v>0.26</v>
      </c>
      <c r="CC165" s="644">
        <v>0.59</v>
      </c>
    </row>
    <row r="166" spans="1:81" ht="24.9" customHeight="1" x14ac:dyDescent="0.25">
      <c r="A166" s="188" t="s">
        <v>99</v>
      </c>
      <c r="B166" s="1" t="s">
        <v>222</v>
      </c>
      <c r="C166" s="2">
        <v>5</v>
      </c>
      <c r="D166" s="16">
        <v>56</v>
      </c>
      <c r="E166" s="16">
        <v>8</v>
      </c>
      <c r="F166" s="99">
        <v>0</v>
      </c>
      <c r="G166" s="99">
        <v>0.21</v>
      </c>
      <c r="H166" s="99">
        <v>0.79</v>
      </c>
      <c r="I166" s="99">
        <v>0</v>
      </c>
      <c r="J166" s="99">
        <v>0.53</v>
      </c>
      <c r="K166" s="99">
        <v>0.4</v>
      </c>
      <c r="L166" s="99">
        <v>0.5</v>
      </c>
      <c r="M166" s="16">
        <v>57</v>
      </c>
      <c r="N166" s="16">
        <v>10</v>
      </c>
      <c r="O166" s="66">
        <v>0.04</v>
      </c>
      <c r="P166" s="66">
        <v>0.08</v>
      </c>
      <c r="Q166" s="66">
        <v>0.83</v>
      </c>
      <c r="R166" s="66">
        <v>0.04</v>
      </c>
      <c r="S166" s="66">
        <v>0.39</v>
      </c>
      <c r="T166" s="66">
        <v>0.47</v>
      </c>
      <c r="U166" s="66">
        <v>0.28000000000000003</v>
      </c>
      <c r="V166" s="16">
        <v>56</v>
      </c>
      <c r="W166" s="16">
        <v>6</v>
      </c>
      <c r="X166" s="99">
        <v>0</v>
      </c>
      <c r="Y166" s="99">
        <v>0.24</v>
      </c>
      <c r="Z166" s="99">
        <v>0.76</v>
      </c>
      <c r="AA166" s="99">
        <v>0</v>
      </c>
      <c r="AB166" s="99">
        <v>0.39</v>
      </c>
      <c r="AC166" s="99">
        <v>0.32</v>
      </c>
      <c r="AD166" s="99">
        <v>0.45</v>
      </c>
      <c r="AE166" s="16">
        <v>57</v>
      </c>
      <c r="AF166" s="16">
        <v>8</v>
      </c>
      <c r="AG166" s="99">
        <v>0</v>
      </c>
      <c r="AH166" s="99">
        <v>0.24</v>
      </c>
      <c r="AI166" s="99">
        <v>0.71</v>
      </c>
      <c r="AJ166" s="99">
        <v>0.05</v>
      </c>
      <c r="AK166" s="99">
        <v>0.44</v>
      </c>
      <c r="AL166" s="99">
        <v>0.42</v>
      </c>
      <c r="AM166" s="99">
        <v>0.19</v>
      </c>
      <c r="AN166" s="61">
        <v>60</v>
      </c>
      <c r="AO166" s="61">
        <v>12</v>
      </c>
      <c r="AP166" s="66">
        <v>0</v>
      </c>
      <c r="AQ166" s="66">
        <v>0.11</v>
      </c>
      <c r="AR166" s="66">
        <v>0.74</v>
      </c>
      <c r="AS166" s="66">
        <v>0.16</v>
      </c>
      <c r="AT166" s="66">
        <v>0.12</v>
      </c>
      <c r="AU166" s="66">
        <v>0.44</v>
      </c>
      <c r="AV166" s="66">
        <v>0.38</v>
      </c>
      <c r="AW166" s="349">
        <v>54</v>
      </c>
      <c r="AX166" s="348" t="s">
        <v>910</v>
      </c>
      <c r="AY166" s="349">
        <v>8</v>
      </c>
      <c r="AZ166" s="348" t="s">
        <v>910</v>
      </c>
      <c r="BA166" s="371">
        <v>0.04</v>
      </c>
      <c r="BB166" s="371">
        <v>0.31</v>
      </c>
      <c r="BC166" s="371">
        <v>0.65</v>
      </c>
      <c r="BD166" s="371">
        <v>0</v>
      </c>
      <c r="BE166" s="371">
        <v>0.23</v>
      </c>
      <c r="BF166" s="371">
        <v>0.49</v>
      </c>
      <c r="BG166" s="371">
        <v>0.43</v>
      </c>
      <c r="BH166" s="469">
        <v>57</v>
      </c>
      <c r="BI166" s="471" t="s">
        <v>910</v>
      </c>
      <c r="BJ166" s="469">
        <v>6</v>
      </c>
      <c r="BK166" s="471" t="s">
        <v>912</v>
      </c>
      <c r="BL166" s="501">
        <v>0</v>
      </c>
      <c r="BM166" s="501">
        <v>0.17</v>
      </c>
      <c r="BN166" s="501">
        <v>0.83</v>
      </c>
      <c r="BO166" s="501">
        <v>0</v>
      </c>
      <c r="BP166" s="501">
        <v>0.42</v>
      </c>
      <c r="BQ166" s="501">
        <v>0.53</v>
      </c>
      <c r="BR166" s="501">
        <v>0.28999999999999998</v>
      </c>
      <c r="BS166" s="630">
        <v>58</v>
      </c>
      <c r="BT166" s="640" t="s">
        <v>910</v>
      </c>
      <c r="BU166" s="630">
        <v>9</v>
      </c>
      <c r="BV166" s="640" t="s">
        <v>910</v>
      </c>
      <c r="BW166" s="644">
        <v>0</v>
      </c>
      <c r="BX166" s="644">
        <v>0.24</v>
      </c>
      <c r="BY166" s="644">
        <v>0.67</v>
      </c>
      <c r="BZ166" s="644">
        <v>0.1</v>
      </c>
      <c r="CA166" s="644">
        <v>0.62</v>
      </c>
      <c r="CB166" s="644">
        <v>0.25</v>
      </c>
      <c r="CC166" s="644">
        <v>0.53</v>
      </c>
    </row>
    <row r="167" spans="1:81" ht="24.9" customHeight="1" x14ac:dyDescent="0.25">
      <c r="A167" s="188" t="s">
        <v>73</v>
      </c>
      <c r="B167" s="70" t="s">
        <v>222</v>
      </c>
      <c r="C167" s="72">
        <v>2</v>
      </c>
      <c r="D167" s="16">
        <v>49</v>
      </c>
      <c r="E167" s="16">
        <v>8</v>
      </c>
      <c r="F167" s="99">
        <v>0.05</v>
      </c>
      <c r="G167" s="99">
        <v>0.45</v>
      </c>
      <c r="H167" s="99">
        <v>0.5</v>
      </c>
      <c r="I167" s="99">
        <v>0</v>
      </c>
      <c r="J167" s="99">
        <v>0.56000000000000005</v>
      </c>
      <c r="K167" s="99">
        <v>0.46</v>
      </c>
      <c r="L167" s="99">
        <v>0.59</v>
      </c>
      <c r="M167" s="16">
        <v>50</v>
      </c>
      <c r="N167" s="16">
        <v>9</v>
      </c>
      <c r="O167" s="66">
        <v>0.02</v>
      </c>
      <c r="P167" s="66">
        <v>0.53</v>
      </c>
      <c r="Q167" s="66">
        <v>0.44</v>
      </c>
      <c r="R167" s="66">
        <v>0</v>
      </c>
      <c r="S167" s="66">
        <v>0.47</v>
      </c>
      <c r="T167" s="66">
        <v>0.56999999999999995</v>
      </c>
      <c r="U167" s="66">
        <v>0.36</v>
      </c>
      <c r="V167" s="16">
        <v>50</v>
      </c>
      <c r="W167" s="16">
        <v>9</v>
      </c>
      <c r="X167" s="99">
        <v>0.03</v>
      </c>
      <c r="Y167" s="99">
        <v>0.53</v>
      </c>
      <c r="Z167" s="99">
        <v>0.42</v>
      </c>
      <c r="AA167" s="99">
        <v>0.03</v>
      </c>
      <c r="AB167" s="99">
        <v>0.5</v>
      </c>
      <c r="AC167" s="99">
        <v>0.44</v>
      </c>
      <c r="AD167" s="99">
        <v>0.53</v>
      </c>
      <c r="AE167" s="16">
        <v>53</v>
      </c>
      <c r="AF167" s="16">
        <v>11</v>
      </c>
      <c r="AG167" s="99">
        <v>0.11</v>
      </c>
      <c r="AH167" s="99">
        <v>0.28000000000000003</v>
      </c>
      <c r="AI167" s="99">
        <v>0.56000000000000005</v>
      </c>
      <c r="AJ167" s="99">
        <v>0.06</v>
      </c>
      <c r="AK167" s="99">
        <v>0.52</v>
      </c>
      <c r="AL167" s="99">
        <v>0.48</v>
      </c>
      <c r="AM167" s="99">
        <v>0.28999999999999998</v>
      </c>
      <c r="AN167" s="61">
        <v>51</v>
      </c>
      <c r="AO167" s="61">
        <v>7</v>
      </c>
      <c r="AP167" s="66">
        <v>0</v>
      </c>
      <c r="AQ167" s="66">
        <v>0.4</v>
      </c>
      <c r="AR167" s="66">
        <v>0.6</v>
      </c>
      <c r="AS167" s="66">
        <v>0</v>
      </c>
      <c r="AT167" s="66">
        <v>0.26</v>
      </c>
      <c r="AU167" s="66">
        <v>0.53</v>
      </c>
      <c r="AV167" s="66">
        <v>0.56999999999999995</v>
      </c>
      <c r="AW167" s="349">
        <v>51</v>
      </c>
      <c r="AX167" s="348" t="s">
        <v>910</v>
      </c>
      <c r="AY167" s="349">
        <v>10</v>
      </c>
      <c r="AZ167" s="348" t="s">
        <v>910</v>
      </c>
      <c r="BA167" s="371">
        <v>0.06</v>
      </c>
      <c r="BB167" s="371">
        <v>0.37</v>
      </c>
      <c r="BC167" s="371">
        <v>0.54</v>
      </c>
      <c r="BD167" s="371">
        <v>0.03</v>
      </c>
      <c r="BE167" s="371">
        <v>0.28999999999999998</v>
      </c>
      <c r="BF167" s="371">
        <v>0.5</v>
      </c>
      <c r="BG167" s="371">
        <v>0.51</v>
      </c>
      <c r="BH167" s="469">
        <v>55</v>
      </c>
      <c r="BI167" s="471" t="s">
        <v>910</v>
      </c>
      <c r="BJ167" s="469">
        <v>9</v>
      </c>
      <c r="BK167" s="471" t="s">
        <v>910</v>
      </c>
      <c r="BL167" s="501">
        <v>0</v>
      </c>
      <c r="BM167" s="501">
        <v>0.27</v>
      </c>
      <c r="BN167" s="501">
        <v>0.68</v>
      </c>
      <c r="BO167" s="501">
        <v>0.05</v>
      </c>
      <c r="BP167" s="501">
        <v>0.51</v>
      </c>
      <c r="BQ167" s="501">
        <v>0.46</v>
      </c>
      <c r="BR167" s="501">
        <v>0.32</v>
      </c>
      <c r="BS167" s="630">
        <v>56</v>
      </c>
      <c r="BT167" s="640" t="s">
        <v>910</v>
      </c>
      <c r="BU167" s="630">
        <v>9</v>
      </c>
      <c r="BV167" s="640" t="s">
        <v>910</v>
      </c>
      <c r="BW167" s="644">
        <v>0</v>
      </c>
      <c r="BX167" s="644">
        <v>0.23</v>
      </c>
      <c r="BY167" s="644">
        <v>0.7</v>
      </c>
      <c r="BZ167" s="644">
        <v>7.0000000000000007E-2</v>
      </c>
      <c r="CA167" s="644">
        <v>0.49</v>
      </c>
      <c r="CB167" s="644">
        <v>0.26</v>
      </c>
      <c r="CC167" s="644">
        <v>0.55000000000000004</v>
      </c>
    </row>
    <row r="169" spans="1:81" x14ac:dyDescent="0.25">
      <c r="D169" s="21">
        <f>AVERAGE(D36:D167)</f>
        <v>52.215686274509807</v>
      </c>
      <c r="E169" s="21">
        <f>AVERAGE(E36:E167)</f>
        <v>8.5588235294117645</v>
      </c>
      <c r="F169" s="21"/>
      <c r="G169" s="21"/>
      <c r="H169" s="21"/>
      <c r="I169" s="21"/>
      <c r="J169" s="21"/>
      <c r="K169" s="21"/>
      <c r="L169" s="21"/>
      <c r="M169" s="21">
        <f>AVERAGE(M36:M167)</f>
        <v>51.892156862745097</v>
      </c>
      <c r="N169" s="21">
        <f>AVERAGE(N36:N167)</f>
        <v>9.2549019607843146</v>
      </c>
      <c r="O169" s="21"/>
      <c r="P169" s="21"/>
      <c r="Q169" s="21"/>
      <c r="R169" s="21"/>
      <c r="S169" s="21"/>
      <c r="T169" s="21"/>
      <c r="U169" s="21"/>
      <c r="V169" s="21">
        <f>AVERAGE(V36:V167)</f>
        <v>52.543689320388353</v>
      </c>
      <c r="W169" s="21">
        <f>AVERAGE(W36:W167)</f>
        <v>8.7864077669902905</v>
      </c>
      <c r="X169" s="21"/>
      <c r="Y169" s="21"/>
      <c r="Z169" s="21"/>
      <c r="AA169" s="21"/>
      <c r="AB169" s="21"/>
      <c r="AC169" s="21"/>
      <c r="AD169" s="21"/>
      <c r="AE169" s="21">
        <f>AVERAGE(AE36:AE167)</f>
        <v>53.133333333333333</v>
      </c>
      <c r="AF169" s="21">
        <f>AVERAGE(AF36:AF167)</f>
        <v>9.2095238095238088</v>
      </c>
      <c r="AG169" s="21"/>
      <c r="AH169" s="21"/>
      <c r="AI169" s="21"/>
      <c r="AJ169" s="21"/>
      <c r="AK169" s="21"/>
      <c r="AL169" s="21"/>
      <c r="AM169" s="21"/>
    </row>
    <row r="172" spans="1:81" ht="12.75" customHeight="1" x14ac:dyDescent="0.25">
      <c r="D172" s="740" t="s">
        <v>259</v>
      </c>
      <c r="E172" s="741"/>
      <c r="F172" s="741"/>
      <c r="G172" s="741"/>
      <c r="H172" s="741"/>
      <c r="I172" s="741"/>
      <c r="J172" s="741"/>
      <c r="K172" s="741"/>
      <c r="L172" s="741"/>
      <c r="M172" s="741"/>
      <c r="N172" s="741"/>
      <c r="O172" s="741"/>
      <c r="P172" s="741"/>
      <c r="V172" s="736" t="s">
        <v>259</v>
      </c>
      <c r="W172" s="737"/>
      <c r="X172" s="737"/>
      <c r="Y172" s="737"/>
      <c r="Z172" s="737"/>
      <c r="AA172" s="737"/>
      <c r="AB172" s="737"/>
      <c r="AC172" s="113"/>
      <c r="AD172" s="113"/>
      <c r="AE172" s="113"/>
      <c r="AF172" s="113"/>
      <c r="AG172" s="113"/>
      <c r="AH172" s="113"/>
      <c r="AI172" s="113"/>
      <c r="AJ172" s="113"/>
      <c r="AK172" s="113"/>
      <c r="AL172" s="113"/>
      <c r="AM172" s="113"/>
      <c r="AN172" s="113"/>
      <c r="AO172" s="24"/>
      <c r="AP172" s="24"/>
      <c r="AQ172" s="24"/>
      <c r="AR172" s="24"/>
      <c r="AS172" s="24"/>
      <c r="AT172" s="24"/>
      <c r="AU172" s="24"/>
      <c r="AV172" s="24"/>
    </row>
    <row r="173" spans="1:81" x14ac:dyDescent="0.25">
      <c r="D173" s="876"/>
      <c r="E173" s="733">
        <v>2016</v>
      </c>
      <c r="F173" s="735"/>
      <c r="G173" s="735">
        <v>2017</v>
      </c>
      <c r="H173" s="735"/>
      <c r="I173" s="735">
        <v>2018</v>
      </c>
      <c r="J173" s="735"/>
      <c r="K173" s="735">
        <v>2019</v>
      </c>
      <c r="L173" s="735"/>
      <c r="M173" s="735">
        <v>2020</v>
      </c>
      <c r="N173" s="735"/>
      <c r="O173" s="735">
        <v>2021</v>
      </c>
      <c r="P173" s="735"/>
      <c r="Q173" s="735">
        <v>2022</v>
      </c>
      <c r="R173" s="735"/>
      <c r="S173" s="735">
        <v>2023</v>
      </c>
      <c r="T173" s="735"/>
      <c r="V173" s="40"/>
      <c r="W173" s="40">
        <v>2016</v>
      </c>
      <c r="X173" s="41">
        <v>2017</v>
      </c>
      <c r="Y173" s="40">
        <v>2018</v>
      </c>
      <c r="Z173" s="40">
        <v>2019</v>
      </c>
      <c r="AA173" s="59">
        <v>2020</v>
      </c>
      <c r="AB173" s="431">
        <v>2021</v>
      </c>
      <c r="AC173" s="675">
        <v>2022</v>
      </c>
      <c r="AD173" s="675">
        <v>2023</v>
      </c>
      <c r="AE173" s="113"/>
      <c r="AF173" s="113">
        <v>2019</v>
      </c>
      <c r="AG173" s="113"/>
      <c r="AH173" s="113"/>
      <c r="AI173" s="113"/>
      <c r="AJ173" s="113"/>
      <c r="AK173" s="113"/>
      <c r="AL173" s="113"/>
      <c r="AM173" s="113"/>
      <c r="AN173" s="113"/>
      <c r="AO173" s="24"/>
      <c r="AP173" s="24"/>
      <c r="AQ173" s="24"/>
      <c r="AR173" s="24"/>
      <c r="AS173" s="24"/>
      <c r="AT173" s="24"/>
      <c r="AU173" s="24"/>
      <c r="AV173" s="24"/>
    </row>
    <row r="174" spans="1:81" x14ac:dyDescent="0.25">
      <c r="D174" s="872"/>
      <c r="E174" s="23" t="s">
        <v>219</v>
      </c>
      <c r="F174" s="23" t="s">
        <v>253</v>
      </c>
      <c r="G174" s="23" t="s">
        <v>219</v>
      </c>
      <c r="H174" s="23" t="s">
        <v>253</v>
      </c>
      <c r="I174" s="23" t="s">
        <v>219</v>
      </c>
      <c r="J174" s="23" t="s">
        <v>253</v>
      </c>
      <c r="K174" s="23" t="s">
        <v>219</v>
      </c>
      <c r="L174" s="23" t="s">
        <v>253</v>
      </c>
      <c r="M174" s="56" t="s">
        <v>219</v>
      </c>
      <c r="N174" s="58" t="s">
        <v>253</v>
      </c>
      <c r="O174" s="432" t="s">
        <v>219</v>
      </c>
      <c r="P174" s="430" t="s">
        <v>253</v>
      </c>
      <c r="Q174" s="678" t="s">
        <v>219</v>
      </c>
      <c r="R174" s="674" t="s">
        <v>253</v>
      </c>
      <c r="S174" s="678" t="s">
        <v>219</v>
      </c>
      <c r="T174" s="674" t="s">
        <v>253</v>
      </c>
      <c r="V174" s="39" t="s">
        <v>246</v>
      </c>
      <c r="W174" s="39">
        <v>51.823529411764703</v>
      </c>
      <c r="X174" s="39">
        <v>51.625</v>
      </c>
      <c r="Y174" s="39">
        <v>51.823529411764703</v>
      </c>
      <c r="Z174" s="39">
        <v>52.647058823529413</v>
      </c>
      <c r="AA174" s="39">
        <v>53.294117647058826</v>
      </c>
      <c r="AB174" s="39">
        <v>52.470588235294116</v>
      </c>
      <c r="AC174" s="39">
        <v>52.444444444444443</v>
      </c>
      <c r="AD174" s="39">
        <v>53.647058823529413</v>
      </c>
      <c r="AE174" s="110"/>
      <c r="AF174" s="110"/>
      <c r="AG174" s="109"/>
      <c r="AH174" s="109"/>
      <c r="AI174" s="109"/>
      <c r="AJ174" s="109"/>
      <c r="AK174" s="109"/>
      <c r="AL174" s="109"/>
      <c r="AM174" s="109"/>
      <c r="AN174" s="110"/>
      <c r="AO174" s="24"/>
      <c r="AU174" s="24"/>
      <c r="AV174" s="24"/>
    </row>
    <row r="175" spans="1:81" x14ac:dyDescent="0.25">
      <c r="D175" s="5" t="s">
        <v>0</v>
      </c>
      <c r="E175" s="32">
        <v>52</v>
      </c>
      <c r="F175" s="32">
        <v>9</v>
      </c>
      <c r="G175" s="32">
        <v>52</v>
      </c>
      <c r="H175" s="33">
        <v>8</v>
      </c>
      <c r="I175" s="32">
        <v>52</v>
      </c>
      <c r="J175" s="33">
        <v>9</v>
      </c>
      <c r="K175" s="32">
        <v>53</v>
      </c>
      <c r="L175" s="32">
        <v>10</v>
      </c>
      <c r="M175" s="32">
        <v>53</v>
      </c>
      <c r="N175" s="32">
        <v>10</v>
      </c>
      <c r="O175" s="32">
        <v>52</v>
      </c>
      <c r="P175" s="32">
        <v>10</v>
      </c>
      <c r="Q175" s="32">
        <v>52</v>
      </c>
      <c r="R175" s="32">
        <v>10</v>
      </c>
      <c r="S175" s="32">
        <v>52</v>
      </c>
      <c r="T175" s="32">
        <v>10</v>
      </c>
      <c r="V175" s="39" t="s">
        <v>247</v>
      </c>
      <c r="W175" s="39">
        <v>52.6</v>
      </c>
      <c r="X175" s="39">
        <v>52.157894736842103</v>
      </c>
      <c r="Y175" s="39">
        <v>52.842105263157897</v>
      </c>
      <c r="Z175" s="39">
        <v>53.75</v>
      </c>
      <c r="AA175" s="39">
        <v>52.791666666666664</v>
      </c>
      <c r="AB175" s="39">
        <v>52.18181818181818</v>
      </c>
      <c r="AC175" s="39">
        <v>53.96</v>
      </c>
      <c r="AD175" s="39">
        <v>52.807692307692307</v>
      </c>
      <c r="AE175" s="110"/>
      <c r="AF175" s="110"/>
      <c r="AG175" s="111"/>
      <c r="AH175" s="111"/>
      <c r="AI175" s="111"/>
      <c r="AJ175" s="111"/>
      <c r="AK175" s="111"/>
      <c r="AL175" s="111"/>
      <c r="AM175" s="111"/>
      <c r="AN175" s="110"/>
      <c r="AO175" s="24"/>
      <c r="AU175" s="24"/>
      <c r="AV175" s="24"/>
    </row>
    <row r="176" spans="1:81" x14ac:dyDescent="0.25">
      <c r="D176" s="39" t="s">
        <v>246</v>
      </c>
      <c r="E176" s="39">
        <f>AVERAGEIF(C36:C167,"=1",D36:D167)</f>
        <v>51.823529411764703</v>
      </c>
      <c r="F176" s="39">
        <f>AVERAGEIF(C36:C167,"=1",E36:E167)</f>
        <v>9</v>
      </c>
      <c r="G176" s="39">
        <f>AVERAGEIF(C36:C167,"=1",M36:M167)</f>
        <v>51.625</v>
      </c>
      <c r="H176" s="39">
        <f>AVERAGEIF(C36:C167,"=1",N36:N167)</f>
        <v>9.0625</v>
      </c>
      <c r="I176" s="39">
        <f>AVERAGEIF(C36:C167,"=1",V36:V167)</f>
        <v>51.823529411764703</v>
      </c>
      <c r="J176" s="39">
        <f>AVERAGEIF(C36:C167,"=1",W36:W167)</f>
        <v>8.9411764705882355</v>
      </c>
      <c r="K176" s="39">
        <f>AVERAGEIF(C36:C167,"=1",AE36:AE167)</f>
        <v>52.647058823529413</v>
      </c>
      <c r="L176" s="39">
        <f>AVERAGEIF(C36:C167,"=1",AF36:AF167)</f>
        <v>9.235294117647058</v>
      </c>
      <c r="M176" s="39">
        <f>AVERAGEIF($C$36:$C$167,"=1",$AN$36:$AN$167)</f>
        <v>53.294117647058826</v>
      </c>
      <c r="N176" s="39">
        <f>AVERAGEIF($C$36:$C$167,"=1",$AO$36:$AO$167)</f>
        <v>9.117647058823529</v>
      </c>
      <c r="O176" s="39">
        <f>AVERAGEIF($C$36:$C$167,"=1",$AW$36:$AW$167)</f>
        <v>52.470588235294116</v>
      </c>
      <c r="P176" s="39">
        <f>AVERAGEIF($C$36:$C$167,"=1",$AY$36:$AY$167)</f>
        <v>8.8235294117647065</v>
      </c>
      <c r="Q176" s="39">
        <f>AVERAGEIF($C$36:$C$167,"=1",$BH$36:$BH$167)</f>
        <v>52.444444444444443</v>
      </c>
      <c r="R176" s="39">
        <f>AVERAGEIF($C$36:$C$167,"=1",$BJ$36:$BJ$167)</f>
        <v>9.2777777777777786</v>
      </c>
      <c r="S176" s="39">
        <f>AVERAGEIF($C$36:$C$167,"=1",$BS$36:$BS$167)</f>
        <v>53.647058823529413</v>
      </c>
      <c r="T176" s="39">
        <f>AVERAGEIF($C$36:$C$167,"=1",$BU$36:$BU$167)</f>
        <v>9.117647058823529</v>
      </c>
      <c r="V176" s="39" t="s">
        <v>248</v>
      </c>
      <c r="W176" s="39">
        <v>53.25</v>
      </c>
      <c r="X176" s="39">
        <v>52.058823529411768</v>
      </c>
      <c r="Y176" s="39">
        <v>52.823529411764703</v>
      </c>
      <c r="Z176" s="39">
        <v>53</v>
      </c>
      <c r="AA176" s="39">
        <v>53.94736842105263</v>
      </c>
      <c r="AB176" s="39">
        <v>52.6</v>
      </c>
      <c r="AC176" s="39">
        <v>53.81818181818182</v>
      </c>
      <c r="AD176" s="39">
        <v>53.772727272727273</v>
      </c>
      <c r="AE176" s="110"/>
      <c r="AF176" s="110"/>
      <c r="AG176" s="112"/>
      <c r="AH176" s="112"/>
      <c r="AI176" s="112"/>
      <c r="AJ176" s="112"/>
      <c r="AK176" s="112"/>
      <c r="AL176" s="112"/>
      <c r="AM176" s="112"/>
      <c r="AN176" s="110"/>
      <c r="AO176" s="24"/>
      <c r="AU176" s="24"/>
      <c r="AV176" s="24"/>
    </row>
    <row r="177" spans="4:48" x14ac:dyDescent="0.25">
      <c r="D177" s="39" t="s">
        <v>247</v>
      </c>
      <c r="E177" s="39">
        <f>AVERAGEIF(C36:C167,"=2",D36:D167)</f>
        <v>52.6</v>
      </c>
      <c r="F177" s="39">
        <f>AVERAGEIF(C36:C167,"=2",E36:E167)</f>
        <v>8.65</v>
      </c>
      <c r="G177" s="39">
        <f>AVERAGEIF(C36:C167,"=2",M36:M167)</f>
        <v>52.157894736842103</v>
      </c>
      <c r="H177" s="39">
        <f>AVERAGEIF(C36:C167,"=2",N36:N167)</f>
        <v>9.2631578947368425</v>
      </c>
      <c r="I177" s="39">
        <f>AVERAGEIF(C36:C167,"=2",V36:V167)</f>
        <v>52.842105263157897</v>
      </c>
      <c r="J177" s="39">
        <f>AVERAGEIF(C36:C167,"=2",W36:W167)</f>
        <v>8.6315789473684212</v>
      </c>
      <c r="K177" s="39">
        <f>AVERAGEIF(C36:C167,"=2",AE36:AE167)</f>
        <v>53.75</v>
      </c>
      <c r="L177" s="39">
        <f>AVERAGEIF(C36:C167,"=2",AF36:AF167)</f>
        <v>9.1</v>
      </c>
      <c r="M177" s="39">
        <f>AVERAGEIF($C$36:$C$167,"=2",$AN$36:$AN$167)</f>
        <v>52.791666666666664</v>
      </c>
      <c r="N177" s="39">
        <f>AVERAGEIF($C$36:$C$167,"=2",$AO$36:$AO$167)</f>
        <v>7.833333333333333</v>
      </c>
      <c r="O177" s="39">
        <f>AVERAGEIF($C$36:$C$167,"=2",$AW$36:$AW$167)</f>
        <v>52.18181818181818</v>
      </c>
      <c r="P177" s="39">
        <f>AVERAGEIF($C$36:$C$167,"=2",$AY$36:$AY$167)</f>
        <v>8</v>
      </c>
      <c r="Q177" s="39">
        <f>AVERAGEIF($C$36:$C$167,"=2",$BH$36:$BH$167)</f>
        <v>53.96</v>
      </c>
      <c r="R177" s="39">
        <f>AVERAGEIF($C$36:$C$167,"=2",$BJ$36:$BJ$167)</f>
        <v>9.48</v>
      </c>
      <c r="S177" s="39">
        <f>AVERAGEIF($C$36:$C$167,"=2",$BS$36:$BS$167)</f>
        <v>52.807692307692307</v>
      </c>
      <c r="T177" s="39">
        <f>AVERAGEIF($C$36:$C$167,"=2",$BU$36:$BU$167)</f>
        <v>8.8076923076923084</v>
      </c>
      <c r="V177" s="39" t="s">
        <v>249</v>
      </c>
      <c r="W177" s="39">
        <v>48.357142857142854</v>
      </c>
      <c r="X177" s="39">
        <v>49.666666666666664</v>
      </c>
      <c r="Y177" s="39">
        <v>50.466666666666669</v>
      </c>
      <c r="Z177" s="39">
        <v>49.714285714285715</v>
      </c>
      <c r="AA177" s="39">
        <v>49.153846153846153</v>
      </c>
      <c r="AB177" s="39">
        <v>48.5</v>
      </c>
      <c r="AC177" s="39">
        <v>50.714285714285715</v>
      </c>
      <c r="AD177" s="39">
        <v>49.93333333333333</v>
      </c>
      <c r="AE177" s="110"/>
      <c r="AF177" s="110"/>
      <c r="AG177" s="112"/>
      <c r="AH177" s="112"/>
      <c r="AI177" s="112"/>
      <c r="AJ177" s="112"/>
      <c r="AK177" s="112"/>
      <c r="AL177" s="112"/>
      <c r="AM177" s="112"/>
      <c r="AN177" s="110"/>
      <c r="AO177" s="24"/>
      <c r="AU177" s="24"/>
      <c r="AV177" s="24"/>
    </row>
    <row r="178" spans="4:48" x14ac:dyDescent="0.25">
      <c r="D178" s="39" t="s">
        <v>248</v>
      </c>
      <c r="E178" s="39">
        <f>AVERAGEIF(C36:C167,"=3",D36:D167)</f>
        <v>53</v>
      </c>
      <c r="F178" s="39">
        <f>AVERAGEIF(C36:C167,"=3",E36:E167)</f>
        <v>8.6666666666666661</v>
      </c>
      <c r="G178" s="39">
        <f>AVERAGEIF(C36:C167,"=3",M36:M167)</f>
        <v>51.89473684210526</v>
      </c>
      <c r="H178" s="39">
        <f>AVERAGEIF(C36:C167,"=3",N36:N167)</f>
        <v>9.2105263157894743</v>
      </c>
      <c r="I178" s="39">
        <f>AVERAGEIF(C36:C167,"=3",V36:V167)</f>
        <v>52.684210526315788</v>
      </c>
      <c r="J178" s="39">
        <f>AVERAGEIF(C36:C167,"=3",W36:W167)</f>
        <v>9.2105263157894743</v>
      </c>
      <c r="K178" s="39">
        <f>AVERAGEIF(C36:C167,"=3",AE36:AE167)</f>
        <v>52.789473684210527</v>
      </c>
      <c r="L178" s="39">
        <f>AVERAGEIF(C36:C167,"=3",AF36:AF167)</f>
        <v>9.2105263157894743</v>
      </c>
      <c r="M178" s="39">
        <f>AVERAGEIF($C$36:$C$167,"=3",$AN$36:$AN$167)</f>
        <v>53.9</v>
      </c>
      <c r="N178" s="39">
        <f>AVERAGEIF($C$36:$C$167,"=3",$AO$36:$AO$167)</f>
        <v>8.65</v>
      </c>
      <c r="O178" s="39">
        <f>AVERAGEIF($C$36:$C$167,"=3",$AW$36:$AW$167)</f>
        <v>52.6</v>
      </c>
      <c r="P178" s="39">
        <f>AVERAGEIF($C$36:$C$167,"=3",$AY$36:$AY$167)</f>
        <v>8.5500000000000007</v>
      </c>
      <c r="Q178" s="39">
        <f>AVERAGEIF($C$36:$C$167,"=3",$BH$36:$BH$167)</f>
        <v>53.81818181818182</v>
      </c>
      <c r="R178" s="39">
        <f>AVERAGEIF($C$36:$C$167,"=3",$BJ$36:$BJ$167)</f>
        <v>9.5</v>
      </c>
      <c r="S178" s="39">
        <f>AVERAGEIF($C$36:$C$167,"=3",$BS$36:$BS$167)</f>
        <v>53.772727272727273</v>
      </c>
      <c r="T178" s="39">
        <f>AVERAGEIF($C$36:$C$167,"=3",$BU$36:$BU$167)</f>
        <v>9.8636363636363633</v>
      </c>
      <c r="V178" s="39" t="s">
        <v>250</v>
      </c>
      <c r="W178" s="39">
        <v>54.470588235294116</v>
      </c>
      <c r="X178" s="39">
        <v>54.705882352941174</v>
      </c>
      <c r="Y178" s="39">
        <v>54.777777777777779</v>
      </c>
      <c r="Z178" s="39">
        <v>55.368421052631582</v>
      </c>
      <c r="AA178" s="39">
        <v>55.944444444444443</v>
      </c>
      <c r="AB178" s="39">
        <v>54.277777777777779</v>
      </c>
      <c r="AC178" s="39">
        <v>55.882352941176471</v>
      </c>
      <c r="AD178" s="39">
        <v>55.823529411764703</v>
      </c>
      <c r="AE178" s="110"/>
      <c r="AF178" s="110"/>
      <c r="AG178" s="112"/>
      <c r="AH178" s="112"/>
      <c r="AI178" s="112"/>
      <c r="AJ178" s="112"/>
      <c r="AK178" s="112"/>
      <c r="AL178" s="112"/>
      <c r="AM178" s="112"/>
      <c r="AN178" s="110"/>
      <c r="AO178" s="24"/>
      <c r="AU178" s="24"/>
      <c r="AV178" s="24"/>
    </row>
    <row r="179" spans="4:48" x14ac:dyDescent="0.25">
      <c r="D179" s="39" t="s">
        <v>249</v>
      </c>
      <c r="E179" s="39">
        <f>AVERAGEIF(C36:C167,"=4",D36:D167)</f>
        <v>48.357142857142854</v>
      </c>
      <c r="F179" s="39">
        <f>AVERAGEIF(C36:C167,"=4",E36:E167)</f>
        <v>8.7857142857142865</v>
      </c>
      <c r="G179" s="39">
        <f>AVERAGEIF(C36:C167,"=4",M36:M167)</f>
        <v>49.666666666666664</v>
      </c>
      <c r="H179" s="39">
        <f>AVERAGEIF(C36:C167,"=4",N36:N167)</f>
        <v>8.6666666666666661</v>
      </c>
      <c r="I179" s="39">
        <f>AVERAGEIF(C36:C167,"=4",V36:V167)</f>
        <v>50.466666666666669</v>
      </c>
      <c r="J179" s="39">
        <f>AVERAGEIF(C36:C167,"=4",W36:W167)</f>
        <v>8.7333333333333325</v>
      </c>
      <c r="K179" s="39">
        <f>AVERAGEIF(C36:C167,"=4",AE36:AE167)</f>
        <v>49.714285714285715</v>
      </c>
      <c r="L179" s="39">
        <f>AVERAGEIF(C36:C167,"=4",AF36:AF167)</f>
        <v>8.7857142857142865</v>
      </c>
      <c r="M179" s="39">
        <f>AVERAGEIF($C$36:$C$167,"=4",$AN$36:$AN$167)</f>
        <v>49.153846153846153</v>
      </c>
      <c r="N179" s="39">
        <f>AVERAGEIF($C$36:$C$167,"=4",$AO$36:$AO$167)</f>
        <v>9.1538461538461533</v>
      </c>
      <c r="O179" s="39">
        <f>AVERAGEIF($C$36:$C$167,"=4",$AW$36:$AW$167)</f>
        <v>48.5</v>
      </c>
      <c r="P179" s="39">
        <f>AVERAGEIF($C$36:$C$167,"=4",$AY$36:$AY$167)</f>
        <v>8.5714285714285712</v>
      </c>
      <c r="Q179" s="39">
        <f>AVERAGEIF($C$36:$C$167,"=4",$BH$36:$BH$167)</f>
        <v>50.714285714285715</v>
      </c>
      <c r="R179" s="39">
        <f>AVERAGEIF($C$36:$C$167,"=4",$BJ$36:$BJ$167)</f>
        <v>9.5714285714285712</v>
      </c>
      <c r="S179" s="39">
        <f>AVERAGEIF($C$36:$C$167,"=4",$BS$36:$BS$167)</f>
        <v>49.93333333333333</v>
      </c>
      <c r="T179" s="39">
        <f>AVERAGEIF($C$36:$C$167,"=4",$BU$36:$BU$167)</f>
        <v>9.6666666666666661</v>
      </c>
      <c r="V179" s="39" t="s">
        <v>251</v>
      </c>
      <c r="W179" s="39">
        <v>52.266666666666666</v>
      </c>
      <c r="X179" s="39">
        <v>51</v>
      </c>
      <c r="Y179" s="39">
        <v>52.142857142857146</v>
      </c>
      <c r="Z179" s="39">
        <v>53.6</v>
      </c>
      <c r="AA179" s="39">
        <v>52.117647058823529</v>
      </c>
      <c r="AB179" s="39">
        <v>51.6875</v>
      </c>
      <c r="AC179" s="39">
        <v>52.05263157894737</v>
      </c>
      <c r="AD179" s="39">
        <v>53.5</v>
      </c>
      <c r="AE179" s="110"/>
      <c r="AF179" s="110"/>
      <c r="AG179" s="112"/>
      <c r="AH179" s="112"/>
      <c r="AI179" s="112"/>
      <c r="AJ179" s="112"/>
      <c r="AK179" s="112"/>
      <c r="AL179" s="112"/>
      <c r="AM179" s="112"/>
      <c r="AN179" s="110"/>
      <c r="AO179" s="24"/>
      <c r="AU179" s="24"/>
      <c r="AV179" s="24"/>
    </row>
    <row r="180" spans="4:48" x14ac:dyDescent="0.25">
      <c r="D180" s="39" t="s">
        <v>250</v>
      </c>
      <c r="E180" s="39">
        <f>AVERAGEIF(C36:C167,"=5",D36:D167)</f>
        <v>54.470588235294116</v>
      </c>
      <c r="F180" s="39">
        <f>AVERAGEIF(C36:C167,"=5",E36:E167)</f>
        <v>8.2941176470588243</v>
      </c>
      <c r="G180" s="39">
        <f>AVERAGEIF(C36:C167,"=5",M36:M167)</f>
        <v>54.705882352941174</v>
      </c>
      <c r="H180" s="39">
        <f>AVERAGEIF(C36:C167,"=5",N36:N167)</f>
        <v>9.4705882352941178</v>
      </c>
      <c r="I180" s="39">
        <f>AVERAGEIF(C36:C167,"=5",V36:V167)</f>
        <v>54.777777777777779</v>
      </c>
      <c r="J180" s="39">
        <f>AVERAGEIF(C36:C167,"=5",W36:W167)</f>
        <v>8.4444444444444446</v>
      </c>
      <c r="K180" s="39">
        <f>AVERAGEIF(C36:C167,"=5",AE36:AE167)</f>
        <v>55.368421052631582</v>
      </c>
      <c r="L180" s="39">
        <f>AVERAGEIF(C36:C167,"=5",AF36:AF167)</f>
        <v>8.526315789473685</v>
      </c>
      <c r="M180" s="39">
        <f>AVERAGEIF($C$36:$C$167,"=5",$AN$36:$AN$167)</f>
        <v>55.944444444444443</v>
      </c>
      <c r="N180" s="39">
        <f>AVERAGEIF($C$36:$C$167,"=5",$AO$36:$AO$167)</f>
        <v>9.0555555555555554</v>
      </c>
      <c r="O180" s="39">
        <f>AVERAGEIF($C$36:$C$167,"=5",$AW$36:$AW$167)</f>
        <v>54.277777777777779</v>
      </c>
      <c r="P180" s="39">
        <f>AVERAGEIF($C$36:$C$167,"=5",$AY$36:$AY$167)</f>
        <v>9</v>
      </c>
      <c r="Q180" s="39">
        <f>AVERAGEIF($C$36:$C$167,"=5",$BH$36:$BH$167)</f>
        <v>55.882352941176471</v>
      </c>
      <c r="R180" s="39">
        <f>AVERAGEIF($C$36:$C$167,"=5",$BJ$36:$BJ$167)</f>
        <v>9.117647058823529</v>
      </c>
      <c r="S180" s="39">
        <f>AVERAGEIF($C$36:$C$167,"=5",$BS$36:$BS$167)</f>
        <v>55.823529411764703</v>
      </c>
      <c r="T180" s="39">
        <f>AVERAGEIF($C$36:$C$167,"=5",$BU$36:$BU$167)</f>
        <v>9.1764705882352935</v>
      </c>
      <c r="U180" s="112"/>
      <c r="V180" s="110"/>
      <c r="W180" s="110"/>
      <c r="X180" s="112"/>
      <c r="Y180" s="112"/>
      <c r="Z180" s="112"/>
      <c r="AA180" s="112"/>
      <c r="AB180" s="112"/>
      <c r="AC180" s="112"/>
      <c r="AD180" s="112"/>
      <c r="AE180" s="110"/>
      <c r="AF180" s="110"/>
      <c r="AG180" s="112"/>
      <c r="AH180" s="112"/>
      <c r="AI180" s="112"/>
      <c r="AJ180" s="112"/>
      <c r="AK180" s="112"/>
      <c r="AL180" s="112"/>
      <c r="AM180" s="112"/>
      <c r="AN180" s="110"/>
      <c r="AO180" s="24"/>
      <c r="AU180" s="24"/>
      <c r="AV180" s="24"/>
    </row>
    <row r="181" spans="4:48" x14ac:dyDescent="0.25">
      <c r="D181" s="39" t="s">
        <v>251</v>
      </c>
      <c r="E181" s="39">
        <f>AVERAGEIF(C36:C167,"=6",D36:D167)</f>
        <v>52.266666666666666</v>
      </c>
      <c r="F181" s="39">
        <f>AVERAGEIF(C36:C167,"=6",E36:E167)</f>
        <v>7.8666666666666663</v>
      </c>
      <c r="G181" s="39">
        <f>AVERAGEIF(C36:C167,"=6",M36:M167)</f>
        <v>51</v>
      </c>
      <c r="H181" s="39">
        <f>AVERAGEIF(C36:C167,"=6",N36:N167)</f>
        <v>9.8666666666666671</v>
      </c>
      <c r="I181" s="39">
        <f>AVERAGEIF(C36:C167,"=6",V36:V167)</f>
        <v>52.142857142857146</v>
      </c>
      <c r="J181" s="39">
        <f>AVERAGEIF(C36:C167,"=6",W36:W167)</f>
        <v>8.7142857142857135</v>
      </c>
      <c r="K181" s="39">
        <f>AVERAGEIF(C36:C167,"=6",AE36:AE167)</f>
        <v>53.6</v>
      </c>
      <c r="L181" s="39">
        <f>AVERAGEIF(C36:C167,"=6",AF36:AF167)</f>
        <v>10.6</v>
      </c>
      <c r="M181" s="39">
        <f>AVERAGEIF($C$36:$C$167,"=6",$AN$36:$AN$167)</f>
        <v>52.117647058823529</v>
      </c>
      <c r="N181" s="39">
        <f>AVERAGEIF($C$36:$C$167,"=6",$AO$36:$AO$167)</f>
        <v>8.9411764705882355</v>
      </c>
      <c r="O181" s="39">
        <f>AVERAGEIF($C$36:$C$167,"=6",$AW$36:$AW$167)</f>
        <v>51.647058823529413</v>
      </c>
      <c r="P181" s="39">
        <f>AVERAGEIF($C$36:$C$167,"=6",$AY$36:$AY$167)</f>
        <v>7.5294117647058822</v>
      </c>
      <c r="Q181" s="39">
        <f>AVERAGEIF($C$36:$C$167,"=6",$BH$36:$BH$167)</f>
        <v>52.05263157894737</v>
      </c>
      <c r="R181" s="39">
        <f>AVERAGEIF($C$36:$C$167,"=6",$BJ$36:$BJ$167)</f>
        <v>10.105263157894736</v>
      </c>
      <c r="S181" s="39">
        <f>AVERAGEIF($C$36:$C$167,"=6",$BS$36:$BS$167)</f>
        <v>53.5</v>
      </c>
      <c r="T181" s="39">
        <f>AVERAGEIF($C$36:$C$167,"=6",$BU$36:$BU$167)</f>
        <v>8.85</v>
      </c>
      <c r="U181" s="112"/>
      <c r="V181" s="110"/>
      <c r="W181" s="110"/>
      <c r="X181" s="112"/>
      <c r="Y181" s="112"/>
      <c r="Z181" s="112"/>
      <c r="AA181" s="112"/>
      <c r="AB181" s="112"/>
      <c r="AC181" s="112"/>
      <c r="AD181" s="112"/>
      <c r="AE181" s="110"/>
      <c r="AF181" s="110"/>
      <c r="AG181" s="112"/>
      <c r="AH181" s="112"/>
      <c r="AI181" s="112"/>
      <c r="AJ181" s="112"/>
      <c r="AK181" s="112"/>
      <c r="AL181" s="112"/>
      <c r="AM181" s="112"/>
      <c r="AN181" s="110"/>
      <c r="AO181" s="24"/>
      <c r="AU181" s="24"/>
      <c r="AV181" s="24"/>
    </row>
    <row r="182" spans="4:48" x14ac:dyDescent="0.25">
      <c r="D182" s="24"/>
      <c r="E182" s="24"/>
      <c r="M182" s="24" t="s">
        <v>258</v>
      </c>
      <c r="N182" s="24"/>
      <c r="V182" s="24"/>
      <c r="W182" s="24"/>
      <c r="AE182" s="24"/>
      <c r="AF182" s="24"/>
      <c r="AN182" s="24"/>
      <c r="AO182" s="24"/>
      <c r="AP182" s="24"/>
      <c r="AQ182" s="24"/>
      <c r="AR182" s="24"/>
      <c r="AS182" s="24"/>
      <c r="AT182" s="24"/>
      <c r="AU182" s="24"/>
      <c r="AV182" s="24"/>
    </row>
    <row r="183" spans="4:48" x14ac:dyDescent="0.25">
      <c r="D183" s="24"/>
      <c r="E183" s="24"/>
      <c r="M183" s="24"/>
      <c r="N183" s="24"/>
      <c r="V183" s="24"/>
      <c r="W183" s="24"/>
      <c r="AE183" s="24"/>
      <c r="AF183" s="24"/>
      <c r="AN183" s="24"/>
      <c r="AO183" s="24"/>
      <c r="AP183" s="24"/>
      <c r="AQ183" s="24"/>
      <c r="AR183" s="24"/>
      <c r="AS183" s="24"/>
      <c r="AT183" s="24"/>
      <c r="AU183" s="24"/>
      <c r="AV183" s="24"/>
    </row>
    <row r="184" spans="4:48" x14ac:dyDescent="0.25">
      <c r="D184" s="40"/>
      <c r="E184" s="733">
        <v>2016</v>
      </c>
      <c r="F184" s="735"/>
      <c r="G184" s="735"/>
      <c r="H184" s="735"/>
      <c r="I184" s="733">
        <v>2017</v>
      </c>
      <c r="J184" s="735"/>
      <c r="K184" s="735"/>
      <c r="L184" s="735"/>
      <c r="M184" s="733">
        <v>2018</v>
      </c>
      <c r="N184" s="735"/>
      <c r="O184" s="735"/>
      <c r="P184" s="734"/>
      <c r="Q184" s="733">
        <v>2019</v>
      </c>
      <c r="R184" s="735"/>
      <c r="S184" s="735"/>
      <c r="T184" s="735"/>
      <c r="U184" s="733">
        <v>2020</v>
      </c>
      <c r="V184" s="735"/>
      <c r="W184" s="735"/>
      <c r="X184" s="735"/>
      <c r="Y184" s="733">
        <v>2021</v>
      </c>
      <c r="Z184" s="735"/>
      <c r="AA184" s="735"/>
      <c r="AB184" s="735"/>
      <c r="AC184" s="733">
        <v>2022</v>
      </c>
      <c r="AD184" s="735"/>
      <c r="AE184" s="735"/>
      <c r="AF184" s="735"/>
      <c r="AG184" s="733">
        <v>2023</v>
      </c>
      <c r="AH184" s="735"/>
      <c r="AI184" s="735"/>
      <c r="AJ184" s="735"/>
      <c r="AK184" s="113"/>
      <c r="AL184" s="113"/>
      <c r="AM184" s="113"/>
      <c r="AN184" s="113"/>
    </row>
    <row r="185" spans="4:48" x14ac:dyDescent="0.25">
      <c r="D185" s="40"/>
      <c r="E185" s="733" t="s">
        <v>254</v>
      </c>
      <c r="F185" s="735"/>
      <c r="G185" s="733" t="s">
        <v>255</v>
      </c>
      <c r="H185" s="735"/>
      <c r="I185" s="733" t="s">
        <v>254</v>
      </c>
      <c r="J185" s="735"/>
      <c r="K185" s="733" t="s">
        <v>255</v>
      </c>
      <c r="L185" s="735"/>
      <c r="M185" s="733" t="s">
        <v>254</v>
      </c>
      <c r="N185" s="734"/>
      <c r="O185" s="733" t="s">
        <v>255</v>
      </c>
      <c r="P185" s="734"/>
      <c r="Q185" s="733" t="s">
        <v>254</v>
      </c>
      <c r="R185" s="734"/>
      <c r="S185" s="733" t="s">
        <v>255</v>
      </c>
      <c r="T185" s="735"/>
      <c r="U185" s="733" t="s">
        <v>254</v>
      </c>
      <c r="V185" s="734"/>
      <c r="W185" s="733" t="s">
        <v>255</v>
      </c>
      <c r="X185" s="735"/>
      <c r="Y185" s="733" t="s">
        <v>254</v>
      </c>
      <c r="Z185" s="734"/>
      <c r="AA185" s="733" t="s">
        <v>255</v>
      </c>
      <c r="AB185" s="735"/>
      <c r="AC185" s="733" t="s">
        <v>254</v>
      </c>
      <c r="AD185" s="734"/>
      <c r="AE185" s="733" t="s">
        <v>255</v>
      </c>
      <c r="AF185" s="735"/>
      <c r="AG185" s="733" t="s">
        <v>254</v>
      </c>
      <c r="AH185" s="734"/>
      <c r="AI185" s="733" t="s">
        <v>255</v>
      </c>
      <c r="AJ185" s="735"/>
      <c r="AK185" s="113"/>
      <c r="AL185" s="113"/>
      <c r="AM185" s="113"/>
      <c r="AN185" s="113"/>
    </row>
    <row r="186" spans="4:48" x14ac:dyDescent="0.25">
      <c r="D186" s="40"/>
      <c r="E186" s="23" t="s">
        <v>219</v>
      </c>
      <c r="F186" s="23" t="s">
        <v>253</v>
      </c>
      <c r="G186" s="23" t="s">
        <v>219</v>
      </c>
      <c r="H186" s="23" t="s">
        <v>253</v>
      </c>
      <c r="I186" s="23" t="s">
        <v>219</v>
      </c>
      <c r="J186" s="23" t="s">
        <v>253</v>
      </c>
      <c r="K186" s="23" t="s">
        <v>219</v>
      </c>
      <c r="L186" s="23" t="s">
        <v>253</v>
      </c>
      <c r="M186" s="23" t="s">
        <v>219</v>
      </c>
      <c r="N186" s="23" t="s">
        <v>253</v>
      </c>
      <c r="O186" s="23" t="s">
        <v>219</v>
      </c>
      <c r="P186" s="23" t="s">
        <v>253</v>
      </c>
      <c r="Q186" s="23" t="s">
        <v>219</v>
      </c>
      <c r="R186" s="23" t="s">
        <v>253</v>
      </c>
      <c r="S186" s="23" t="s">
        <v>219</v>
      </c>
      <c r="T186" s="58" t="s">
        <v>253</v>
      </c>
      <c r="U186" s="56" t="s">
        <v>219</v>
      </c>
      <c r="V186" s="56" t="s">
        <v>253</v>
      </c>
      <c r="W186" s="56" t="s">
        <v>219</v>
      </c>
      <c r="X186" s="58" t="s">
        <v>253</v>
      </c>
      <c r="Y186" s="432" t="s">
        <v>219</v>
      </c>
      <c r="Z186" s="432" t="s">
        <v>253</v>
      </c>
      <c r="AA186" s="432" t="s">
        <v>219</v>
      </c>
      <c r="AB186" s="430" t="s">
        <v>253</v>
      </c>
      <c r="AC186" s="678" t="s">
        <v>219</v>
      </c>
      <c r="AD186" s="678" t="s">
        <v>253</v>
      </c>
      <c r="AE186" s="678" t="s">
        <v>219</v>
      </c>
      <c r="AF186" s="674" t="s">
        <v>253</v>
      </c>
      <c r="AG186" s="678" t="s">
        <v>219</v>
      </c>
      <c r="AH186" s="678" t="s">
        <v>253</v>
      </c>
      <c r="AI186" s="678" t="s">
        <v>219</v>
      </c>
      <c r="AJ186" s="674" t="s">
        <v>253</v>
      </c>
      <c r="AK186" s="109"/>
      <c r="AL186" s="109"/>
      <c r="AM186" s="109"/>
      <c r="AN186" s="110"/>
    </row>
    <row r="187" spans="4:48" x14ac:dyDescent="0.25">
      <c r="D187" s="5" t="s">
        <v>0</v>
      </c>
      <c r="E187" s="19">
        <v>51</v>
      </c>
      <c r="F187" s="19">
        <v>9</v>
      </c>
      <c r="G187" s="19">
        <v>54</v>
      </c>
      <c r="H187" s="19">
        <v>9</v>
      </c>
      <c r="I187" s="10">
        <v>50</v>
      </c>
      <c r="J187" s="19">
        <v>8</v>
      </c>
      <c r="K187" s="19">
        <v>53</v>
      </c>
      <c r="L187" s="19">
        <v>8</v>
      </c>
      <c r="M187" s="42">
        <v>52</v>
      </c>
      <c r="N187" s="42">
        <v>9</v>
      </c>
      <c r="O187" s="42">
        <v>54</v>
      </c>
      <c r="P187" s="42">
        <v>9</v>
      </c>
      <c r="Q187" s="42">
        <v>52</v>
      </c>
      <c r="R187" s="42">
        <v>9</v>
      </c>
      <c r="S187" s="42">
        <v>55</v>
      </c>
      <c r="T187" s="118">
        <v>10</v>
      </c>
      <c r="U187" s="118">
        <v>52</v>
      </c>
      <c r="V187" s="118">
        <v>9</v>
      </c>
      <c r="W187" s="118">
        <v>55</v>
      </c>
      <c r="X187" s="42">
        <v>10</v>
      </c>
      <c r="Y187" s="118">
        <v>52</v>
      </c>
      <c r="Z187" s="118">
        <v>9</v>
      </c>
      <c r="AA187" s="118">
        <v>55</v>
      </c>
      <c r="AB187" s="42">
        <v>10</v>
      </c>
      <c r="AC187" s="118">
        <v>52</v>
      </c>
      <c r="AD187" s="118">
        <v>9</v>
      </c>
      <c r="AE187" s="118">
        <v>55</v>
      </c>
      <c r="AF187" s="42">
        <v>10</v>
      </c>
      <c r="AG187" s="118">
        <v>52</v>
      </c>
      <c r="AH187" s="118">
        <v>9</v>
      </c>
      <c r="AI187" s="118">
        <v>55</v>
      </c>
      <c r="AJ187" s="42">
        <v>10</v>
      </c>
      <c r="AK187" s="114"/>
      <c r="AL187" s="114"/>
      <c r="AM187" s="114"/>
      <c r="AN187" s="110"/>
    </row>
    <row r="188" spans="4:48" x14ac:dyDescent="0.25">
      <c r="D188" s="39" t="s">
        <v>246</v>
      </c>
      <c r="E188" s="39">
        <f>AVERAGEIFS(D$36:D$167,$C$36:$C$167,"=1", $B$36:$B$167,"OFICIAL")</f>
        <v>52.5</v>
      </c>
      <c r="F188" s="39">
        <f>AVERAGEIFS(E36:E167,C36:C167,"=1", B36:B167,"OFICIAL")</f>
        <v>9.5</v>
      </c>
      <c r="G188" s="39">
        <f>AVERAGEIFS(D36:D167,C36:C167,"=1", B36:B167,"NO OFICIAL")</f>
        <v>51.615384615384613</v>
      </c>
      <c r="H188" s="39">
        <f>AVERAGEIFS(E36:E167,C36:C167,"=1", B36:B167,"NO OFICIAL")</f>
        <v>8.8461538461538467</v>
      </c>
      <c r="I188" s="39">
        <f>AVERAGEIFS(M36:M167,C36:C167,"=1", B36:B167,"OFICIAL")</f>
        <v>51.75</v>
      </c>
      <c r="J188" s="39">
        <f>AVERAGEIFS(N36:N167,C36:C167,"=1", B36:B167,"OFICIAL")</f>
        <v>9.25</v>
      </c>
      <c r="K188" s="39">
        <f>AVERAGEIFS(M36:M167,C36:C167,"=1", B36:B167,"NO OFICIAL")</f>
        <v>51.583333333333336</v>
      </c>
      <c r="L188" s="39">
        <f>AVERAGEIFS(N36:N167,C36:C167,"=1", B36:B167,"NO OFICIAL")</f>
        <v>9</v>
      </c>
      <c r="M188" s="39">
        <f>AVERAGEIFS(V36:V167,C36:C167,"=1", B36:B167,"OFICIAL")</f>
        <v>51.75</v>
      </c>
      <c r="N188" s="39">
        <f>AVERAGEIFS(W36:W167,C36:C167,"=1", B36:B167,"OFICIAL")</f>
        <v>8.75</v>
      </c>
      <c r="O188" s="39">
        <f>AVERAGEIFS(V36:V167,C36:C167,"=1", B36:B167,"NO OFICIAL")</f>
        <v>51.846153846153847</v>
      </c>
      <c r="P188" s="39">
        <f>AVERAGEIFS(W36:W167,C36:C167,"=1", B36:B167,"NO OFICIAL")</f>
        <v>9</v>
      </c>
      <c r="Q188" s="39">
        <f>AVERAGEIFS(AE36:AE167,C36:C167,"=1", B36:B167,"OFICIAL")</f>
        <v>52.5</v>
      </c>
      <c r="R188" s="39">
        <f>AVERAGEIFS(AF36:AF167,C36:C167,"=1", B36:B167,"OFICIAL")</f>
        <v>9.5</v>
      </c>
      <c r="S188" s="39">
        <f>AVERAGEIFS(AE36:AE167,C36:C167,"=1", B36:B167,"NO OFICIAL")</f>
        <v>52.692307692307693</v>
      </c>
      <c r="T188" s="108">
        <f>AVERAGEIFS(AF36:AF167,C36:C167,"=1", B36:B167,"NO OFICIAL")</f>
        <v>9.1538461538461533</v>
      </c>
      <c r="U188" s="39">
        <f>AVERAGEIFS($AN$36:$AN$167,$C$36:$C$167,"=1", $B$36:$B$167,"OFICIAL")</f>
        <v>52.5</v>
      </c>
      <c r="V188" s="39">
        <f>AVERAGEIFS($AO$36:$AO$167,$C$36:$C$167,"=1", $B$36:$B$167,"OFICIAL")</f>
        <v>9.25</v>
      </c>
      <c r="W188" s="39">
        <f>AVERAGEIFS($AN$36:$AN$167,$C$36:$C$167,"=1", $B$36:$B$167,"NO OFICIAL")</f>
        <v>53.53846153846154</v>
      </c>
      <c r="X188" s="39">
        <f>AVERAGEIFS($AO$36:$AO$167,$C$36:$C$167,"=1", $B$36:$B$167,"NO OFICIAL")</f>
        <v>9.0769230769230766</v>
      </c>
      <c r="Y188" s="39">
        <f>AVERAGEIFS($AW$36:$AW$167,$C$36:$C$167,"=1", $B$36:$B$167,"OFICIAL")</f>
        <v>51.25</v>
      </c>
      <c r="Z188" s="39">
        <f>AVERAGEIFS($AY$36:$AY$167,$C$36:$C$167,"=1", $B$36:$B$167,"OFICIAL")</f>
        <v>9</v>
      </c>
      <c r="AA188" s="39">
        <f>AVERAGEIFS($AW$36:$AW$167,$C$36:$C$167,"=1", $B$36:$B$167,"NO OFICIAL")</f>
        <v>52.846153846153847</v>
      </c>
      <c r="AB188" s="39">
        <f>AVERAGEIFS($AY$36:$AY$167,$C$36:$C$167,"=1", $B$36:$B$167,"NO OFICIAL")</f>
        <v>8.7692307692307701</v>
      </c>
      <c r="AC188" s="39">
        <f>AVERAGEIFS($BH$36:$BH$167,$C$36:$C$167,"=1", $B$36:$B$167,"OFICIAL")</f>
        <v>51</v>
      </c>
      <c r="AD188" s="39">
        <f>AVERAGEIFS($BJ$36:$BJ$167,$C$36:$C$167,"=1", $B$36:$B$167,"OFICIAL")</f>
        <v>9</v>
      </c>
      <c r="AE188" s="39">
        <f>AVERAGEIFS($BH$36:$BH$167,$C$36:$C$167,"=1", $B$36:$B$167,"NO OFICIAL")</f>
        <v>53</v>
      </c>
      <c r="AF188" s="39">
        <f>AVERAGEIFS($BJ$36:$BJ$167,$C$36:$C$167,"=1", $B$36:$B$167,"NO OFICIAL")</f>
        <v>9.384615384615385</v>
      </c>
      <c r="AG188" s="39">
        <f>AVERAGEIFS($BS$36:$BS$167,$C$36:$C$167,"=1", $B$36:$B$167,"OFICIAL")</f>
        <v>52.2</v>
      </c>
      <c r="AH188" s="39">
        <f>AVERAGEIFS($BU$36:$BU$167,$C$36:$C$167,"=1", $B$36:$B$167,"OFICIAL")</f>
        <v>9.1999999999999993</v>
      </c>
      <c r="AI188" s="39">
        <f>AVERAGEIFS($BS$36:$BS$167,$C$36:$C$167,"=1", $B$36:$B$167,"NO OFICIAL")</f>
        <v>54.25</v>
      </c>
      <c r="AJ188" s="39">
        <f>AVERAGEIFS($BU$36:$BU$167,$C$36:$C$167,"=1", $B$36:$B$167,"NO OFICIAL")</f>
        <v>9.0833333333333339</v>
      </c>
      <c r="AK188" s="112"/>
      <c r="AL188" s="112"/>
      <c r="AM188" s="112"/>
      <c r="AN188" s="110"/>
    </row>
    <row r="189" spans="4:48" x14ac:dyDescent="0.25">
      <c r="D189" s="39" t="s">
        <v>247</v>
      </c>
      <c r="E189" s="39">
        <f>AVERAGEIFS(D36:D167,C36:C167,"=2", B36:B167,"OFICIAL")</f>
        <v>52</v>
      </c>
      <c r="F189" s="39">
        <f>AVERAGEIFS(E36:E167,C36:C167,"=2", B36:B167,"OFICIAL")</f>
        <v>8.5</v>
      </c>
      <c r="G189" s="39">
        <f>AVERAGEIFS(D36:D167,C36:C167,"=2", B36:B167,"NO OFICIAL")</f>
        <v>52.666666666666664</v>
      </c>
      <c r="H189" s="39">
        <f>AVERAGEIFS(E36:E167,C36:C167,"=2", B36:B167,"NO OFICIAL")</f>
        <v>8.6666666666666661</v>
      </c>
      <c r="I189" s="39">
        <f>AVERAGEIFS(M36:M167,C36:C167,"=2", B36:B167,"OFICIAL")</f>
        <v>51</v>
      </c>
      <c r="J189" s="39">
        <f>AVERAGEIFS(N36:N167,C36:C167,"=2", B36:B167,"OFICIAL")</f>
        <v>10</v>
      </c>
      <c r="K189" s="39">
        <f>AVERAGEIFS(M36:M167,C36:C167,"=2", B36:B167,"NO OFICIAL")</f>
        <v>52.294117647058826</v>
      </c>
      <c r="L189" s="39">
        <f>AVERAGEIFS(N36:N167,C36:C167,"=2", B36:B167,"NO OFICIAL")</f>
        <v>9.1764705882352935</v>
      </c>
      <c r="M189" s="39">
        <f>AVERAGEIFS(V36:V167,C36:C167,"=2", B36:B167,"OFICIAL")</f>
        <v>52.5</v>
      </c>
      <c r="N189" s="39">
        <f>AVERAGEIFS(W36:W167,C36:C167,"=2", B36:B167,"OFICIAL")</f>
        <v>9.5</v>
      </c>
      <c r="O189" s="39">
        <f>AVERAGEIFS(V36:V167,C36:C167,"=2", B36:B167,"NO OFICIAL")</f>
        <v>52.882352941176471</v>
      </c>
      <c r="P189" s="39">
        <f>AVERAGEIFS(W36:W167,C36:C167,"=2", B36:B167,"NO OFICIAL")</f>
        <v>8.5294117647058822</v>
      </c>
      <c r="Q189" s="39">
        <f>AVERAGEIFS(AE36:AE167,C36:C167,"=2", B36:B167,"OFICIAL")</f>
        <v>52</v>
      </c>
      <c r="R189" s="39">
        <f>AVERAGEIFS(AF36:AF167,C36:C167,"=2", B36:B167,"OFICIAL")</f>
        <v>10</v>
      </c>
      <c r="S189" s="39">
        <f>AVERAGEIFS(AE36:AE167,C36:C167,"=2", B36:B167,"NO OFICIAL")</f>
        <v>53.944444444444443</v>
      </c>
      <c r="T189" s="108">
        <f>AVERAGEIFS(AF36:AF167,C36:C167,"=2", B36:B167,"NO OFICIAL")</f>
        <v>9</v>
      </c>
      <c r="U189" s="39">
        <f>AVERAGEIFS($AN$36:$AN$167,$C$36:$C$167,"=2", $B$36:$B$167,"OFICIAL")</f>
        <v>52.5</v>
      </c>
      <c r="V189" s="39">
        <f>AVERAGEIFS($AO$36:$AO$167,$C$36:$C$167,"=2", $B$36:$B$167,"OFICIAL")</f>
        <v>9</v>
      </c>
      <c r="W189" s="39">
        <f>AVERAGEIFS($AN$36:$AN$167,$C$36:$C$167,"=2", $B$36:$B$167,"NO OFICIAL")</f>
        <v>52.81818181818182</v>
      </c>
      <c r="X189" s="39">
        <f>AVERAGEIFS($AO$36:$AO$167,$C$36:$C$167,"=2", $B$36:$B$167,"NO OFICIAL")</f>
        <v>7.7272727272727275</v>
      </c>
      <c r="Y189" s="39">
        <f>AVERAGEIFS($AW$36:$AW$167,$C$36:$C$167,"=2", $B$36:$B$167,"OFICIAL")</f>
        <v>50</v>
      </c>
      <c r="Z189" s="39">
        <f>AVERAGEIFS($AY$36:$AY$167,$C$36:$C$167,"=2", $B$36:$B$167,"OFICIAL")</f>
        <v>9</v>
      </c>
      <c r="AA189" s="39">
        <f>AVERAGEIFS($AW$36:$AW$167,$C$36:$C$167,"=2", $B$36:$B$167,"NO OFICIAL")</f>
        <v>52.4</v>
      </c>
      <c r="AB189" s="39">
        <f>AVERAGEIFS($AY$36:$AY$167,$C$36:$C$167,"=2", $B$36:$B$167,"NO OFICIAL")</f>
        <v>7.9</v>
      </c>
      <c r="AC189" s="39">
        <f>AVERAGEIFS($BH$36:$BH$167,$C$36:$C$167,"=2", $B$36:$B$167,"OFICIAL")</f>
        <v>50.75</v>
      </c>
      <c r="AD189" s="39">
        <f>AVERAGEIFS($BJ$36:$BJ$167,$C$36:$C$167,"=2", $B$36:$B$167,"OFICIAL")</f>
        <v>10</v>
      </c>
      <c r="AE189" s="39">
        <f>AVERAGEIFS($BH$36:$BH$167,$C$36:$C$167,"=2", $B$36:$B$167,"NO OFICIAL")</f>
        <v>54.571428571428569</v>
      </c>
      <c r="AF189" s="39">
        <f>AVERAGEIFS($BJ$36:$BJ$167,$C$36:$C$167,"=2", $B$36:$B$167,"NO OFICIAL")</f>
        <v>9.3809523809523814</v>
      </c>
      <c r="AG189" s="39">
        <f>AVERAGEIFS($BS$36:$BS$167,$C$36:$C$167,"=2", $B$36:$B$167,"OFICIAL")</f>
        <v>51.5</v>
      </c>
      <c r="AH189" s="39">
        <f>AVERAGEIFS($BU$36:$BU$167,$C$36:$C$167,"=2", $B$36:$B$167,"OFICIAL")</f>
        <v>9.5</v>
      </c>
      <c r="AI189" s="39">
        <f>AVERAGEIFS($BS$36:$BS$167,$C$36:$C$167,"=2", $B$36:$B$167,"NO OFICIAL")</f>
        <v>53.045454545454547</v>
      </c>
      <c r="AJ189" s="39">
        <f>AVERAGEIFS($BU$36:$BU$167,$C$36:$C$167,"=2", $B$36:$B$167,"NO OFICIAL")</f>
        <v>8.6818181818181817</v>
      </c>
      <c r="AK189" s="112"/>
      <c r="AL189" s="112"/>
      <c r="AM189" s="112"/>
      <c r="AN189" s="110"/>
    </row>
    <row r="190" spans="4:48" x14ac:dyDescent="0.25">
      <c r="D190" s="39" t="s">
        <v>248</v>
      </c>
      <c r="E190" s="39">
        <f>AVERAGEIFS(D36:D167,C36:C167,"=3", B36:B167,"OFICIAL")</f>
        <v>51</v>
      </c>
      <c r="F190" s="39">
        <f>AVERAGEIFS(E36:E167,C36:C167,"=3", B36:B167,"OFICIAL")</f>
        <v>8.8000000000000007</v>
      </c>
      <c r="G190" s="39">
        <f>AVERAGEIFS(D36:D167,C36:C167,"=3", B36:B167,"NO OFICIAL")</f>
        <v>53.769230769230766</v>
      </c>
      <c r="H190" s="39">
        <f>AVERAGEIFS(E36:E167,C36:C167,"=3", B36:B167,"NO OFICIAL")</f>
        <v>8.615384615384615</v>
      </c>
      <c r="I190" s="39">
        <f>AVERAGEIFS(M36:M167,C36:C167,"=3", B36:B167,"OFICIAL")</f>
        <v>50.2</v>
      </c>
      <c r="J190" s="39">
        <f>AVERAGEIFS(N36:N167,C36:C167,"=3", B36:B167,"OFICIAL")</f>
        <v>9</v>
      </c>
      <c r="K190" s="39">
        <f>AVERAGEIFS(M36:M167,C36:C167,"=3", B36:B167,"NO OFICIAL")</f>
        <v>52.5</v>
      </c>
      <c r="L190" s="39">
        <f>AVERAGEIFS(N36:N167,C36:C167,"=3", B36:B167,"NO OFICIAL")</f>
        <v>9.2857142857142865</v>
      </c>
      <c r="M190" s="39">
        <f>AVERAGEIFS(V36:V167,C36:C167,"=3", B36:B167,"OFICIAL")</f>
        <v>51</v>
      </c>
      <c r="N190" s="39">
        <f>AVERAGEIFS(W36:W167,C36:C167,"=3", B36:B167,"OFICIAL")</f>
        <v>9.1999999999999993</v>
      </c>
      <c r="O190" s="39">
        <f>AVERAGEIFS(V36:V167,C36:C167,"=3", B36:B167,"NO OFICIAL")</f>
        <v>53.285714285714285</v>
      </c>
      <c r="P190" s="39">
        <f>AVERAGEIFS(W36:W167,C36:C167,"=3", B36:B167,"NO OFICIAL")</f>
        <v>9.2142857142857135</v>
      </c>
      <c r="Q190" s="39">
        <f>AVERAGEIFS(AE36:AE167,C36:C167,"=3", B36:B167,"OFICIAL")</f>
        <v>51</v>
      </c>
      <c r="R190" s="39">
        <f>AVERAGEIFS(AF36:AF167,C36:C167,"=3", B36:B167,"OFICIAL")</f>
        <v>9.4</v>
      </c>
      <c r="S190" s="39">
        <f>AVERAGEIFS(AE36:AE167,C36:C167,"=3", B36:B167,"NO OFICIAL")</f>
        <v>53.428571428571431</v>
      </c>
      <c r="T190" s="108">
        <f>AVERAGEIFS(AF36:AF167,C36:C167,"=3", B36:B167,"NO OFICIAL")</f>
        <v>9.1428571428571423</v>
      </c>
      <c r="U190" s="39">
        <f>AVERAGEIFS($AN$36:$AN$167,$C$36:$C$167,"=3", $B$36:$B$167,"OFICIAL")</f>
        <v>51.6</v>
      </c>
      <c r="V190" s="39">
        <f>AVERAGEIFS($AO$36:$AO$167,$C$36:$C$167,"=3", $B$36:$B$167,"OFICIAL")</f>
        <v>9</v>
      </c>
      <c r="W190" s="39">
        <f>AVERAGEIFS($AN$36:$AN$167,$C$36:$C$167,"=3", $B$36:$B$167,"NO OFICIAL")</f>
        <v>54.666666666666664</v>
      </c>
      <c r="X190" s="39">
        <f>AVERAGEIFS($AO$36:$AO$167,$C$36:$C$167,"=3", $B$36:$B$167,"NO OFICIAL")</f>
        <v>8.5333333333333332</v>
      </c>
      <c r="Y190" s="39">
        <f>AVERAGEIFS($AW$36:$AW$167,$C$36:$C$167,"=3", $B$36:$B$167,"OFICIAL")</f>
        <v>50.2</v>
      </c>
      <c r="Z190" s="39">
        <f>AVERAGEIFS($AY$36:$AY$167,$C$36:$C$167,"=3", $B$36:$B$167,"OFICIAL")</f>
        <v>8.6</v>
      </c>
      <c r="AA190" s="39">
        <f>AVERAGEIFS($AW$36:$AW$167,$C$36:$C$167,"=3", $B$36:$B$167,"NO OFICIAL")</f>
        <v>53.4</v>
      </c>
      <c r="AB190" s="39">
        <f>AVERAGEIFS($AY$36:$AY$167,$C$36:$C$167,"=3", $B$36:$B$167,"NO OFICIAL")</f>
        <v>8.5333333333333332</v>
      </c>
      <c r="AC190" s="39">
        <f>AVERAGEIFS($BH$36:$BH$167,$C$36:$C$167,"=3", $B$36:$B$167,"OFICIAL")</f>
        <v>52.333333333333336</v>
      </c>
      <c r="AD190" s="39">
        <f>AVERAGEIFS($BJ$36:$BJ$167,$C$36:$C$167,"=3", $B$36:$B$167,"OFICIAL")</f>
        <v>9.5</v>
      </c>
      <c r="AE190" s="39">
        <f>AVERAGEIFS($BH$36:$BH$167,$C$36:$C$167,"=3", $B$36:$B$167,"NO OFICIAL")</f>
        <v>54.375</v>
      </c>
      <c r="AF190" s="39">
        <f>AVERAGEIFS($BJ$36:$BJ$167,$C$36:$C$167,"=3", $B$36:$B$167,"NO OFICIAL")</f>
        <v>9.5</v>
      </c>
      <c r="AG190" s="39">
        <f>AVERAGEIFS($BS$36:$BS$167,$C$36:$C$167,"=3", $B$36:$B$167,"OFICIAL")</f>
        <v>51.333333333333336</v>
      </c>
      <c r="AH190" s="39">
        <f>AVERAGEIFS($BU$36:$BU$167,$C$36:$C$167,"=3", $B$36:$B$167,"OFICIAL")</f>
        <v>9.6666666666666661</v>
      </c>
      <c r="AI190" s="39">
        <f>AVERAGEIFS($BS$36:$BS$167,$C$36:$C$167,"=3", $B$36:$B$167,"NO OFICIAL")</f>
        <v>54.6875</v>
      </c>
      <c r="AJ190" s="39">
        <f>AVERAGEIFS($BU$36:$BU$167,$C$36:$C$167,"=3", $B$36:$B$167,"NO OFICIAL")</f>
        <v>9.9375</v>
      </c>
      <c r="AK190" s="112"/>
      <c r="AL190" s="112"/>
      <c r="AM190" s="112"/>
      <c r="AN190" s="110"/>
    </row>
    <row r="191" spans="4:48" x14ac:dyDescent="0.25">
      <c r="D191" s="39" t="s">
        <v>249</v>
      </c>
      <c r="E191" s="39">
        <f>AVERAGEIFS(D36:D167,C36:C167,"=4", B36:B167,"OFICIAL")</f>
        <v>47.166666666666664</v>
      </c>
      <c r="F191" s="39">
        <f>AVERAGEIFS(E36:E167,C36:C167,"=4", B36:B167,"OFICIAL")</f>
        <v>9.1666666666666661</v>
      </c>
      <c r="G191" s="39">
        <f>AVERAGEIFS(D36:D167,C36:C167,"=4", B36:B167,"NO OFICIAL")</f>
        <v>49.25</v>
      </c>
      <c r="H191" s="39">
        <f>AVERAGEIFS(E36:E167,C36:C167,"=4", B36:B167,"NO OFICIAL")</f>
        <v>8.5</v>
      </c>
      <c r="I191" s="39">
        <f>AVERAGEIFS(M36:M167,C36:C167,"=4", B36:B167,"OFICIAL")</f>
        <v>47.5</v>
      </c>
      <c r="J191" s="39">
        <f>AVERAGEIFS(N36:N167,C36:C167,"=4", B36:B167,"OFICIAL")</f>
        <v>9.8333333333333339</v>
      </c>
      <c r="K191" s="39">
        <f>AVERAGEIFS(M36:M167,C36:C167,"=4", B36:B167,"NO OFICIAL")</f>
        <v>51.111111111111114</v>
      </c>
      <c r="L191" s="39">
        <f>AVERAGEIFS(N36:N167,C36:C167,"=4", B36:B167,"NO OFICIAL")</f>
        <v>7.8888888888888893</v>
      </c>
      <c r="M191" s="39">
        <f>AVERAGEIFS(V36:V167,C36:C167,"=4", B36:B167,"OFICIAL")</f>
        <v>47.166666666666664</v>
      </c>
      <c r="N191" s="39">
        <f>AVERAGEIFS(W36:W167,C36:C167,"=4", B36:B167,"OFICIAL")</f>
        <v>9.5</v>
      </c>
      <c r="O191" s="39">
        <f>AVERAGEIFS(V36:V167,C36:C167,"=4", B36:B167,"NO OFICIAL")</f>
        <v>52.666666666666664</v>
      </c>
      <c r="P191" s="39">
        <f>AVERAGEIFS(W36:W167,C36:C167,"=4", B36:B167,"NO OFICIAL")</f>
        <v>8.2222222222222214</v>
      </c>
      <c r="Q191" s="39">
        <f>AVERAGEIFS(AE36:AE167,C36:C167,"=4", B36:B167,"OFICIAL")</f>
        <v>47</v>
      </c>
      <c r="R191" s="39">
        <f>AVERAGEIFS(AF36:AF167,C36:C167,"=4", B36:B167,"OFICIAL")</f>
        <v>9.3333333333333339</v>
      </c>
      <c r="S191" s="39">
        <f>AVERAGEIFS(AE36:AE167,C36:C167,"=4", B36:B167,"NO OFICIAL")</f>
        <v>51.75</v>
      </c>
      <c r="T191" s="108">
        <f>AVERAGEIFS(AF36:AF167,C36:C167,"=4", B36:B167,"NO OFICIAL")</f>
        <v>8.375</v>
      </c>
      <c r="U191" s="39">
        <f>AVERAGEIFS($AN$36:$AN$167,$C$36:$C$167,"=4", $B$36:$B$167,"OFICIAL")</f>
        <v>47.333333333333336</v>
      </c>
      <c r="V191" s="39">
        <f>AVERAGEIFS($AO$36:$AO$167,$C$36:$C$167,"=4", $B$36:$B$167,"OFICIAL")</f>
        <v>9.1666666666666661</v>
      </c>
      <c r="W191" s="39">
        <f>AVERAGEIFS($AN$36:$AN$167,$C$36:$C$167,"=4", $B$36:$B$167,"NO OFICIAL")</f>
        <v>50.714285714285715</v>
      </c>
      <c r="X191" s="39">
        <f>AVERAGEIFS($AO$36:$AO$167,$C$36:$C$167,"=4", $B$36:$B$167,"NO OFICIAL")</f>
        <v>9.1428571428571423</v>
      </c>
      <c r="Y191" s="39">
        <f>AVERAGEIFS($AW$36:$AW$167,$C$36:$C$167,"=4", $B$36:$B$167,"OFICIAL")</f>
        <v>47.166666666666664</v>
      </c>
      <c r="Z191" s="39">
        <f>AVERAGEIFS($AY$36:$AY$167,$C$36:$C$167,"=4", $B$36:$B$167,"OFICIAL")</f>
        <v>9</v>
      </c>
      <c r="AA191" s="39">
        <f>AVERAGEIFS($AW$36:$AW$167,$C$36:$C$167,"=4", $B$36:$B$167,"NO OFICIAL")</f>
        <v>49.5</v>
      </c>
      <c r="AB191" s="39">
        <f>AVERAGEIFS($AY$36:$AY$167,$C$36:$C$167,"=4", $B$36:$B$167,"NO OFICIAL")</f>
        <v>8.25</v>
      </c>
      <c r="AC191" s="39">
        <f>AVERAGEIFS($BH$36:$BH$167,$C$36:$C$167,"=4", $B$36:$B$167,"OFICIAL")</f>
        <v>48.333333333333336</v>
      </c>
      <c r="AD191" s="39">
        <f>AVERAGEIFS($BJ$36:$BJ$167,$C$36:$C$167,"=4", $B$36:$B$167,"OFICIAL")</f>
        <v>10</v>
      </c>
      <c r="AE191" s="39">
        <f>AVERAGEIFS($BH$36:$BH$167,$C$36:$C$167,"=4", $B$36:$B$167,"NO OFICIAL")</f>
        <v>52.5</v>
      </c>
      <c r="AF191" s="39">
        <f>AVERAGEIFS($BJ$36:$BJ$167,$C$36:$C$167,"=4", $B$36:$B$167,"NO OFICIAL")</f>
        <v>9.25</v>
      </c>
      <c r="AG191" s="39">
        <f>AVERAGEIFS($BS$36:$BS$167,$C$36:$C$167,"=4", $B$36:$B$167,"OFICIAL")</f>
        <v>48.333333333333336</v>
      </c>
      <c r="AH191" s="39">
        <f>AVERAGEIFS($BU$36:$BU$167,$C$36:$C$167,"=4", $B$36:$B$167,"OFICIAL")</f>
        <v>10.666666666666666</v>
      </c>
      <c r="AI191" s="39">
        <f>AVERAGEIFS($BS$36:$BS$167,$C$36:$C$167,"=4", $B$36:$B$167,"NO OFICIAL")</f>
        <v>51</v>
      </c>
      <c r="AJ191" s="39">
        <f>AVERAGEIFS($BU$36:$BU$167,$C$36:$C$167,"=4", $B$36:$B$167,"NO OFICIAL")</f>
        <v>9</v>
      </c>
      <c r="AK191" s="112"/>
      <c r="AL191" s="112"/>
      <c r="AM191" s="112"/>
      <c r="AN191" s="110"/>
    </row>
    <row r="192" spans="4:48" x14ac:dyDescent="0.25">
      <c r="D192" s="39" t="s">
        <v>250</v>
      </c>
      <c r="E192" s="39">
        <f>AVERAGEIFS(D36:D167,C36:C167,"=5", B36:B167,"OFICIAL")</f>
        <v>52</v>
      </c>
      <c r="F192" s="39">
        <f>AVERAGEIFS(E36:E167,C36:C167,"=5", B36:B167,"OFICIAL")</f>
        <v>9</v>
      </c>
      <c r="G192" s="39">
        <f>AVERAGEIFS(D36:D167,C36:C167,"=5", B36:B167,"NO OFICIAL")</f>
        <v>54.8</v>
      </c>
      <c r="H192" s="39">
        <f>AVERAGEIFS(E36:E167,C36:C167,"=5", B36:B167,"NO OFICIAL")</f>
        <v>8.1999999999999993</v>
      </c>
      <c r="I192" s="39">
        <f>AVERAGEIFS(M36:M167,C36:C167,"=5", B36:B167,"OFICIAL")</f>
        <v>51.5</v>
      </c>
      <c r="J192" s="39">
        <f>AVERAGEIFS(N36:N167,C36:C167,"=5", B36:B167,"OFICIAL")</f>
        <v>9.5</v>
      </c>
      <c r="K192" s="39">
        <f>AVERAGEIFS(M36:M167,C36:C167,"=5", B36:B167,"NO OFICIAL")</f>
        <v>55.133333333333333</v>
      </c>
      <c r="L192" s="39">
        <f>AVERAGEIFS(N36:N167,C36:C167,"=5", B36:B167,"NO OFICIAL")</f>
        <v>9.4666666666666668</v>
      </c>
      <c r="M192" s="39">
        <f>AVERAGEIFS(V36:V167,C36:C167,"=5", B36:B167,"OFICIAL")</f>
        <v>50.5</v>
      </c>
      <c r="N192" s="39">
        <f>AVERAGEIFS(W36:W167,C36:C167,"=5", B36:B167,"OFICIAL")</f>
        <v>8.5</v>
      </c>
      <c r="O192" s="39">
        <f>AVERAGEIFS(V36:V167,C36:C167,"=5", B36:B167,"NO OFICIAL")</f>
        <v>55.3125</v>
      </c>
      <c r="P192" s="39">
        <f>AVERAGEIFS(W36:W167,C36:C167,"=5", B36:B167,"NO OFICIAL")</f>
        <v>8.4375</v>
      </c>
      <c r="Q192" s="39">
        <f>AVERAGEIFS(AE36:AE167,C36:C167,"=5", B36:B167,"OFICIAL")</f>
        <v>52</v>
      </c>
      <c r="R192" s="39">
        <f>AVERAGEIFS(AF36:AF167,C36:C167,"=5", B36:B167,"OFICIAL")</f>
        <v>9</v>
      </c>
      <c r="S192" s="39">
        <f>AVERAGEIFS(AE36:AE167,C36:C167,"=5", B36:B167,"NO OFICIAL")</f>
        <v>55.764705882352942</v>
      </c>
      <c r="T192" s="108">
        <f>AVERAGEIFS(AF36:AF167,C36:C167,"=5", B36:B167,"NO OFICIAL")</f>
        <v>8.4705882352941178</v>
      </c>
      <c r="U192" s="39">
        <f>AVERAGEIFS($AN$36:$AN$167,$C$36:$C$167,"=5", $B$36:$B$167,"OFICIAL")</f>
        <v>52</v>
      </c>
      <c r="V192" s="39">
        <f>AVERAGEIFS($AO$36:$AO$167,$C$36:$C$167,"=5", $B$36:$B$167,"OFICIAL")</f>
        <v>8.5</v>
      </c>
      <c r="W192" s="39">
        <f>AVERAGEIFS($AN$36:$AN$167,$C$36:$C$167,"=5", $B$36:$B$167,"NO OFICIAL")</f>
        <v>56.4375</v>
      </c>
      <c r="X192" s="39">
        <f>AVERAGEIFS($AO$36:$AO$167,$C$36:$C$167,"=5", $B$36:$B$167,"NO OFICIAL")</f>
        <v>9.125</v>
      </c>
      <c r="Y192" s="39">
        <f>AVERAGEIFS($AW$36:$AW$167,$C$36:$C$167,"=5", $B$36:$B$167,"OFICIAL")</f>
        <v>50.5</v>
      </c>
      <c r="Z192" s="39">
        <f>AVERAGEIFS($AY$36:$AY$167,$C$36:$C$167,"=5", $B$36:$B$167,"OFICIAL")</f>
        <v>9.5</v>
      </c>
      <c r="AA192" s="39">
        <f>AVERAGEIFS($AW$36:$AW$167,$C$36:$C$167,"=5", $B$36:$B$167,"NO OFICIAL")</f>
        <v>54.75</v>
      </c>
      <c r="AB192" s="39">
        <f>AVERAGEIFS($AY$36:$AY$167,$C$36:$C$167,"=5", $B$36:$B$167,"NO OFICIAL")</f>
        <v>8.9375</v>
      </c>
      <c r="AC192" s="39">
        <f>AVERAGEIFS($BH$36:$BH$167,$C$36:$C$167,"=5", $B$36:$B$167,"OFICIAL")</f>
        <v>52.5</v>
      </c>
      <c r="AD192" s="39">
        <f>AVERAGEIFS($BJ$36:$BJ$167,$C$36:$C$167,"=5", $B$36:$B$167,"OFICIAL")</f>
        <v>9.5</v>
      </c>
      <c r="AE192" s="39">
        <f>AVERAGEIFS($BH$36:$BH$167,$C$36:$C$167,"=5", $B$36:$B$167,"NO OFICIAL")</f>
        <v>56.333333333333336</v>
      </c>
      <c r="AF192" s="39">
        <f>AVERAGEIFS($BJ$36:$BJ$167,$C$36:$C$167,"=5", $B$36:$B$167,"NO OFICIAL")</f>
        <v>9.0666666666666664</v>
      </c>
      <c r="AG192" s="39">
        <f>AVERAGEIFS($BS$36:$BS$167,$C$36:$C$167,"=5", $B$36:$B$167,"OFICIAL")</f>
        <v>51.5</v>
      </c>
      <c r="AH192" s="39">
        <f>AVERAGEIFS($BU$36:$BU$167,$C$36:$C$167,"=5", $B$36:$B$167,"OFICIAL")</f>
        <v>10.5</v>
      </c>
      <c r="AI192" s="39">
        <f>AVERAGEIFS($BS$36:$BS$167,$C$36:$C$167,"=5", $B$36:$B$167,"NO OFICIAL")</f>
        <v>56.4</v>
      </c>
      <c r="AJ192" s="39">
        <f>AVERAGEIFS($BU$36:$BU$167,$C$36:$C$167,"=5", $B$36:$B$167,"NO OFICIAL")</f>
        <v>9</v>
      </c>
      <c r="AK192" s="112"/>
      <c r="AL192" s="112"/>
      <c r="AM192" s="112"/>
      <c r="AN192" s="110"/>
    </row>
    <row r="193" spans="4:48" x14ac:dyDescent="0.25">
      <c r="D193" s="39" t="s">
        <v>251</v>
      </c>
      <c r="E193" s="39">
        <f>AVERAGEIFS(D36:D167,C36:C167,"=6", B36:B167,"OFICIAL")</f>
        <v>51</v>
      </c>
      <c r="F193" s="39">
        <f>AVERAGEIFS(E36:E167,C36:C167,"=6", B36:B167,"OFICIAL")</f>
        <v>9.3333333333333339</v>
      </c>
      <c r="G193" s="39">
        <f>AVERAGEIFS(D36:D167,C36:C167,"=6", B36:B167,"NO OFICIAL")</f>
        <v>52.583333333333336</v>
      </c>
      <c r="H193" s="39">
        <f>AVERAGEIFS(E36:E167,C36:C167,"=6", B36:B167,"NO OFICIAL")</f>
        <v>7.5</v>
      </c>
      <c r="I193" s="39">
        <f>AVERAGEIFS(M36:M167,C36:C167,"=6", B36:B167,"OFICIAL")</f>
        <v>51.333333333333336</v>
      </c>
      <c r="J193" s="39">
        <f>AVERAGEIFS(N36:N167,C36:C167,"=6", B36:B167,"OFICIAL")</f>
        <v>9.3333333333333339</v>
      </c>
      <c r="K193" s="39">
        <f>AVERAGEIFS(M36:M167,C36:C167,"=6", B36:B167,"NO OFICIAL")</f>
        <v>50.916666666666664</v>
      </c>
      <c r="L193" s="39">
        <f>AVERAGEIFS(N36:N167,C36:C167,"=6", B36:B167,"NO OFICIAL")</f>
        <v>10</v>
      </c>
      <c r="M193" s="39">
        <f>AVERAGEIFS(V36:V167,C36:C167,"=6", B36:B167,"OFICIAL")</f>
        <v>51</v>
      </c>
      <c r="N193" s="39">
        <f>AVERAGEIFS(W36:W167,C36:C167,"=6", B36:B167,"OFICIAL")</f>
        <v>9.3333333333333339</v>
      </c>
      <c r="O193" s="39">
        <f>AVERAGEIFS(V36:V167,C36:C167,"=6", B36:B167,"NO OFICIAL")</f>
        <v>52.454545454545453</v>
      </c>
      <c r="P193" s="39">
        <f>AVERAGEIFS(W36:W167,C36:C167,"=6", B36:B167,"NO OFICIAL")</f>
        <v>8.545454545454545</v>
      </c>
      <c r="Q193" s="39">
        <f>AVERAGEIFS(AE36:AE167,C36:C167,"=6", B36:B167,"OFICIAL")</f>
        <v>52</v>
      </c>
      <c r="R193" s="39">
        <f>AVERAGEIFS(AF36:AF167,C36:C167,"=6", B36:B167,"OFICIAL")</f>
        <v>9.3333333333333339</v>
      </c>
      <c r="S193" s="39">
        <f>AVERAGEIFS(AE36:AE167,C36:C167,"=6", B36:B167,"NO OFICIAL")</f>
        <v>54</v>
      </c>
      <c r="T193" s="108">
        <f>AVERAGEIFS(AF36:AF167,C36:C167,"=6", B36:B167,"NO OFICIAL")</f>
        <v>10.916666666666666</v>
      </c>
      <c r="U193" s="39">
        <f>AVERAGEIFS($AN$36:$AN$167,$C$36:$C$167,"=6", $B$36:$B$167,"OFICIAL")</f>
        <v>52.666666666666664</v>
      </c>
      <c r="V193" s="39">
        <f>AVERAGEIFS($AO$36:$AO$167,$C$36:$C$167,"=6", $B$36:$B$167,"OFICIAL")</f>
        <v>9</v>
      </c>
      <c r="W193" s="39">
        <f>AVERAGEIFS($AN$36:$AN$167,$C$36:$C$167,"=6", $B$36:$B$167,"NO OFICIAL")</f>
        <v>52</v>
      </c>
      <c r="X193" s="39">
        <f>AVERAGEIFS($AO$36:$AO$167,$C$36:$C$167,"=6", $B$36:$B$167,"NO OFICIAL")</f>
        <v>8.9285714285714288</v>
      </c>
      <c r="Y193" s="39">
        <f>AVERAGEIFS($AW$36:$AW$167,$C$36:$C$167,"=6", $B$36:$B$167,"OFICIAL")</f>
        <v>50.333333333333336</v>
      </c>
      <c r="Z193" s="39">
        <f>AVERAGEIFS($AY$36:$AY$167,$C$36:$C$167,"=6", $B$36:$B$167,"OFICIAL")</f>
        <v>8.6666666666666661</v>
      </c>
      <c r="AA193" s="39">
        <f>AVERAGEIFS($AW$36:$AW$167,$C$36:$C$167,"=6", $B$36:$B$167,"NO OFICIAL")</f>
        <v>51.928571428571431</v>
      </c>
      <c r="AB193" s="39">
        <f>AVERAGEIFS($AY$36:$AY$167,$C$36:$C$167,"=6", $B$36:$B$167,"NO OFICIAL")</f>
        <v>7.2857142857142856</v>
      </c>
      <c r="AC193" s="39">
        <f>AVERAGEIFS($BH$36:$BH$167,$C$36:$C$167,"=6", $B$36:$B$167,"OFICIAL")</f>
        <v>51.333333333333336</v>
      </c>
      <c r="AD193" s="39">
        <f>AVERAGEIFS($BJ$36:$BJ$167,$C$36:$C$167,"=6", $B$36:$B$167,"OFICIAL")</f>
        <v>10.666666666666666</v>
      </c>
      <c r="AE193" s="39">
        <f>AVERAGEIFS($BH$36:$BH$167,$C$36:$C$167,"=6", $B$36:$B$167,"NO OFICIAL")</f>
        <v>52.1875</v>
      </c>
      <c r="AF193" s="39">
        <f>AVERAGEIFS($BJ$36:$BJ$167,$C$36:$C$167,"=6", $B$36:$B$167,"NO OFICIAL")</f>
        <v>10</v>
      </c>
      <c r="AG193" s="39">
        <f>AVERAGEIFS($BS$36:$BS$167,$C$36:$C$167,"=6", $B$36:$B$167,"OFICIAL")</f>
        <v>51</v>
      </c>
      <c r="AH193" s="39">
        <f>AVERAGEIFS($BU$36:$BU$167,$C$36:$C$167,"=6", $B$36:$B$167,"OFICIAL")</f>
        <v>10.666666666666666</v>
      </c>
      <c r="AI193" s="39">
        <f>AVERAGEIFS($BS$36:$BS$167,$C$36:$C$167,"=6", $B$36:$B$167,"NO OFICIAL")</f>
        <v>53.941176470588232</v>
      </c>
      <c r="AJ193" s="39">
        <f>AVERAGEIFS($BU$36:$BU$167,$C$36:$C$167,"=6", $B$36:$B$167,"NO OFICIAL")</f>
        <v>8.5294117647058822</v>
      </c>
      <c r="AK193" s="112"/>
      <c r="AL193" s="112"/>
      <c r="AM193" s="112"/>
      <c r="AN193" s="110"/>
    </row>
    <row r="194" spans="4:48" x14ac:dyDescent="0.25">
      <c r="D194" s="48"/>
      <c r="E194" s="48"/>
      <c r="F194" s="48"/>
      <c r="G194" s="48"/>
      <c r="H194" s="48"/>
      <c r="I194" s="48"/>
      <c r="J194" s="48"/>
      <c r="K194" s="48"/>
      <c r="L194" s="48"/>
      <c r="M194" s="48"/>
      <c r="N194" s="48"/>
      <c r="O194" s="48"/>
      <c r="P194" s="48"/>
      <c r="Q194" s="48"/>
      <c r="R194" s="48"/>
      <c r="S194" s="48"/>
      <c r="T194" s="48"/>
      <c r="U194" s="48"/>
      <c r="V194" s="48"/>
      <c r="W194" s="48"/>
      <c r="X194" s="48"/>
      <c r="Y194" s="48"/>
      <c r="Z194" s="48"/>
      <c r="AA194" s="48"/>
      <c r="AB194" s="48"/>
      <c r="AC194" s="48"/>
      <c r="AD194" s="48"/>
      <c r="AE194" s="48"/>
      <c r="AF194" s="48"/>
      <c r="AG194" s="48"/>
      <c r="AH194" s="48"/>
      <c r="AI194" s="48"/>
      <c r="AJ194" s="48"/>
      <c r="AK194" s="48"/>
      <c r="AL194" s="48"/>
      <c r="AM194" s="48"/>
      <c r="AN194" s="48"/>
      <c r="AO194" s="48"/>
      <c r="AP194" s="48"/>
      <c r="AQ194" s="48"/>
      <c r="AR194" s="48"/>
      <c r="AS194" s="48"/>
      <c r="AT194" s="48"/>
      <c r="AU194" s="48"/>
      <c r="AV194" s="48"/>
    </row>
    <row r="195" spans="4:48" x14ac:dyDescent="0.25">
      <c r="D195" s="24"/>
      <c r="E195" s="737" t="s">
        <v>254</v>
      </c>
      <c r="F195" s="737"/>
      <c r="G195" s="737"/>
      <c r="H195" s="737"/>
      <c r="I195" s="737"/>
      <c r="J195" s="737"/>
      <c r="K195" s="113"/>
      <c r="R195" s="737" t="s">
        <v>255</v>
      </c>
      <c r="S195" s="737"/>
      <c r="T195" s="737"/>
      <c r="U195" s="737"/>
      <c r="V195" s="737"/>
      <c r="W195" s="737"/>
      <c r="X195" s="434"/>
      <c r="Y195" s="434"/>
      <c r="Z195" s="434"/>
      <c r="AA195" s="434"/>
      <c r="AB195" s="434"/>
      <c r="AC195" s="434"/>
      <c r="AD195" s="109"/>
      <c r="AE195" s="24"/>
      <c r="AL195" s="113"/>
      <c r="AM195" s="113"/>
      <c r="AN195" s="113"/>
      <c r="AO195" s="113"/>
      <c r="AP195" s="113"/>
      <c r="AQ195" s="113"/>
      <c r="AR195" s="110"/>
      <c r="AS195" s="110"/>
      <c r="AT195" s="24"/>
      <c r="AU195" s="24"/>
      <c r="AV195" s="24"/>
    </row>
    <row r="196" spans="4:48" x14ac:dyDescent="0.25">
      <c r="D196" s="24"/>
      <c r="E196" s="40"/>
      <c r="F196" s="40">
        <v>2016</v>
      </c>
      <c r="G196" s="41">
        <v>2017</v>
      </c>
      <c r="H196" s="40">
        <v>2018</v>
      </c>
      <c r="I196" s="40">
        <v>2019</v>
      </c>
      <c r="J196" s="54">
        <v>2020</v>
      </c>
      <c r="K196" s="436">
        <v>2021</v>
      </c>
      <c r="L196" s="676">
        <v>2022</v>
      </c>
      <c r="M196" s="676">
        <v>2023</v>
      </c>
      <c r="R196" s="40"/>
      <c r="S196" s="40">
        <v>2016</v>
      </c>
      <c r="T196" s="41">
        <v>2017</v>
      </c>
      <c r="U196" s="40">
        <v>2018</v>
      </c>
      <c r="V196" s="40">
        <v>2019</v>
      </c>
      <c r="W196" s="54">
        <v>2020</v>
      </c>
      <c r="X196" s="436">
        <v>2021</v>
      </c>
      <c r="Y196" s="676">
        <v>2022</v>
      </c>
      <c r="Z196" s="676">
        <v>2023</v>
      </c>
      <c r="AA196" s="434"/>
      <c r="AB196" s="434"/>
      <c r="AC196" s="434"/>
      <c r="AD196" s="109"/>
      <c r="AE196" s="24"/>
      <c r="AL196" s="109"/>
      <c r="AM196" s="109"/>
      <c r="AN196" s="110"/>
      <c r="AO196" s="110"/>
      <c r="AP196" s="110"/>
      <c r="AQ196" s="110"/>
      <c r="AR196" s="110"/>
      <c r="AS196" s="110"/>
      <c r="AT196" s="24"/>
      <c r="AU196" s="24"/>
      <c r="AV196" s="24"/>
    </row>
    <row r="197" spans="4:48" x14ac:dyDescent="0.25">
      <c r="D197" s="24"/>
      <c r="E197" s="39" t="s">
        <v>246</v>
      </c>
      <c r="F197" s="39">
        <v>52.5</v>
      </c>
      <c r="G197" s="39">
        <v>51.75</v>
      </c>
      <c r="H197" s="39">
        <v>51.75</v>
      </c>
      <c r="I197" s="39">
        <v>52.5</v>
      </c>
      <c r="J197" s="39">
        <v>52.5</v>
      </c>
      <c r="K197" s="39">
        <v>51.25</v>
      </c>
      <c r="L197" s="39">
        <v>51</v>
      </c>
      <c r="M197" s="39">
        <v>52.2</v>
      </c>
      <c r="R197" s="39" t="s">
        <v>246</v>
      </c>
      <c r="S197" s="39">
        <v>51.615384615384613</v>
      </c>
      <c r="T197" s="39">
        <v>51.583333333333336</v>
      </c>
      <c r="U197" s="39">
        <v>51.846153846153847</v>
      </c>
      <c r="V197" s="39">
        <v>52.692307692307693</v>
      </c>
      <c r="W197" s="39">
        <v>53.53846153846154</v>
      </c>
      <c r="X197" s="39">
        <v>52.846153846153847</v>
      </c>
      <c r="Y197" s="39">
        <v>53</v>
      </c>
      <c r="Z197" s="39">
        <v>54.25</v>
      </c>
      <c r="AA197" s="434"/>
      <c r="AB197" s="434"/>
      <c r="AC197" s="434"/>
      <c r="AD197" s="112"/>
      <c r="AE197" s="24"/>
      <c r="AL197" s="112"/>
      <c r="AM197" s="112"/>
      <c r="AN197" s="110"/>
      <c r="AO197" s="110"/>
      <c r="AP197" s="110"/>
      <c r="AQ197" s="110"/>
      <c r="AR197" s="110"/>
      <c r="AS197" s="110"/>
      <c r="AT197" s="24"/>
      <c r="AU197" s="24"/>
      <c r="AV197" s="24"/>
    </row>
    <row r="198" spans="4:48" x14ac:dyDescent="0.25">
      <c r="D198" s="24"/>
      <c r="E198" s="39" t="s">
        <v>247</v>
      </c>
      <c r="F198" s="39">
        <v>52</v>
      </c>
      <c r="G198" s="39">
        <v>51</v>
      </c>
      <c r="H198" s="39">
        <v>52.5</v>
      </c>
      <c r="I198" s="39">
        <v>52</v>
      </c>
      <c r="J198" s="39">
        <v>52.5</v>
      </c>
      <c r="K198" s="39">
        <v>50</v>
      </c>
      <c r="L198" s="39">
        <v>50.75</v>
      </c>
      <c r="M198" s="39">
        <v>51.5</v>
      </c>
      <c r="R198" s="39" t="s">
        <v>247</v>
      </c>
      <c r="S198" s="39">
        <v>52.666666666666664</v>
      </c>
      <c r="T198" s="39">
        <v>52.294117647058826</v>
      </c>
      <c r="U198" s="39">
        <v>52.882352941176471</v>
      </c>
      <c r="V198" s="39">
        <v>53.944444444444443</v>
      </c>
      <c r="W198" s="39">
        <v>52.81818181818182</v>
      </c>
      <c r="X198" s="39">
        <v>52.4</v>
      </c>
      <c r="Y198" s="39">
        <v>54.571428571428569</v>
      </c>
      <c r="Z198" s="39">
        <v>53.045454545454547</v>
      </c>
      <c r="AA198" s="434"/>
      <c r="AB198" s="434"/>
      <c r="AC198" s="434"/>
      <c r="AD198" s="112"/>
      <c r="AE198" s="24"/>
      <c r="AL198" s="112"/>
      <c r="AM198" s="112"/>
      <c r="AN198" s="110"/>
      <c r="AO198" s="110"/>
      <c r="AP198" s="110"/>
      <c r="AQ198" s="110"/>
      <c r="AR198" s="110"/>
      <c r="AS198" s="110"/>
      <c r="AT198" s="24"/>
      <c r="AU198" s="24"/>
      <c r="AV198" s="24"/>
    </row>
    <row r="199" spans="4:48" x14ac:dyDescent="0.25">
      <c r="D199" s="24"/>
      <c r="E199" s="39" t="s">
        <v>248</v>
      </c>
      <c r="F199" s="39">
        <v>51</v>
      </c>
      <c r="G199" s="39">
        <v>50</v>
      </c>
      <c r="H199" s="39">
        <v>50.666666666666664</v>
      </c>
      <c r="I199" s="39">
        <v>51</v>
      </c>
      <c r="J199" s="39">
        <v>51.25</v>
      </c>
      <c r="K199" s="39">
        <v>50.2</v>
      </c>
      <c r="L199" s="39">
        <v>52.333333333333336</v>
      </c>
      <c r="M199" s="39">
        <v>51.333333333333336</v>
      </c>
      <c r="R199" s="39" t="s">
        <v>248</v>
      </c>
      <c r="S199" s="39">
        <v>53.769230769230766</v>
      </c>
      <c r="T199" s="39">
        <v>52.5</v>
      </c>
      <c r="U199" s="39">
        <v>53.285714285714285</v>
      </c>
      <c r="V199" s="39">
        <v>53.428571428571431</v>
      </c>
      <c r="W199" s="39">
        <v>54.666666666666664</v>
      </c>
      <c r="X199" s="39">
        <v>53.4</v>
      </c>
      <c r="Y199" s="39">
        <v>54.375</v>
      </c>
      <c r="Z199" s="39">
        <v>54.6875</v>
      </c>
      <c r="AA199" s="434"/>
      <c r="AB199" s="434"/>
      <c r="AC199" s="434"/>
      <c r="AD199" s="112"/>
      <c r="AE199" s="24"/>
      <c r="AL199" s="112"/>
      <c r="AM199" s="112"/>
      <c r="AN199" s="110"/>
      <c r="AO199" s="110"/>
      <c r="AP199" s="110"/>
      <c r="AQ199" s="110"/>
      <c r="AR199" s="110"/>
      <c r="AS199" s="110"/>
      <c r="AT199" s="24"/>
      <c r="AU199" s="24"/>
      <c r="AV199" s="24"/>
    </row>
    <row r="200" spans="4:48" x14ac:dyDescent="0.25">
      <c r="D200" s="24"/>
      <c r="E200" s="39" t="s">
        <v>249</v>
      </c>
      <c r="F200" s="39">
        <v>47.166666666666664</v>
      </c>
      <c r="G200" s="39">
        <v>47.5</v>
      </c>
      <c r="H200" s="39">
        <v>47.166666666666664</v>
      </c>
      <c r="I200" s="39">
        <v>47</v>
      </c>
      <c r="J200" s="39">
        <v>47.333333333333336</v>
      </c>
      <c r="K200" s="39">
        <v>47.166666666666664</v>
      </c>
      <c r="L200" s="39">
        <v>48.333333333333336</v>
      </c>
      <c r="M200" s="39">
        <v>48.333333333333336</v>
      </c>
      <c r="R200" s="39" t="s">
        <v>249</v>
      </c>
      <c r="S200" s="39">
        <v>49.25</v>
      </c>
      <c r="T200" s="39">
        <v>51.111111111111114</v>
      </c>
      <c r="U200" s="39">
        <v>52.666666666666664</v>
      </c>
      <c r="V200" s="39">
        <v>51.75</v>
      </c>
      <c r="W200" s="39">
        <v>50.714285714285715</v>
      </c>
      <c r="X200" s="39">
        <v>49.5</v>
      </c>
      <c r="Y200" s="39">
        <v>52.5</v>
      </c>
      <c r="Z200" s="39">
        <v>51</v>
      </c>
      <c r="AA200" s="434"/>
      <c r="AB200" s="434"/>
      <c r="AC200" s="434"/>
      <c r="AD200" s="112"/>
      <c r="AE200" s="24"/>
      <c r="AL200" s="112"/>
      <c r="AM200" s="112"/>
      <c r="AN200" s="110"/>
      <c r="AO200" s="110"/>
      <c r="AP200" s="110"/>
      <c r="AQ200" s="110"/>
      <c r="AR200" s="110"/>
      <c r="AS200" s="110"/>
      <c r="AT200" s="24"/>
      <c r="AU200" s="24"/>
      <c r="AV200" s="24"/>
    </row>
    <row r="201" spans="4:48" x14ac:dyDescent="0.25">
      <c r="D201" s="24"/>
      <c r="E201" s="39" t="s">
        <v>250</v>
      </c>
      <c r="F201" s="39">
        <v>52</v>
      </c>
      <c r="G201" s="39">
        <v>51.5</v>
      </c>
      <c r="H201" s="39">
        <v>50.5</v>
      </c>
      <c r="I201" s="39">
        <v>52</v>
      </c>
      <c r="J201" s="39">
        <v>52</v>
      </c>
      <c r="K201" s="39">
        <v>50.5</v>
      </c>
      <c r="L201" s="39">
        <v>52.5</v>
      </c>
      <c r="M201" s="39">
        <v>51.5</v>
      </c>
      <c r="R201" s="39" t="s">
        <v>250</v>
      </c>
      <c r="S201" s="39">
        <v>54.8</v>
      </c>
      <c r="T201" s="39">
        <v>55.133333333333333</v>
      </c>
      <c r="U201" s="39">
        <v>55.3125</v>
      </c>
      <c r="V201" s="39">
        <v>55.764705882352942</v>
      </c>
      <c r="W201" s="39">
        <v>56.4375</v>
      </c>
      <c r="X201" s="39">
        <v>54.75</v>
      </c>
      <c r="Y201" s="39">
        <v>56.333333333333336</v>
      </c>
      <c r="Z201" s="39">
        <v>56.4</v>
      </c>
      <c r="AA201" s="434"/>
      <c r="AB201" s="434"/>
      <c r="AC201" s="434"/>
      <c r="AD201" s="112"/>
      <c r="AE201" s="24"/>
      <c r="AL201" s="112"/>
      <c r="AM201" s="112"/>
      <c r="AN201" s="110"/>
      <c r="AO201" s="110"/>
      <c r="AP201" s="110"/>
      <c r="AQ201" s="110"/>
      <c r="AR201" s="110"/>
      <c r="AS201" s="110"/>
      <c r="AT201" s="24"/>
      <c r="AU201" s="24"/>
      <c r="AV201" s="24"/>
    </row>
    <row r="202" spans="4:48" x14ac:dyDescent="0.25">
      <c r="D202" s="24"/>
      <c r="E202" s="39" t="s">
        <v>251</v>
      </c>
      <c r="F202" s="39">
        <v>51</v>
      </c>
      <c r="G202" s="39">
        <v>51.333333333333336</v>
      </c>
      <c r="H202" s="39">
        <v>51</v>
      </c>
      <c r="I202" s="39">
        <v>52</v>
      </c>
      <c r="J202" s="39">
        <v>52.666666666666664</v>
      </c>
      <c r="K202" s="39">
        <v>50.333333333333336</v>
      </c>
      <c r="L202" s="39">
        <v>51.333333333333336</v>
      </c>
      <c r="M202" s="39">
        <v>51</v>
      </c>
      <c r="R202" s="39" t="s">
        <v>251</v>
      </c>
      <c r="S202" s="39">
        <v>52.583333333333336</v>
      </c>
      <c r="T202" s="39">
        <v>50.916666666666664</v>
      </c>
      <c r="U202" s="39">
        <v>52.454545454545453</v>
      </c>
      <c r="V202" s="39">
        <v>54</v>
      </c>
      <c r="W202" s="39">
        <v>52</v>
      </c>
      <c r="X202" s="39">
        <v>51.928571428571431</v>
      </c>
      <c r="Y202" s="39">
        <v>52.1875</v>
      </c>
      <c r="Z202" s="39">
        <v>53.941176470588232</v>
      </c>
      <c r="AA202" s="112"/>
      <c r="AB202" s="112"/>
      <c r="AC202" s="112"/>
      <c r="AD202" s="112"/>
      <c r="AE202" s="24"/>
      <c r="AL202" s="112"/>
      <c r="AM202" s="112"/>
      <c r="AN202" s="110"/>
      <c r="AO202" s="110"/>
      <c r="AP202" s="110"/>
      <c r="AQ202" s="110"/>
      <c r="AR202" s="110"/>
      <c r="AS202" s="110"/>
      <c r="AT202" s="24"/>
      <c r="AU202" s="24"/>
      <c r="AV202" s="24"/>
    </row>
    <row r="203" spans="4:48" x14ac:dyDescent="0.25">
      <c r="K203" s="110"/>
      <c r="L203" s="110"/>
      <c r="M203" s="110"/>
      <c r="N203" s="110"/>
      <c r="O203" s="110"/>
      <c r="P203" s="110"/>
      <c r="Q203" s="110"/>
      <c r="R203" s="110"/>
      <c r="S203" s="110"/>
      <c r="T203" s="110"/>
      <c r="U203" s="110"/>
      <c r="V203" s="110"/>
      <c r="W203" s="110"/>
      <c r="X203" s="110"/>
      <c r="Y203" s="150"/>
      <c r="Z203" s="150"/>
      <c r="AA203" s="110"/>
      <c r="AB203" s="110"/>
      <c r="AC203" s="110"/>
      <c r="AD203" s="110"/>
      <c r="AL203" s="110"/>
      <c r="AM203" s="110"/>
      <c r="AN203" s="110"/>
      <c r="AO203" s="110"/>
      <c r="AP203" s="110"/>
      <c r="AQ203" s="110"/>
      <c r="AR203" s="110"/>
      <c r="AS203" s="110"/>
    </row>
    <row r="204" spans="4:48" x14ac:dyDescent="0.25">
      <c r="S204" s="139"/>
      <c r="T204" s="139"/>
      <c r="U204" s="139"/>
      <c r="V204" s="139"/>
      <c r="W204" s="139"/>
      <c r="X204" s="139"/>
      <c r="Y204" s="150"/>
      <c r="Z204" s="150"/>
      <c r="AA204" s="139"/>
      <c r="AB204" s="139"/>
      <c r="AC204" s="139"/>
      <c r="AL204" s="110"/>
      <c r="AM204" s="110"/>
      <c r="AN204" s="110"/>
      <c r="AO204" s="110"/>
      <c r="AP204" s="110"/>
      <c r="AQ204" s="110"/>
      <c r="AR204" s="110"/>
      <c r="AS204" s="110"/>
    </row>
    <row r="205" spans="4:48" x14ac:dyDescent="0.25">
      <c r="S205" s="139"/>
      <c r="T205" s="139"/>
      <c r="U205" s="139"/>
      <c r="V205" s="139"/>
      <c r="W205" s="139"/>
      <c r="X205" s="139"/>
      <c r="Y205" s="139"/>
      <c r="Z205" s="139"/>
      <c r="AA205" s="139"/>
      <c r="AB205" s="139"/>
      <c r="AC205" s="139"/>
      <c r="AL205" s="110"/>
      <c r="AM205" s="110"/>
      <c r="AN205" s="110"/>
      <c r="AO205" s="110"/>
      <c r="AP205" s="110"/>
      <c r="AQ205" s="110"/>
      <c r="AR205" s="110"/>
      <c r="AS205" s="110"/>
    </row>
    <row r="206" spans="4:48" x14ac:dyDescent="0.25">
      <c r="S206" s="139"/>
      <c r="T206" s="150"/>
      <c r="U206" s="150"/>
      <c r="V206" s="150"/>
      <c r="W206" s="150"/>
      <c r="X206" s="150"/>
      <c r="Y206" s="150"/>
      <c r="Z206" s="150"/>
      <c r="AA206" s="150"/>
      <c r="AB206" s="150"/>
      <c r="AC206" s="150"/>
    </row>
    <row r="207" spans="4:48" x14ac:dyDescent="0.25">
      <c r="S207" s="139"/>
      <c r="T207" s="150"/>
      <c r="U207" s="150"/>
      <c r="V207" s="150"/>
      <c r="W207" s="150"/>
      <c r="X207" s="150"/>
      <c r="Y207" s="150"/>
      <c r="Z207" s="150"/>
      <c r="AA207" s="150"/>
      <c r="AB207" s="150"/>
      <c r="AC207" s="150"/>
    </row>
    <row r="208" spans="4:48" x14ac:dyDescent="0.25">
      <c r="S208" s="21"/>
      <c r="T208" s="150"/>
      <c r="U208" s="150"/>
      <c r="V208" s="150"/>
      <c r="W208" s="150"/>
      <c r="X208" s="150"/>
      <c r="Y208" s="150"/>
      <c r="Z208" s="150"/>
      <c r="AA208" s="150"/>
      <c r="AB208" s="150"/>
      <c r="AC208" s="150"/>
    </row>
    <row r="209" spans="19:51" x14ac:dyDescent="0.25">
      <c r="S209" s="21"/>
      <c r="T209" s="150"/>
      <c r="U209" s="150"/>
      <c r="V209" s="150"/>
      <c r="W209" s="150"/>
      <c r="X209" s="150"/>
      <c r="Y209" s="150"/>
      <c r="Z209" s="150"/>
      <c r="AA209" s="150"/>
      <c r="AB209" s="150"/>
      <c r="AC209" s="150"/>
    </row>
    <row r="211" spans="19:51" ht="12.75" customHeight="1" x14ac:dyDescent="0.25">
      <c r="S211" s="736" t="s">
        <v>325</v>
      </c>
      <c r="T211" s="737"/>
      <c r="U211" s="737"/>
      <c r="V211" s="737"/>
      <c r="W211" s="737"/>
      <c r="X211" s="737"/>
      <c r="Y211" s="737"/>
      <c r="Z211" s="737"/>
      <c r="AA211" s="737"/>
      <c r="AB211" s="737"/>
      <c r="AC211" s="737"/>
      <c r="AD211" s="737"/>
      <c r="AE211" s="737"/>
      <c r="AF211" s="737"/>
      <c r="AG211" s="737"/>
      <c r="AH211" s="737"/>
      <c r="AI211" s="737"/>
      <c r="AJ211" s="737"/>
      <c r="AK211" s="737"/>
      <c r="AL211" s="737"/>
      <c r="AM211" s="737"/>
    </row>
    <row r="212" spans="19:51" x14ac:dyDescent="0.25">
      <c r="S212" s="130"/>
      <c r="T212" s="736">
        <v>2016</v>
      </c>
      <c r="U212" s="737"/>
      <c r="V212" s="737"/>
      <c r="W212" s="854"/>
      <c r="X212" s="736">
        <v>2017</v>
      </c>
      <c r="Y212" s="737"/>
      <c r="Z212" s="737"/>
      <c r="AA212" s="854"/>
      <c r="AB212" s="736">
        <v>2018</v>
      </c>
      <c r="AC212" s="737"/>
      <c r="AD212" s="737"/>
      <c r="AE212" s="854"/>
      <c r="AF212" s="736">
        <v>2019</v>
      </c>
      <c r="AG212" s="737"/>
      <c r="AH212" s="737"/>
      <c r="AI212" s="854"/>
      <c r="AJ212" s="736">
        <v>2020</v>
      </c>
      <c r="AK212" s="737"/>
      <c r="AL212" s="737"/>
      <c r="AM212" s="737"/>
      <c r="AN212" s="736">
        <v>2021</v>
      </c>
      <c r="AO212" s="737"/>
      <c r="AP212" s="737"/>
      <c r="AQ212" s="737"/>
      <c r="AR212" s="736">
        <v>2022</v>
      </c>
      <c r="AS212" s="737"/>
      <c r="AT212" s="737"/>
      <c r="AU212" s="737"/>
      <c r="AV212" s="736">
        <v>2023</v>
      </c>
      <c r="AW212" s="737"/>
      <c r="AX212" s="737"/>
      <c r="AY212" s="737"/>
    </row>
    <row r="213" spans="19:51" x14ac:dyDescent="0.25">
      <c r="S213" s="129"/>
      <c r="T213" s="132" t="s">
        <v>10</v>
      </c>
      <c r="U213" s="129" t="s">
        <v>0</v>
      </c>
      <c r="V213" s="129" t="s">
        <v>323</v>
      </c>
      <c r="W213" s="129" t="s">
        <v>324</v>
      </c>
      <c r="X213" s="132" t="s">
        <v>10</v>
      </c>
      <c r="Y213" s="132" t="s">
        <v>0</v>
      </c>
      <c r="Z213" s="129" t="s">
        <v>323</v>
      </c>
      <c r="AA213" s="129" t="s">
        <v>324</v>
      </c>
      <c r="AB213" s="132" t="s">
        <v>10</v>
      </c>
      <c r="AC213" s="132" t="s">
        <v>0</v>
      </c>
      <c r="AD213" s="129" t="s">
        <v>323</v>
      </c>
      <c r="AE213" s="129" t="s">
        <v>324</v>
      </c>
      <c r="AF213" s="132" t="s">
        <v>10</v>
      </c>
      <c r="AG213" s="132" t="s">
        <v>0</v>
      </c>
      <c r="AH213" s="129" t="s">
        <v>323</v>
      </c>
      <c r="AI213" s="129" t="s">
        <v>324</v>
      </c>
      <c r="AJ213" s="132" t="s">
        <v>10</v>
      </c>
      <c r="AK213" s="132" t="s">
        <v>0</v>
      </c>
      <c r="AL213" s="129" t="s">
        <v>323</v>
      </c>
      <c r="AM213" s="129" t="s">
        <v>324</v>
      </c>
      <c r="AN213" s="439" t="s">
        <v>10</v>
      </c>
      <c r="AO213" s="439" t="s">
        <v>0</v>
      </c>
      <c r="AP213" s="434" t="s">
        <v>323</v>
      </c>
      <c r="AQ213" s="434" t="s">
        <v>324</v>
      </c>
      <c r="AR213" s="570" t="s">
        <v>10</v>
      </c>
      <c r="AS213" s="570" t="s">
        <v>0</v>
      </c>
      <c r="AT213" s="569" t="s">
        <v>323</v>
      </c>
      <c r="AU213" s="569" t="s">
        <v>324</v>
      </c>
      <c r="AV213" s="679" t="s">
        <v>10</v>
      </c>
      <c r="AW213" s="679" t="s">
        <v>0</v>
      </c>
      <c r="AX213" s="677" t="s">
        <v>323</v>
      </c>
      <c r="AY213" s="677" t="s">
        <v>324</v>
      </c>
    </row>
    <row r="214" spans="19:51" x14ac:dyDescent="0.25">
      <c r="S214" s="127">
        <v>1</v>
      </c>
      <c r="T214" s="97">
        <v>0.08</v>
      </c>
      <c r="U214" s="93">
        <v>0.04</v>
      </c>
      <c r="V214" s="150">
        <v>0.05</v>
      </c>
      <c r="W214" s="150">
        <v>0.04</v>
      </c>
      <c r="X214" s="84">
        <v>0.09</v>
      </c>
      <c r="Y214" s="85">
        <v>0.05</v>
      </c>
      <c r="Z214" s="150">
        <v>0.06</v>
      </c>
      <c r="AA214" s="150">
        <v>0.04</v>
      </c>
      <c r="AB214" s="97">
        <v>0.08</v>
      </c>
      <c r="AC214" s="93">
        <v>0.04</v>
      </c>
      <c r="AD214" s="150">
        <v>0.06</v>
      </c>
      <c r="AE214" s="150">
        <v>0.02</v>
      </c>
      <c r="AF214" s="97">
        <v>0.08</v>
      </c>
      <c r="AG214" s="93">
        <v>0.04</v>
      </c>
      <c r="AH214" s="150">
        <v>0.05</v>
      </c>
      <c r="AI214" s="150">
        <v>0.03</v>
      </c>
      <c r="AJ214" s="87">
        <v>7.0000000000000007E-2</v>
      </c>
      <c r="AK214" s="88">
        <v>0.04</v>
      </c>
      <c r="AL214" s="150">
        <v>0.04</v>
      </c>
      <c r="AM214" s="150">
        <v>0.03</v>
      </c>
      <c r="AN214" s="449">
        <v>0.1</v>
      </c>
      <c r="AO214" s="450">
        <v>0.05</v>
      </c>
      <c r="AP214" s="451">
        <v>0.06</v>
      </c>
      <c r="AQ214" s="451">
        <v>0.04</v>
      </c>
      <c r="AR214" s="422">
        <v>0.1</v>
      </c>
      <c r="AS214" s="423">
        <v>0.05</v>
      </c>
      <c r="AT214" s="426">
        <v>7.0000000000000007E-2</v>
      </c>
      <c r="AU214" s="426">
        <v>0.04</v>
      </c>
      <c r="AV214" s="641">
        <v>0.09</v>
      </c>
      <c r="AW214" s="642">
        <v>0.05</v>
      </c>
      <c r="AX214" s="643">
        <v>7.0000000000000007E-2</v>
      </c>
      <c r="AY214" s="643">
        <v>0.04</v>
      </c>
    </row>
    <row r="215" spans="19:51" x14ac:dyDescent="0.25">
      <c r="S215" s="127">
        <v>2</v>
      </c>
      <c r="T215" s="97">
        <v>0.37</v>
      </c>
      <c r="U215" s="93">
        <v>0.39</v>
      </c>
      <c r="V215" s="150">
        <v>0.44</v>
      </c>
      <c r="W215" s="150">
        <v>0.34</v>
      </c>
      <c r="X215" s="84">
        <v>0.38</v>
      </c>
      <c r="Y215" s="85">
        <v>0.38</v>
      </c>
      <c r="Z215" s="150">
        <v>0.42</v>
      </c>
      <c r="AA215" s="150">
        <v>0.33</v>
      </c>
      <c r="AB215" s="97">
        <v>0.38</v>
      </c>
      <c r="AC215" s="93">
        <v>0.38</v>
      </c>
      <c r="AD215" s="150">
        <v>0.43</v>
      </c>
      <c r="AE215" s="150">
        <v>0.32</v>
      </c>
      <c r="AF215" s="97">
        <v>0.36</v>
      </c>
      <c r="AG215" s="93">
        <v>0.36</v>
      </c>
      <c r="AH215" s="150">
        <v>0.41</v>
      </c>
      <c r="AI215" s="150">
        <v>0.28999999999999998</v>
      </c>
      <c r="AJ215" s="87">
        <v>0.37</v>
      </c>
      <c r="AK215" s="88">
        <v>0.34</v>
      </c>
      <c r="AL215" s="150">
        <v>0.39</v>
      </c>
      <c r="AM215" s="150">
        <v>0.3</v>
      </c>
      <c r="AN215" s="449">
        <v>0.4</v>
      </c>
      <c r="AO215" s="450">
        <v>0.39</v>
      </c>
      <c r="AP215" s="451">
        <v>0.45</v>
      </c>
      <c r="AQ215" s="451">
        <v>0.32</v>
      </c>
      <c r="AR215" s="422">
        <v>0.35</v>
      </c>
      <c r="AS215" s="423">
        <v>0.33</v>
      </c>
      <c r="AT215" s="426">
        <v>0.39</v>
      </c>
      <c r="AU215" s="426">
        <v>0.27</v>
      </c>
      <c r="AV215" s="641">
        <v>0.35</v>
      </c>
      <c r="AW215" s="642">
        <v>0.34</v>
      </c>
      <c r="AX215" s="643">
        <v>0.4</v>
      </c>
      <c r="AY215" s="643">
        <v>0.27</v>
      </c>
    </row>
    <row r="216" spans="19:51" x14ac:dyDescent="0.25">
      <c r="S216" s="127">
        <v>3</v>
      </c>
      <c r="T216" s="97">
        <v>0.5</v>
      </c>
      <c r="U216" s="93">
        <v>0.55000000000000004</v>
      </c>
      <c r="V216" s="150">
        <v>0.5</v>
      </c>
      <c r="W216" s="150">
        <v>0.6</v>
      </c>
      <c r="X216" s="84">
        <v>0.48</v>
      </c>
      <c r="Y216" s="85">
        <v>0.54</v>
      </c>
      <c r="Z216" s="150">
        <v>0.5</v>
      </c>
      <c r="AA216" s="150">
        <v>0.59</v>
      </c>
      <c r="AB216" s="97">
        <v>0.49</v>
      </c>
      <c r="AC216" s="93">
        <v>0.55000000000000004</v>
      </c>
      <c r="AD216" s="150">
        <v>0.5</v>
      </c>
      <c r="AE216" s="150">
        <v>0.62</v>
      </c>
      <c r="AF216" s="97">
        <v>0.51</v>
      </c>
      <c r="AG216" s="93">
        <v>0.56999999999999995</v>
      </c>
      <c r="AH216" s="150">
        <v>0.52</v>
      </c>
      <c r="AI216" s="150">
        <v>0.64</v>
      </c>
      <c r="AJ216" s="87">
        <v>0.5</v>
      </c>
      <c r="AK216" s="88">
        <v>0.59</v>
      </c>
      <c r="AL216" s="150">
        <v>0.54</v>
      </c>
      <c r="AM216" s="150">
        <v>0.64</v>
      </c>
      <c r="AN216" s="449">
        <v>0.46</v>
      </c>
      <c r="AO216" s="450">
        <v>0.54</v>
      </c>
      <c r="AP216" s="451">
        <v>0.48</v>
      </c>
      <c r="AQ216" s="451">
        <v>0.6</v>
      </c>
      <c r="AR216" s="422">
        <v>0.49</v>
      </c>
      <c r="AS216" s="423">
        <v>0.57999999999999996</v>
      </c>
      <c r="AT216" s="426">
        <v>0.52</v>
      </c>
      <c r="AU216" s="426">
        <v>0.64</v>
      </c>
      <c r="AV216" s="641">
        <v>0.49</v>
      </c>
      <c r="AW216" s="642">
        <v>0.56000000000000005</v>
      </c>
      <c r="AX216" s="643">
        <v>0.51</v>
      </c>
      <c r="AY216" s="643">
        <v>0.63</v>
      </c>
    </row>
    <row r="217" spans="19:51" x14ac:dyDescent="0.25">
      <c r="S217" s="127">
        <v>4</v>
      </c>
      <c r="T217" s="97">
        <v>0.05</v>
      </c>
      <c r="U217" s="93">
        <v>0.02</v>
      </c>
      <c r="V217" s="150">
        <v>0.02</v>
      </c>
      <c r="W217" s="150">
        <v>0.02</v>
      </c>
      <c r="X217" s="84">
        <v>0.05</v>
      </c>
      <c r="Y217" s="85">
        <v>0.03</v>
      </c>
      <c r="Z217" s="150">
        <v>0.02</v>
      </c>
      <c r="AA217" s="150">
        <v>0.03</v>
      </c>
      <c r="AB217" s="97">
        <v>0.05</v>
      </c>
      <c r="AC217" s="93">
        <v>0.02</v>
      </c>
      <c r="AD217" s="150">
        <v>0.01</v>
      </c>
      <c r="AE217" s="150">
        <v>0.03</v>
      </c>
      <c r="AF217" s="97">
        <v>0.06</v>
      </c>
      <c r="AG217" s="93">
        <v>0.03</v>
      </c>
      <c r="AH217" s="150">
        <v>0.02</v>
      </c>
      <c r="AI217" s="150">
        <v>0.04</v>
      </c>
      <c r="AJ217" s="87">
        <v>0.05</v>
      </c>
      <c r="AK217" s="88">
        <v>0.03</v>
      </c>
      <c r="AL217" s="150">
        <v>0.02</v>
      </c>
      <c r="AM217" s="150">
        <v>0.04</v>
      </c>
      <c r="AN217" s="449">
        <v>0.04</v>
      </c>
      <c r="AO217" s="450">
        <v>0.03</v>
      </c>
      <c r="AP217" s="451">
        <v>0.01</v>
      </c>
      <c r="AQ217" s="451">
        <v>0.04</v>
      </c>
      <c r="AR217" s="422">
        <v>0.05</v>
      </c>
      <c r="AS217" s="423">
        <v>0.03</v>
      </c>
      <c r="AT217" s="426">
        <v>0.02</v>
      </c>
      <c r="AU217" s="426">
        <v>0.05</v>
      </c>
      <c r="AV217" s="641">
        <v>7.0000000000000007E-2</v>
      </c>
      <c r="AW217" s="642">
        <v>0.04</v>
      </c>
      <c r="AX217" s="643">
        <v>0.03</v>
      </c>
      <c r="AY217" s="643">
        <v>0.06</v>
      </c>
    </row>
    <row r="218" spans="19:51" x14ac:dyDescent="0.25">
      <c r="S218" s="126"/>
      <c r="T218" s="738"/>
      <c r="U218" s="738"/>
      <c r="V218" s="738"/>
      <c r="W218" s="738"/>
      <c r="X218" s="738"/>
      <c r="Y218" s="738"/>
      <c r="Z218" s="738"/>
      <c r="AA218" s="738"/>
      <c r="AB218" s="738"/>
      <c r="AC218" s="738"/>
      <c r="AD218" s="110"/>
    </row>
    <row r="219" spans="19:51" x14ac:dyDescent="0.25">
      <c r="S219" s="113"/>
      <c r="T219" s="133"/>
      <c r="U219" s="133"/>
      <c r="V219" s="133"/>
      <c r="W219" s="133"/>
      <c r="X219" s="133"/>
      <c r="Y219" s="133"/>
      <c r="Z219" s="133"/>
      <c r="AA219" s="133"/>
      <c r="AB219" s="133"/>
      <c r="AC219" s="133"/>
      <c r="AD219" s="110"/>
    </row>
    <row r="220" spans="19:51" x14ac:dyDescent="0.25">
      <c r="S220" s="111"/>
      <c r="T220" s="151"/>
      <c r="U220" s="151"/>
      <c r="V220" s="151"/>
      <c r="W220" s="151"/>
      <c r="X220" s="151"/>
      <c r="Y220" s="151"/>
      <c r="Z220" s="151"/>
      <c r="AA220" s="151"/>
      <c r="AB220" s="151"/>
      <c r="AC220" s="151"/>
      <c r="AD220" s="110"/>
    </row>
    <row r="221" spans="19:51" x14ac:dyDescent="0.25">
      <c r="S221" s="111"/>
      <c r="T221" s="151"/>
      <c r="U221" s="151"/>
      <c r="V221" s="151"/>
      <c r="W221" s="151"/>
      <c r="X221" s="151"/>
      <c r="Y221" s="151"/>
      <c r="Z221" s="151"/>
      <c r="AA221" s="151"/>
      <c r="AB221" s="151"/>
      <c r="AC221" s="151"/>
      <c r="AD221" s="110"/>
    </row>
    <row r="222" spans="19:51" x14ac:dyDescent="0.25">
      <c r="S222" s="119"/>
      <c r="T222" s="151"/>
      <c r="U222" s="151"/>
      <c r="V222" s="151"/>
      <c r="W222" s="151"/>
      <c r="X222" s="151"/>
      <c r="Y222" s="151"/>
      <c r="Z222" s="151"/>
      <c r="AA222" s="151"/>
      <c r="AB222" s="151"/>
      <c r="AC222" s="151"/>
      <c r="AD222" s="110"/>
    </row>
    <row r="223" spans="19:51" x14ac:dyDescent="0.25">
      <c r="S223" s="119"/>
      <c r="T223" s="151"/>
      <c r="U223" s="151"/>
      <c r="V223" s="151"/>
      <c r="W223" s="151"/>
      <c r="X223" s="151"/>
      <c r="Y223" s="151"/>
      <c r="Z223" s="151"/>
      <c r="AA223" s="151"/>
      <c r="AB223" s="151"/>
      <c r="AC223" s="151"/>
      <c r="AD223" s="110"/>
    </row>
    <row r="224" spans="19:51" x14ac:dyDescent="0.25">
      <c r="S224" s="110"/>
      <c r="T224" s="110"/>
      <c r="U224" s="110"/>
      <c r="V224" s="110"/>
      <c r="W224" s="110"/>
      <c r="X224" s="110"/>
      <c r="Y224" s="110"/>
      <c r="Z224" s="110"/>
      <c r="AA224" s="110"/>
      <c r="AB224" s="110"/>
      <c r="AC224" s="110"/>
      <c r="AD224" s="110"/>
    </row>
    <row r="225" spans="4:30" x14ac:dyDescent="0.25">
      <c r="S225" s="110"/>
      <c r="T225" s="110"/>
      <c r="U225" s="110"/>
      <c r="V225" s="110"/>
      <c r="W225" s="110"/>
      <c r="X225" s="110"/>
      <c r="Y225" s="110"/>
      <c r="Z225" s="110"/>
      <c r="AA225" s="110"/>
      <c r="AB225" s="110"/>
      <c r="AC225" s="110"/>
      <c r="AD225" s="110"/>
    </row>
    <row r="226" spans="4:30" x14ac:dyDescent="0.25">
      <c r="S226" s="110"/>
      <c r="T226" s="110"/>
      <c r="U226" s="110"/>
      <c r="V226" s="110"/>
      <c r="W226" s="110"/>
      <c r="X226" s="110"/>
      <c r="Y226" s="110"/>
      <c r="Z226" s="110"/>
      <c r="AA226" s="110"/>
      <c r="AB226" s="110"/>
      <c r="AC226" s="110"/>
      <c r="AD226" s="110"/>
    </row>
    <row r="227" spans="4:30" x14ac:dyDescent="0.25">
      <c r="S227" s="110"/>
      <c r="T227" s="110"/>
      <c r="U227" s="110"/>
      <c r="V227" s="110"/>
      <c r="W227" s="110"/>
      <c r="X227" s="110"/>
      <c r="Y227" s="110"/>
      <c r="Z227" s="110"/>
      <c r="AA227" s="110"/>
      <c r="AB227" s="110"/>
      <c r="AC227" s="110"/>
      <c r="AD227" s="110"/>
    </row>
    <row r="228" spans="4:30" x14ac:dyDescent="0.25">
      <c r="S228" s="110"/>
      <c r="T228" s="110"/>
      <c r="U228" s="110"/>
      <c r="V228" s="110"/>
      <c r="W228" s="110"/>
      <c r="X228" s="110"/>
      <c r="Y228" s="110"/>
      <c r="Z228" s="110"/>
      <c r="AA228" s="110"/>
      <c r="AB228" s="110"/>
      <c r="AC228" s="110"/>
      <c r="AD228" s="110"/>
    </row>
    <row r="231" spans="4:30" x14ac:dyDescent="0.25">
      <c r="D231" s="267"/>
      <c r="E231" s="853">
        <v>2016</v>
      </c>
      <c r="F231" s="853"/>
      <c r="G231" s="853"/>
      <c r="H231" s="853"/>
      <c r="I231" s="853">
        <v>2017</v>
      </c>
      <c r="J231" s="853"/>
      <c r="K231" s="853"/>
      <c r="L231" s="853"/>
      <c r="M231" s="853">
        <v>2018</v>
      </c>
      <c r="N231" s="853"/>
      <c r="O231" s="853"/>
      <c r="P231" s="853"/>
      <c r="Q231" s="853">
        <v>2019</v>
      </c>
      <c r="R231" s="853"/>
      <c r="S231" s="853"/>
      <c r="T231" s="853"/>
      <c r="U231" s="853">
        <v>2020</v>
      </c>
      <c r="V231" s="853"/>
      <c r="W231" s="853"/>
      <c r="X231" s="853"/>
      <c r="Y231" s="853">
        <v>2021</v>
      </c>
      <c r="Z231" s="853"/>
      <c r="AA231" s="853"/>
      <c r="AB231" s="853"/>
    </row>
    <row r="232" spans="4:30" x14ac:dyDescent="0.25">
      <c r="D232" s="267"/>
      <c r="E232" s="267">
        <v>1</v>
      </c>
      <c r="F232" s="267">
        <v>2</v>
      </c>
      <c r="G232" s="267">
        <v>3</v>
      </c>
      <c r="H232" s="267">
        <v>4</v>
      </c>
      <c r="I232" s="267">
        <v>1</v>
      </c>
      <c r="J232" s="267">
        <v>2</v>
      </c>
      <c r="K232" s="267">
        <v>3</v>
      </c>
      <c r="L232" s="267">
        <v>4</v>
      </c>
      <c r="M232" s="267">
        <v>1</v>
      </c>
      <c r="N232" s="267">
        <v>2</v>
      </c>
      <c r="O232" s="267">
        <v>3</v>
      </c>
      <c r="P232" s="267">
        <v>4</v>
      </c>
      <c r="Q232" s="267">
        <v>1</v>
      </c>
      <c r="R232" s="267">
        <v>2</v>
      </c>
      <c r="S232" s="267">
        <v>3</v>
      </c>
      <c r="T232" s="267">
        <v>4</v>
      </c>
      <c r="U232" s="267">
        <v>1</v>
      </c>
      <c r="V232" s="267">
        <v>2</v>
      </c>
      <c r="W232" s="267">
        <v>3</v>
      </c>
      <c r="X232" s="267">
        <v>4</v>
      </c>
      <c r="Y232" s="429">
        <v>1</v>
      </c>
      <c r="Z232" s="429">
        <v>2</v>
      </c>
      <c r="AA232" s="429">
        <v>3</v>
      </c>
      <c r="AB232" s="429">
        <v>4</v>
      </c>
    </row>
    <row r="233" spans="4:30" x14ac:dyDescent="0.25">
      <c r="D233" s="39" t="s">
        <v>246</v>
      </c>
      <c r="E233" s="65">
        <f>AVERAGEIF($C$36:$C$167,"=1",$F$36:$F$167)</f>
        <v>5.4117647058823541E-2</v>
      </c>
      <c r="F233" s="65">
        <f>AVERAGEIF($C$36:$C$167,"=1",$G$36:$G$167)</f>
        <v>0.39411764705882346</v>
      </c>
      <c r="G233" s="65">
        <f>AVERAGEIF($C$36:$C$167,"=1",$H$36:$H$167)</f>
        <v>0.54294117647058826</v>
      </c>
      <c r="H233" s="65">
        <f>AVERAGEIF($C$36:$C$167,"=1",$I$36:$I$167)</f>
        <v>9.4117647058823539E-3</v>
      </c>
      <c r="I233" s="65">
        <f>AVERAGEIF($C$36:$C$167,"=1",$O$36:$O$167)</f>
        <v>5.7222222222222209E-2</v>
      </c>
      <c r="J233" s="65">
        <f>AVERAGEIF($C$36:$C$167,"=1",$P$36:$P$167)</f>
        <v>0.40166666666666667</v>
      </c>
      <c r="K233" s="65">
        <f>AVERAGEIF($C$36:$C$167,"=1",$Q$36:$Q$167)</f>
        <v>0.51555555555555566</v>
      </c>
      <c r="L233" s="65">
        <f>AVERAGEIF($C$36:$C$167,"=1",$R$36:$R$167)</f>
        <v>2.6111111111111116E-2</v>
      </c>
      <c r="M233" s="65">
        <f>AVERAGEIF($C$36:$C$167,"=1",$X$36:$X$167)</f>
        <v>4.2777777777777783E-2</v>
      </c>
      <c r="N233" s="65">
        <f>AVERAGEIF($C$36:$C$167,"=1",$Y$36:$Y$167)</f>
        <v>0.39777777777777773</v>
      </c>
      <c r="O233" s="65">
        <f>AVERAGEIF($C$36:$C$167,"=1",$Z$36:$Z$167)</f>
        <v>0.52555555555555555</v>
      </c>
      <c r="P233" s="65">
        <f>AVERAGEIF($C$36:$C$167,"=1",$AA$36:$AA$167)</f>
        <v>3.4444444444444451E-2</v>
      </c>
      <c r="Q233" s="65">
        <f>AVERAGEIF($C$36:$C$167,"=1",$AG$36:$AG$167)</f>
        <v>3.2777777777777781E-2</v>
      </c>
      <c r="R233" s="65">
        <f>AVERAGEIF($C$36:$C$167,"=1",$AH$36:$AH$167)</f>
        <v>0.34333333333333338</v>
      </c>
      <c r="S233" s="65">
        <f>AVERAGEIF($C$36:$C$167,"=1",$AI$36:$AI$167)</f>
        <v>0.60055555555555562</v>
      </c>
      <c r="T233" s="65">
        <f>AVERAGEIF($C$36:$C$167,"=1",$AJ$36:$AJ$167)</f>
        <v>2.4444444444444446E-2</v>
      </c>
      <c r="U233" s="65">
        <f>AVERAGEIF($C$36:$C$167,"=1",$AP$36:$AP$167)</f>
        <v>3.529411764705883E-2</v>
      </c>
      <c r="V233" s="65">
        <f>AVERAGEIF($C$36:$C$167,"=1",$AQ$36:$AQ$167)</f>
        <v>0.36000000000000004</v>
      </c>
      <c r="W233" s="65">
        <f>AVERAGEIF($C$36:$C$167,"=1",$AR$36:$AR$167)</f>
        <v>0.57352941176470584</v>
      </c>
      <c r="X233" s="65">
        <f>AVERAGEIF($C$36:$C$167,"=1",$AS$36:$AS$167)</f>
        <v>3.2941176470588238E-2</v>
      </c>
      <c r="Y233" s="65">
        <f>AVERAGEIF($C$50:$C$179,"=1",$BA$50:$BA$179)</f>
        <v>4.3529411764705886E-2</v>
      </c>
      <c r="Z233" s="65">
        <f>AVERAGEIF($C$50:$C$179,"=1",$BB$50:$BB$179)</f>
        <v>0.36764705882352944</v>
      </c>
      <c r="AA233" s="65">
        <f>AVERAGEIF($C$50:$C$179,"=1",$BC$50:$BC$179)</f>
        <v>0.56176470588235294</v>
      </c>
      <c r="AB233" s="65">
        <f>AVERAGEIF($C$50:$C$179,"=1",$BD$50:$BD$179)</f>
        <v>2.7058823529411767E-2</v>
      </c>
    </row>
    <row r="234" spans="4:30" x14ac:dyDescent="0.25">
      <c r="D234" s="39" t="s">
        <v>247</v>
      </c>
      <c r="E234" s="65">
        <f>AVERAGEIF($C$36:$C$167,"=2",$F$36:$F$167)</f>
        <v>0.05</v>
      </c>
      <c r="F234" s="65">
        <f>AVERAGEIF($C$36:$C$167,"=2",$G$36:$G$167)</f>
        <v>0.36700000000000005</v>
      </c>
      <c r="G234" s="65">
        <f>AVERAGEIF($C$36:$C$167,"=2",$H$36:$H$167)</f>
        <v>0.5675</v>
      </c>
      <c r="H234" s="65">
        <f>AVERAGEIF($C$36:$C$167,"=2",$I$36:$I$167)</f>
        <v>1.7000000000000001E-2</v>
      </c>
      <c r="I234" s="65">
        <f>AVERAGEIF($C$36:$C$167,"=2",$O$36:$O$167)</f>
        <v>5.7368421052631582E-2</v>
      </c>
      <c r="J234" s="65">
        <f>AVERAGEIF($C$36:$C$167,"=2",$P$36:$P$167)</f>
        <v>0.34894736842105273</v>
      </c>
      <c r="K234" s="65">
        <f>AVERAGEIF($C$36:$C$167,"=2",$Q$36:$Q$167)</f>
        <v>0.55157894736842095</v>
      </c>
      <c r="L234" s="65">
        <f>AVERAGEIF($C$36:$C$167,"=2",$R$36:$R$167)</f>
        <v>4.0000000000000008E-2</v>
      </c>
      <c r="M234" s="65">
        <f>AVERAGEIF($C$36:$C$167,"=2",$X$36:$X$167)</f>
        <v>3.6315789473684218E-2</v>
      </c>
      <c r="N234" s="65">
        <f>AVERAGEIF($C$36:$C$167,"=2",$Y$36:$Y$167)</f>
        <v>0.34789473684210526</v>
      </c>
      <c r="O234" s="65">
        <f>AVERAGEIF($C$36:$C$167,"=2",$Z$36:$Z$167)</f>
        <v>0.60210526315789459</v>
      </c>
      <c r="P234" s="65">
        <f>AVERAGEIF($C$36:$C$167,"=2",$AA$36:$AA$167)</f>
        <v>1.6315789473684207E-2</v>
      </c>
      <c r="Q234" s="65">
        <f>AVERAGEIF($C$36:$C$167,"=2",$AG$36:$AG$167)</f>
        <v>3.7000000000000005E-2</v>
      </c>
      <c r="R234" s="65">
        <f>AVERAGEIF($C$36:$C$167,"=2",$AH$36:$AH$167)</f>
        <v>0.32049999999999995</v>
      </c>
      <c r="S234" s="65">
        <f>AVERAGEIF($C$36:$C$167,"=2",$AI$36:$AI$167)</f>
        <v>0.60650000000000015</v>
      </c>
      <c r="T234" s="65">
        <f>AVERAGEIF($C$36:$C$167,"=2",$AJ$36:$AJ$167)</f>
        <v>3.7500000000000012E-2</v>
      </c>
      <c r="U234" s="65">
        <f>AVERAGEIF($C$36:$C$167,"=2",$AP$36:$AP$167)</f>
        <v>2.7500000000000007E-2</v>
      </c>
      <c r="V234" s="65">
        <f>AVERAGEIF($C$36:$C$167,"=2",$AQ$36:$AQ$167)</f>
        <v>0.35749999999999998</v>
      </c>
      <c r="W234" s="65">
        <f>AVERAGEIF($C$36:$C$167,"=2",$AR$36:$AR$167)</f>
        <v>0.57791666666666675</v>
      </c>
      <c r="X234" s="65">
        <f>AVERAGEIF($C$36:$C$167,"=2",$AS$36:$AS$167)</f>
        <v>3.5833333333333342E-2</v>
      </c>
      <c r="Y234" s="65">
        <f>AVERAGEIF($C$50:$C$179,"=2",$BA$50:$BA$179)</f>
        <v>6.1052631578947379E-2</v>
      </c>
      <c r="Z234" s="65">
        <f>AVERAGEIF($C$50:$C$179,"=2",$BB$50:$BB$179)</f>
        <v>0.36210526315789476</v>
      </c>
      <c r="AA234" s="65">
        <f>AVERAGEIF($C$50:$C$179,"=2",$BC$50:$BC$179)</f>
        <v>0.54999999999999993</v>
      </c>
      <c r="AB234" s="65">
        <f>AVERAGEIF($C$50:$C$179,"=2",$BD$50:$BD$179)</f>
        <v>2.8421052631578948E-2</v>
      </c>
    </row>
    <row r="235" spans="4:30" x14ac:dyDescent="0.25">
      <c r="D235" s="39" t="s">
        <v>248</v>
      </c>
      <c r="E235" s="65">
        <f>AVERAGEIF($C$36:$C$167,"=3",$F$36:$F$167)</f>
        <v>3.2777777777777781E-2</v>
      </c>
      <c r="F235" s="65">
        <f>AVERAGEIF($C$36:$C$167,"=3",$G$36:$G$167)</f>
        <v>0.37333333333333335</v>
      </c>
      <c r="G235" s="65">
        <f>AVERAGEIF($C$36:$C$167,"=3",$H$36:$H$167)</f>
        <v>0.56666666666666687</v>
      </c>
      <c r="H235" s="65">
        <f>AVERAGEIF($C$36:$C$167,"=3",$I$36:$I$167)</f>
        <v>2.8888888888888891E-2</v>
      </c>
      <c r="I235" s="65">
        <f>AVERAGEIF($C$36:$C$167,"=3",$O$36:$O$167)</f>
        <v>3.7222222222222226E-2</v>
      </c>
      <c r="J235" s="65">
        <f>AVERAGEIF($C$36:$C$167,"=3",$P$36:$P$167)</f>
        <v>0.38388888888888889</v>
      </c>
      <c r="K235" s="65">
        <f>AVERAGEIF($C$36:$C$167,"=3",$Q$36:$Q$167)</f>
        <v>0.55111111111111111</v>
      </c>
      <c r="L235" s="65">
        <f>AVERAGEIF($C$36:$C$167,"=3",$R$36:$R$167)</f>
        <v>2.7777777777777776E-2</v>
      </c>
      <c r="M235" s="65">
        <f>AVERAGEIF($C$36:$C$167,"=3",$X$36:$X$167)</f>
        <v>3.6666666666666667E-2</v>
      </c>
      <c r="N235" s="65">
        <f>AVERAGEIF($C$36:$C$167,"=3",$Y$36:$Y$167)</f>
        <v>0.35777777777777781</v>
      </c>
      <c r="O235" s="65">
        <f>AVERAGEIF($C$36:$C$167,"=3",$Z$36:$Z$167)</f>
        <v>0.57111111111111112</v>
      </c>
      <c r="P235" s="65">
        <f>AVERAGEIF($C$36:$C$167,"=3",$AA$36:$AA$167)</f>
        <v>3.5000000000000003E-2</v>
      </c>
      <c r="Q235" s="65">
        <f>AVERAGEIF($C$36:$C$167,"=3",$AG$36:$AG$167)</f>
        <v>4.222222222222223E-2</v>
      </c>
      <c r="R235" s="65">
        <f>AVERAGEIF($C$36:$C$167,"=3",$AH$36:$AH$167)</f>
        <v>0.36166666666666675</v>
      </c>
      <c r="S235" s="65">
        <f>AVERAGEIF($C$36:$C$167,"=3",$AI$36:$AI$167)</f>
        <v>0.57222222222222208</v>
      </c>
      <c r="T235" s="65">
        <f>AVERAGEIF($C$36:$C$167,"=3",$AJ$36:$AJ$167)</f>
        <v>2.6111111111111116E-2</v>
      </c>
      <c r="U235" s="65">
        <f>AVERAGEIF($C$36:$C$167,"=3",$AP$36:$AP$167)</f>
        <v>2.4E-2</v>
      </c>
      <c r="V235" s="65">
        <f>AVERAGEIF($C$36:$C$167,"=3",$AQ$36:$AQ$167)</f>
        <v>0.3175</v>
      </c>
      <c r="W235" s="65">
        <f>AVERAGEIF($C$36:$C$167,"=3",$AR$36:$AR$167)</f>
        <v>0.62450000000000006</v>
      </c>
      <c r="X235" s="65">
        <f>AVERAGEIF($C$36:$C$167,"=3",$AS$36:$AS$167)</f>
        <v>3.3500000000000009E-2</v>
      </c>
      <c r="Y235" s="65">
        <f>AVERAGEIF($C$50:$C$179,"=3",$BA$50:$BA$179)</f>
        <v>3.4444444444444451E-2</v>
      </c>
      <c r="Z235" s="65">
        <f>AVERAGEIF($C$50:$C$179,"=3",$BB$50:$BB$179)</f>
        <v>0.33722222222222226</v>
      </c>
      <c r="AA235" s="65">
        <f>AVERAGEIF($C$50:$C$179,"=3",$BC$50:$BC$179)</f>
        <v>0.59777777777777774</v>
      </c>
      <c r="AB235" s="65">
        <f>AVERAGEIF($C$50:$C$179,"=3",$BD$50:$BD$179)</f>
        <v>3.0000000000000002E-2</v>
      </c>
    </row>
    <row r="236" spans="4:30" x14ac:dyDescent="0.25">
      <c r="D236" s="39" t="s">
        <v>249</v>
      </c>
      <c r="E236" s="65">
        <f>AVERAGEIF($C$36:$C$167,"=4",$F$36:$F$167)</f>
        <v>0.12142857142857144</v>
      </c>
      <c r="F236" s="65">
        <f>AVERAGEIF($C$36:$C$167,"=1",$G$36:$G$167)</f>
        <v>0.39411764705882346</v>
      </c>
      <c r="G236" s="65">
        <f>AVERAGEIF($C$36:$C$167,"=4",$H$36:$H$167)</f>
        <v>0.41142857142857142</v>
      </c>
      <c r="H236" s="65">
        <f>AVERAGEIF($C$36:$C$167,"=4",$I$36:$I$167)</f>
        <v>2.8571428571428571E-3</v>
      </c>
      <c r="I236" s="65">
        <f>AVERAGEIF($C$36:$C$167,"=4",$O$36:$O$167)</f>
        <v>0.10142857142857144</v>
      </c>
      <c r="J236" s="65">
        <f>AVERAGEIF($C$36:$C$167,"=4",$P$36:$P$167)</f>
        <v>0.42642857142857143</v>
      </c>
      <c r="K236" s="65">
        <f>AVERAGEIF($C$36:$C$167,"=4",$Q$36:$Q$167)</f>
        <v>0.4628571428571428</v>
      </c>
      <c r="L236" s="65">
        <f>AVERAGEIF($C$36:$C$167,"=4",$R$36:$R$167)</f>
        <v>1.0714285714285714E-2</v>
      </c>
      <c r="M236" s="65">
        <f>AVERAGEIF($C$36:$C$167,"=4",$X$36:$X$167)</f>
        <v>8.0714285714285711E-2</v>
      </c>
      <c r="N236" s="65">
        <f>AVERAGEIF($C$36:$C$167,"=4",$Y$36:$Y$167)</f>
        <v>0.38785714285714284</v>
      </c>
      <c r="O236" s="65">
        <f>AVERAGEIF($C$36:$C$167,"=4",$Z$36:$Z$167)</f>
        <v>0.52142857142857146</v>
      </c>
      <c r="P236" s="65">
        <f>AVERAGEIF($C$36:$C$167,"=4",$AA$36:$AA$167)</f>
        <v>9.285714285714286E-3</v>
      </c>
      <c r="Q236" s="65">
        <f>AVERAGEIF($C$36:$C$167,"=4",$AG$36:$AG$167)</f>
        <v>7.0000000000000007E-2</v>
      </c>
      <c r="R236" s="65">
        <f>AVERAGEIF($C$36:$C$167,"=4",$AH$36:$AH$167)</f>
        <v>0.48923076923076919</v>
      </c>
      <c r="S236" s="65">
        <f>AVERAGEIF($C$36:$C$167,"=4",$AI$36:$AI$167)</f>
        <v>0.42153846153846153</v>
      </c>
      <c r="T236" s="65">
        <f>AVERAGEIF($C$36:$C$167,"=4",$AJ$36:$AJ$167)</f>
        <v>1.846153846153846E-2</v>
      </c>
      <c r="U236" s="65">
        <f>AVERAGEIF($C$36:$C$167,"=4",$AP$36:$AP$167)</f>
        <v>7.2307692307692309E-2</v>
      </c>
      <c r="V236" s="65">
        <f>AVERAGEIF($C$36:$C$167,"=4",$AQ$36:$AQ$167)</f>
        <v>0.47846153846153844</v>
      </c>
      <c r="W236" s="65">
        <f>AVERAGEIF($C$36:$C$167,"=4",$AR$36:$AR$167)</f>
        <v>0.42615384615384611</v>
      </c>
      <c r="X236" s="65">
        <f>AVERAGEIF($C$36:$C$167,"=4",$AS$36:$AS$167)</f>
        <v>2.5384615384615387E-2</v>
      </c>
      <c r="Y236" s="65">
        <f>AVERAGEIF($C$50:$C$179,"=4",$BA$50:$BA$179)</f>
        <v>7.8333333333333352E-2</v>
      </c>
      <c r="Z236" s="65">
        <f>AVERAGEIF($C$50:$C$179,"=4",$BB$50:$BB$179)</f>
        <v>0.46583333333333338</v>
      </c>
      <c r="AA236" s="65">
        <f>AVERAGEIF($C$50:$C$179,"=4",$BC$50:$BC$179)</f>
        <v>0.44249999999999995</v>
      </c>
      <c r="AB236" s="65">
        <f>AVERAGEIF($C$50:$C$179,"=4",$BD$50:$BD$179)</f>
        <v>1.2499999999999999E-2</v>
      </c>
    </row>
    <row r="237" spans="4:30" x14ac:dyDescent="0.25">
      <c r="D237" s="39" t="s">
        <v>250</v>
      </c>
      <c r="E237" s="65">
        <f>AVERAGEIF($C$36:$C$167,"=5",$F$36:$F$167)</f>
        <v>2.4117647058823532E-2</v>
      </c>
      <c r="F237" s="65">
        <f>AVERAGEIF($C$36:$C$167,"=1",$G$36:$G$167)</f>
        <v>0.39411764705882346</v>
      </c>
      <c r="G237" s="65">
        <f>AVERAGEIF($C$36:$C$167,"=5",$H$36:$H$167)</f>
        <v>0.64411764705882346</v>
      </c>
      <c r="H237" s="65">
        <f>AVERAGEIF($C$36:$C$167,"=5",$I$36:$I$167)</f>
        <v>2.4705882352941178E-2</v>
      </c>
      <c r="I237" s="65">
        <f>AVERAGEIF($C$36:$C$167,"=5",$O$36:$O$167)</f>
        <v>3.8823529411764715E-2</v>
      </c>
      <c r="J237" s="65">
        <f>AVERAGEIF($C$36:$C$167,"=5",$P$36:$P$167)</f>
        <v>0.28176470588235292</v>
      </c>
      <c r="K237" s="65">
        <f>AVERAGEIF($C$36:$C$167,"=5",$Q$36:$Q$167)</f>
        <v>0.6352941176470589</v>
      </c>
      <c r="L237" s="65">
        <f>AVERAGEIF($C$36:$C$167,"=5",$R$36:$R$167)</f>
        <v>4.2941176470588246E-2</v>
      </c>
      <c r="M237" s="65">
        <f>AVERAGEIF($C$36:$C$167,"=5",$X$36:$X$167)</f>
        <v>2.2352941176470589E-2</v>
      </c>
      <c r="N237" s="65">
        <f>AVERAGEIF($C$36:$C$167,"=5",$Y$36:$Y$167)</f>
        <v>0.32647058823529418</v>
      </c>
      <c r="O237" s="65">
        <f>AVERAGEIF($C$36:$C$167,"=5",$Z$36:$Z$167)</f>
        <v>0.60647058823529409</v>
      </c>
      <c r="P237" s="65">
        <f>AVERAGEIF($C$36:$C$167,"=5",$AA$36:$AA$167)</f>
        <v>4.5294117647058825E-2</v>
      </c>
      <c r="Q237" s="65">
        <f>AVERAGEIF($C$36:$C$167,"=5",$AG$36:$AG$167)</f>
        <v>1.666666666666667E-2</v>
      </c>
      <c r="R237" s="65">
        <f>AVERAGEIF($C$36:$C$167,"=5",$AH$36:$AH$167)</f>
        <v>0.28055555555555556</v>
      </c>
      <c r="S237" s="65">
        <f>AVERAGEIF($C$36:$C$167,"=5",$AI$36:$AI$167)</f>
        <v>0.65555555555555556</v>
      </c>
      <c r="T237" s="65">
        <f>AVERAGEIF($C$36:$C$167,"=5",$AJ$36:$AJ$167)</f>
        <v>4.7222222222222228E-2</v>
      </c>
      <c r="U237" s="65">
        <f>AVERAGEIF($C$36:$C$167,"=5",$AP$36:$AP$167)</f>
        <v>1.8888888888888889E-2</v>
      </c>
      <c r="V237" s="65">
        <f>AVERAGEIF($C$36:$C$167,"=5",$AQ$36:$AQ$167)</f>
        <v>0.25944444444444437</v>
      </c>
      <c r="W237" s="65">
        <f>AVERAGEIF($C$36:$C$167,"=5",$AR$36:$AR$167)</f>
        <v>0.68111111111111122</v>
      </c>
      <c r="X237" s="65">
        <f>AVERAGEIF($C$36:$C$167,"=5",$AS$36:$AS$167)</f>
        <v>4.1666666666666671E-2</v>
      </c>
      <c r="Y237" s="65">
        <f>AVERAGEIF($C$50:$C$179,"=5",$BA$50:$BA$179)</f>
        <v>2.5882352941176471E-2</v>
      </c>
      <c r="Z237" s="65">
        <f>AVERAGEIF($C$50:$C$179,"=5",$BB$50:$BB$179)</f>
        <v>0.32647058823529412</v>
      </c>
      <c r="AA237" s="65">
        <f>AVERAGEIF($C$50:$C$179,"=5",$BC$50:$BC$179)</f>
        <v>0.6011764705882352</v>
      </c>
      <c r="AB237" s="65">
        <f>AVERAGEIF($C$50:$C$179,"=5",$BD$50:$BD$179)</f>
        <v>4.4705882352941193E-2</v>
      </c>
    </row>
    <row r="238" spans="4:30" x14ac:dyDescent="0.25">
      <c r="D238" s="39" t="s">
        <v>251</v>
      </c>
      <c r="E238" s="65">
        <f>AVERAGEIF($C$36:$C$167,"=6",$F$36:$F$167)</f>
        <v>8.7333333333333332E-2</v>
      </c>
      <c r="F238" s="65">
        <f>AVERAGEIF($C$36:$C$167,"=1",$G$36:$G$167)</f>
        <v>0.39411764705882346</v>
      </c>
      <c r="G238" s="65">
        <f>AVERAGEIF($C$36:$C$167,"=6",$H$36:$H$167)</f>
        <v>0.56000000000000005</v>
      </c>
      <c r="H238" s="65">
        <f>AVERAGEIF($C$36:$C$167,"=6",$I$36:$I$167)</f>
        <v>1.0666666666666666E-2</v>
      </c>
      <c r="I238" s="65">
        <f>AVERAGEIF($C$36:$C$167,"=6",$O$36:$O$167)</f>
        <v>8.1333333333333327E-2</v>
      </c>
      <c r="J238" s="65">
        <f>AVERAGEIF($C$36:$C$167,"=6",$P$36:$P$167)</f>
        <v>0.38866666666666666</v>
      </c>
      <c r="K238" s="65">
        <f>AVERAGEIF($C$36:$C$167,"=6",$Q$36:$Q$167)</f>
        <v>0.51133333333333331</v>
      </c>
      <c r="L238" s="65">
        <f>AVERAGEIF($C$36:$C$167,"=6",$R$36:$R$167)</f>
        <v>2.0000000000000004E-2</v>
      </c>
      <c r="M238" s="65">
        <f>AVERAGEIF($C$36:$C$167,"=6",$X$36:$X$167)</f>
        <v>3.0000000000000002E-2</v>
      </c>
      <c r="N238" s="65">
        <f>AVERAGEIF($C$36:$C$167,"=6",$Y$36:$Y$167)</f>
        <v>0.41250000000000003</v>
      </c>
      <c r="O238" s="65">
        <f>AVERAGEIF($C$36:$C$167,"=6",$Z$36:$Z$167)</f>
        <v>0.541875</v>
      </c>
      <c r="P238" s="65">
        <f>AVERAGEIF($C$36:$C$167,"=6",$AA$36:$AA$167)</f>
        <v>1.7500000000000002E-2</v>
      </c>
      <c r="Q238" s="65">
        <f>AVERAGEIF($C$36:$C$167,"=6",$AG$36:$AG$167)</f>
        <v>4.2941176470588246E-2</v>
      </c>
      <c r="R238" s="65">
        <f>AVERAGEIF($C$36:$C$167,"=6",$AH$36:$AH$167)</f>
        <v>0.35588235294117654</v>
      </c>
      <c r="S238" s="65">
        <f>AVERAGEIF($C$36:$C$167,"=6",$AI$36:$AI$167)</f>
        <v>0.56882352941176473</v>
      </c>
      <c r="T238" s="65">
        <f>AVERAGEIF($C$36:$C$167,"=6",$AJ$36:$AJ$167)</f>
        <v>3.2941176470588238E-2</v>
      </c>
      <c r="U238" s="65">
        <f>AVERAGEIF($C$36:$C$167,"=6",$AP$36:$AP$167)</f>
        <v>0.03</v>
      </c>
      <c r="V238" s="65">
        <f>AVERAGEIF($C$36:$C$167,"=6",$AQ$36:$AQ$167)</f>
        <v>0.37470588235294117</v>
      </c>
      <c r="W238" s="65">
        <f>AVERAGEIF($C$36:$C$167,"=6",$AR$36:$AR$167)</f>
        <v>0.56588235294117639</v>
      </c>
      <c r="X238" s="65">
        <f>AVERAGEIF($C$36:$C$167,"=6",$AS$36:$AS$167)</f>
        <v>2.9411764705882359E-2</v>
      </c>
      <c r="Y238" s="65">
        <f>AVERAGEIF($C$50:$C$179,"=6",$BA$50:$BA$179)</f>
        <v>3.0666666666666665E-2</v>
      </c>
      <c r="Z238" s="65">
        <f>AVERAGEIF($C$50:$C$179,"=6",$BB$50:$BB$179)</f>
        <v>0.42266666666666669</v>
      </c>
      <c r="AA238" s="65">
        <f>AVERAGEIF($C$50:$C$179,"=6",$BC$50:$BC$179)</f>
        <v>0.5126666666666666</v>
      </c>
      <c r="AB238" s="65">
        <f>AVERAGEIF($C$50:$C$179,"=6",$BD$50:$BD$179)</f>
        <v>3.4666666666666665E-2</v>
      </c>
    </row>
    <row r="241" spans="4:105" x14ac:dyDescent="0.25">
      <c r="D241" s="429"/>
      <c r="E241" s="853">
        <v>2016</v>
      </c>
      <c r="F241" s="853"/>
      <c r="G241" s="853"/>
      <c r="H241" s="853"/>
      <c r="I241" s="853"/>
      <c r="J241" s="853"/>
      <c r="K241" s="853"/>
      <c r="L241" s="853"/>
      <c r="M241" s="853">
        <v>2017</v>
      </c>
      <c r="N241" s="853"/>
      <c r="O241" s="853"/>
      <c r="P241" s="853"/>
      <c r="Q241" s="853"/>
      <c r="R241" s="853"/>
      <c r="S241" s="853"/>
      <c r="T241" s="853"/>
      <c r="U241" s="853">
        <v>2018</v>
      </c>
      <c r="V241" s="853"/>
      <c r="W241" s="853"/>
      <c r="X241" s="853"/>
      <c r="Y241" s="853"/>
      <c r="Z241" s="853"/>
      <c r="AA241" s="853"/>
      <c r="AB241" s="853"/>
      <c r="AC241" s="853">
        <v>2019</v>
      </c>
      <c r="AD241" s="853"/>
      <c r="AE241" s="853"/>
      <c r="AF241" s="853"/>
      <c r="AG241" s="853"/>
      <c r="AH241" s="853"/>
      <c r="AI241" s="853"/>
      <c r="AJ241" s="853"/>
      <c r="AK241" s="853">
        <v>2020</v>
      </c>
      <c r="AL241" s="853"/>
      <c r="AM241" s="853"/>
      <c r="AN241" s="853"/>
      <c r="AO241" s="853"/>
      <c r="AP241" s="853"/>
      <c r="AQ241" s="853"/>
      <c r="AR241" s="853"/>
      <c r="AS241" s="853">
        <v>2021</v>
      </c>
      <c r="AT241" s="853"/>
      <c r="AU241" s="853"/>
      <c r="AV241" s="853"/>
      <c r="AW241" s="853"/>
      <c r="AX241" s="853"/>
      <c r="AY241" s="853"/>
      <c r="AZ241" s="853"/>
      <c r="BF241">
        <v>2016</v>
      </c>
      <c r="BN241">
        <v>2017</v>
      </c>
      <c r="BV241">
        <v>2018</v>
      </c>
      <c r="CD241">
        <v>2019</v>
      </c>
      <c r="CL241">
        <v>2020</v>
      </c>
      <c r="CT241">
        <v>2021</v>
      </c>
    </row>
    <row r="242" spans="4:105" x14ac:dyDescent="0.25">
      <c r="D242" s="429"/>
      <c r="E242" s="853" t="s">
        <v>254</v>
      </c>
      <c r="F242" s="853"/>
      <c r="G242" s="853"/>
      <c r="H242" s="853"/>
      <c r="I242" s="853" t="s">
        <v>255</v>
      </c>
      <c r="J242" s="853"/>
      <c r="K242" s="853"/>
      <c r="L242" s="853"/>
      <c r="M242" s="853" t="s">
        <v>254</v>
      </c>
      <c r="N242" s="853"/>
      <c r="O242" s="853"/>
      <c r="P242" s="853"/>
      <c r="Q242" s="853" t="s">
        <v>255</v>
      </c>
      <c r="R242" s="853"/>
      <c r="S242" s="853"/>
      <c r="T242" s="853"/>
      <c r="U242" s="853" t="s">
        <v>254</v>
      </c>
      <c r="V242" s="853"/>
      <c r="W242" s="853"/>
      <c r="X242" s="853"/>
      <c r="Y242" s="853" t="s">
        <v>255</v>
      </c>
      <c r="Z242" s="853"/>
      <c r="AA242" s="853"/>
      <c r="AB242" s="853"/>
      <c r="AC242" s="853" t="s">
        <v>254</v>
      </c>
      <c r="AD242" s="853"/>
      <c r="AE242" s="853"/>
      <c r="AF242" s="853"/>
      <c r="AG242" s="853" t="s">
        <v>255</v>
      </c>
      <c r="AH242" s="853"/>
      <c r="AI242" s="853"/>
      <c r="AJ242" s="853"/>
      <c r="AK242" s="853" t="s">
        <v>254</v>
      </c>
      <c r="AL242" s="853"/>
      <c r="AM242" s="853"/>
      <c r="AN242" s="853"/>
      <c r="AO242" s="853" t="s">
        <v>255</v>
      </c>
      <c r="AP242" s="853"/>
      <c r="AQ242" s="853"/>
      <c r="AR242" s="853"/>
      <c r="AS242" s="853" t="s">
        <v>254</v>
      </c>
      <c r="AT242" s="853"/>
      <c r="AU242" s="853"/>
      <c r="AV242" s="853"/>
      <c r="AW242" s="853" t="s">
        <v>255</v>
      </c>
      <c r="AX242" s="853"/>
      <c r="AY242" s="853"/>
      <c r="AZ242" s="853"/>
      <c r="BF242" t="s">
        <v>254</v>
      </c>
      <c r="BJ242" t="s">
        <v>255</v>
      </c>
      <c r="BN242" t="s">
        <v>254</v>
      </c>
      <c r="BR242" t="s">
        <v>255</v>
      </c>
      <c r="BV242" t="s">
        <v>254</v>
      </c>
      <c r="BZ242" t="s">
        <v>255</v>
      </c>
      <c r="CD242" t="s">
        <v>254</v>
      </c>
      <c r="CH242" t="s">
        <v>255</v>
      </c>
      <c r="CL242" t="s">
        <v>254</v>
      </c>
      <c r="CP242" t="s">
        <v>255</v>
      </c>
      <c r="CT242" t="s">
        <v>254</v>
      </c>
      <c r="CX242" t="s">
        <v>255</v>
      </c>
    </row>
    <row r="243" spans="4:105" x14ac:dyDescent="0.25">
      <c r="D243" s="429"/>
      <c r="E243" s="429">
        <v>1</v>
      </c>
      <c r="F243" s="429">
        <v>2</v>
      </c>
      <c r="G243" s="429">
        <v>3</v>
      </c>
      <c r="H243" s="429">
        <v>4</v>
      </c>
      <c r="I243" s="429">
        <v>1</v>
      </c>
      <c r="J243" s="429">
        <v>2</v>
      </c>
      <c r="K243" s="429">
        <v>3</v>
      </c>
      <c r="L243" s="429">
        <v>4</v>
      </c>
      <c r="M243" s="429">
        <v>1</v>
      </c>
      <c r="N243" s="429">
        <v>2</v>
      </c>
      <c r="O243" s="429">
        <v>3</v>
      </c>
      <c r="P243" s="429">
        <v>4</v>
      </c>
      <c r="Q243" s="429">
        <v>1</v>
      </c>
      <c r="R243" s="429">
        <v>2</v>
      </c>
      <c r="S243" s="429">
        <v>3</v>
      </c>
      <c r="T243" s="429">
        <v>4</v>
      </c>
      <c r="U243" s="429">
        <v>1</v>
      </c>
      <c r="V243" s="429">
        <v>2</v>
      </c>
      <c r="W243" s="429">
        <v>3</v>
      </c>
      <c r="X243" s="429">
        <v>4</v>
      </c>
      <c r="Y243" s="429">
        <v>1</v>
      </c>
      <c r="Z243" s="429">
        <v>2</v>
      </c>
      <c r="AA243" s="429">
        <v>3</v>
      </c>
      <c r="AB243" s="429">
        <v>4</v>
      </c>
      <c r="AC243" s="429">
        <v>1</v>
      </c>
      <c r="AD243" s="429">
        <v>2</v>
      </c>
      <c r="AE243" s="429">
        <v>3</v>
      </c>
      <c r="AF243" s="429">
        <v>4</v>
      </c>
      <c r="AG243" s="429">
        <v>1</v>
      </c>
      <c r="AH243" s="429">
        <v>2</v>
      </c>
      <c r="AI243" s="429">
        <v>3</v>
      </c>
      <c r="AJ243" s="429">
        <v>4</v>
      </c>
      <c r="AK243" s="429">
        <v>1</v>
      </c>
      <c r="AL243" s="429">
        <v>2</v>
      </c>
      <c r="AM243" s="429">
        <v>3</v>
      </c>
      <c r="AN243" s="429">
        <v>4</v>
      </c>
      <c r="AO243" s="429">
        <v>1</v>
      </c>
      <c r="AP243" s="429">
        <v>2</v>
      </c>
      <c r="AQ243" s="429">
        <v>3</v>
      </c>
      <c r="AR243" s="429">
        <v>4</v>
      </c>
      <c r="AS243" s="429">
        <v>1</v>
      </c>
      <c r="AT243" s="429">
        <v>2</v>
      </c>
      <c r="AU243" s="429">
        <v>3</v>
      </c>
      <c r="AV243" s="429">
        <v>4</v>
      </c>
      <c r="AW243" s="429">
        <v>1</v>
      </c>
      <c r="AX243" s="429">
        <v>2</v>
      </c>
      <c r="AY243" s="429">
        <v>3</v>
      </c>
      <c r="AZ243" s="429">
        <v>4</v>
      </c>
      <c r="BF243">
        <v>1</v>
      </c>
      <c r="BG243">
        <v>2</v>
      </c>
      <c r="BH243">
        <v>3</v>
      </c>
      <c r="BI243">
        <v>4</v>
      </c>
      <c r="BJ243">
        <v>1</v>
      </c>
      <c r="BK243">
        <v>2</v>
      </c>
      <c r="BL243">
        <v>3</v>
      </c>
      <c r="BM243">
        <v>4</v>
      </c>
      <c r="BN243">
        <v>1</v>
      </c>
      <c r="BO243">
        <v>2</v>
      </c>
      <c r="BP243">
        <v>3</v>
      </c>
      <c r="BQ243">
        <v>4</v>
      </c>
      <c r="BR243">
        <v>1</v>
      </c>
      <c r="BS243">
        <v>2</v>
      </c>
      <c r="BT243">
        <v>3</v>
      </c>
      <c r="BU243">
        <v>4</v>
      </c>
      <c r="BV243">
        <v>1</v>
      </c>
      <c r="BW243">
        <v>2</v>
      </c>
      <c r="BX243">
        <v>3</v>
      </c>
      <c r="BY243">
        <v>4</v>
      </c>
      <c r="BZ243">
        <v>1</v>
      </c>
      <c r="CA243">
        <v>2</v>
      </c>
      <c r="CB243">
        <v>3</v>
      </c>
      <c r="CC243">
        <v>4</v>
      </c>
      <c r="CD243">
        <v>1</v>
      </c>
      <c r="CE243">
        <v>2</v>
      </c>
      <c r="CF243">
        <v>3</v>
      </c>
      <c r="CG243">
        <v>4</v>
      </c>
      <c r="CH243">
        <v>1</v>
      </c>
      <c r="CI243">
        <v>2</v>
      </c>
      <c r="CJ243">
        <v>3</v>
      </c>
      <c r="CK243">
        <v>4</v>
      </c>
      <c r="CL243">
        <v>1</v>
      </c>
      <c r="CM243">
        <v>2</v>
      </c>
      <c r="CN243">
        <v>3</v>
      </c>
      <c r="CO243">
        <v>4</v>
      </c>
      <c r="CP243">
        <v>1</v>
      </c>
      <c r="CQ243">
        <v>2</v>
      </c>
      <c r="CR243">
        <v>3</v>
      </c>
      <c r="CS243">
        <v>4</v>
      </c>
      <c r="CT243">
        <v>1</v>
      </c>
      <c r="CU243">
        <v>2</v>
      </c>
      <c r="CV243">
        <v>3</v>
      </c>
      <c r="CW243">
        <v>4</v>
      </c>
      <c r="CX243">
        <v>1</v>
      </c>
      <c r="CY243">
        <v>2</v>
      </c>
      <c r="CZ243">
        <v>3</v>
      </c>
      <c r="DA243">
        <v>4</v>
      </c>
    </row>
    <row r="244" spans="4:105" x14ac:dyDescent="0.25">
      <c r="D244" s="39" t="s">
        <v>246</v>
      </c>
      <c r="E244" s="65">
        <f>AVERAGEIFS($F$36:$F$167,$C$36:$C$167,"=1", $B$36:$B$167,"OFICIAL")</f>
        <v>4.5000000000000005E-2</v>
      </c>
      <c r="F244" s="65">
        <f>AVERAGEIFS($G$36:$G$167,$C$36:$C$167,"=1", $B$36:$B$167,"OFICIAL")</f>
        <v>0.36749999999999999</v>
      </c>
      <c r="G244" s="65">
        <f>AVERAGEIFS($H$36:$H$167,$C$36:$C$167,"=1", $B$36:$B$167,"OFICIAL")</f>
        <v>0.57250000000000001</v>
      </c>
      <c r="H244" s="65">
        <f>AVERAGEIFS($I$36:$I$167,$C$36:$C$167,"=1", $B$36:$B$167,"OFICIAL")</f>
        <v>1.7500000000000002E-2</v>
      </c>
      <c r="I244" s="65">
        <f>AVERAGEIFS($F$36:$F$167,$C$36:$C$167,"=1", $B$36:$B$167,"NO OFICIAL")</f>
        <v>5.692307692307693E-2</v>
      </c>
      <c r="J244" s="65">
        <f>AVERAGEIFS($G$36:$G$167,$C$36:$C$167,"=1", $B$36:$B$167,"NO OFICIAL")</f>
        <v>0.40230769230769226</v>
      </c>
      <c r="K244" s="65">
        <f>AVERAGEIFS($H$36:$H$167,$C$36:$C$167,"=1", $B$36:$B$167,"NO OFICIAL")</f>
        <v>0.53384615384615386</v>
      </c>
      <c r="L244" s="65">
        <f>AVERAGEIFS($I$36:$I$167,$C$36:$C$167,"=1", $B$36:$B$167,"NO OFICIAL")</f>
        <v>6.9230769230769224E-3</v>
      </c>
      <c r="M244" s="65">
        <f>AVERAGEIFS($O$36:$O$167,$C$36:$C$167,"=1", $B$36:$B$167,"OFICIAL")</f>
        <v>4.2500000000000003E-2</v>
      </c>
      <c r="N244" s="65">
        <f>AVERAGEIFS($P$36:$P$167,$C$36:$C$167,"=1", $B$36:$B$167,"OFICIAL")</f>
        <v>0.39249999999999996</v>
      </c>
      <c r="O244" s="65">
        <f>AVERAGEIFS($Q$36:$Q$167,$C$36:$C$167,"=1", $B$36:$B$167,"OFICIAL")</f>
        <v>0.53749999999999998</v>
      </c>
      <c r="P244" s="65">
        <f>AVERAGEIFS($R$36:$R$167,$C$36:$C$167,"=1", $B$36:$B$167,"OFICIAL")</f>
        <v>2.5000000000000001E-2</v>
      </c>
      <c r="Q244" s="65">
        <f>AVERAGEIFS($O$36:$O$167,$C$36:$C$167,"=1", $B$36:$B$167,"NO OFICIAL")</f>
        <v>6.1428571428571423E-2</v>
      </c>
      <c r="R244" s="65">
        <f>AVERAGEIFS($P$36:$P$167,$C$36:$C$167,"=1", $B$36:$B$167,"NO OFICIAL")</f>
        <v>0.4042857142857143</v>
      </c>
      <c r="S244" s="65">
        <f>AVERAGEIFS($Q$36:$Q$167,$C$36:$C$167,"=1", $B$36:$B$167,"NO OFICIAL")</f>
        <v>0.50928571428571434</v>
      </c>
      <c r="T244" s="65">
        <f>AVERAGEIFS($R$36:$R$167,$C$36:$C$167,"=1", $B$36:$B$167,"NO OFICIAL")</f>
        <v>2.6428571428571433E-2</v>
      </c>
      <c r="U244" s="65">
        <f>AVERAGEIFS($X$36:$X$167,$C$36:$C$167,"=1", $B$36:$B$167,"OFICIAL")</f>
        <v>3.2500000000000001E-2</v>
      </c>
      <c r="V244" s="65">
        <f>AVERAGEIFS($Y$36:$Y$167,$C$36:$C$167,"=1", $B$36:$B$167,"OFICIAL")</f>
        <v>0.41249999999999998</v>
      </c>
      <c r="W244" s="65">
        <f>AVERAGEIFS($Z$36:$Z$167,$C$36:$C$167,"=1", $B$36:$B$167,"OFICIAL")</f>
        <v>0.54249999999999998</v>
      </c>
      <c r="X244" s="65">
        <f>AVERAGEIFS($AA$36:$AA$167,$C$36:$C$167,"=1", $B$36:$B$167,"OFICIAL")</f>
        <v>1.2500000000000001E-2</v>
      </c>
      <c r="Y244" s="65">
        <f>AVERAGEIFS($X$36:$X$167,$C$36:$C$167,"=1", $B$36:$B$167,"NO OFICIAL")</f>
        <v>4.5714285714285714E-2</v>
      </c>
      <c r="Z244" s="65">
        <f>AVERAGEIFS($Y$36:$Y$167,$C$36:$C$167,"=1", $B$36:$B$167,"NO OFICIAL")</f>
        <v>0.39357142857142857</v>
      </c>
      <c r="AA244" s="65">
        <f>AVERAGEIFS($Z$36:$Z$167,$C$36:$C$167,"=1", $B$36:$B$167,"NO OFICIAL")</f>
        <v>0.5207142857142858</v>
      </c>
      <c r="AB244" s="65">
        <f>AVERAGEIFS($AA$36:$AA$167,$C$36:$C$167,"=1", $B$36:$B$167,"NO OFICIAL")</f>
        <v>4.0714285714285717E-2</v>
      </c>
      <c r="AC244" s="65">
        <f>AVERAGEIFS($AG$36:$AG$167,$C$36:$C$167,"=1", $B$36:$B$167,"OFICIAL")</f>
        <v>3.7499999999999999E-2</v>
      </c>
      <c r="AD244" s="65">
        <f>AVERAGEIFS($AH$36:$AH$167,$C$36:$C$167,"=1", $B$36:$B$167,"OFICIAL")</f>
        <v>0.34249999999999997</v>
      </c>
      <c r="AE244" s="65">
        <f>AVERAGEIFS($AI$36:$AI$167,$C$36:$C$167,"=1", $B$36:$B$167,"OFICIAL")</f>
        <v>0.59749999999999992</v>
      </c>
      <c r="AF244" s="65">
        <f>AVERAGEIFS($AJ$36:$AJ$167,$C$36:$C$167,"=1", $B$36:$B$167,"OFICIAL")</f>
        <v>2.2499999999999999E-2</v>
      </c>
      <c r="AG244" s="65">
        <f>AVERAGEIFS($AG$36:$AG$167,$C$36:$C$167,"=1", $B$36:$B$167,"NO OFICIAL")</f>
        <v>3.1428571428571431E-2</v>
      </c>
      <c r="AH244" s="65">
        <f>AVERAGEIFS($AH$36:$AH$167,$C$36:$C$167,"=1", $B$36:$B$167,"NO OFICIAL")</f>
        <v>0.34357142857142853</v>
      </c>
      <c r="AI244" s="65">
        <f>AVERAGEIFS($AI$36:$AI$167,$C$36:$C$167,"=1", $B$36:$B$167,"NO OFICIAL")</f>
        <v>0.60142857142857153</v>
      </c>
      <c r="AJ244" s="65">
        <f>AVERAGEIFS($AJ$36:$AJ$167,$C$36:$C$167,"=1", $B$36:$B$167,"NO OFICIAL")</f>
        <v>2.5000000000000001E-2</v>
      </c>
      <c r="AK244" s="65">
        <f>AVERAGEIFS($AP$36:$AP$167,$C$36:$C$167,"=1", $B$36:$B$167,"OFICIAL")</f>
        <v>4.7499999999999994E-2</v>
      </c>
      <c r="AL244" s="65">
        <f>AVERAGEIFS($AQ$36:$AQ$167,$C$36:$C$167,"=1", $B$36:$B$167,"OFICIAL")</f>
        <v>0.36249999999999999</v>
      </c>
      <c r="AM244" s="65">
        <f>AVERAGEIFS($AR$36:$AR$167,$C$36:$C$167,"=1", $B$36:$B$167,"OFICIAL")</f>
        <v>0.5625</v>
      </c>
      <c r="AN244" s="65">
        <f>AVERAGEIFS($AS$36:$AS$167,$C$36:$C$167,"=1", $B$36:$B$167,"OFICIAL")</f>
        <v>0.03</v>
      </c>
      <c r="AO244" s="65">
        <f>AVERAGEIFS($AP$36:$AP$167,$C$36:$C$167,"=1", $B$36:$B$167,"NO OFICIAL")</f>
        <v>3.1538461538461543E-2</v>
      </c>
      <c r="AP244" s="65">
        <f>AVERAGEIFS($AQ$36:$AQ$167,$C$36:$C$167,"=1", $B$36:$B$167,"NO OFICIAL")</f>
        <v>0.35923076923076924</v>
      </c>
      <c r="AQ244" s="65">
        <f>AVERAGEIFS($AR$36:$AR$167,$C$36:$C$167,"=1", $B$36:$B$167,"NO OFICIAL")</f>
        <v>0.57692307692307687</v>
      </c>
      <c r="AR244" s="65">
        <f>AVERAGEIFS($AS$36:$AS$167,$C$36:$C$167,"=1", $B$36:$B$167,"NO OFICIAL")</f>
        <v>3.3846153846153845E-2</v>
      </c>
      <c r="AS244" s="65">
        <f>AVERAGEIFS($BA$36:$BA$167,$C$36:$C$167,"=1", $B$36:$B$167,"OFICIAL")</f>
        <v>4.5000000000000005E-2</v>
      </c>
      <c r="AT244" s="65">
        <f>AVERAGEIFS($BB$36:$BB$167,$C$36:$C$167,"=1", $B$36:$B$167,"OFICIAL")</f>
        <v>0.40500000000000003</v>
      </c>
      <c r="AU244" s="65">
        <f>AVERAGEIFS($BC$36:$BC$167,$C$36:$C$167,"=1", $B$36:$B$167,"OFICIAL")</f>
        <v>0.53249999999999997</v>
      </c>
      <c r="AV244" s="65">
        <f>AVERAGEIFS($BD$36:$BD$167,$C$36:$C$167,"=1", $B$36:$B$167,"OFICIAL")</f>
        <v>1.4999999999999999E-2</v>
      </c>
      <c r="AW244" s="65">
        <f>AVERAGEIFS($BA$36:$BA$167,$C$36:$C$167,"=1", $B$36:$B$167,"NO OFICIAL")</f>
        <v>4.3076923076923082E-2</v>
      </c>
      <c r="AX244" s="65">
        <f>AVERAGEIFS($BB$36:$BB$167,$C$36:$C$167,"=1", $B$36:$B$167,"NO OFICIAL")</f>
        <v>0.35615384615384621</v>
      </c>
      <c r="AY244" s="65">
        <f>AVERAGEIFS($BC$36:$BC$167,$C$36:$C$167,"=1", $B$36:$B$167,"NO OFICIAL")</f>
        <v>0.57076923076923081</v>
      </c>
      <c r="AZ244" s="65">
        <f>AVERAGEIFS($BD$36:$BD$167,$C$36:$C$167,"=1", $B$36:$B$167,"NO OFICIAL")</f>
        <v>3.0769230769230774E-2</v>
      </c>
      <c r="BE244" t="s">
        <v>246</v>
      </c>
      <c r="BF244" s="442">
        <v>4.5000000000000005E-2</v>
      </c>
      <c r="BG244" s="442">
        <v>0.36749999999999999</v>
      </c>
      <c r="BH244" s="442">
        <v>0.57250000000000001</v>
      </c>
      <c r="BI244" s="442">
        <v>1.7500000000000002E-2</v>
      </c>
      <c r="BJ244" s="442">
        <v>5.5833333333333339E-2</v>
      </c>
      <c r="BK244" s="442">
        <v>0.39666666666666667</v>
      </c>
      <c r="BL244" s="442">
        <v>0.53916666666666668</v>
      </c>
      <c r="BM244" s="442">
        <v>7.4999999999999997E-3</v>
      </c>
      <c r="BN244" s="442">
        <v>4.2500000000000003E-2</v>
      </c>
      <c r="BO244" s="442">
        <v>0.39249999999999996</v>
      </c>
      <c r="BP244" s="442">
        <v>0.53749999999999998</v>
      </c>
      <c r="BQ244" s="442">
        <v>2.5000000000000001E-2</v>
      </c>
      <c r="BR244" s="442">
        <v>5.0769230769230761E-2</v>
      </c>
      <c r="BS244" s="442">
        <v>0.38923076923076927</v>
      </c>
      <c r="BT244" s="442">
        <v>0.53307692307692311</v>
      </c>
      <c r="BU244" s="442">
        <v>2.8461538461538465E-2</v>
      </c>
      <c r="BV244" s="442">
        <v>3.2500000000000001E-2</v>
      </c>
      <c r="BW244" s="442">
        <v>0.41249999999999998</v>
      </c>
      <c r="BX244" s="442">
        <v>0.54249999999999998</v>
      </c>
      <c r="BY244" s="442">
        <v>1.2500000000000001E-2</v>
      </c>
      <c r="BZ244" s="442">
        <v>4.9230769230769231E-2</v>
      </c>
      <c r="CA244" s="442">
        <v>0.38923076923076916</v>
      </c>
      <c r="CB244" s="442">
        <v>0.52615384615384619</v>
      </c>
      <c r="CC244" s="442">
        <v>3.692307692307692E-2</v>
      </c>
      <c r="CD244" s="442">
        <v>3.7499999999999999E-2</v>
      </c>
      <c r="CE244" s="442">
        <v>0.34249999999999997</v>
      </c>
      <c r="CF244" s="442">
        <v>0.59749999999999992</v>
      </c>
      <c r="CG244" s="442">
        <v>2.2499999999999999E-2</v>
      </c>
      <c r="CH244" s="442">
        <v>3.3846153846153845E-2</v>
      </c>
      <c r="CI244" s="442">
        <v>0.35461538461538467</v>
      </c>
      <c r="CJ244" s="442">
        <v>0.58615384615384625</v>
      </c>
      <c r="CK244" s="442">
        <v>2.6923076923076925E-2</v>
      </c>
      <c r="CL244" s="442">
        <v>4.7499999999999994E-2</v>
      </c>
      <c r="CM244" s="442">
        <v>0.36249999999999999</v>
      </c>
      <c r="CN244" s="442">
        <v>0.5625</v>
      </c>
      <c r="CO244" s="442">
        <v>0.03</v>
      </c>
      <c r="CP244" s="442">
        <v>3.1538461538461543E-2</v>
      </c>
      <c r="CQ244" s="442">
        <v>0.35923076923076924</v>
      </c>
      <c r="CR244" s="442">
        <v>0.57692307692307687</v>
      </c>
      <c r="CS244" s="442">
        <v>3.3846153846153845E-2</v>
      </c>
      <c r="CT244" s="442">
        <v>4.5000000000000005E-2</v>
      </c>
      <c r="CU244" s="442">
        <v>0.40500000000000003</v>
      </c>
      <c r="CV244" s="442">
        <v>0.53249999999999997</v>
      </c>
      <c r="CW244" s="442">
        <v>1.4999999999999999E-2</v>
      </c>
      <c r="CX244" s="442">
        <v>4.3076923076923082E-2</v>
      </c>
      <c r="CY244" s="442">
        <v>0.35615384615384621</v>
      </c>
      <c r="CZ244" s="442">
        <v>0.57076923076923081</v>
      </c>
      <c r="DA244" s="442">
        <v>3.0769230769230774E-2</v>
      </c>
    </row>
    <row r="245" spans="4:105" x14ac:dyDescent="0.25">
      <c r="D245" s="39" t="s">
        <v>247</v>
      </c>
      <c r="E245" s="65">
        <f>AVERAGEIFS($F$36:$F$167,$C$36:$C$167,"=2", $B$36:$B$167,"OFICIAL")</f>
        <v>2.5000000000000001E-2</v>
      </c>
      <c r="F245" s="65">
        <f>AVERAGEIFS($G$36:$G$167,$C$36:$C$167,"=2", $B$36:$B$167,"OFICIAL")</f>
        <v>0.44</v>
      </c>
      <c r="G245" s="65">
        <f>AVERAGEIFS($H$36:$H$167,$C$36:$C$167,"=2", $B$36:$B$167,"OFICIAL")</f>
        <v>0.52</v>
      </c>
      <c r="H245" s="65">
        <f>AVERAGEIFS($I$36:$I$167,$C$36:$C$167,"=2", $B$36:$B$167,"OFICIAL")</f>
        <v>2.5000000000000001E-2</v>
      </c>
      <c r="I245" s="65">
        <f>AVERAGEIFS($F$36:$F$167,$C$36:$C$167,"=2", $B$36:$B$167,"NO OFICIAL")</f>
        <v>5.2777777777777785E-2</v>
      </c>
      <c r="J245" s="65">
        <f>AVERAGEIFS($G$36:$G$167,$C$36:$C$167,"=2", $B$36:$B$167,"NO OFICIAL")</f>
        <v>0.35888888888888887</v>
      </c>
      <c r="K245" s="65">
        <f>AVERAGEIFS($H$36:$H$167,$C$36:$C$167,"=2", $B$36:$B$167,"NO OFICIAL")</f>
        <v>0.57277777777777783</v>
      </c>
      <c r="L245" s="65">
        <f>AVERAGEIFS($I$36:$I$167,$C$36:$C$167,"=2", $B$36:$B$167,"NO OFICIAL")</f>
        <v>1.6111111111111114E-2</v>
      </c>
      <c r="M245" s="65">
        <f>AVERAGEIFS($O$36:$O$167,$C$36:$C$167,"=2", $B$36:$B$167,"OFICIAL")</f>
        <v>5.5E-2</v>
      </c>
      <c r="N245" s="65">
        <f>AVERAGEIFS($P$36:$P$167,$C$36:$C$167,"=2", $B$36:$B$167,"OFICIAL")</f>
        <v>0.4</v>
      </c>
      <c r="O245" s="65">
        <f>AVERAGEIFS($Q$36:$Q$167,$C$36:$C$167,"=2", $B$36:$B$167,"OFICIAL")</f>
        <v>0.52499999999999991</v>
      </c>
      <c r="P245" s="65">
        <f>AVERAGEIFS($R$36:$R$167,$C$36:$C$167,"=2", $B$36:$B$167,"OFICIAL")</f>
        <v>0.02</v>
      </c>
      <c r="Q245" s="65">
        <f>AVERAGEIFS($O$36:$O$167,$C$36:$C$167,"=2", $B$36:$B$167,"NO OFICIAL")</f>
        <v>5.7647058823529412E-2</v>
      </c>
      <c r="R245" s="65">
        <f>AVERAGEIFS($P$36:$P$167,$C$36:$C$167,"=2", $B$36:$B$167,"NO OFICIAL")</f>
        <v>0.34294117647058836</v>
      </c>
      <c r="S245" s="65">
        <f>AVERAGEIFS($Q$36:$Q$167,$C$36:$C$167,"=2", $B$36:$B$167,"NO OFICIAL")</f>
        <v>0.55470588235294116</v>
      </c>
      <c r="T245" s="65">
        <f>AVERAGEIFS($R$36:$R$167,$C$36:$C$167,"=2", $B$36:$B$167,"NO OFICIAL")</f>
        <v>4.2352941176470593E-2</v>
      </c>
      <c r="U245" s="65">
        <f>AVERAGEIFS($X$36:$X$167,$C$36:$C$167,"=2", $B$36:$B$167,"OFICIAL")</f>
        <v>0.05</v>
      </c>
      <c r="V245" s="65">
        <f>AVERAGEIFS($Y$36:$Y$167,$C$36:$C$167,"=2", $B$36:$B$167,"OFICIAL")</f>
        <v>0.38</v>
      </c>
      <c r="W245" s="65">
        <f>AVERAGEIFS($Z$36:$Z$167,$C$36:$C$167,"=2", $B$36:$B$167,"OFICIAL")</f>
        <v>0.54500000000000004</v>
      </c>
      <c r="X245" s="65">
        <f>AVERAGEIFS($AA$36:$AA$167,$C$36:$C$167,"=2", $B$36:$B$167,"OFICIAL")</f>
        <v>2.5000000000000001E-2</v>
      </c>
      <c r="Y245" s="65">
        <f>AVERAGEIFS($X$36:$X$167,$C$36:$C$167,"=2", $B$36:$B$167,"NO OFICIAL")</f>
        <v>3.4705882352941184E-2</v>
      </c>
      <c r="Z245" s="65">
        <f>AVERAGEIFS($Y$36:$Y$167,$C$36:$C$167,"=2", $B$36:$B$167,"NO OFICIAL")</f>
        <v>0.34411764705882353</v>
      </c>
      <c r="AA245" s="65">
        <f>AVERAGEIFS($Z$36:$Z$167,$C$36:$C$167,"=2", $B$36:$B$167,"NO OFICIAL")</f>
        <v>0.60882352941176465</v>
      </c>
      <c r="AB245" s="65">
        <f>AVERAGEIFS($AA$36:$AA$167,$C$36:$C$167,"=2", $B$36:$B$167,"NO OFICIAL")</f>
        <v>1.5294117647058824E-2</v>
      </c>
      <c r="AC245" s="65">
        <f>AVERAGEIFS($AG$36:$AG$167,$C$36:$C$167,"=2", $B$36:$B$167,"OFICIAL")</f>
        <v>0.05</v>
      </c>
      <c r="AD245" s="65">
        <f>AVERAGEIFS($AH$36:$AH$167,$C$36:$C$167,"=2", $B$36:$B$167,"OFICIAL")</f>
        <v>0.38500000000000001</v>
      </c>
      <c r="AE245" s="65">
        <f>AVERAGEIFS($AI$36:$AI$167,$C$36:$C$167,"=2", $B$36:$B$167,"OFICIAL")</f>
        <v>0.54500000000000004</v>
      </c>
      <c r="AF245" s="65">
        <f>AVERAGEIFS($AJ$36:$AJ$167,$C$36:$C$167,"=2", $B$36:$B$167,"OFICIAL")</f>
        <v>0.03</v>
      </c>
      <c r="AG245" s="65">
        <f>AVERAGEIFS($AG$36:$AG$167,$C$36:$C$167,"=2", $B$36:$B$167,"NO OFICIAL")</f>
        <v>3.5555555555555556E-2</v>
      </c>
      <c r="AH245" s="65">
        <f>AVERAGEIFS($AH$36:$AH$167,$C$36:$C$167,"=2", $B$36:$B$167,"NO OFICIAL")</f>
        <v>0.3133333333333333</v>
      </c>
      <c r="AI245" s="65">
        <f>AVERAGEIFS($AI$36:$AI$167,$C$36:$C$167,"=2", $B$36:$B$167,"NO OFICIAL")</f>
        <v>0.6133333333333334</v>
      </c>
      <c r="AJ245" s="65">
        <f>AVERAGEIFS($AJ$36:$AJ$167,$C$36:$C$167,"=2", $B$36:$B$167,"NO OFICIAL")</f>
        <v>3.8333333333333344E-2</v>
      </c>
      <c r="AK245" s="65">
        <f>AVERAGEIFS($AP$36:$AP$167,$C$36:$C$167,"=2", $B$36:$B$167,"OFICIAL")</f>
        <v>2.5000000000000001E-2</v>
      </c>
      <c r="AL245" s="65">
        <f>AVERAGEIFS($AQ$36:$AQ$167,$C$36:$C$167,"=2", $B$36:$B$167,"OFICIAL")</f>
        <v>0.36499999999999999</v>
      </c>
      <c r="AM245" s="65">
        <f>AVERAGEIFS($AR$36:$AR$167,$C$36:$C$167,"=2", $B$36:$B$167,"OFICIAL")</f>
        <v>0.58499999999999996</v>
      </c>
      <c r="AN245" s="65">
        <f>AVERAGEIFS($AS$36:$AS$167,$C$36:$C$167,"=2", $B$36:$B$167,"OFICIAL")</f>
        <v>2.5000000000000001E-2</v>
      </c>
      <c r="AO245" s="65">
        <f>AVERAGEIFS($AP$36:$AP$167,$C$36:$C$167,"=2", $B$36:$B$167,"NO OFICIAL")</f>
        <v>2.7727272727272732E-2</v>
      </c>
      <c r="AP245" s="65">
        <f>AVERAGEIFS($AQ$36:$AQ$167,$C$36:$C$167,"=2", $B$36:$B$167,"NO OFICIAL")</f>
        <v>0.35681818181818187</v>
      </c>
      <c r="AQ245" s="65">
        <f>AVERAGEIFS($AR$36:$AR$167,$C$36:$C$167,"=2", $B$36:$B$167,"NO OFICIAL")</f>
        <v>0.57727272727272727</v>
      </c>
      <c r="AR245" s="65">
        <f>AVERAGEIFS($AS$36:$AS$167,$C$36:$C$167,"=2", $B$36:$B$167,"NO OFICIAL")</f>
        <v>3.6818181818181826E-2</v>
      </c>
      <c r="AS245" s="65">
        <f>AVERAGEIFS($BA$36:$BA$167,$C$36:$C$167,"=2", $B$36:$B$167,"OFICIAL")</f>
        <v>0.06</v>
      </c>
      <c r="AT245" s="65">
        <f>AVERAGEIFS($BB$36:$BB$167,$C$36:$C$167,"=2", $B$36:$B$167,"OFICIAL")</f>
        <v>0.435</v>
      </c>
      <c r="AU245" s="65">
        <f>AVERAGEIFS($BC$36:$BC$167,$C$36:$C$167,"=2", $B$36:$B$167,"OFICIAL")</f>
        <v>0.5</v>
      </c>
      <c r="AV245" s="65">
        <f>AVERAGEIFS($BD$36:$BD$167,$C$36:$C$167,"=2", $B$36:$B$167,"OFICIAL")</f>
        <v>5.0000000000000001E-3</v>
      </c>
      <c r="AW245" s="65">
        <f>AVERAGEIFS($BA$36:$BA$167,$C$36:$C$167,"=2", $B$36:$B$167,"NO OFICIAL")</f>
        <v>5.9500000000000011E-2</v>
      </c>
      <c r="AX245" s="65">
        <f>AVERAGEIFS($BB$36:$BB$167,$C$36:$C$167,"=2", $B$36:$B$167,"NO OFICIAL")</f>
        <v>0.34450000000000003</v>
      </c>
      <c r="AY245" s="65">
        <f>AVERAGEIFS($BC$36:$BC$167,$C$36:$C$167,"=2", $B$36:$B$167,"NO OFICIAL")</f>
        <v>0.56950000000000001</v>
      </c>
      <c r="AZ245" s="65">
        <f>AVERAGEIFS($BD$36:$BD$167,$C$36:$C$167,"=2", $B$36:$B$167,"NO OFICIAL")</f>
        <v>2.8000000000000004E-2</v>
      </c>
      <c r="BE245" t="s">
        <v>247</v>
      </c>
      <c r="BF245" s="442">
        <v>2.5000000000000001E-2</v>
      </c>
      <c r="BG245" s="442">
        <v>0.44</v>
      </c>
      <c r="BH245" s="442">
        <v>0.52</v>
      </c>
      <c r="BI245" s="442">
        <v>2.5000000000000001E-2</v>
      </c>
      <c r="BJ245" s="442">
        <v>5.4000000000000006E-2</v>
      </c>
      <c r="BK245" s="442">
        <v>0.35533333333333333</v>
      </c>
      <c r="BL245" s="442">
        <v>0.57133333333333336</v>
      </c>
      <c r="BM245" s="442">
        <v>1.9333333333333334E-2</v>
      </c>
      <c r="BN245" s="442">
        <v>5.5E-2</v>
      </c>
      <c r="BO245" s="442">
        <v>0.4</v>
      </c>
      <c r="BP245" s="442">
        <v>0.52499999999999991</v>
      </c>
      <c r="BQ245" s="442">
        <v>0.02</v>
      </c>
      <c r="BR245" s="442">
        <v>5.9374999999999997E-2</v>
      </c>
      <c r="BS245" s="442">
        <v>0.33500000000000008</v>
      </c>
      <c r="BT245" s="442">
        <v>0.55937499999999996</v>
      </c>
      <c r="BU245" s="442">
        <v>4.4375000000000005E-2</v>
      </c>
      <c r="BV245" s="442">
        <v>0.05</v>
      </c>
      <c r="BW245" s="442">
        <v>0.38</v>
      </c>
      <c r="BX245" s="442">
        <v>0.54500000000000004</v>
      </c>
      <c r="BY245" s="442">
        <v>2.5000000000000001E-2</v>
      </c>
      <c r="BZ245" s="442">
        <v>3.5625000000000004E-2</v>
      </c>
      <c r="CA245" s="442">
        <v>0.33750000000000002</v>
      </c>
      <c r="CB245" s="442">
        <v>0.61312499999999992</v>
      </c>
      <c r="CC245" s="442">
        <v>1.6250000000000001E-2</v>
      </c>
      <c r="CD245" s="442">
        <v>0.05</v>
      </c>
      <c r="CE245" s="442">
        <v>0.38500000000000001</v>
      </c>
      <c r="CF245" s="442">
        <v>0.54500000000000004</v>
      </c>
      <c r="CG245" s="442">
        <v>0.03</v>
      </c>
      <c r="CH245" s="442">
        <v>3.5294117647058823E-2</v>
      </c>
      <c r="CI245" s="442">
        <v>0.30941176470588239</v>
      </c>
      <c r="CJ245" s="442">
        <v>0.6164705882352941</v>
      </c>
      <c r="CK245" s="442">
        <v>4.0000000000000008E-2</v>
      </c>
      <c r="CL245" s="442">
        <v>2.5000000000000001E-2</v>
      </c>
      <c r="CM245" s="442">
        <v>0.36499999999999999</v>
      </c>
      <c r="CN245" s="442">
        <v>0.58499999999999996</v>
      </c>
      <c r="CO245" s="442">
        <v>2.5000000000000001E-2</v>
      </c>
      <c r="CP245" s="442">
        <v>3.2222222222222215E-2</v>
      </c>
      <c r="CQ245" s="442">
        <v>0.28611111111111115</v>
      </c>
      <c r="CR245" s="442">
        <v>0.6399999999999999</v>
      </c>
      <c r="CS245" s="442">
        <v>4.055555555555556E-2</v>
      </c>
      <c r="CT245" s="442">
        <v>0.06</v>
      </c>
      <c r="CU245" s="442">
        <v>0.435</v>
      </c>
      <c r="CV245" s="442">
        <v>0.5</v>
      </c>
      <c r="CW245" s="442">
        <v>5.0000000000000001E-3</v>
      </c>
      <c r="CX245" s="442">
        <v>6.1176470588235297E-2</v>
      </c>
      <c r="CY245" s="442">
        <v>0.35352941176470598</v>
      </c>
      <c r="CZ245" s="442">
        <v>0.55588235294117638</v>
      </c>
      <c r="DA245" s="442">
        <v>3.1176470588235295E-2</v>
      </c>
    </row>
    <row r="246" spans="4:105" x14ac:dyDescent="0.25">
      <c r="D246" s="39" t="s">
        <v>248</v>
      </c>
      <c r="E246" s="65">
        <f>AVERAGEIFS($F$36:$F$167,$C$36:$C$167,"=3", $B$36:$B$167,"OFICIAL")</f>
        <v>3.7999999999999999E-2</v>
      </c>
      <c r="F246" s="65">
        <f>AVERAGEIFS($G$36:$G$167,$C$36:$C$167,"=3", $B$36:$B$167,"OFICIAL")</f>
        <v>0.46600000000000003</v>
      </c>
      <c r="G246" s="65">
        <f>AVERAGEIFS($H$36:$H$167,$C$36:$C$167,"=3", $B$36:$B$167,"OFICIAL")</f>
        <v>0.48200000000000004</v>
      </c>
      <c r="H246" s="65">
        <f>AVERAGEIFS($I$36:$I$167,$C$36:$C$167,"=3", $B$36:$B$167,"OFICIAL")</f>
        <v>1.6E-2</v>
      </c>
      <c r="I246" s="65">
        <f>AVERAGEIFS($F$36:$F$167,$C$36:$C$167,"=3", $B$36:$B$167,"NO OFICIAL")</f>
        <v>3.0769230769230771E-2</v>
      </c>
      <c r="J246" s="65">
        <f>AVERAGEIFS($G$36:$G$167,$C$36:$C$167,"=3", $B$36:$B$167,"NO OFICIAL")</f>
        <v>0.33769230769230768</v>
      </c>
      <c r="K246" s="65">
        <f>AVERAGEIFS($H$36:$H$167,$C$36:$C$167,"=3", $B$36:$B$167,"NO OFICIAL")</f>
        <v>0.59923076923076934</v>
      </c>
      <c r="L246" s="65">
        <f>AVERAGEIFS($I$36:$I$167,$C$36:$C$167,"=3", $B$36:$B$167,"NO OFICIAL")</f>
        <v>3.3846153846153845E-2</v>
      </c>
      <c r="M246" s="65">
        <f>AVERAGEIFS($O$36:$O$167,$C$36:$C$167,"=3", $B$36:$B$167,"OFICIAL")</f>
        <v>5.5999999999999994E-2</v>
      </c>
      <c r="N246" s="65">
        <f>AVERAGEIFS($P$36:$P$167,$C$36:$C$167,"=3", $B$36:$B$167,"OFICIAL")</f>
        <v>0.43599999999999994</v>
      </c>
      <c r="O246" s="65">
        <f>AVERAGEIFS($Q$36:$Q$167,$C$36:$C$167,"=3", $B$36:$B$167,"OFICIAL")</f>
        <v>0.502</v>
      </c>
      <c r="P246" s="65">
        <f>AVERAGEIFS($R$36:$R$167,$C$36:$C$167,"=3", $B$36:$B$167,"OFICIAL")</f>
        <v>6.0000000000000001E-3</v>
      </c>
      <c r="Q246" s="65">
        <f>AVERAGEIFS($O$36:$O$167,$C$36:$C$167,"=3", $B$36:$B$167,"NO OFICIAL")</f>
        <v>3.0000000000000002E-2</v>
      </c>
      <c r="R246" s="65">
        <f>AVERAGEIFS($P$36:$P$167,$C$36:$C$167,"=3", $B$36:$B$167,"NO OFICIAL")</f>
        <v>0.36384615384615382</v>
      </c>
      <c r="S246" s="65">
        <f>AVERAGEIFS($Q$36:$Q$167,$C$36:$C$167,"=3", $B$36:$B$167,"NO OFICIAL")</f>
        <v>0.57000000000000006</v>
      </c>
      <c r="T246" s="65">
        <f>AVERAGEIFS($R$36:$R$167,$C$36:$C$167,"=3", $B$36:$B$167,"NO OFICIAL")</f>
        <v>3.6153846153846154E-2</v>
      </c>
      <c r="U246" s="65">
        <f>AVERAGEIFS($X$36:$X$167,$C$36:$C$167,"=3", $B$36:$B$167,"OFICIAL")</f>
        <v>4.4000000000000004E-2</v>
      </c>
      <c r="V246" s="65">
        <f>AVERAGEIFS($Y$36:$Y$167,$C$36:$C$167,"=3", $B$36:$B$167,"OFICIAL")</f>
        <v>0.41799999999999998</v>
      </c>
      <c r="W246" s="65">
        <f>AVERAGEIFS($Z$36:$Z$167,$C$36:$C$167,"=3", $B$36:$B$167,"OFICIAL")</f>
        <v>0.53199999999999992</v>
      </c>
      <c r="X246" s="65">
        <f>AVERAGEIFS($AA$36:$AA$167,$C$36:$C$167,"=3", $B$36:$B$167,"OFICIAL")</f>
        <v>8.0000000000000002E-3</v>
      </c>
      <c r="Y246" s="65">
        <f>AVERAGEIFS($X$36:$X$167,$C$36:$C$167,"=3", $B$36:$B$167,"NO OFICIAL")</f>
        <v>3.3846153846153845E-2</v>
      </c>
      <c r="Z246" s="65">
        <f>AVERAGEIFS($Y$36:$Y$167,$C$36:$C$167,"=3", $B$36:$B$167,"NO OFICIAL")</f>
        <v>0.33461538461538465</v>
      </c>
      <c r="AA246" s="65">
        <f>AVERAGEIFS($Z$36:$Z$167,$C$36:$C$167,"=3", $B$36:$B$167,"NO OFICIAL")</f>
        <v>0.58615384615384614</v>
      </c>
      <c r="AB246" s="65">
        <f>AVERAGEIFS($AA$36:$AA$167,$C$36:$C$167,"=3", $B$36:$B$167,"NO OFICIAL")</f>
        <v>4.5384615384615391E-2</v>
      </c>
      <c r="AC246" s="65">
        <f>AVERAGEIFS($AG$36:$AG$167,$C$36:$C$167,"=3", $B$36:$B$167,"OFICIAL")</f>
        <v>5.5999999999999994E-2</v>
      </c>
      <c r="AD246" s="65">
        <f>AVERAGEIFS($AH$36:$AH$167,$C$36:$C$167,"=3", $B$36:$B$167,"OFICIAL")</f>
        <v>0.41600000000000004</v>
      </c>
      <c r="AE246" s="65">
        <f>AVERAGEIFS($AI$36:$AI$167,$C$36:$C$167,"=3", $B$36:$B$167,"OFICIAL")</f>
        <v>0.52000000000000013</v>
      </c>
      <c r="AF246" s="65">
        <f>AVERAGEIFS($AJ$36:$AJ$167,$C$36:$C$167,"=3", $B$36:$B$167,"OFICIAL")</f>
        <v>0.01</v>
      </c>
      <c r="AG246" s="65">
        <f>AVERAGEIFS($AG$36:$AG$167,$C$36:$C$167,"=3", $B$36:$B$167,"NO OFICIAL")</f>
        <v>3.692307692307692E-2</v>
      </c>
      <c r="AH246" s="65">
        <f>AVERAGEIFS($AH$36:$AH$167,$C$36:$C$167,"=3", $B$36:$B$167,"NO OFICIAL")</f>
        <v>0.34076923076923077</v>
      </c>
      <c r="AI246" s="65">
        <f>AVERAGEIFS($AI$36:$AI$167,$C$36:$C$167,"=3", $B$36:$B$167,"NO OFICIAL")</f>
        <v>0.5923076923076922</v>
      </c>
      <c r="AJ246" s="65">
        <f>AVERAGEIFS($AJ$36:$AJ$167,$C$36:$C$167,"=3", $B$36:$B$167,"NO OFICIAL")</f>
        <v>3.2307692307692308E-2</v>
      </c>
      <c r="AK246" s="65">
        <f>AVERAGEIFS($AP$36:$AP$167,$C$36:$C$167,"=3", $B$36:$B$167,"OFICIAL")</f>
        <v>4.4000000000000004E-2</v>
      </c>
      <c r="AL246" s="65">
        <f>AVERAGEIFS($AQ$36:$AQ$167,$C$36:$C$167,"=3", $B$36:$B$167,"OFICIAL")</f>
        <v>0.372</v>
      </c>
      <c r="AM246" s="65">
        <f>AVERAGEIFS($AR$36:$AR$167,$C$36:$C$167,"=3", $B$36:$B$167,"OFICIAL")</f>
        <v>0.56400000000000006</v>
      </c>
      <c r="AN246" s="65">
        <f>AVERAGEIFS($AS$36:$AS$167,$C$36:$C$167,"=3", $B$36:$B$167,"OFICIAL")</f>
        <v>1.9999999999999997E-2</v>
      </c>
      <c r="AO246" s="65">
        <f>AVERAGEIFS($AP$36:$AP$167,$C$36:$C$167,"=3", $B$36:$B$167,"NO OFICIAL")</f>
        <v>1.7333333333333333E-2</v>
      </c>
      <c r="AP246" s="65">
        <f>AVERAGEIFS($AQ$36:$AQ$167,$C$36:$C$167,"=3", $B$36:$B$167,"NO OFICIAL")</f>
        <v>0.29933333333333328</v>
      </c>
      <c r="AQ246" s="65">
        <f>AVERAGEIFS($AR$36:$AR$167,$C$36:$C$167,"=3", $B$36:$B$167,"NO OFICIAL")</f>
        <v>0.64466666666666661</v>
      </c>
      <c r="AR246" s="65">
        <f>AVERAGEIFS($AS$36:$AS$167,$C$36:$C$167,"=3", $B$36:$B$167,"NO OFICIAL")</f>
        <v>3.8000000000000006E-2</v>
      </c>
      <c r="AS246" s="65">
        <f>AVERAGEIFS($BA$36:$BA$167,$C$36:$C$167,"=3", $B$36:$B$167,"OFICIAL")</f>
        <v>0.05</v>
      </c>
      <c r="AT246" s="65">
        <f>AVERAGEIFS($BB$36:$BB$167,$C$36:$C$167,"=3", $B$36:$B$167,"OFICIAL")</f>
        <v>0.44800000000000006</v>
      </c>
      <c r="AU246" s="65">
        <f>AVERAGEIFS($BC$36:$BC$167,$C$36:$C$167,"=3", $B$36:$B$167,"OFICIAL")</f>
        <v>0.48599999999999993</v>
      </c>
      <c r="AV246" s="65">
        <f>AVERAGEIFS($BD$36:$BD$167,$C$36:$C$167,"=3", $B$36:$B$167,"OFICIAL")</f>
        <v>1.2E-2</v>
      </c>
      <c r="AW246" s="65">
        <f>AVERAGEIFS($BA$36:$BA$167,$C$36:$C$167,"=3", $B$36:$B$167,"NO OFICIAL")</f>
        <v>3.2666666666666663E-2</v>
      </c>
      <c r="AX246" s="65">
        <f>AVERAGEIFS($BB$36:$BB$167,$C$36:$C$167,"=3", $B$36:$B$167,"NO OFICIAL")</f>
        <v>0.3173333333333333</v>
      </c>
      <c r="AY246" s="65">
        <f>AVERAGEIFS($BC$36:$BC$167,$C$36:$C$167,"=3", $B$36:$B$167,"NO OFICIAL")</f>
        <v>0.61599999999999999</v>
      </c>
      <c r="AZ246" s="65">
        <f>AVERAGEIFS($BD$36:$BD$167,$C$36:$C$167,"=3", $B$36:$B$167,"NO OFICIAL")</f>
        <v>3.4666666666666665E-2</v>
      </c>
      <c r="BE246" t="s">
        <v>248</v>
      </c>
      <c r="BF246" s="442">
        <v>3.7999999999999999E-2</v>
      </c>
      <c r="BG246" s="442">
        <v>0.46600000000000003</v>
      </c>
      <c r="BH246" s="442">
        <v>0.48200000000000004</v>
      </c>
      <c r="BI246" s="442">
        <v>1.6E-2</v>
      </c>
      <c r="BJ246" s="442">
        <v>3.3333333333333333E-2</v>
      </c>
      <c r="BK246" s="442">
        <v>0.33</v>
      </c>
      <c r="BL246" s="442">
        <v>0.60166666666666668</v>
      </c>
      <c r="BM246" s="442">
        <v>3.666666666666666E-2</v>
      </c>
      <c r="BN246" s="442">
        <v>5.5999999999999994E-2</v>
      </c>
      <c r="BO246" s="442">
        <v>0.43599999999999994</v>
      </c>
      <c r="BP246" s="442">
        <v>0.502</v>
      </c>
      <c r="BQ246" s="442">
        <v>6.0000000000000001E-3</v>
      </c>
      <c r="BR246" s="442">
        <v>2.6666666666666668E-2</v>
      </c>
      <c r="BS246" s="442">
        <v>0.36083333333333334</v>
      </c>
      <c r="BT246" s="442">
        <v>0.57416666666666671</v>
      </c>
      <c r="BU246" s="442">
        <v>3.7499999999999999E-2</v>
      </c>
      <c r="BV246" s="442">
        <v>4.4000000000000004E-2</v>
      </c>
      <c r="BW246" s="442">
        <v>0.41799999999999998</v>
      </c>
      <c r="BX246" s="442">
        <v>0.53199999999999992</v>
      </c>
      <c r="BY246" s="442">
        <v>8.0000000000000002E-3</v>
      </c>
      <c r="BZ246" s="442">
        <v>3.3333333333333333E-2</v>
      </c>
      <c r="CA246" s="442">
        <v>0.3241666666666666</v>
      </c>
      <c r="CB246" s="442">
        <v>0.59333333333333327</v>
      </c>
      <c r="CC246" s="442">
        <v>4.9166666666666671E-2</v>
      </c>
      <c r="CD246" s="442">
        <v>5.5999999999999994E-2</v>
      </c>
      <c r="CE246" s="442">
        <v>0.41600000000000004</v>
      </c>
      <c r="CF246" s="442">
        <v>0.52000000000000013</v>
      </c>
      <c r="CG246" s="442">
        <v>0.01</v>
      </c>
      <c r="CH246" s="442">
        <v>3.3333333333333333E-2</v>
      </c>
      <c r="CI246" s="442">
        <v>0.32250000000000001</v>
      </c>
      <c r="CJ246" s="442">
        <v>0.61249999999999993</v>
      </c>
      <c r="CK246" s="442">
        <v>3.5000000000000003E-2</v>
      </c>
      <c r="CL246" s="442">
        <v>4.4000000000000004E-2</v>
      </c>
      <c r="CM246" s="442">
        <v>0.372</v>
      </c>
      <c r="CN246" s="442">
        <v>0.56400000000000006</v>
      </c>
      <c r="CO246" s="442">
        <v>1.9999999999999997E-2</v>
      </c>
      <c r="CP246" s="442">
        <v>1.2307692307692308E-2</v>
      </c>
      <c r="CQ246" s="442">
        <v>0.27615384615384614</v>
      </c>
      <c r="CR246" s="442">
        <v>0.67153846153846153</v>
      </c>
      <c r="CS246" s="442">
        <v>3.9230769230769243E-2</v>
      </c>
      <c r="CT246" s="442">
        <v>0.05</v>
      </c>
      <c r="CU246" s="442">
        <v>0.44800000000000006</v>
      </c>
      <c r="CV246" s="442">
        <v>0.48599999999999993</v>
      </c>
      <c r="CW246" s="442">
        <v>1.2E-2</v>
      </c>
      <c r="CX246" s="442">
        <v>2.8461538461538462E-2</v>
      </c>
      <c r="CY246" s="442">
        <v>0.29461538461538461</v>
      </c>
      <c r="CZ246" s="442">
        <v>0.64076923076923076</v>
      </c>
      <c r="DA246" s="442">
        <v>3.692307692307692E-2</v>
      </c>
    </row>
    <row r="247" spans="4:105" x14ac:dyDescent="0.25">
      <c r="D247" s="39" t="s">
        <v>249</v>
      </c>
      <c r="E247" s="65">
        <f>AVERAGEIFS($F$36:$F$167,$C$36:$C$167,"=4", $B$36:$B$167,"OFICIAL")</f>
        <v>9.9999999999999992E-2</v>
      </c>
      <c r="F247" s="65">
        <f>AVERAGEIFS($G$36:$G$167,$C$36:$C$167,"=4", $B$36:$B$167,"OFICIAL")</f>
        <v>0.54333333333333333</v>
      </c>
      <c r="G247" s="65">
        <f>AVERAGEIFS($H$36:$H$167,$C$36:$C$167,"=4", $B$36:$B$167,"OFICIAL")</f>
        <v>0.34666666666666662</v>
      </c>
      <c r="H247" s="65">
        <f>AVERAGEIFS($I$36:$I$167,$C$36:$C$167,"=4", $B$36:$B$167,"OFICIAL")</f>
        <v>6.6666666666666671E-3</v>
      </c>
      <c r="I247" s="65">
        <f>AVERAGEIFS($F$36:$F$167,$C$36:$C$167,"=4", $B$36:$B$167,"NO OFICIAL")</f>
        <v>0.13750000000000001</v>
      </c>
      <c r="J247" s="65">
        <f>AVERAGEIFS($G$36:$G$167,$C$36:$C$167,"=4", $B$36:$B$167,"NO OFICIAL")</f>
        <v>0.40250000000000002</v>
      </c>
      <c r="K247" s="65">
        <f>AVERAGEIFS($H$36:$H$167,$C$36:$C$167,"=4", $B$36:$B$167,"NO OFICIAL")</f>
        <v>0.46</v>
      </c>
      <c r="L247" s="65">
        <f>AVERAGEIFS($I$36:$I$167,$C$36:$C$167,"=4", $B$36:$B$167,"NO OFICIAL")</f>
        <v>0</v>
      </c>
      <c r="M247" s="65">
        <f>AVERAGEIFS($O$36:$O$167,$C$36:$C$167,"=4", $B$36:$B$167,"OFICIAL")</f>
        <v>0.115</v>
      </c>
      <c r="N247" s="65">
        <f>AVERAGEIFS($P$36:$P$167,$C$36:$C$167,"=4", $B$36:$B$167,"OFICIAL")</f>
        <v>0.51666666666666672</v>
      </c>
      <c r="O247" s="65">
        <f>AVERAGEIFS($Q$36:$Q$167,$C$36:$C$167,"=4", $B$36:$B$167,"OFICIAL")</f>
        <v>0.35833333333333334</v>
      </c>
      <c r="P247" s="65">
        <f>AVERAGEIFS($R$36:$R$167,$C$36:$C$167,"=4", $B$36:$B$167,"OFICIAL")</f>
        <v>1.1666666666666667E-2</v>
      </c>
      <c r="Q247" s="65">
        <f>AVERAGEIFS($O$36:$O$167,$C$36:$C$167,"=4", $B$36:$B$167,"NO OFICIAL")</f>
        <v>9.1249999999999998E-2</v>
      </c>
      <c r="R247" s="65">
        <f>AVERAGEIFS($P$36:$P$167,$C$36:$C$167,"=4", $B$36:$B$167,"NO OFICIAL")</f>
        <v>0.35875000000000001</v>
      </c>
      <c r="S247" s="65">
        <f>AVERAGEIFS($Q$36:$Q$167,$C$36:$C$167,"=4", $B$36:$B$167,"NO OFICIAL")</f>
        <v>0.54125000000000001</v>
      </c>
      <c r="T247" s="65">
        <f>AVERAGEIFS($R$36:$R$167,$C$36:$C$167,"=4", $B$36:$B$167,"NO OFICIAL")</f>
        <v>0.01</v>
      </c>
      <c r="U247" s="65">
        <f>AVERAGEIFS($X$36:$X$167,$C$36:$C$167,"=4", $B$36:$B$167,"OFICIAL")</f>
        <v>0.13500000000000001</v>
      </c>
      <c r="V247" s="65">
        <f>AVERAGEIFS($Y$36:$Y$167,$C$36:$C$167,"=4", $B$36:$B$167,"OFICIAL")</f>
        <v>0.48</v>
      </c>
      <c r="W247" s="65">
        <f>AVERAGEIFS($Z$36:$Z$167,$C$36:$C$167,"=4", $B$36:$B$167,"OFICIAL")</f>
        <v>0.375</v>
      </c>
      <c r="X247" s="65">
        <f>AVERAGEIFS($AA$36:$AA$167,$C$36:$C$167,"=4", $B$36:$B$167,"OFICIAL")</f>
        <v>8.3333333333333332E-3</v>
      </c>
      <c r="Y247" s="65">
        <f>AVERAGEIFS($X$36:$X$167,$C$36:$C$167,"=4", $B$36:$B$167,"NO OFICIAL")</f>
        <v>0.04</v>
      </c>
      <c r="Z247" s="65">
        <f>AVERAGEIFS($Y$36:$Y$167,$C$36:$C$167,"=4", $B$36:$B$167,"NO OFICIAL")</f>
        <v>0.31874999999999998</v>
      </c>
      <c r="AA247" s="65">
        <f>AVERAGEIFS($Z$36:$Z$167,$C$36:$C$167,"=4", $B$36:$B$167,"NO OFICIAL")</f>
        <v>0.63125000000000009</v>
      </c>
      <c r="AB247" s="65">
        <f>AVERAGEIFS($AA$36:$AA$167,$C$36:$C$167,"=4", $B$36:$B$167,"NO OFICIAL")</f>
        <v>0.01</v>
      </c>
      <c r="AC247" s="65">
        <f>AVERAGEIFS($AG$36:$AG$167,$C$36:$C$167,"=4", $B$36:$B$167,"OFICIAL")</f>
        <v>9.9999999999999992E-2</v>
      </c>
      <c r="AD247" s="65">
        <f>AVERAGEIFS($AH$36:$AH$167,$C$36:$C$167,"=4", $B$36:$B$167,"OFICIAL")</f>
        <v>0.56166666666666665</v>
      </c>
      <c r="AE247" s="65">
        <f>AVERAGEIFS($AI$36:$AI$167,$C$36:$C$167,"=4", $B$36:$B$167,"OFICIAL")</f>
        <v>0.33166666666666667</v>
      </c>
      <c r="AF247" s="65">
        <f>AVERAGEIFS($AJ$36:$AJ$167,$C$36:$C$167,"=4", $B$36:$B$167,"OFICIAL")</f>
        <v>6.6666666666666671E-3</v>
      </c>
      <c r="AG247" s="65">
        <f>AVERAGEIFS($AG$36:$AG$167,$C$36:$C$167,"=4", $B$36:$B$167,"NO OFICIAL")</f>
        <v>4.4285714285714282E-2</v>
      </c>
      <c r="AH247" s="65">
        <f>AVERAGEIFS($AH$36:$AH$167,$C$36:$C$167,"=4", $B$36:$B$167,"NO OFICIAL")</f>
        <v>0.4271428571428571</v>
      </c>
      <c r="AI247" s="65">
        <f>AVERAGEIFS($AI$36:$AI$167,$C$36:$C$167,"=4", $B$36:$B$167,"NO OFICIAL")</f>
        <v>0.49857142857142861</v>
      </c>
      <c r="AJ247" s="65">
        <f>AVERAGEIFS($AJ$36:$AJ$167,$C$36:$C$167,"=4", $B$36:$B$167,"NO OFICIAL")</f>
        <v>2.8571428571428574E-2</v>
      </c>
      <c r="AK247" s="65">
        <f>AVERAGEIFS($AP$36:$AP$167,$C$36:$C$167,"=4", $B$36:$B$167,"OFICIAL")</f>
        <v>0.10833333333333334</v>
      </c>
      <c r="AL247" s="65">
        <f>AVERAGEIFS($AQ$36:$AQ$167,$C$36:$C$167,"=4", $B$36:$B$167,"OFICIAL")</f>
        <v>0.48166666666666663</v>
      </c>
      <c r="AM247" s="65">
        <f>AVERAGEIFS($AR$36:$AR$167,$C$36:$C$167,"=4", $B$36:$B$167,"OFICIAL")</f>
        <v>0.41000000000000009</v>
      </c>
      <c r="AN247" s="65">
        <f>AVERAGEIFS($AS$36:$AS$167,$C$36:$C$167,"=4", $B$36:$B$167,"OFICIAL")</f>
        <v>3.3333333333333335E-3</v>
      </c>
      <c r="AO247" s="65">
        <f>AVERAGEIFS($AP$36:$AP$167,$C$36:$C$167,"=4", $B$36:$B$167,"NO OFICIAL")</f>
        <v>4.1428571428571433E-2</v>
      </c>
      <c r="AP247" s="65">
        <f>AVERAGEIFS($AQ$36:$AQ$167,$C$36:$C$167,"=4", $B$36:$B$167,"NO OFICIAL")</f>
        <v>0.4757142857142857</v>
      </c>
      <c r="AQ247" s="65">
        <f>AVERAGEIFS($AR$36:$AR$167,$C$36:$C$167,"=4", $B$36:$B$167,"NO OFICIAL")</f>
        <v>0.44</v>
      </c>
      <c r="AR247" s="65">
        <f>AVERAGEIFS($AS$36:$AS$167,$C$36:$C$167,"=4", $B$36:$B$167,"NO OFICIAL")</f>
        <v>4.4285714285714282E-2</v>
      </c>
      <c r="AS247" s="65">
        <f>AVERAGEIFS($BA$36:$BA$167,$C$36:$C$167,"=4", $B$36:$B$167,"OFICIAL")</f>
        <v>0.10666666666666667</v>
      </c>
      <c r="AT247" s="65">
        <f>AVERAGEIFS($BB$36:$BB$167,$C$36:$C$167,"=4", $B$36:$B$167,"OFICIAL")</f>
        <v>0.49499999999999994</v>
      </c>
      <c r="AU247" s="65">
        <f>AVERAGEIFS($BC$36:$BC$167,$C$36:$C$167,"=4", $B$36:$B$167,"OFICIAL")</f>
        <v>0.38999999999999996</v>
      </c>
      <c r="AV247" s="65">
        <f>AVERAGEIFS($BD$36:$BD$167,$C$36:$C$167,"=4", $B$36:$B$167,"OFICIAL")</f>
        <v>3.3333333333333335E-3</v>
      </c>
      <c r="AW247" s="65">
        <f>AVERAGEIFS($BA$36:$BA$167,$C$36:$C$167,"=4", $B$36:$B$167,"NO OFICIAL")</f>
        <v>6.5000000000000002E-2</v>
      </c>
      <c r="AX247" s="65">
        <f>AVERAGEIFS($BB$36:$BB$167,$C$36:$C$167,"=4", $B$36:$B$167,"NO OFICIAL")</f>
        <v>0.4425</v>
      </c>
      <c r="AY247" s="65">
        <f>AVERAGEIFS($BC$36:$BC$167,$C$36:$C$167,"=4", $B$36:$B$167,"NO OFICIAL")</f>
        <v>0.47749999999999998</v>
      </c>
      <c r="AZ247" s="65">
        <f>AVERAGEIFS($BD$36:$BD$167,$C$36:$C$167,"=4", $B$36:$B$167,"NO OFICIAL")</f>
        <v>1.8749999999999999E-2</v>
      </c>
      <c r="BE247" t="s">
        <v>249</v>
      </c>
      <c r="BF247" s="442">
        <v>9.9999999999999992E-2</v>
      </c>
      <c r="BG247" s="442">
        <v>0.54333333333333333</v>
      </c>
      <c r="BH247" s="442">
        <v>0.34666666666666662</v>
      </c>
      <c r="BI247" s="442">
        <v>6.6666666666666671E-3</v>
      </c>
      <c r="BJ247" s="442">
        <v>0.155</v>
      </c>
      <c r="BK247" s="442">
        <v>0.33833333333333332</v>
      </c>
      <c r="BL247" s="442">
        <v>0.505</v>
      </c>
      <c r="BM247" s="442">
        <v>0</v>
      </c>
      <c r="BN247" s="442">
        <v>0.115</v>
      </c>
      <c r="BO247" s="442">
        <v>0.51666666666666672</v>
      </c>
      <c r="BP247" s="442">
        <v>0.35833333333333334</v>
      </c>
      <c r="BQ247" s="442">
        <v>1.1666666666666667E-2</v>
      </c>
      <c r="BR247" s="442">
        <v>7.1428571428571425E-2</v>
      </c>
      <c r="BS247" s="442">
        <v>0.35142857142857142</v>
      </c>
      <c r="BT247" s="442">
        <v>0.56714285714285717</v>
      </c>
      <c r="BU247" s="442">
        <v>1.1428571428571429E-2</v>
      </c>
      <c r="BV247" s="442">
        <v>0.13500000000000001</v>
      </c>
      <c r="BW247" s="442">
        <v>0.48</v>
      </c>
      <c r="BX247" s="442">
        <v>0.375</v>
      </c>
      <c r="BY247" s="442">
        <v>8.3333333333333332E-3</v>
      </c>
      <c r="BZ247" s="442">
        <v>2.5714285714285714E-2</v>
      </c>
      <c r="CA247" s="442">
        <v>0.30285714285714288</v>
      </c>
      <c r="CB247" s="442">
        <v>0.66</v>
      </c>
      <c r="CC247" s="442">
        <v>1.1428571428571429E-2</v>
      </c>
      <c r="CD247" s="442">
        <v>9.9999999999999992E-2</v>
      </c>
      <c r="CE247" s="442">
        <v>0.56166666666666665</v>
      </c>
      <c r="CF247" s="442">
        <v>0.33166666666666667</v>
      </c>
      <c r="CG247" s="442">
        <v>6.6666666666666671E-3</v>
      </c>
      <c r="CH247" s="442">
        <v>3.1666666666666669E-2</v>
      </c>
      <c r="CI247" s="442">
        <v>0.41166666666666663</v>
      </c>
      <c r="CJ247" s="442">
        <v>0.52666666666666673</v>
      </c>
      <c r="CK247" s="442">
        <v>0.03</v>
      </c>
      <c r="CL247" s="442">
        <v>0.10833333333333334</v>
      </c>
      <c r="CM247" s="442">
        <v>0.48166666666666663</v>
      </c>
      <c r="CN247" s="442">
        <v>0.41000000000000009</v>
      </c>
      <c r="CO247" s="442">
        <v>3.3333333333333335E-3</v>
      </c>
      <c r="CP247" s="442">
        <v>5.2000000000000005E-2</v>
      </c>
      <c r="CQ247" s="442">
        <v>0.39800000000000002</v>
      </c>
      <c r="CR247" s="442">
        <v>0.48799999999999999</v>
      </c>
      <c r="CS247" s="442">
        <v>6.2E-2</v>
      </c>
      <c r="CT247" s="442">
        <v>0.10666666666666667</v>
      </c>
      <c r="CU247" s="442">
        <v>0.49499999999999994</v>
      </c>
      <c r="CV247" s="442">
        <v>0.38999999999999996</v>
      </c>
      <c r="CW247" s="442">
        <v>3.3333333333333335E-3</v>
      </c>
      <c r="CX247" s="442">
        <v>5.000000000000001E-2</v>
      </c>
      <c r="CY247" s="442">
        <v>0.4366666666666667</v>
      </c>
      <c r="CZ247" s="442">
        <v>0.49499999999999994</v>
      </c>
      <c r="DA247" s="442">
        <v>2.1666666666666667E-2</v>
      </c>
    </row>
    <row r="248" spans="4:105" x14ac:dyDescent="0.25">
      <c r="D248" s="39" t="s">
        <v>250</v>
      </c>
      <c r="E248" s="65">
        <f>AVERAGEIFS($F$36:$F$167,$C$36:$C$167,"=5", $B$36:$B$167,"OFICIAL")</f>
        <v>4.4999999999999998E-2</v>
      </c>
      <c r="F248" s="65">
        <f>AVERAGEIFS($G$36:$G$167,$C$36:$C$167,"=5", $B$36:$B$167,"OFICIAL")</f>
        <v>0.39500000000000002</v>
      </c>
      <c r="G248" s="65">
        <f>AVERAGEIFS($H$36:$H$167,$C$36:$C$167,"=5", $B$36:$B$167,"OFICIAL")</f>
        <v>0.54</v>
      </c>
      <c r="H248" s="65">
        <f>AVERAGEIFS($I$36:$I$167,$C$36:$C$167,"=5", $B$36:$B$167,"OFICIAL")</f>
        <v>1.4999999999999999E-2</v>
      </c>
      <c r="I248" s="65">
        <f>AVERAGEIFS($F$36:$F$167,$C$36:$C$167,"=5", $B$36:$B$167,"NO OFICIAL")</f>
        <v>2.1333333333333336E-2</v>
      </c>
      <c r="J248" s="65">
        <f>AVERAGEIFS($G$36:$G$167,$C$36:$C$167,"=5", $B$36:$B$167,"NO OFICIAL")</f>
        <v>0.29466666666666669</v>
      </c>
      <c r="K248" s="65">
        <f>AVERAGEIFS($H$36:$H$167,$C$36:$C$167,"=5", $B$36:$B$167,"NO OFICIAL")</f>
        <v>0.65800000000000003</v>
      </c>
      <c r="L248" s="65">
        <f>AVERAGEIFS($I$36:$I$167,$C$36:$C$167,"=5", $B$36:$B$167,"NO OFICIAL")</f>
        <v>2.6000000000000002E-2</v>
      </c>
      <c r="M248" s="65">
        <f>AVERAGEIFS($O$36:$O$167,$C$36:$C$167,"=5", $B$36:$B$167,"OFICIAL")</f>
        <v>7.0000000000000007E-2</v>
      </c>
      <c r="N248" s="65">
        <f>AVERAGEIFS($P$36:$P$167,$C$36:$C$167,"=5", $B$36:$B$167,"OFICIAL")</f>
        <v>0.38500000000000001</v>
      </c>
      <c r="O248" s="65">
        <f>AVERAGEIFS($Q$36:$Q$167,$C$36:$C$167,"=5", $B$36:$B$167,"OFICIAL")</f>
        <v>0.52</v>
      </c>
      <c r="P248" s="65">
        <f>AVERAGEIFS($R$36:$R$167,$C$36:$C$167,"=5", $B$36:$B$167,"OFICIAL")</f>
        <v>0.02</v>
      </c>
      <c r="Q248" s="65">
        <f>AVERAGEIFS($O$36:$O$167,$C$36:$C$167,"=5", $B$36:$B$167,"NO OFICIAL")</f>
        <v>3.4666666666666665E-2</v>
      </c>
      <c r="R248" s="65">
        <f>AVERAGEIFS($P$36:$P$167,$C$36:$C$167,"=5", $B$36:$B$167,"NO OFICIAL")</f>
        <v>0.26800000000000002</v>
      </c>
      <c r="S248" s="65">
        <f>AVERAGEIFS($Q$36:$Q$167,$C$36:$C$167,"=5", $B$36:$B$167,"NO OFICIAL")</f>
        <v>0.65066666666666662</v>
      </c>
      <c r="T248" s="65">
        <f>AVERAGEIFS($R$36:$R$167,$C$36:$C$167,"=5", $B$36:$B$167,"NO OFICIAL")</f>
        <v>4.6000000000000013E-2</v>
      </c>
      <c r="U248" s="65">
        <f>AVERAGEIFS($X$36:$X$167,$C$36:$C$167,"=5", $B$36:$B$167,"OFICIAL")</f>
        <v>4.4999999999999998E-2</v>
      </c>
      <c r="V248" s="65">
        <f>AVERAGEIFS($Y$36:$Y$167,$C$36:$C$167,"=5", $B$36:$B$167,"OFICIAL")</f>
        <v>0.46499999999999997</v>
      </c>
      <c r="W248" s="65">
        <f>AVERAGEIFS($Z$36:$Z$167,$C$36:$C$167,"=5", $B$36:$B$167,"OFICIAL")</f>
        <v>0.48</v>
      </c>
      <c r="X248" s="65">
        <f>AVERAGEIFS($AA$36:$AA$167,$C$36:$C$167,"=5", $B$36:$B$167,"OFICIAL")</f>
        <v>1.4999999999999999E-2</v>
      </c>
      <c r="Y248" s="65">
        <f>AVERAGEIFS($X$36:$X$167,$C$36:$C$167,"=5", $B$36:$B$167,"NO OFICIAL")</f>
        <v>1.9333333333333334E-2</v>
      </c>
      <c r="Z248" s="65">
        <f>AVERAGEIFS($Y$36:$Y$167,$C$36:$C$167,"=5", $B$36:$B$167,"NO OFICIAL")</f>
        <v>0.30800000000000005</v>
      </c>
      <c r="AA248" s="65">
        <f>AVERAGEIFS($Z$36:$Z$167,$C$36:$C$167,"=5", $B$36:$B$167,"NO OFICIAL")</f>
        <v>0.62333333333333329</v>
      </c>
      <c r="AB248" s="65">
        <f>AVERAGEIFS($AA$36:$AA$167,$C$36:$C$167,"=5", $B$36:$B$167,"NO OFICIAL")</f>
        <v>4.9333333333333333E-2</v>
      </c>
      <c r="AC248" s="65">
        <f>AVERAGEIFS($AG$36:$AG$167,$C$36:$C$167,"=5", $B$36:$B$167,"OFICIAL")</f>
        <v>0.04</v>
      </c>
      <c r="AD248" s="65">
        <f>AVERAGEIFS($AH$36:$AH$167,$C$36:$C$167,"=5", $B$36:$B$167,"OFICIAL")</f>
        <v>0.40500000000000003</v>
      </c>
      <c r="AE248" s="65">
        <f>AVERAGEIFS($AI$36:$AI$167,$C$36:$C$167,"=5", $B$36:$B$167,"OFICIAL")</f>
        <v>0.53</v>
      </c>
      <c r="AF248" s="65">
        <f>AVERAGEIFS($AJ$36:$AJ$167,$C$36:$C$167,"=5", $B$36:$B$167,"OFICIAL")</f>
        <v>2.5000000000000001E-2</v>
      </c>
      <c r="AG248" s="65">
        <f>AVERAGEIFS($AG$36:$AG$167,$C$36:$C$167,"=5", $B$36:$B$167,"NO OFICIAL")</f>
        <v>1.3749999999999998E-2</v>
      </c>
      <c r="AH248" s="65">
        <f>AVERAGEIFS($AH$36:$AH$167,$C$36:$C$167,"=5", $B$36:$B$167,"NO OFICIAL")</f>
        <v>0.26499999999999996</v>
      </c>
      <c r="AI248" s="65">
        <f>AVERAGEIFS($AI$36:$AI$167,$C$36:$C$167,"=5", $B$36:$B$167,"NO OFICIAL")</f>
        <v>0.6712499999999999</v>
      </c>
      <c r="AJ248" s="65">
        <f>AVERAGEIFS($AJ$36:$AJ$167,$C$36:$C$167,"=5", $B$36:$B$167,"NO OFICIAL")</f>
        <v>5.000000000000001E-2</v>
      </c>
      <c r="AK248" s="65">
        <f>AVERAGEIFS($AP$36:$AP$167,$C$36:$C$167,"=5", $B$36:$B$167,"OFICIAL")</f>
        <v>3.5000000000000003E-2</v>
      </c>
      <c r="AL248" s="65">
        <f>AVERAGEIFS($AQ$36:$AQ$167,$C$36:$C$167,"=5", $B$36:$B$167,"OFICIAL")</f>
        <v>0.39</v>
      </c>
      <c r="AM248" s="65">
        <f>AVERAGEIFS($AR$36:$AR$167,$C$36:$C$167,"=5", $B$36:$B$167,"OFICIAL")</f>
        <v>0.56000000000000005</v>
      </c>
      <c r="AN248" s="65">
        <f>AVERAGEIFS($AS$36:$AS$167,$C$36:$C$167,"=5", $B$36:$B$167,"OFICIAL")</f>
        <v>1.4999999999999999E-2</v>
      </c>
      <c r="AO248" s="65">
        <f>AVERAGEIFS($AP$36:$AP$167,$C$36:$C$167,"=5", $B$36:$B$167,"NO OFICIAL")</f>
        <v>1.6875000000000001E-2</v>
      </c>
      <c r="AP248" s="65">
        <f>AVERAGEIFS($AQ$36:$AQ$167,$C$36:$C$167,"=5", $B$36:$B$167,"NO OFICIAL")</f>
        <v>0.24312500000000001</v>
      </c>
      <c r="AQ248" s="65">
        <f>AVERAGEIFS($AR$36:$AR$167,$C$36:$C$167,"=5", $B$36:$B$167,"NO OFICIAL")</f>
        <v>0.69625000000000004</v>
      </c>
      <c r="AR248" s="65">
        <f>AVERAGEIFS($AS$36:$AS$167,$C$36:$C$167,"=5", $B$36:$B$167,"NO OFICIAL")</f>
        <v>4.5000000000000005E-2</v>
      </c>
      <c r="AS248" s="65">
        <f>AVERAGEIFS($BA$36:$BA$167,$C$36:$C$167,"=5", $B$36:$B$167,"OFICIAL")</f>
        <v>5.5E-2</v>
      </c>
      <c r="AT248" s="65">
        <f>AVERAGEIFS($BB$36:$BB$167,$C$36:$C$167,"=5", $B$36:$B$167,"OFICIAL")</f>
        <v>0.43000000000000005</v>
      </c>
      <c r="AU248" s="65">
        <f>AVERAGEIFS($BC$36:$BC$167,$C$36:$C$167,"=5", $B$36:$B$167,"OFICIAL")</f>
        <v>0.48499999999999999</v>
      </c>
      <c r="AV248" s="65">
        <f>AVERAGEIFS($BD$36:$BD$167,$C$36:$C$167,"=5", $B$36:$B$167,"OFICIAL")</f>
        <v>2.5000000000000001E-2</v>
      </c>
      <c r="AW248" s="65">
        <f>AVERAGEIFS($BA$36:$BA$167,$C$36:$C$167,"=5", $B$36:$B$167,"NO OFICIAL")</f>
        <v>2.3125000000000003E-2</v>
      </c>
      <c r="AX248" s="65">
        <f>AVERAGEIFS($BB$36:$BB$167,$C$36:$C$167,"=5", $B$36:$B$167,"NO OFICIAL")</f>
        <v>0.31687500000000002</v>
      </c>
      <c r="AY248" s="65">
        <f>AVERAGEIFS($BC$36:$BC$167,$C$36:$C$167,"=5", $B$36:$B$167,"NO OFICIAL")</f>
        <v>0.61187499999999995</v>
      </c>
      <c r="AZ248" s="65">
        <f>AVERAGEIFS($BD$36:$BD$167,$C$36:$C$167,"=5", $B$36:$B$167,"NO OFICIAL")</f>
        <v>4.6875000000000014E-2</v>
      </c>
      <c r="BE248" t="s">
        <v>250</v>
      </c>
      <c r="BF248" s="442">
        <v>4.4999999999999998E-2</v>
      </c>
      <c r="BG248" s="442">
        <v>0.39500000000000002</v>
      </c>
      <c r="BH248" s="442">
        <v>0.54</v>
      </c>
      <c r="BI248" s="442">
        <v>1.4999999999999999E-2</v>
      </c>
      <c r="BJ248" s="442">
        <v>2.1333333333333336E-2</v>
      </c>
      <c r="BK248" s="442">
        <v>0.29466666666666669</v>
      </c>
      <c r="BL248" s="442">
        <v>0.65800000000000003</v>
      </c>
      <c r="BM248" s="442">
        <v>2.6000000000000002E-2</v>
      </c>
      <c r="BN248" s="442">
        <v>7.0000000000000007E-2</v>
      </c>
      <c r="BO248" s="442">
        <v>0.38500000000000001</v>
      </c>
      <c r="BP248" s="442">
        <v>0.52</v>
      </c>
      <c r="BQ248" s="442">
        <v>0.02</v>
      </c>
      <c r="BR248" s="442">
        <v>3.7142857142857144E-2</v>
      </c>
      <c r="BS248" s="442">
        <v>0.24642857142857147</v>
      </c>
      <c r="BT248" s="442">
        <v>0.66642857142857148</v>
      </c>
      <c r="BU248" s="442">
        <v>4.9285714285714301E-2</v>
      </c>
      <c r="BV248" s="442">
        <v>4.4999999999999998E-2</v>
      </c>
      <c r="BW248" s="442">
        <v>0.46499999999999997</v>
      </c>
      <c r="BX248" s="442">
        <v>0.48</v>
      </c>
      <c r="BY248" s="442">
        <v>1.4999999999999999E-2</v>
      </c>
      <c r="BZ248" s="442">
        <v>1.7857142857142856E-2</v>
      </c>
      <c r="CA248" s="442">
        <v>0.29571428571428571</v>
      </c>
      <c r="CB248" s="442">
        <v>0.63357142857142856</v>
      </c>
      <c r="CC248" s="442">
        <v>5.2857142857142859E-2</v>
      </c>
      <c r="CD248" s="442">
        <v>0.04</v>
      </c>
      <c r="CE248" s="442">
        <v>0.40500000000000003</v>
      </c>
      <c r="CF248" s="442">
        <v>0.53</v>
      </c>
      <c r="CG248" s="442">
        <v>2.5000000000000001E-2</v>
      </c>
      <c r="CH248" s="442">
        <v>1.4666666666666665E-2</v>
      </c>
      <c r="CI248" s="442">
        <v>0.25266666666666665</v>
      </c>
      <c r="CJ248" s="442">
        <v>0.68266666666666653</v>
      </c>
      <c r="CK248" s="442">
        <v>0.05</v>
      </c>
      <c r="CL248" s="442">
        <v>3.5000000000000003E-2</v>
      </c>
      <c r="CM248" s="442">
        <v>0.39</v>
      </c>
      <c r="CN248" s="442">
        <v>0.56000000000000005</v>
      </c>
      <c r="CO248" s="442">
        <v>1.4999999999999999E-2</v>
      </c>
      <c r="CP248" s="442">
        <v>1.8000000000000002E-2</v>
      </c>
      <c r="CQ248" s="442">
        <v>0.22000000000000003</v>
      </c>
      <c r="CR248" s="442">
        <v>0.71533333333333338</v>
      </c>
      <c r="CS248" s="442">
        <v>4.8000000000000008E-2</v>
      </c>
      <c r="CT248" s="442">
        <v>5.5E-2</v>
      </c>
      <c r="CU248" s="442">
        <v>0.43000000000000005</v>
      </c>
      <c r="CV248" s="442">
        <v>0.48499999999999999</v>
      </c>
      <c r="CW248" s="442">
        <v>2.5000000000000001E-2</v>
      </c>
      <c r="CX248" s="442">
        <v>2.2000000000000002E-2</v>
      </c>
      <c r="CY248" s="442">
        <v>0.3126666666666667</v>
      </c>
      <c r="CZ248" s="442">
        <v>0.6166666666666667</v>
      </c>
      <c r="DA248" s="442">
        <v>4.7333333333333345E-2</v>
      </c>
    </row>
    <row r="249" spans="4:105" x14ac:dyDescent="0.25">
      <c r="D249" s="39" t="s">
        <v>251</v>
      </c>
      <c r="E249" s="65">
        <f>AVERAGEIFS($F$36:$F$167,$C$36:$C$167,"=6", $B$36:$B$167,"OFICIAL")</f>
        <v>3.3333333333333333E-2</v>
      </c>
      <c r="F249" s="65">
        <f>AVERAGEIFS($G$36:$G$167,$C$36:$C$167,"=6", $B$36:$B$167,"OFICIAL")</f>
        <v>0.48666666666666664</v>
      </c>
      <c r="G249" s="65">
        <f>AVERAGEIFS($H$36:$H$167,$C$36:$C$167,"=6", $B$36:$B$167,"OFICIAL")</f>
        <v>0.47</v>
      </c>
      <c r="H249" s="65">
        <f>AVERAGEIFS($I$36:$I$167,$C$36:$C$167,"=6", $B$36:$B$167,"OFICIAL")</f>
        <v>0.01</v>
      </c>
      <c r="I249" s="65">
        <f>AVERAGEIFS($F$36:$F$167,$C$36:$C$167,"=6", $B$36:$B$167,"NO OFICIAL")</f>
        <v>0.10083333333333333</v>
      </c>
      <c r="J249" s="65">
        <f>AVERAGEIFS($G$36:$G$167,$C$36:$C$167,"=6", $B$36:$B$167,"NO OFICIAL")</f>
        <v>0.30499999999999999</v>
      </c>
      <c r="K249" s="65">
        <f>AVERAGEIFS($H$36:$H$167,$C$36:$C$167,"=6", $B$36:$B$167,"NO OFICIAL")</f>
        <v>0.58250000000000002</v>
      </c>
      <c r="L249" s="65">
        <f>AVERAGEIFS($I$36:$I$167,$C$36:$C$167,"=6", $B$36:$B$167,"NO OFICIAL")</f>
        <v>1.0833333333333332E-2</v>
      </c>
      <c r="M249" s="65">
        <f>AVERAGEIFS($O$36:$O$167,$C$36:$C$167,"=6", $B$36:$B$167,"OFICIAL")</f>
        <v>5.000000000000001E-2</v>
      </c>
      <c r="N249" s="65">
        <f>AVERAGEIFS($P$36:$P$167,$C$36:$C$167,"=6", $B$36:$B$167,"OFICIAL")</f>
        <v>0.41</v>
      </c>
      <c r="O249" s="65">
        <f>AVERAGEIFS($Q$36:$Q$167,$C$36:$C$167,"=6", $B$36:$B$167,"OFICIAL")</f>
        <v>0.52333333333333332</v>
      </c>
      <c r="P249" s="65">
        <f>AVERAGEIFS($R$36:$R$167,$C$36:$C$167,"=6", $B$36:$B$167,"OFICIAL")</f>
        <v>0.02</v>
      </c>
      <c r="Q249" s="65">
        <f>AVERAGEIFS($O$36:$O$167,$C$36:$C$167,"=6", $B$36:$B$167,"NO OFICIAL")</f>
        <v>8.9166666666666672E-2</v>
      </c>
      <c r="R249" s="65">
        <f>AVERAGEIFS($P$36:$P$167,$C$36:$C$167,"=6", $B$36:$B$167,"NO OFICIAL")</f>
        <v>0.3833333333333333</v>
      </c>
      <c r="S249" s="65">
        <f>AVERAGEIFS($Q$36:$Q$167,$C$36:$C$167,"=6", $B$36:$B$167,"NO OFICIAL")</f>
        <v>0.5083333333333333</v>
      </c>
      <c r="T249" s="65">
        <f>AVERAGEIFS($R$36:$R$167,$C$36:$C$167,"=6", $B$36:$B$167,"NO OFICIAL")</f>
        <v>0.02</v>
      </c>
      <c r="U249" s="65">
        <f>AVERAGEIFS($X$36:$X$167,$C$36:$C$167,"=6", $B$36:$B$167,"OFICIAL")</f>
        <v>4.9999999999999996E-2</v>
      </c>
      <c r="V249" s="65">
        <f>AVERAGEIFS($Y$36:$Y$167,$C$36:$C$167,"=6", $B$36:$B$167,"OFICIAL")</f>
        <v>0.4366666666666667</v>
      </c>
      <c r="W249" s="65">
        <f>AVERAGEIFS($Z$36:$Z$167,$C$36:$C$167,"=6", $B$36:$B$167,"OFICIAL")</f>
        <v>0.5</v>
      </c>
      <c r="X249" s="65">
        <f>AVERAGEIFS($AA$36:$AA$167,$C$36:$C$167,"=6", $B$36:$B$167,"OFICIAL")</f>
        <v>1.6666666666666666E-2</v>
      </c>
      <c r="Y249" s="65">
        <f>AVERAGEIFS($X$36:$X$167,$C$36:$C$167,"=6", $B$36:$B$167,"NO OFICIAL")</f>
        <v>2.5384615384615387E-2</v>
      </c>
      <c r="Z249" s="65">
        <f>AVERAGEIFS($Y$36:$Y$167,$C$36:$C$167,"=6", $B$36:$B$167,"NO OFICIAL")</f>
        <v>0.40692307692307694</v>
      </c>
      <c r="AA249" s="65">
        <f>AVERAGEIFS($Z$36:$Z$167,$C$36:$C$167,"=6", $B$36:$B$167,"NO OFICIAL")</f>
        <v>0.55153846153846153</v>
      </c>
      <c r="AB249" s="65">
        <f>AVERAGEIFS($AA$36:$AA$167,$C$36:$C$167,"=6", $B$36:$B$167,"NO OFICIAL")</f>
        <v>1.7692307692307695E-2</v>
      </c>
      <c r="AC249" s="65">
        <f>AVERAGEIFS($AG$36:$AG$167,$C$36:$C$167,"=6", $B$36:$B$167,"OFICIAL")</f>
        <v>5.000000000000001E-2</v>
      </c>
      <c r="AD249" s="65">
        <f>AVERAGEIFS($AH$36:$AH$167,$C$36:$C$167,"=6", $B$36:$B$167,"OFICIAL")</f>
        <v>0.36333333333333334</v>
      </c>
      <c r="AE249" s="65">
        <f>AVERAGEIFS($AI$36:$AI$167,$C$36:$C$167,"=6", $B$36:$B$167,"OFICIAL")</f>
        <v>0.58333333333333337</v>
      </c>
      <c r="AF249" s="65">
        <f>AVERAGEIFS($AJ$36:$AJ$167,$C$36:$C$167,"=6", $B$36:$B$167,"OFICIAL")</f>
        <v>1.3333333333333334E-2</v>
      </c>
      <c r="AG249" s="65">
        <f>AVERAGEIFS($AG$36:$AG$167,$C$36:$C$167,"=6", $B$36:$B$167,"NO OFICIAL")</f>
        <v>4.1428571428571433E-2</v>
      </c>
      <c r="AH249" s="65">
        <f>AVERAGEIFS($AH$36:$AH$167,$C$36:$C$167,"=6", $B$36:$B$167,"NO OFICIAL")</f>
        <v>0.35428571428571437</v>
      </c>
      <c r="AI249" s="65">
        <f>AVERAGEIFS($AI$36:$AI$167,$C$36:$C$167,"=6", $B$36:$B$167,"NO OFICIAL")</f>
        <v>0.56571428571428561</v>
      </c>
      <c r="AJ249" s="65">
        <f>AVERAGEIFS($AJ$36:$AJ$167,$C$36:$C$167,"=6", $B$36:$B$167,"NO OFICIAL")</f>
        <v>3.7142857142857144E-2</v>
      </c>
      <c r="AK249" s="65">
        <f>AVERAGEIFS($AP$36:$AP$167,$C$36:$C$167,"=6", $B$36:$B$167,"OFICIAL")</f>
        <v>0.02</v>
      </c>
      <c r="AL249" s="65">
        <f>AVERAGEIFS($AQ$36:$AQ$167,$C$36:$C$167,"=6", $B$36:$B$167,"OFICIAL")</f>
        <v>0.38333333333333336</v>
      </c>
      <c r="AM249" s="65">
        <f>AVERAGEIFS($AR$36:$AR$167,$C$36:$C$167,"=6", $B$36:$B$167,"OFICIAL")</f>
        <v>0.56000000000000005</v>
      </c>
      <c r="AN249" s="65">
        <f>AVERAGEIFS($AS$36:$AS$167,$C$36:$C$167,"=6", $B$36:$B$167,"OFICIAL")</f>
        <v>3.6666666666666667E-2</v>
      </c>
      <c r="AO249" s="65">
        <f>AVERAGEIFS($AP$36:$AP$167,$C$36:$C$167,"=6", $B$36:$B$167,"NO OFICIAL")</f>
        <v>3.214285714285714E-2</v>
      </c>
      <c r="AP249" s="65">
        <f>AVERAGEIFS($AQ$36:$AQ$167,$C$36:$C$167,"=6", $B$36:$B$167,"NO OFICIAL")</f>
        <v>0.37285714285714278</v>
      </c>
      <c r="AQ249" s="65">
        <f>AVERAGEIFS($AR$36:$AR$167,$C$36:$C$167,"=6", $B$36:$B$167,"NO OFICIAL")</f>
        <v>0.56714285714285706</v>
      </c>
      <c r="AR249" s="65">
        <f>AVERAGEIFS($AS$36:$AS$167,$C$36:$C$167,"=6", $B$36:$B$167,"NO OFICIAL")</f>
        <v>2.7857142857142858E-2</v>
      </c>
      <c r="AS249" s="65">
        <f>AVERAGEIFS($BA$36:$BA$167,$C$36:$C$167,"=6", $B$36:$B$167,"OFICIAL")</f>
        <v>4.9999999999999996E-2</v>
      </c>
      <c r="AT249" s="65">
        <f>AVERAGEIFS($BB$36:$BB$167,$C$36:$C$167,"=6", $B$36:$B$167,"OFICIAL")</f>
        <v>0.47333333333333333</v>
      </c>
      <c r="AU249" s="65">
        <f>AVERAGEIFS($BC$36:$BC$167,$C$36:$C$167,"=6", $B$36:$B$167,"OFICIAL")</f>
        <v>0.46333333333333332</v>
      </c>
      <c r="AV249" s="65">
        <f>AVERAGEIFS($BD$36:$BD$167,$C$36:$C$167,"=6", $B$36:$B$167,"OFICIAL")</f>
        <v>0.02</v>
      </c>
      <c r="AW249" s="65">
        <f>AVERAGEIFS($BA$36:$BA$167,$C$36:$C$167,"=6", $B$36:$B$167,"NO OFICIAL")</f>
        <v>3.2857142857142856E-2</v>
      </c>
      <c r="AX249" s="65">
        <f>AVERAGEIFS($BB$36:$BB$167,$C$36:$C$167,"=6", $B$36:$B$167,"NO OFICIAL")</f>
        <v>0.44214285714285717</v>
      </c>
      <c r="AY249" s="65">
        <f>AVERAGEIFS($BC$36:$BC$167,$C$36:$C$167,"=6", $B$36:$B$167,"NO OFICIAL")</f>
        <v>0.49142857142857144</v>
      </c>
      <c r="AZ249" s="65">
        <f>AVERAGEIFS($BD$36:$BD$167,$C$36:$C$167,"=6", $B$36:$B$167,"NO OFICIAL")</f>
        <v>3.2857142857142863E-2</v>
      </c>
      <c r="BE249" t="s">
        <v>251</v>
      </c>
      <c r="BF249" s="442">
        <v>3.3333333333333333E-2</v>
      </c>
      <c r="BG249" s="442">
        <v>0.48666666666666664</v>
      </c>
      <c r="BH249" s="442">
        <v>0.47</v>
      </c>
      <c r="BI249" s="442">
        <v>0.01</v>
      </c>
      <c r="BJ249" s="442">
        <v>0.10083333333333333</v>
      </c>
      <c r="BK249" s="442">
        <v>0.30499999999999999</v>
      </c>
      <c r="BL249" s="442">
        <v>0.58250000000000002</v>
      </c>
      <c r="BM249" s="442">
        <v>1.0833333333333332E-2</v>
      </c>
      <c r="BN249" s="442">
        <v>5.000000000000001E-2</v>
      </c>
      <c r="BO249" s="442">
        <v>0.41</v>
      </c>
      <c r="BP249" s="442">
        <v>0.52333333333333332</v>
      </c>
      <c r="BQ249" s="442">
        <v>0.02</v>
      </c>
      <c r="BR249" s="442">
        <v>8.9166666666666672E-2</v>
      </c>
      <c r="BS249" s="442">
        <v>0.3833333333333333</v>
      </c>
      <c r="BT249" s="442">
        <v>0.5083333333333333</v>
      </c>
      <c r="BU249" s="442">
        <v>0.02</v>
      </c>
      <c r="BV249" s="442">
        <v>4.9999999999999996E-2</v>
      </c>
      <c r="BW249" s="442">
        <v>0.4366666666666667</v>
      </c>
      <c r="BX249" s="442">
        <v>0.5</v>
      </c>
      <c r="BY249" s="442">
        <v>1.6666666666666666E-2</v>
      </c>
      <c r="BZ249" s="442">
        <v>2.4545454545454547E-2</v>
      </c>
      <c r="CA249" s="442">
        <v>0.39909090909090905</v>
      </c>
      <c r="CB249" s="442">
        <v>0.56181818181818177</v>
      </c>
      <c r="CC249" s="442">
        <v>1.5454545454545455E-2</v>
      </c>
      <c r="CD249" s="442">
        <v>5.000000000000001E-2</v>
      </c>
      <c r="CE249" s="442">
        <v>0.36333333333333334</v>
      </c>
      <c r="CF249" s="442">
        <v>0.58333333333333337</v>
      </c>
      <c r="CG249" s="442">
        <v>1.3333333333333334E-2</v>
      </c>
      <c r="CH249" s="442">
        <v>3.0833333333333338E-2</v>
      </c>
      <c r="CI249" s="442">
        <v>0.34083333333333332</v>
      </c>
      <c r="CJ249" s="442">
        <v>0.58416666666666661</v>
      </c>
      <c r="CK249" s="442">
        <v>4.3333333333333335E-2</v>
      </c>
      <c r="CL249" s="442">
        <v>0.02</v>
      </c>
      <c r="CM249" s="442">
        <v>0.38333333333333336</v>
      </c>
      <c r="CN249" s="442">
        <v>0.56000000000000005</v>
      </c>
      <c r="CO249" s="442">
        <v>3.6666666666666667E-2</v>
      </c>
      <c r="CP249" s="442">
        <v>3.0833333333333334E-2</v>
      </c>
      <c r="CQ249" s="442">
        <v>0.40833333333333338</v>
      </c>
      <c r="CR249" s="442">
        <v>0.52833333333333332</v>
      </c>
      <c r="CS249" s="442">
        <v>3.2500000000000001E-2</v>
      </c>
      <c r="CT249" s="442">
        <v>4.9999999999999996E-2</v>
      </c>
      <c r="CU249" s="442">
        <v>0.47333333333333333</v>
      </c>
      <c r="CV249" s="442">
        <v>0.46333333333333332</v>
      </c>
      <c r="CW249" s="442">
        <v>0.02</v>
      </c>
      <c r="CX249" s="442">
        <v>2.5833333333333337E-2</v>
      </c>
      <c r="CY249" s="442">
        <v>0.41000000000000009</v>
      </c>
      <c r="CZ249" s="442">
        <v>0.52500000000000002</v>
      </c>
      <c r="DA249" s="442">
        <v>3.8333333333333337E-2</v>
      </c>
    </row>
    <row r="253" spans="4:105" x14ac:dyDescent="0.25">
      <c r="D253" s="429"/>
      <c r="E253" s="853">
        <v>2016</v>
      </c>
      <c r="F253" s="853"/>
      <c r="G253" s="853"/>
      <c r="H253" s="853">
        <v>2017</v>
      </c>
      <c r="I253" s="853">
        <v>2017</v>
      </c>
      <c r="J253" s="853"/>
      <c r="K253" s="853">
        <v>2018</v>
      </c>
      <c r="L253" s="853"/>
      <c r="M253" s="853">
        <v>2018</v>
      </c>
      <c r="N253" s="853">
        <v>2019</v>
      </c>
      <c r="O253" s="853"/>
      <c r="P253" s="853"/>
      <c r="Q253" s="853">
        <v>2020</v>
      </c>
      <c r="R253" s="853"/>
      <c r="S253" s="853"/>
      <c r="T253" s="853">
        <v>2021</v>
      </c>
      <c r="U253" s="853">
        <v>2020</v>
      </c>
      <c r="V253" s="853"/>
      <c r="BF253" t="s">
        <v>948</v>
      </c>
    </row>
    <row r="254" spans="4:105" x14ac:dyDescent="0.25">
      <c r="D254" s="429"/>
      <c r="E254" s="287" t="s">
        <v>946</v>
      </c>
      <c r="F254" s="287" t="s">
        <v>943</v>
      </c>
      <c r="G254" s="287" t="s">
        <v>947</v>
      </c>
      <c r="H254" s="287" t="s">
        <v>947</v>
      </c>
      <c r="I254" s="287" t="s">
        <v>946</v>
      </c>
      <c r="J254" s="287" t="s">
        <v>943</v>
      </c>
      <c r="K254" s="287" t="s">
        <v>947</v>
      </c>
      <c r="L254" s="287" t="s">
        <v>943</v>
      </c>
      <c r="M254" s="287" t="s">
        <v>946</v>
      </c>
      <c r="N254" s="287" t="s">
        <v>947</v>
      </c>
      <c r="O254" s="287" t="s">
        <v>946</v>
      </c>
      <c r="P254" s="287" t="s">
        <v>943</v>
      </c>
      <c r="Q254" s="287" t="s">
        <v>943</v>
      </c>
      <c r="R254" s="287" t="s">
        <v>946</v>
      </c>
      <c r="S254" s="287" t="s">
        <v>947</v>
      </c>
      <c r="T254" s="287" t="s">
        <v>943</v>
      </c>
      <c r="U254" s="287" t="s">
        <v>947</v>
      </c>
      <c r="V254" s="287" t="s">
        <v>946</v>
      </c>
      <c r="BF254" s="434" t="s">
        <v>246</v>
      </c>
      <c r="BL254" t="s">
        <v>247</v>
      </c>
      <c r="BR254" s="434" t="s">
        <v>248</v>
      </c>
      <c r="BS254" s="434"/>
      <c r="BT254" s="434"/>
      <c r="BU254" s="434"/>
      <c r="BV254" s="434"/>
      <c r="BW254" s="434"/>
      <c r="BX254" s="434" t="s">
        <v>249</v>
      </c>
      <c r="BY254" s="434"/>
      <c r="BZ254" s="434"/>
      <c r="CA254" s="434"/>
      <c r="CB254" s="434"/>
      <c r="CC254" s="434"/>
      <c r="CD254" s="434" t="s">
        <v>250</v>
      </c>
      <c r="CE254" s="434"/>
      <c r="CF254" s="434"/>
      <c r="CG254" s="434"/>
      <c r="CH254" s="434"/>
      <c r="CI254" s="434"/>
      <c r="CJ254" s="434" t="s">
        <v>251</v>
      </c>
      <c r="CK254" s="434"/>
      <c r="CL254" s="434"/>
      <c r="CM254" s="434"/>
      <c r="CN254" s="434"/>
      <c r="CO254" s="434"/>
    </row>
    <row r="255" spans="4:105" x14ac:dyDescent="0.25">
      <c r="D255" s="39" t="s">
        <v>246</v>
      </c>
      <c r="E255" s="65">
        <f>AVERAGEIF($C$36:$C$167,"=1",$K$36:$K$167)</f>
        <v>0.4594117647058823</v>
      </c>
      <c r="F255" s="65">
        <f>AVERAGEIF($C$36:$C$167,"=1",$J$36:$J$167)</f>
        <v>0.53235294117647058</v>
      </c>
      <c r="G255" s="65">
        <f>AVERAGEIF($C$36:$C$167,"=1",$L$36:$L$167)</f>
        <v>0.53941176470588237</v>
      </c>
      <c r="H255" s="65">
        <f>AVERAGEIF($C$36:$C$167,"=1",$T$36:$T$167)</f>
        <v>0.56166666666666676</v>
      </c>
      <c r="I255" s="65">
        <f>AVERAGEIF($C$36:$C$167,"=1",$S$36:$S$167)</f>
        <v>0.48388888888888892</v>
      </c>
      <c r="J255" s="65">
        <f>AVERAGEIF($C$36:$C$167,"=1",$U$36:$U$167)</f>
        <v>0.36000000000000004</v>
      </c>
      <c r="K255" s="65">
        <f>AVERAGEIF($C$36:$C$167,"=1",$AB$36:$AB$167)</f>
        <v>0.4861111111111111</v>
      </c>
      <c r="L255" s="65">
        <f>AVERAGEIF($C$36:$C$167,"=1",$AC$36:$AC$167)</f>
        <v>0.37111111111111111</v>
      </c>
      <c r="M255" s="65">
        <f>AVERAGEIF($C$36:$C$167,"=1",$AD$36:$AD$167)</f>
        <v>0.52444444444444449</v>
      </c>
      <c r="N255" s="65">
        <f>AVERAGEIF($C$36:$C$167,"=1",$AK$36:$AK$167)</f>
        <v>0.51777777777777789</v>
      </c>
      <c r="O255" s="65">
        <f>AVERAGEIF($C$36:$C$167,"=1",$AL$36:$AL$167)</f>
        <v>0.45944444444444454</v>
      </c>
      <c r="P255" s="65">
        <f>AVERAGEIF($C$36:$C$167,"=1",$AM$36:$AM$167)</f>
        <v>0.28222222222222221</v>
      </c>
      <c r="Q255" s="65">
        <f>AVERAGEIF($C$36:$C$167,"=1",$AT$36:$AT$167)</f>
        <v>0.26647058823529413</v>
      </c>
      <c r="R255" s="65">
        <f>AVERAGEIF($C$36:$C$167,"=1",$AV$36:$AV$167)</f>
        <v>0.50235294117647056</v>
      </c>
      <c r="S255" s="65">
        <f>AVERAGEIF($C$36:$C$167,"=1",$AU$36:$AU$167)</f>
        <v>0.48882352941176471</v>
      </c>
      <c r="T255" s="65">
        <f>AVERAGEIF($C$36:$C$167,"=1",$BE$36:$BE$167)</f>
        <v>0.27411764705882347</v>
      </c>
      <c r="U255" s="65">
        <f>AVERAGEIF($C$36:$C$167,"=1",$BF$36:$BF$167)</f>
        <v>0.50000000000000011</v>
      </c>
      <c r="V255" s="65">
        <f>AVERAGEIF($C$36:$C$167,"=1",$BG$36:$BG$167)</f>
        <v>0.45941176470588241</v>
      </c>
      <c r="BF255" s="434">
        <v>2016</v>
      </c>
      <c r="BG255" s="434">
        <v>2017</v>
      </c>
      <c r="BH255" s="434">
        <v>2018</v>
      </c>
      <c r="BI255" s="434">
        <v>2019</v>
      </c>
      <c r="BJ255" s="434">
        <v>2020</v>
      </c>
      <c r="BK255" s="434">
        <v>2021</v>
      </c>
      <c r="BL255" s="434">
        <v>2016</v>
      </c>
      <c r="BM255" s="434">
        <v>2017</v>
      </c>
      <c r="BN255" s="434">
        <v>2018</v>
      </c>
      <c r="BO255" s="434">
        <v>2019</v>
      </c>
      <c r="BP255" s="434">
        <v>2020</v>
      </c>
      <c r="BQ255" s="434">
        <v>2021</v>
      </c>
      <c r="BR255" s="434">
        <v>2016</v>
      </c>
      <c r="BS255" s="434">
        <v>2017</v>
      </c>
      <c r="BT255" s="434">
        <v>2018</v>
      </c>
      <c r="BU255" s="434">
        <v>2019</v>
      </c>
      <c r="BV255" s="434">
        <v>2020</v>
      </c>
      <c r="BW255" s="434">
        <v>2021</v>
      </c>
      <c r="BX255" s="434">
        <v>2016</v>
      </c>
      <c r="BY255" s="434">
        <v>2017</v>
      </c>
      <c r="BZ255" s="434">
        <v>2018</v>
      </c>
      <c r="CA255" s="434">
        <v>2019</v>
      </c>
      <c r="CB255" s="434">
        <v>2020</v>
      </c>
      <c r="CC255" s="434">
        <v>2021</v>
      </c>
      <c r="CD255" s="434">
        <v>2016</v>
      </c>
      <c r="CE255" s="434">
        <v>2017</v>
      </c>
      <c r="CF255" s="434">
        <v>2018</v>
      </c>
      <c r="CG255" s="434">
        <v>2019</v>
      </c>
      <c r="CH255" s="434">
        <v>2020</v>
      </c>
      <c r="CI255" s="434">
        <v>2021</v>
      </c>
      <c r="CJ255" s="434">
        <v>2016</v>
      </c>
      <c r="CK255" s="434">
        <v>2017</v>
      </c>
      <c r="CL255" s="434">
        <v>2018</v>
      </c>
      <c r="CM255" s="434">
        <v>2019</v>
      </c>
      <c r="CN255" s="434">
        <v>2020</v>
      </c>
      <c r="CO255" s="434">
        <v>2021</v>
      </c>
    </row>
    <row r="256" spans="4:105" x14ac:dyDescent="0.25">
      <c r="D256" s="39" t="s">
        <v>247</v>
      </c>
      <c r="E256" s="65">
        <f>AVERAGEIF($C$36:$C$167,"=2",$K$36:$K$167)</f>
        <v>0.44950000000000012</v>
      </c>
      <c r="F256" s="65">
        <f>AVERAGEIF($C$36:$C$167,"=2",$J$36:$J$167)</f>
        <v>0.52899999999999991</v>
      </c>
      <c r="G256" s="65">
        <f>AVERAGEIF($C$36:$C$167,"=2",$L$36:$L$167)</f>
        <v>0.52600000000000002</v>
      </c>
      <c r="H256" s="65">
        <f>AVERAGEIF($C$36:$C$167,"=2",$T$36:$T$167)</f>
        <v>0.54315789473684217</v>
      </c>
      <c r="I256" s="65">
        <f>AVERAGEIF($C$36:$C$167,"=2",$S$36:$S$167)</f>
        <v>0.47000000000000008</v>
      </c>
      <c r="J256" s="65">
        <f>AVERAGEIF($C$36:$C$167,"=2",$U$36:$U$167)</f>
        <v>0.36526315789473685</v>
      </c>
      <c r="K256" s="65">
        <f>AVERAGEIF($C$36:$C$167,"=2",$AB$36:$AB$167)</f>
        <v>0.47210526315789469</v>
      </c>
      <c r="L256" s="65">
        <f>AVERAGEIF($C$36:$C$167,"=2",$AC$36:$AC$167)</f>
        <v>0.37157894736842106</v>
      </c>
      <c r="M256" s="65">
        <f>AVERAGEIF($C$36:$C$167,"=2",$AD$36:$AD$167)</f>
        <v>0.50421052631578944</v>
      </c>
      <c r="N256" s="65">
        <f>AVERAGEIF($C$36:$C$167,"=2",$AK$36:$AK$167)</f>
        <v>0.51800000000000002</v>
      </c>
      <c r="O256" s="65">
        <f>AVERAGEIF($C$36:$C$167,"=2",$AL$36:$AL$167)</f>
        <v>0.45650000000000002</v>
      </c>
      <c r="P256" s="65">
        <f>AVERAGEIF($C$36:$C$167,"=2",$AM$36:$AM$167)</f>
        <v>0.26900000000000002</v>
      </c>
      <c r="Q256" s="65">
        <f>AVERAGEIF($C$36:$C$167,"=2",$AT$36:$AT$167)</f>
        <v>0.27666666666666667</v>
      </c>
      <c r="R256" s="65">
        <f>AVERAGEIF($C$36:$C$167,"=2",$AV$36:$AV$167)</f>
        <v>0.50833333333333341</v>
      </c>
      <c r="S256" s="65">
        <f>AVERAGEIF($C$36:$C$167,"=2",$AU$36:$AU$167)</f>
        <v>0.49874999999999997</v>
      </c>
      <c r="T256" s="65">
        <f>AVERAGEIF($C$36:$C$167,"=2",$BE$36:$BE$167)</f>
        <v>0.28590909090909089</v>
      </c>
      <c r="U256" s="65">
        <f>AVERAGEIF($C$36:$C$167,"=2",$BF$36:$BF$167)</f>
        <v>0.5027272727272728</v>
      </c>
      <c r="V256" s="65">
        <f>AVERAGEIF($C$36:$C$167,"=2",$BG$36:$BG$167)</f>
        <v>0.46318181818181831</v>
      </c>
      <c r="BE256" s="434">
        <v>1</v>
      </c>
      <c r="BF256" s="442">
        <v>4.5000000000000005E-2</v>
      </c>
      <c r="BG256" s="442">
        <v>4.2500000000000003E-2</v>
      </c>
      <c r="BH256" s="442">
        <v>3.2500000000000001E-2</v>
      </c>
      <c r="BI256" s="442">
        <v>3.7499999999999999E-2</v>
      </c>
      <c r="BJ256" s="442">
        <v>4.7499999999999994E-2</v>
      </c>
      <c r="BK256" s="442">
        <v>4.5000000000000005E-2</v>
      </c>
      <c r="BL256" s="442">
        <v>2.5000000000000001E-2</v>
      </c>
      <c r="BM256" s="442">
        <v>5.5E-2</v>
      </c>
      <c r="BN256" s="442">
        <v>0.05</v>
      </c>
      <c r="BO256" s="442">
        <v>0.05</v>
      </c>
      <c r="BP256" s="442">
        <v>2.5000000000000001E-2</v>
      </c>
      <c r="BQ256" s="442">
        <v>0.06</v>
      </c>
      <c r="BR256" s="442">
        <v>3.7999999999999999E-2</v>
      </c>
      <c r="BS256" s="442">
        <v>5.5999999999999994E-2</v>
      </c>
      <c r="BT256" s="442">
        <v>4.4000000000000004E-2</v>
      </c>
      <c r="BU256" s="442">
        <v>5.5999999999999994E-2</v>
      </c>
      <c r="BV256" s="442">
        <v>4.4000000000000004E-2</v>
      </c>
      <c r="BW256" s="442">
        <v>0.05</v>
      </c>
      <c r="BX256" s="442">
        <v>9.9999999999999992E-2</v>
      </c>
      <c r="BY256" s="442">
        <v>0.115</v>
      </c>
      <c r="BZ256" s="442">
        <v>0.13500000000000001</v>
      </c>
      <c r="CA256" s="442">
        <v>9.9999999999999992E-2</v>
      </c>
      <c r="CB256" s="442">
        <v>0.10833333333333334</v>
      </c>
      <c r="CC256" s="442">
        <v>0.10666666666666667</v>
      </c>
      <c r="CD256" s="442">
        <v>4.4999999999999998E-2</v>
      </c>
      <c r="CE256" s="442">
        <v>7.0000000000000007E-2</v>
      </c>
      <c r="CF256" s="442">
        <v>4.4999999999999998E-2</v>
      </c>
      <c r="CG256" s="442">
        <v>0.04</v>
      </c>
      <c r="CH256" s="442">
        <v>3.5000000000000003E-2</v>
      </c>
      <c r="CI256" s="442">
        <v>5.5E-2</v>
      </c>
      <c r="CJ256" s="442">
        <v>3.3333333333333333E-2</v>
      </c>
      <c r="CK256" s="442">
        <v>5.000000000000001E-2</v>
      </c>
      <c r="CL256" s="442">
        <v>4.9999999999999996E-2</v>
      </c>
      <c r="CM256" s="442">
        <v>5.000000000000001E-2</v>
      </c>
      <c r="CN256" s="442">
        <v>0.02</v>
      </c>
      <c r="CO256" s="442">
        <v>4.9999999999999996E-2</v>
      </c>
    </row>
    <row r="257" spans="4:93" x14ac:dyDescent="0.25">
      <c r="D257" s="39" t="s">
        <v>248</v>
      </c>
      <c r="E257" s="65">
        <f>AVERAGEIF($C$36:$C$167,"=3",$K$36:$K$167)</f>
        <v>0.44611111111111107</v>
      </c>
      <c r="F257" s="65">
        <f>AVERAGEIF($C$36:$C$167,"=3",$J$36:$J$167)</f>
        <v>0.51444444444444448</v>
      </c>
      <c r="G257" s="65">
        <f>AVERAGEIF($C$36:$C$167,"=3",$L$36:$L$167)</f>
        <v>0.51777777777777778</v>
      </c>
      <c r="H257" s="65">
        <f>AVERAGEIF($C$36:$C$167,"=3",$T$36:$T$167)</f>
        <v>0.54722222222222228</v>
      </c>
      <c r="I257" s="65">
        <f>AVERAGEIF($C$36:$C$167,"=3",$S$36:$S$167)</f>
        <v>0.46666666666666667</v>
      </c>
      <c r="J257" s="65">
        <f>AVERAGEIF($C$36:$C$167,"=3",$U$36:$U$167)</f>
        <v>0.33999999999999997</v>
      </c>
      <c r="K257" s="65">
        <f>AVERAGEIF($C$36:$C$167,"=3",$AB$36:$AB$167)</f>
        <v>0.47222222222222221</v>
      </c>
      <c r="L257" s="65">
        <f>AVERAGEIF($C$36:$C$167,"=3",$AC$36:$AC$167)</f>
        <v>0.36222222222222222</v>
      </c>
      <c r="M257" s="65">
        <f>AVERAGEIF($C$36:$C$167,"=3",$AD$36:$AD$167)</f>
        <v>0.50111111111111117</v>
      </c>
      <c r="N257" s="65">
        <f>AVERAGEIF($C$36:$C$167,"=3",$AK$36:$AK$167)</f>
        <v>0.51944444444444438</v>
      </c>
      <c r="O257" s="65">
        <f>AVERAGEIF($C$36:$C$167,"=3",$AL$36:$AL$167)</f>
        <v>0.45777777777777778</v>
      </c>
      <c r="P257" s="65">
        <f>AVERAGEIF($C$36:$C$167,"=3",$AM$36:$AM$167)</f>
        <v>0.27555555555555561</v>
      </c>
      <c r="Q257" s="65">
        <f>AVERAGEIF($C$36:$C$167,"=3",$AT$36:$AT$167)</f>
        <v>0.26149999999999995</v>
      </c>
      <c r="R257" s="65">
        <f>AVERAGEIF($C$36:$C$167,"=3",$AV$36:$AV$167)</f>
        <v>0.4955</v>
      </c>
      <c r="S257" s="65">
        <f>AVERAGEIF($C$36:$C$167,"=3",$AU$36:$AU$167)</f>
        <v>0.47400000000000003</v>
      </c>
      <c r="T257" s="65">
        <f>AVERAGEIF($C$36:$C$167,"=3",$BE$36:$BE$167)</f>
        <v>0.27449999999999991</v>
      </c>
      <c r="U257" s="65">
        <f>AVERAGEIF($C$36:$C$167,"=3",$BF$36:$BF$167)</f>
        <v>0.49199999999999999</v>
      </c>
      <c r="V257" s="65">
        <f>AVERAGEIF($C$36:$C$167,"=3",$BG$36:$BG$167)</f>
        <v>0.45150000000000007</v>
      </c>
      <c r="BE257" s="434">
        <v>2</v>
      </c>
      <c r="BF257" s="442">
        <v>0.36749999999999999</v>
      </c>
      <c r="BG257" s="442">
        <v>0.39249999999999996</v>
      </c>
      <c r="BH257" s="442">
        <v>0.41249999999999998</v>
      </c>
      <c r="BI257" s="442">
        <v>0.34249999999999997</v>
      </c>
      <c r="BJ257" s="442">
        <v>0.36249999999999999</v>
      </c>
      <c r="BK257" s="442">
        <v>0.40500000000000003</v>
      </c>
      <c r="BL257" s="442">
        <v>0.44</v>
      </c>
      <c r="BM257" s="442">
        <v>0.4</v>
      </c>
      <c r="BN257" s="442">
        <v>0.38</v>
      </c>
      <c r="BO257" s="442">
        <v>0.38500000000000001</v>
      </c>
      <c r="BP257" s="442">
        <v>0.36499999999999999</v>
      </c>
      <c r="BQ257" s="442">
        <v>0.435</v>
      </c>
      <c r="BR257" s="442">
        <v>0.46600000000000003</v>
      </c>
      <c r="BS257" s="442">
        <v>0.43599999999999994</v>
      </c>
      <c r="BT257" s="442">
        <v>0.41799999999999998</v>
      </c>
      <c r="BU257" s="442">
        <v>0.41600000000000004</v>
      </c>
      <c r="BV257" s="442">
        <v>0.372</v>
      </c>
      <c r="BW257" s="442">
        <v>0.44800000000000006</v>
      </c>
      <c r="BX257" s="442">
        <v>0.54333333333333333</v>
      </c>
      <c r="BY257" s="442">
        <v>0.51666666666666672</v>
      </c>
      <c r="BZ257" s="442">
        <v>0.48</v>
      </c>
      <c r="CA257" s="442">
        <v>0.56166666666666665</v>
      </c>
      <c r="CB257" s="442">
        <v>0.48166666666666663</v>
      </c>
      <c r="CC257" s="442">
        <v>0.49499999999999994</v>
      </c>
      <c r="CD257" s="442">
        <v>0.39500000000000002</v>
      </c>
      <c r="CE257" s="442">
        <v>0.38500000000000001</v>
      </c>
      <c r="CF257" s="442">
        <v>0.46499999999999997</v>
      </c>
      <c r="CG257" s="442">
        <v>0.40500000000000003</v>
      </c>
      <c r="CH257" s="442">
        <v>0.39</v>
      </c>
      <c r="CI257" s="442">
        <v>0.43000000000000005</v>
      </c>
      <c r="CJ257" s="442">
        <v>0.48666666666666664</v>
      </c>
      <c r="CK257" s="442">
        <v>0.41</v>
      </c>
      <c r="CL257" s="442">
        <v>0.4366666666666667</v>
      </c>
      <c r="CM257" s="442">
        <v>0.36333333333333334</v>
      </c>
      <c r="CN257" s="442">
        <v>0.38333333333333336</v>
      </c>
      <c r="CO257" s="442">
        <v>0.47333333333333333</v>
      </c>
    </row>
    <row r="258" spans="4:93" x14ac:dyDescent="0.25">
      <c r="D258" s="39" t="s">
        <v>249</v>
      </c>
      <c r="E258" s="65">
        <f>AVERAGEIF($C$36:$C$167,"=4",$K$36:$K$167)</f>
        <v>0.50428571428571434</v>
      </c>
      <c r="F258" s="65">
        <f>AVERAGEIF($C$36:$C$167,"=4",$J$36:$J$167)</f>
        <v>0.57285714285714284</v>
      </c>
      <c r="G258" s="65">
        <f>AVERAGEIF($C$36:$C$167,"=4",$L$36:$L$167)</f>
        <v>0.59785714285714298</v>
      </c>
      <c r="H258" s="65">
        <f>AVERAGEIF($C$36:$C$167,"=4",$T$36:$T$167)</f>
        <v>0.57928571428571429</v>
      </c>
      <c r="I258" s="65">
        <f>AVERAGEIF($C$36:$C$167,"=4",$S$36:$S$167)</f>
        <v>0.50642857142857134</v>
      </c>
      <c r="J258" s="65">
        <f>AVERAGEIF($C$36:$C$167,"=4",$U$36:$U$167)</f>
        <v>0.38071428571428573</v>
      </c>
      <c r="K258" s="65">
        <f>AVERAGEIF($C$36:$C$167,"=4",$AB$36:$AB$167)</f>
        <v>0.50642857142857145</v>
      </c>
      <c r="L258" s="65">
        <f>AVERAGEIF($C$36:$C$167,"=4",$AC$36:$AC$167)</f>
        <v>0.40571428571428569</v>
      </c>
      <c r="M258" s="65">
        <f>AVERAGEIF($C$36:$C$167,"=4",$AD$36:$AD$167)</f>
        <v>0.5407142857142857</v>
      </c>
      <c r="N258" s="65">
        <f>AVERAGEIF($C$36:$C$167,"=4",$AK$36:$AK$167)</f>
        <v>0.57538461538461538</v>
      </c>
      <c r="O258" s="65">
        <f>AVERAGEIF($C$36:$C$167,"=4",$AL$36:$AL$167)</f>
        <v>0.51153846153846161</v>
      </c>
      <c r="P258" s="65">
        <f>AVERAGEIF($C$36:$C$167,"=4",$AM$36:$AM$167)</f>
        <v>0.34461538461538466</v>
      </c>
      <c r="Q258" s="65">
        <f>AVERAGEIF($C$36:$C$167,"=4",$AT$36:$AT$167)</f>
        <v>0.31769230769230777</v>
      </c>
      <c r="R258" s="65">
        <f>AVERAGEIF($C$36:$C$167,"=4",$AV$36:$AV$167)</f>
        <v>0.54846153846153856</v>
      </c>
      <c r="S258" s="65">
        <f>AVERAGEIF($C$36:$C$167,"=4",$AU$36:$AU$167)</f>
        <v>0.56384615384615389</v>
      </c>
      <c r="T258" s="65">
        <f>AVERAGEIF($C$36:$C$167,"=4",$BE$36:$BE$167)</f>
        <v>0.35857142857142854</v>
      </c>
      <c r="U258" s="65">
        <f>AVERAGEIF($C$36:$C$167,"=4",$BF$36:$BF$167)</f>
        <v>0.54214285714285715</v>
      </c>
      <c r="V258" s="65">
        <f>AVERAGEIF($C$36:$C$167,"=4",$BG$36:$BG$167)</f>
        <v>0.51928571428571424</v>
      </c>
      <c r="BE258" s="434">
        <v>3</v>
      </c>
      <c r="BF258" s="442">
        <v>0.57250000000000001</v>
      </c>
      <c r="BG258" s="442">
        <v>0.53749999999999998</v>
      </c>
      <c r="BH258" s="442">
        <v>0.54249999999999998</v>
      </c>
      <c r="BI258" s="442">
        <v>0.59749999999999992</v>
      </c>
      <c r="BJ258" s="442">
        <v>0.5625</v>
      </c>
      <c r="BK258" s="442">
        <v>0.53249999999999997</v>
      </c>
      <c r="BL258" s="442">
        <v>0.52</v>
      </c>
      <c r="BM258" s="442">
        <v>0.52499999999999991</v>
      </c>
      <c r="BN258" s="442">
        <v>0.54500000000000004</v>
      </c>
      <c r="BO258" s="442">
        <v>0.54500000000000004</v>
      </c>
      <c r="BP258" s="442">
        <v>0.58499999999999996</v>
      </c>
      <c r="BQ258" s="442">
        <v>0.5</v>
      </c>
      <c r="BR258" s="442">
        <v>0.48200000000000004</v>
      </c>
      <c r="BS258" s="442">
        <v>0.502</v>
      </c>
      <c r="BT258" s="442">
        <v>0.53199999999999992</v>
      </c>
      <c r="BU258" s="442">
        <v>0.52000000000000013</v>
      </c>
      <c r="BV258" s="442">
        <v>0.56400000000000006</v>
      </c>
      <c r="BW258" s="442">
        <v>0.48599999999999993</v>
      </c>
      <c r="BX258" s="442">
        <v>0.34666666666666662</v>
      </c>
      <c r="BY258" s="442">
        <v>0.35833333333333334</v>
      </c>
      <c r="BZ258" s="442">
        <v>0.375</v>
      </c>
      <c r="CA258" s="442">
        <v>0.33166666666666667</v>
      </c>
      <c r="CB258" s="442">
        <v>0.41000000000000009</v>
      </c>
      <c r="CC258" s="442">
        <v>0.38999999999999996</v>
      </c>
      <c r="CD258" s="442">
        <v>0.54</v>
      </c>
      <c r="CE258" s="442">
        <v>0.52</v>
      </c>
      <c r="CF258" s="442">
        <v>0.48</v>
      </c>
      <c r="CG258" s="442">
        <v>0.53</v>
      </c>
      <c r="CH258" s="442">
        <v>0.56000000000000005</v>
      </c>
      <c r="CI258" s="442">
        <v>0.48499999999999999</v>
      </c>
      <c r="CJ258" s="442">
        <v>0.47</v>
      </c>
      <c r="CK258" s="442">
        <v>0.52333333333333332</v>
      </c>
      <c r="CL258" s="442">
        <v>0.5</v>
      </c>
      <c r="CM258" s="442">
        <v>0.58333333333333337</v>
      </c>
      <c r="CN258" s="442">
        <v>0.56000000000000005</v>
      </c>
      <c r="CO258" s="442">
        <v>0.46333333333333332</v>
      </c>
    </row>
    <row r="259" spans="4:93" x14ac:dyDescent="0.25">
      <c r="D259" s="39" t="s">
        <v>250</v>
      </c>
      <c r="E259" s="65">
        <f>AVERAGEIF($C$36:$C$167,"=5",$K$36:$K$167)</f>
        <v>0.44117647058823528</v>
      </c>
      <c r="F259" s="65">
        <f>AVERAGEIF($C$36:$C$167,"=5",$J$36:$J$167)</f>
        <v>0.49294117647058816</v>
      </c>
      <c r="G259" s="65">
        <f>AVERAGEIF($C$36:$C$167,"=5",$L$36:$L$167)</f>
        <v>0.49882352941176472</v>
      </c>
      <c r="H259" s="65">
        <f>AVERAGEIF($C$36:$C$167,"=5",$T$36:$T$167)</f>
        <v>0.50352941176470589</v>
      </c>
      <c r="I259" s="65">
        <f>AVERAGEIF($C$36:$C$167,"=5",$S$36:$S$167)</f>
        <v>0.44058823529411761</v>
      </c>
      <c r="J259" s="65">
        <f>AVERAGEIF($C$36:$C$167,"=5",$U$36:$U$167)</f>
        <v>0.31882352941176478</v>
      </c>
      <c r="K259" s="65">
        <f>AVERAGEIF($C$36:$C$167,"=5",$AB$36:$AB$167)</f>
        <v>0.43999999999999995</v>
      </c>
      <c r="L259" s="65">
        <f>AVERAGEIF($C$36:$C$167,"=5",$AC$36:$AC$167)</f>
        <v>0.34823529411764703</v>
      </c>
      <c r="M259" s="65">
        <f>AVERAGEIF($C$36:$C$167,"=5",$AD$36:$AD$167)</f>
        <v>0.47882352941176465</v>
      </c>
      <c r="N259" s="65">
        <f>AVERAGEIF($C$36:$C$167,"=5",$AK$36:$AK$167)</f>
        <v>0.48222222222222222</v>
      </c>
      <c r="O259" s="65">
        <f>AVERAGEIF($C$36:$C$167,"=5",$AL$36:$AL$167)</f>
        <v>0.41555555555555557</v>
      </c>
      <c r="P259" s="65">
        <f>AVERAGEIF($C$36:$C$167,"=5",$AM$36:$AM$167)</f>
        <v>0.25000000000000006</v>
      </c>
      <c r="Q259" s="65">
        <f>AVERAGEIF($C$36:$C$167,"=5",$AT$36:$AT$167)</f>
        <v>0.22444444444444439</v>
      </c>
      <c r="R259" s="65">
        <f>AVERAGEIF($C$36:$C$167,"=5",$AV$36:$AV$167)</f>
        <v>0.44555555555555554</v>
      </c>
      <c r="S259" s="65">
        <f>AVERAGEIF($C$36:$C$167,"=5",$AU$36:$AU$167)</f>
        <v>0.45499999999999996</v>
      </c>
      <c r="T259" s="65">
        <f>AVERAGEIF($C$36:$C$167,"=5",$BE$36:$BE$167)</f>
        <v>0.24500000000000005</v>
      </c>
      <c r="U259" s="65">
        <f>AVERAGEIF($C$36:$C$167,"=5",$BF$36:$BF$167)</f>
        <v>0.47500000000000003</v>
      </c>
      <c r="V259" s="65">
        <f>AVERAGEIF($C$36:$C$167,"=5",$BG$36:$BG$167)</f>
        <v>0.42888888888888893</v>
      </c>
      <c r="BE259" s="434">
        <v>4</v>
      </c>
      <c r="BF259" s="442">
        <v>1.7500000000000002E-2</v>
      </c>
      <c r="BG259" s="442">
        <v>2.5000000000000001E-2</v>
      </c>
      <c r="BH259" s="442">
        <v>1.2500000000000001E-2</v>
      </c>
      <c r="BI259" s="442">
        <v>2.2499999999999999E-2</v>
      </c>
      <c r="BJ259" s="442">
        <v>0.03</v>
      </c>
      <c r="BK259" s="442">
        <v>1.4999999999999999E-2</v>
      </c>
      <c r="BL259" s="442">
        <v>2.5000000000000001E-2</v>
      </c>
      <c r="BM259" s="442">
        <v>0.02</v>
      </c>
      <c r="BN259" s="442">
        <v>2.5000000000000001E-2</v>
      </c>
      <c r="BO259" s="442">
        <v>0.03</v>
      </c>
      <c r="BP259" s="442">
        <v>2.5000000000000001E-2</v>
      </c>
      <c r="BQ259" s="442">
        <v>5.0000000000000001E-3</v>
      </c>
      <c r="BR259" s="442">
        <v>1.6E-2</v>
      </c>
      <c r="BS259" s="442">
        <v>6.0000000000000001E-3</v>
      </c>
      <c r="BT259" s="442">
        <v>8.0000000000000002E-3</v>
      </c>
      <c r="BU259" s="442">
        <v>0.01</v>
      </c>
      <c r="BV259" s="442">
        <v>1.9999999999999997E-2</v>
      </c>
      <c r="BW259" s="442">
        <v>1.2E-2</v>
      </c>
      <c r="BX259" s="442">
        <v>6.6666666666666671E-3</v>
      </c>
      <c r="BY259" s="442">
        <v>1.1666666666666667E-2</v>
      </c>
      <c r="BZ259" s="442">
        <v>8.3333333333333332E-3</v>
      </c>
      <c r="CA259" s="442">
        <v>6.6666666666666671E-3</v>
      </c>
      <c r="CB259" s="442">
        <v>3.3333333333333335E-3</v>
      </c>
      <c r="CC259" s="442">
        <v>3.3333333333333335E-3</v>
      </c>
      <c r="CD259" s="442">
        <v>1.4999999999999999E-2</v>
      </c>
      <c r="CE259" s="442">
        <v>0.02</v>
      </c>
      <c r="CF259" s="442">
        <v>1.4999999999999999E-2</v>
      </c>
      <c r="CG259" s="442">
        <v>2.5000000000000001E-2</v>
      </c>
      <c r="CH259" s="442">
        <v>1.4999999999999999E-2</v>
      </c>
      <c r="CI259" s="442">
        <v>2.5000000000000001E-2</v>
      </c>
      <c r="CJ259" s="442">
        <v>0.01</v>
      </c>
      <c r="CK259" s="442">
        <v>0.02</v>
      </c>
      <c r="CL259" s="442">
        <v>1.6666666666666666E-2</v>
      </c>
      <c r="CM259" s="442">
        <v>1.3333333333333334E-2</v>
      </c>
      <c r="CN259" s="442">
        <v>3.6666666666666667E-2</v>
      </c>
      <c r="CO259" s="442">
        <v>0.02</v>
      </c>
    </row>
    <row r="260" spans="4:93" x14ac:dyDescent="0.25">
      <c r="D260" s="39" t="s">
        <v>251</v>
      </c>
      <c r="E260" s="65">
        <f>AVERAGEIF($C$36:$C$167,"=6",$K$36:$K$167)</f>
        <v>0.4393333333333333</v>
      </c>
      <c r="F260" s="65">
        <f>AVERAGEIF($C$36:$C$167,"=6",$J$36:$J$167)</f>
        <v>0.52266666666666672</v>
      </c>
      <c r="G260" s="65">
        <f>AVERAGEIF($C$36:$C$167,"=6",$L$36:$L$167)</f>
        <v>0.52666666666666673</v>
      </c>
      <c r="H260" s="65">
        <f>AVERAGEIF($C$36:$C$167,"=6",$T$36:$T$167)</f>
        <v>0.56000000000000016</v>
      </c>
      <c r="I260" s="65">
        <f>AVERAGEIF($C$36:$C$167,"=6",$S$36:$S$167)</f>
        <v>0.4913333333333334</v>
      </c>
      <c r="J260" s="65">
        <f>AVERAGEIF($C$36:$C$167,"=6",$U$36:$U$167)</f>
        <v>0.36466666666666664</v>
      </c>
      <c r="K260" s="65">
        <f>AVERAGEIF($C$36:$C$167,"=6",$AB$36:$AB$167)</f>
        <v>0.49999999999999994</v>
      </c>
      <c r="L260" s="65">
        <f>AVERAGEIF($C$36:$C$167,"=6",$AC$36:$AC$167)</f>
        <v>0.36874999999999997</v>
      </c>
      <c r="M260" s="65">
        <f>AVERAGEIF($C$36:$C$167,"=6",$AD$36:$AD$167)</f>
        <v>0.51875000000000004</v>
      </c>
      <c r="N260" s="65">
        <f>AVERAGEIF($C$36:$C$167,"=6",$AK$36:$AK$167)</f>
        <v>0.52</v>
      </c>
      <c r="O260" s="65">
        <f>AVERAGEIF($C$36:$C$167,"=6",$AL$36:$AL$167)</f>
        <v>0.4535294117647059</v>
      </c>
      <c r="P260" s="65">
        <f>AVERAGEIF($C$36:$C$167,"=6",$AM$36:$AM$167)</f>
        <v>0.29411764705882359</v>
      </c>
      <c r="Q260" s="65">
        <f>AVERAGEIF($C$36:$C$167,"=6",$AT$36:$AT$167)</f>
        <v>0.29058823529411759</v>
      </c>
      <c r="R260" s="65">
        <f>AVERAGEIF($C$36:$C$167,"=6",$AV$36:$AV$167)</f>
        <v>0.50352941176470589</v>
      </c>
      <c r="S260" s="65">
        <f>AVERAGEIF($C$36:$C$167,"=6",$AU$36:$AU$167)</f>
        <v>0.51235294117647079</v>
      </c>
      <c r="T260" s="65">
        <f>AVERAGEIF($C$36:$C$167,"=6",$BE$36:$BE$167)</f>
        <v>0.26588235294117646</v>
      </c>
      <c r="U260" s="65">
        <f>AVERAGEIF($C$36:$C$167,"=6",$BF$36:$BF$167)</f>
        <v>0.52000000000000013</v>
      </c>
      <c r="V260" s="65">
        <f>AVERAGEIF($C$36:$C$167,"=6",$BG$36:$BG$167)</f>
        <v>0.4864705882352941</v>
      </c>
      <c r="BS260" s="442"/>
      <c r="BY260" s="442"/>
      <c r="CE260" s="442"/>
    </row>
    <row r="262" spans="4:93" x14ac:dyDescent="0.25">
      <c r="D262" s="429"/>
      <c r="E262" s="853">
        <v>2016</v>
      </c>
      <c r="F262" s="853"/>
      <c r="G262" s="853"/>
      <c r="H262" s="853"/>
      <c r="I262" s="853"/>
      <c r="J262" s="853"/>
      <c r="K262" s="853">
        <v>2017</v>
      </c>
      <c r="L262" s="853"/>
      <c r="M262" s="853"/>
      <c r="N262" s="853"/>
      <c r="O262" s="853"/>
      <c r="P262" s="853"/>
      <c r="Q262" s="853">
        <v>2018</v>
      </c>
      <c r="R262" s="853"/>
      <c r="S262" s="853"/>
      <c r="T262" s="853"/>
      <c r="U262" s="853"/>
      <c r="V262" s="853"/>
      <c r="W262" s="853">
        <v>2019</v>
      </c>
      <c r="X262" s="853"/>
      <c r="Y262" s="853"/>
      <c r="Z262" s="853"/>
      <c r="AA262" s="853"/>
      <c r="AB262" s="853"/>
      <c r="AC262" s="853">
        <v>2020</v>
      </c>
      <c r="AD262" s="853"/>
      <c r="AE262" s="853"/>
      <c r="AF262" s="853"/>
      <c r="AG262" s="853"/>
      <c r="AH262" s="853"/>
      <c r="AI262" s="853">
        <v>2021</v>
      </c>
      <c r="AJ262" s="853"/>
      <c r="AK262" s="853"/>
      <c r="AL262" s="853"/>
      <c r="AM262" s="853"/>
      <c r="AN262" s="853"/>
      <c r="BF262" s="434" t="s">
        <v>949</v>
      </c>
      <c r="BG262" s="434"/>
      <c r="BH262" s="434"/>
      <c r="BI262" s="434"/>
      <c r="BJ262" s="434"/>
      <c r="BK262" s="434"/>
      <c r="BL262" s="434"/>
      <c r="BM262" s="434"/>
      <c r="BN262" s="434"/>
      <c r="BO262" s="434"/>
      <c r="BP262" s="434"/>
      <c r="BQ262" s="434"/>
      <c r="BR262" s="434"/>
      <c r="BS262" s="434"/>
      <c r="BT262" s="434"/>
      <c r="BU262" s="434"/>
      <c r="BV262" s="434"/>
      <c r="BW262" s="434"/>
      <c r="BX262" s="434"/>
      <c r="BY262" s="434"/>
      <c r="BZ262" s="434"/>
      <c r="CA262" s="434"/>
      <c r="CB262" s="434"/>
      <c r="CC262" s="434"/>
      <c r="CD262" s="434"/>
      <c r="CE262" s="434"/>
      <c r="CF262" s="434"/>
      <c r="CG262" s="434"/>
      <c r="CH262" s="434"/>
      <c r="CI262" s="434"/>
      <c r="CJ262" s="434"/>
      <c r="CK262" s="434"/>
      <c r="CL262" s="434"/>
      <c r="CM262" s="434"/>
      <c r="CN262" s="434"/>
      <c r="CO262" s="434"/>
    </row>
    <row r="263" spans="4:93" x14ac:dyDescent="0.25">
      <c r="D263" s="429"/>
      <c r="E263" s="853" t="s">
        <v>254</v>
      </c>
      <c r="F263" s="853"/>
      <c r="G263" s="853"/>
      <c r="H263" s="853" t="s">
        <v>255</v>
      </c>
      <c r="I263" s="853"/>
      <c r="J263" s="853"/>
      <c r="K263" s="853" t="s">
        <v>254</v>
      </c>
      <c r="L263" s="853"/>
      <c r="M263" s="853"/>
      <c r="N263" s="853" t="s">
        <v>255</v>
      </c>
      <c r="O263" s="853"/>
      <c r="P263" s="853"/>
      <c r="Q263" s="853" t="s">
        <v>254</v>
      </c>
      <c r="R263" s="853"/>
      <c r="S263" s="853"/>
      <c r="T263" s="853" t="s">
        <v>255</v>
      </c>
      <c r="U263" s="853"/>
      <c r="V263" s="853"/>
      <c r="W263" s="853" t="s">
        <v>254</v>
      </c>
      <c r="X263" s="853"/>
      <c r="Y263" s="853"/>
      <c r="Z263" s="853" t="s">
        <v>255</v>
      </c>
      <c r="AA263" s="853"/>
      <c r="AB263" s="853"/>
      <c r="AC263" s="853" t="s">
        <v>254</v>
      </c>
      <c r="AD263" s="853"/>
      <c r="AE263" s="853"/>
      <c r="AF263" s="853" t="s">
        <v>255</v>
      </c>
      <c r="AG263" s="853"/>
      <c r="AH263" s="853"/>
      <c r="AI263" s="853" t="s">
        <v>254</v>
      </c>
      <c r="AJ263" s="853"/>
      <c r="AK263" s="853"/>
      <c r="AL263" s="853" t="s">
        <v>255</v>
      </c>
      <c r="AM263" s="853"/>
      <c r="AN263" s="853"/>
      <c r="BF263" s="434" t="s">
        <v>246</v>
      </c>
      <c r="BG263" s="434"/>
      <c r="BH263" s="434"/>
      <c r="BI263" s="434"/>
      <c r="BJ263" s="434"/>
      <c r="BK263" s="434"/>
      <c r="BL263" s="434" t="s">
        <v>247</v>
      </c>
      <c r="BM263" s="434"/>
      <c r="BN263" s="434"/>
      <c r="BO263" s="434"/>
      <c r="BP263" s="434"/>
      <c r="BQ263" s="434"/>
      <c r="BR263" s="434" t="s">
        <v>248</v>
      </c>
      <c r="BS263" s="434"/>
      <c r="BT263" s="434"/>
      <c r="BU263" s="434"/>
      <c r="BV263" s="434"/>
      <c r="BW263" s="434"/>
      <c r="BX263" s="434" t="s">
        <v>249</v>
      </c>
      <c r="BY263" s="434"/>
      <c r="BZ263" s="434"/>
      <c r="CA263" s="434"/>
      <c r="CB263" s="434"/>
      <c r="CC263" s="434"/>
      <c r="CD263" s="434" t="s">
        <v>250</v>
      </c>
      <c r="CE263" s="434"/>
      <c r="CF263" s="434"/>
      <c r="CG263" s="434"/>
      <c r="CH263" s="434"/>
      <c r="CI263" s="434"/>
      <c r="CJ263" s="434" t="s">
        <v>251</v>
      </c>
      <c r="CK263" s="434"/>
      <c r="CL263" s="434"/>
      <c r="CM263" s="434"/>
      <c r="CN263" s="434"/>
      <c r="CO263" s="434"/>
    </row>
    <row r="264" spans="4:93" x14ac:dyDescent="0.25">
      <c r="D264" s="429"/>
      <c r="E264" s="287" t="s">
        <v>946</v>
      </c>
      <c r="F264" s="287" t="s">
        <v>943</v>
      </c>
      <c r="G264" s="287" t="s">
        <v>947</v>
      </c>
      <c r="H264" s="287" t="s">
        <v>946</v>
      </c>
      <c r="I264" s="287" t="s">
        <v>943</v>
      </c>
      <c r="J264" s="287" t="s">
        <v>947</v>
      </c>
      <c r="K264" s="287" t="s">
        <v>947</v>
      </c>
      <c r="L264" s="287" t="s">
        <v>946</v>
      </c>
      <c r="M264" s="287" t="s">
        <v>943</v>
      </c>
      <c r="N264" s="287" t="s">
        <v>947</v>
      </c>
      <c r="O264" s="287" t="s">
        <v>946</v>
      </c>
      <c r="P264" s="287" t="s">
        <v>943</v>
      </c>
      <c r="Q264" s="287" t="s">
        <v>947</v>
      </c>
      <c r="R264" s="287" t="s">
        <v>943</v>
      </c>
      <c r="S264" s="287" t="s">
        <v>946</v>
      </c>
      <c r="T264" s="287" t="s">
        <v>947</v>
      </c>
      <c r="U264" s="287" t="s">
        <v>943</v>
      </c>
      <c r="V264" s="287" t="s">
        <v>946</v>
      </c>
      <c r="W264" s="287" t="s">
        <v>947</v>
      </c>
      <c r="X264" s="287" t="s">
        <v>946</v>
      </c>
      <c r="Y264" s="287" t="s">
        <v>943</v>
      </c>
      <c r="Z264" s="287" t="s">
        <v>947</v>
      </c>
      <c r="AA264" s="287" t="s">
        <v>946</v>
      </c>
      <c r="AB264" s="287" t="s">
        <v>943</v>
      </c>
      <c r="AC264" s="287" t="s">
        <v>943</v>
      </c>
      <c r="AD264" s="287" t="s">
        <v>946</v>
      </c>
      <c r="AE264" s="287" t="s">
        <v>947</v>
      </c>
      <c r="AF264" s="287" t="s">
        <v>943</v>
      </c>
      <c r="AG264" s="287" t="s">
        <v>946</v>
      </c>
      <c r="AH264" s="287" t="s">
        <v>947</v>
      </c>
      <c r="AI264" s="287" t="s">
        <v>943</v>
      </c>
      <c r="AJ264" s="287" t="s">
        <v>947</v>
      </c>
      <c r="AK264" s="287" t="s">
        <v>946</v>
      </c>
      <c r="AL264" s="287" t="s">
        <v>943</v>
      </c>
      <c r="AM264" s="287" t="s">
        <v>947</v>
      </c>
      <c r="AN264" s="287" t="s">
        <v>946</v>
      </c>
      <c r="BF264" s="434">
        <v>2016</v>
      </c>
      <c r="BG264" s="434">
        <v>2017</v>
      </c>
      <c r="BH264" s="434">
        <v>2018</v>
      </c>
      <c r="BI264" s="434">
        <v>2019</v>
      </c>
      <c r="BJ264" s="434">
        <v>2020</v>
      </c>
      <c r="BK264" s="434">
        <v>2021</v>
      </c>
      <c r="BL264" s="434">
        <v>2016</v>
      </c>
      <c r="BM264" s="434">
        <v>2017</v>
      </c>
      <c r="BN264" s="434">
        <v>2018</v>
      </c>
      <c r="BO264" s="434">
        <v>2019</v>
      </c>
      <c r="BP264" s="434">
        <v>2020</v>
      </c>
      <c r="BQ264" s="434">
        <v>2021</v>
      </c>
      <c r="BR264" s="434">
        <v>2016</v>
      </c>
      <c r="BS264" s="434">
        <v>2017</v>
      </c>
      <c r="BT264" s="434">
        <v>2018</v>
      </c>
      <c r="BU264" s="434">
        <v>2019</v>
      </c>
      <c r="BV264" s="434">
        <v>2020</v>
      </c>
      <c r="BW264" s="434">
        <v>2021</v>
      </c>
      <c r="BX264" s="434">
        <v>2016</v>
      </c>
      <c r="BY264" s="434">
        <v>2017</v>
      </c>
      <c r="BZ264" s="434">
        <v>2018</v>
      </c>
      <c r="CA264" s="434">
        <v>2019</v>
      </c>
      <c r="CB264" s="434">
        <v>2020</v>
      </c>
      <c r="CC264" s="434">
        <v>2021</v>
      </c>
      <c r="CD264" s="434">
        <v>2016</v>
      </c>
      <c r="CE264" s="434">
        <v>2017</v>
      </c>
      <c r="CF264" s="434">
        <v>2018</v>
      </c>
      <c r="CG264" s="434">
        <v>2019</v>
      </c>
      <c r="CH264" s="434">
        <v>2020</v>
      </c>
      <c r="CI264" s="434">
        <v>2021</v>
      </c>
      <c r="CJ264" s="434">
        <v>2016</v>
      </c>
      <c r="CK264" s="434">
        <v>2017</v>
      </c>
      <c r="CL264" s="434">
        <v>2018</v>
      </c>
      <c r="CM264" s="434">
        <v>2019</v>
      </c>
      <c r="CN264" s="434">
        <v>2020</v>
      </c>
      <c r="CO264" s="434">
        <v>2021</v>
      </c>
    </row>
    <row r="265" spans="4:93" x14ac:dyDescent="0.25">
      <c r="D265" s="39" t="s">
        <v>246</v>
      </c>
      <c r="E265" s="65">
        <f>AVERAGEIFS($K$36:$K$167,$C$36:$C$167,"=1", $B$36:$B$167,"OFICIAL")</f>
        <v>0.45749999999999996</v>
      </c>
      <c r="F265" s="65">
        <f>AVERAGEIFS($J$36:$J$167,$C$36:$C$167,"=1", $B$36:$B$167,"OFICIAL")</f>
        <v>0.53500000000000003</v>
      </c>
      <c r="G265" s="65">
        <f>AVERAGEIFS($L$36:$L$167,$C$36:$C$167,"=1", $B$36:$B$167,"OFICIAL")</f>
        <v>0.5475000000000001</v>
      </c>
      <c r="H265" s="65">
        <f>AVERAGEIFS($K$36:$K$167,$C$36:$C$167,"=1", $B$36:$B$167,"NO OFICIAL")</f>
        <v>0.45999999999999996</v>
      </c>
      <c r="I265" s="65">
        <f>AVERAGEIFS($J$36:$J$167,$C$36:$C$167,"=1", $B$36:$B$167,"NO OFICIAL")</f>
        <v>0.53153846153846152</v>
      </c>
      <c r="J265" s="65">
        <f>AVERAGEIFS($L$36:$L$167,$C$36:$C$167,"=1", $B$36:$B$167,"NO OFICIAL")</f>
        <v>0.53692307692307695</v>
      </c>
      <c r="K265" s="65">
        <f>AVERAGEIFS($T$36:$T$167,$C$36:$C$167,"=1", $B$36:$B$167,"OFICIAL")</f>
        <v>0.55499999999999994</v>
      </c>
      <c r="L265" s="65">
        <f>AVERAGEIFS($S$36:$S$167,$C$36:$C$167,"=1", $B$36:$B$167,"OFICIAL")</f>
        <v>0.47749999999999998</v>
      </c>
      <c r="M265" s="65">
        <f>AVERAGEIFS($U$36:$U$167,$C$36:$C$167,"=1", $B$36:$B$167,"OFICIAL")</f>
        <v>0.35500000000000004</v>
      </c>
      <c r="N265" s="65">
        <f>AVERAGEIFS($T$36:$T$167,$C$36:$C$167,"=1", $B$36:$B$167,"NO OFICIAL")</f>
        <v>0.56357142857142861</v>
      </c>
      <c r="O265" s="65">
        <f>AVERAGEIFS($S$36:$S$167,$C$36:$C$167,"=1", $B$36:$B$167,"NO OFICIAL")</f>
        <v>0.48571428571428577</v>
      </c>
      <c r="P265" s="65">
        <f>AVERAGEIFS($U$36:$U$167,$C$36:$C$167,"=1", $B$36:$B$167,"NO OFICIAL")</f>
        <v>0.36142857142857149</v>
      </c>
      <c r="Q265" s="65">
        <f>AVERAGEIFS($AB$36:$AB$167,$C$36:$C$167,"=1", $B$36:$B$167,"OFICIAL")</f>
        <v>0.49249999999999999</v>
      </c>
      <c r="R265" s="65">
        <f>AVERAGEIFS($AC$36:$AC$167,$C$36:$C$167,"=1", $B$36:$B$167,"OFICIAL")</f>
        <v>0.3775</v>
      </c>
      <c r="S265" s="65">
        <f>AVERAGEIFS($AD$36:$AD$167,$C$36:$C$167,"=1", $B$36:$B$167,"OFICIAL")</f>
        <v>0.53249999999999997</v>
      </c>
      <c r="T265" s="65">
        <f>AVERAGEIFS($AB$36:$AB$167,$C$36:$C$167,"=1", $B$36:$B$167,"NO OFICIAL")</f>
        <v>0.48428571428571437</v>
      </c>
      <c r="U265" s="65">
        <f>AVERAGEIFS($AC$36:$AC$167,$C$36:$C$167,"=1", $B$36:$B$167,"NO OFICIAL")</f>
        <v>0.36928571428571427</v>
      </c>
      <c r="V265" s="65">
        <f>AVERAGEIFS($AD$36:$AD$167,$C$36:$C$167,"=1", $B$36:$B$167,"NO OFICIAL")</f>
        <v>0.52214285714285713</v>
      </c>
      <c r="W265" s="65">
        <f>AVERAGEIFS($AK$36:$AK$167,$C$36:$C$167,"=1", $B$36:$B$167,"OFICIAL")</f>
        <v>0.53</v>
      </c>
      <c r="X265" s="65">
        <f>AVERAGEIFS($AL$36:$AL$167,$C$36:$C$167,"=1", $B$36:$B$167,"OFICIAL")</f>
        <v>0.45750000000000002</v>
      </c>
      <c r="Y265" s="65">
        <f>AVERAGEIFS($AM$36:$AM$167,$C$36:$C$167,"=1", $B$36:$B$167,"OFICIAL")</f>
        <v>0.28749999999999998</v>
      </c>
      <c r="Z265" s="65">
        <f>AVERAGEIFS($AK$36:$AK$167,$C$36:$C$167,"=1", $B$36:$B$167,"NO OFICIAL")</f>
        <v>0.51428571428571435</v>
      </c>
      <c r="AA265" s="65">
        <f>AVERAGEIFS($AL$36:$AL$167,$C$36:$C$167,"=1", $B$36:$B$167,"NO OFICIAL")</f>
        <v>0.46000000000000008</v>
      </c>
      <c r="AB265" s="65">
        <f t="shared" ref="AB265:AB270" si="114">AVERAGEIFS($AM$36:$AM$167,$C$36:$C$167,"=1", $B$36:$B$167,"NO OFICIAL")</f>
        <v>0.28071428571428569</v>
      </c>
      <c r="AC265" s="65">
        <f>AVERAGEIFS($AT$36:$AT$167,$C$36:$C$167,"=1", $B$36:$B$167,"OFICIAL")</f>
        <v>0.28250000000000003</v>
      </c>
      <c r="AD265" s="65">
        <f>AVERAGEIFS($AV$36:$AV$167,$C$36:$C$167,"=1", $B$36:$B$167,"OFICIAL")</f>
        <v>0.51250000000000007</v>
      </c>
      <c r="AE265" s="65">
        <f>AVERAGEIFS($AU$36:$AU$167,$C$36:$C$167,"=1", $B$36:$B$167,"OFICIAL")</f>
        <v>0.495</v>
      </c>
      <c r="AF265" s="65">
        <f>AVERAGEIFS($AT$36:$AT$167,$C$36:$C$167,"=1", $B$36:$B$167,"NO OFICIAL")</f>
        <v>0.26153846153846155</v>
      </c>
      <c r="AG265" s="65">
        <f>AVERAGEIFS($AV$36:$AV$167,$C$36:$C$167,"=1", $B$36:$B$167,"NO OFICIAL")</f>
        <v>0.4992307692307692</v>
      </c>
      <c r="AH265" s="65">
        <f>AVERAGEIFS($AU$36:$AU$167,$C$36:$C$167,"=1", $B$36:$B$167,"NO OFICIAL")</f>
        <v>0.4869230769230769</v>
      </c>
      <c r="AI265" s="65">
        <f>AVERAGEIFS($BE$36:$BE$167,$C$36:$C$167,"=1", $B$36:$B$167,"OFICIAL")</f>
        <v>0.29499999999999998</v>
      </c>
      <c r="AJ265" s="65">
        <f>AVERAGEIFS($BF$36:$BF$167,$C$36:$C$167,"=1", $B$36:$B$167,"OFICIAL")</f>
        <v>0.52</v>
      </c>
      <c r="AK265" s="65">
        <f>AVERAGEIFS($BG$36:$BG$167,$C$36:$C$167,"=1", $B$36:$B$167,"OFICIAL")</f>
        <v>0.48</v>
      </c>
      <c r="AL265" s="65">
        <f>AVERAGEIFS($BE$36:$BE$167,$C$36:$C$167,"=1", $B$36:$B$167,"NO OFICIAL")</f>
        <v>0.26769230769230767</v>
      </c>
      <c r="AM265" s="65">
        <f>AVERAGEIFS($BF$36:$BF$167,$C$36:$C$167,"=1", $B$36:$B$167,"NO OFICIAL")</f>
        <v>0.49384615384615399</v>
      </c>
      <c r="AN265" s="65">
        <f>AVERAGEIFS($BG$36:$BG$167,$C$36:$C$167,"=1", $B$36:$B$167,"NO OFICIAL")</f>
        <v>0.4530769230769231</v>
      </c>
      <c r="BE265" s="434">
        <v>1</v>
      </c>
      <c r="BF265" s="442">
        <v>5.5833333333333339E-2</v>
      </c>
      <c r="BG265" s="442">
        <v>5.0769230769230761E-2</v>
      </c>
      <c r="BH265" s="442">
        <v>4.9230769230769231E-2</v>
      </c>
      <c r="BI265" s="442">
        <v>3.3846153846153845E-2</v>
      </c>
      <c r="BJ265" s="442">
        <v>3.1538461538461543E-2</v>
      </c>
      <c r="BK265" s="442">
        <v>4.3076923076923082E-2</v>
      </c>
      <c r="BL265" s="442">
        <v>5.4000000000000006E-2</v>
      </c>
      <c r="BM265" s="442">
        <v>5.9374999999999997E-2</v>
      </c>
      <c r="BN265" s="442">
        <v>3.5625000000000004E-2</v>
      </c>
      <c r="BO265" s="442">
        <v>3.5294117647058823E-2</v>
      </c>
      <c r="BP265" s="442">
        <v>3.2222222222222215E-2</v>
      </c>
      <c r="BQ265" s="442">
        <v>6.1176470588235297E-2</v>
      </c>
      <c r="BR265" s="442">
        <v>3.3333333333333333E-2</v>
      </c>
      <c r="BS265" s="442">
        <v>2.6666666666666668E-2</v>
      </c>
      <c r="BT265" s="442">
        <v>3.3333333333333333E-2</v>
      </c>
      <c r="BU265" s="442">
        <v>3.3333333333333333E-2</v>
      </c>
      <c r="BV265" s="442">
        <v>1.2307692307692308E-2</v>
      </c>
      <c r="BW265" s="442">
        <v>2.8461538461538462E-2</v>
      </c>
      <c r="BX265" s="442">
        <v>0.155</v>
      </c>
      <c r="BY265" s="442">
        <v>7.1428571428571425E-2</v>
      </c>
      <c r="BZ265" s="442">
        <v>2.5714285714285714E-2</v>
      </c>
      <c r="CA265" s="442">
        <v>3.1666666666666669E-2</v>
      </c>
      <c r="CB265" s="442">
        <v>5.2000000000000005E-2</v>
      </c>
      <c r="CC265" s="442">
        <v>5.000000000000001E-2</v>
      </c>
      <c r="CD265" s="442">
        <v>2.1333333333333336E-2</v>
      </c>
      <c r="CE265" s="442">
        <v>3.7142857142857144E-2</v>
      </c>
      <c r="CF265" s="442">
        <v>1.7857142857142856E-2</v>
      </c>
      <c r="CG265" s="442">
        <v>1.4666666666666665E-2</v>
      </c>
      <c r="CH265" s="442">
        <v>1.8000000000000002E-2</v>
      </c>
      <c r="CI265" s="442">
        <v>2.2000000000000002E-2</v>
      </c>
      <c r="CJ265" s="442">
        <v>0.10083333333333333</v>
      </c>
      <c r="CK265" s="442">
        <v>8.9166666666666672E-2</v>
      </c>
      <c r="CL265" s="442">
        <v>2.4545454545454547E-2</v>
      </c>
      <c r="CM265" s="442">
        <v>3.0833333333333338E-2</v>
      </c>
      <c r="CN265" s="442">
        <v>3.0833333333333334E-2</v>
      </c>
      <c r="CO265" s="442">
        <v>2.5833333333333337E-2</v>
      </c>
    </row>
    <row r="266" spans="4:93" x14ac:dyDescent="0.25">
      <c r="D266" s="39" t="s">
        <v>247</v>
      </c>
      <c r="E266" s="65">
        <f>AVERAGEIFS($K$36:$K$167,$C$36:$C$167,"=2", $B$36:$B$167,"OFICIAL")</f>
        <v>0.48</v>
      </c>
      <c r="F266" s="65">
        <f>AVERAGEIFS($J$36:$J$167,$C$36:$C$167,"=2", $B$36:$B$167,"OFICIAL")</f>
        <v>0.54500000000000004</v>
      </c>
      <c r="G266" s="65">
        <f>AVERAGEIFS($L$36:$L$167,$C$36:$C$167,"=2", $B$36:$B$167,"OFICIAL")</f>
        <v>0.53</v>
      </c>
      <c r="H266" s="65">
        <f>AVERAGEIFS($K$36:$K$167,$C$36:$C$167,"=2", $B$36:$B$167,"NO OFICIAL")</f>
        <v>0.44611111111111118</v>
      </c>
      <c r="I266" s="65">
        <f>AVERAGEIFS($J$36:$J$167,$C$36:$C$167,"=2", $B$36:$B$167,"NO OFICIAL")</f>
        <v>0.52722222222222215</v>
      </c>
      <c r="J266" s="65">
        <f>AVERAGEIFS($L$36:$L$167,$C$36:$C$167,"=2", $B$36:$B$167,"NO OFICIAL")</f>
        <v>0.52555555555555555</v>
      </c>
      <c r="K266" s="65">
        <f>AVERAGEIFS($T$36:$T$167,$C$36:$C$167,"=2", $B$36:$B$167,"OFICIAL")</f>
        <v>0.55499999999999994</v>
      </c>
      <c r="L266" s="65">
        <f>AVERAGEIFS($S$36:$S$167,$C$36:$C$167,"=2", $B$36:$B$167,"OFICIAL")</f>
        <v>0.48</v>
      </c>
      <c r="M266" s="65">
        <f>AVERAGEIFS($U$36:$U$167,$C$36:$C$167,"=2", $B$36:$B$167,"OFICIAL")</f>
        <v>0.375</v>
      </c>
      <c r="N266" s="65">
        <f>AVERAGEIFS($T$36:$T$167,$C$36:$C$167,"=2", $B$36:$B$167,"NO OFICIAL")</f>
        <v>0.54176470588235293</v>
      </c>
      <c r="O266" s="65">
        <f>AVERAGEIFS($S$36:$S$167,$C$36:$C$167,"=2", $B$36:$B$167,"NO OFICIAL")</f>
        <v>0.46882352941176475</v>
      </c>
      <c r="P266" s="65">
        <f>AVERAGEIFS($U$36:$U$167,$C$36:$C$167,"=2", $B$36:$B$167,"NO OFICIAL")</f>
        <v>0.36411764705882355</v>
      </c>
      <c r="Q266" s="65">
        <f>AVERAGEIFS($AB$36:$AB$167,$C$36:$C$167,"=2", $B$36:$B$167,"OFICIAL")</f>
        <v>0.49</v>
      </c>
      <c r="R266" s="65">
        <f>AVERAGEIFS($AC$36:$AC$167,$C$36:$C$167,"=2", $B$36:$B$167,"OFICIAL")</f>
        <v>0.37</v>
      </c>
      <c r="S266" s="65">
        <f>AVERAGEIFS($AD$36:$AD$167,$C$36:$C$167,"=2", $B$36:$B$167,"OFICIAL")</f>
        <v>0.51</v>
      </c>
      <c r="T266" s="65">
        <f>AVERAGEIFS($AB$36:$AB$167,$C$36:$C$167,"=2", $B$36:$B$167,"NO OFICIAL")</f>
        <v>0.47000000000000003</v>
      </c>
      <c r="U266" s="65">
        <f>AVERAGEIFS($AC$36:$AC$167,$C$36:$C$167,"=2", $B$36:$B$167,"NO OFICIAL")</f>
        <v>0.37176470588235294</v>
      </c>
      <c r="V266" s="65">
        <f>AVERAGEIFS($AD$36:$AD$167,$C$36:$C$167,"=2", $B$36:$B$167,"NO OFICIAL")</f>
        <v>0.50352941176470589</v>
      </c>
      <c r="W266" s="65">
        <f>AVERAGEIFS($AK$36:$AK$167,$C$36:$C$167,"=2", $B$36:$B$167,"OFICIAL")</f>
        <v>0.53</v>
      </c>
      <c r="X266" s="65">
        <f>AVERAGEIFS($AL$36:$AL$167,$C$36:$C$167,"=2", $B$36:$B$167,"OFICIAL")</f>
        <v>0.47499999999999998</v>
      </c>
      <c r="Y266" s="65">
        <f>AVERAGEIFS($AM$36:$AM$167,$C$36:$C$167,"=2", $B$36:$B$167,"OFICIAL")</f>
        <v>0.3</v>
      </c>
      <c r="Z266" s="65">
        <f>AVERAGEIFS($AK$36:$AK$167,$C$36:$C$167,"=2", $B$36:$B$167,"NO OFICIAL")</f>
        <v>0.51666666666666672</v>
      </c>
      <c r="AA266" s="65">
        <f>AVERAGEIFS($AL$36:$AL$167,$C$36:$C$167,"=2", $B$36:$B$167,"NO OFICIAL")</f>
        <v>0.45444444444444443</v>
      </c>
      <c r="AB266" s="65">
        <f t="shared" si="114"/>
        <v>0.28071428571428569</v>
      </c>
      <c r="AC266" s="65">
        <f>AVERAGEIFS($AT$36:$AT$167,$C$36:$C$167,"=2", $B$36:$B$167,"OFICIAL")</f>
        <v>0.28500000000000003</v>
      </c>
      <c r="AD266" s="65">
        <f>AVERAGEIFS($AV$36:$AV$167,$C$36:$C$167,"=2", $B$36:$B$167,"OFICIAL")</f>
        <v>0.51</v>
      </c>
      <c r="AE266" s="65">
        <f>AVERAGEIFS($AU$36:$AU$167,$C$36:$C$167,"=2", $B$36:$B$167,"OFICIAL")</f>
        <v>0.51</v>
      </c>
      <c r="AF266" s="65">
        <f>AVERAGEIFS($AT$36:$AT$167,$C$36:$C$167,"=2", $B$36:$B$167,"NO OFICIAL")</f>
        <v>0.27590909090909094</v>
      </c>
      <c r="AG266" s="65">
        <f>AVERAGEIFS($AV$36:$AV$167,$C$36:$C$167,"=2", $B$36:$B$167,"NO OFICIAL")</f>
        <v>0.50818181818181829</v>
      </c>
      <c r="AH266" s="65">
        <f>AVERAGEIFS($AU$36:$AU$167,$C$36:$C$167,"=2", $B$36:$B$167,"NO OFICIAL")</f>
        <v>0.49772727272727263</v>
      </c>
      <c r="AI266" s="65">
        <f>AVERAGEIFS($BE$36:$BE$167,$C$36:$C$167,"=2", $B$36:$B$167,"OFICIAL")</f>
        <v>0.315</v>
      </c>
      <c r="AJ266" s="65">
        <f>AVERAGEIFS($BF$36:$BF$167,$C$36:$C$167,"=2", $B$36:$B$167,"OFICIAL")</f>
        <v>0.54</v>
      </c>
      <c r="AK266" s="65">
        <f>AVERAGEIFS($BG$36:$BG$167,$C$36:$C$167,"=2", $B$36:$B$167,"OFICIAL")</f>
        <v>0.5</v>
      </c>
      <c r="AL266" s="65">
        <f>AVERAGEIFS($BE$36:$BE$167,$C$36:$C$167,"=2", $B$36:$B$167,"NO OFICIAL")</f>
        <v>0.28299999999999997</v>
      </c>
      <c r="AM266" s="65">
        <f>AVERAGEIFS($BF$36:$BF$167,$C$36:$C$167,"=2", $B$36:$B$167,"NO OFICIAL")</f>
        <v>0.49900000000000011</v>
      </c>
      <c r="AN266" s="65">
        <f>AVERAGEIFS($BG$36:$BG$167,$C$36:$C$167,"=2", $B$36:$B$167,"NO OFICIAL")</f>
        <v>0.45949999999999996</v>
      </c>
      <c r="BE266" s="434">
        <v>2</v>
      </c>
      <c r="BF266" s="442">
        <v>0.39666666666666667</v>
      </c>
      <c r="BG266" s="442">
        <v>0.38923076923076927</v>
      </c>
      <c r="BH266" s="442">
        <v>0.38923076923076916</v>
      </c>
      <c r="BI266" s="442">
        <v>0.35461538461538467</v>
      </c>
      <c r="BJ266" s="442">
        <v>0.35923076923076924</v>
      </c>
      <c r="BK266" s="442">
        <v>0.35615384615384621</v>
      </c>
      <c r="BL266" s="442">
        <v>0.35533333333333333</v>
      </c>
      <c r="BM266" s="442">
        <v>0.33500000000000008</v>
      </c>
      <c r="BN266" s="442">
        <v>0.33750000000000002</v>
      </c>
      <c r="BO266" s="442">
        <v>0.30941176470588239</v>
      </c>
      <c r="BP266" s="442">
        <v>0.28611111111111115</v>
      </c>
      <c r="BQ266" s="442">
        <v>0.35352941176470598</v>
      </c>
      <c r="BR266" s="442">
        <v>0.33</v>
      </c>
      <c r="BS266" s="442">
        <v>0.36083333333333334</v>
      </c>
      <c r="BT266" s="442">
        <v>0.3241666666666666</v>
      </c>
      <c r="BU266" s="442">
        <v>0.32250000000000001</v>
      </c>
      <c r="BV266" s="442">
        <v>0.27615384615384614</v>
      </c>
      <c r="BW266" s="442">
        <v>0.29461538461538461</v>
      </c>
      <c r="BX266" s="442">
        <v>0.33833333333333332</v>
      </c>
      <c r="BY266" s="442">
        <v>0.35142857142857142</v>
      </c>
      <c r="BZ266" s="442">
        <v>0.30285714285714288</v>
      </c>
      <c r="CA266" s="442">
        <v>0.41166666666666663</v>
      </c>
      <c r="CB266" s="442">
        <v>0.39800000000000002</v>
      </c>
      <c r="CC266" s="442">
        <v>0.4366666666666667</v>
      </c>
      <c r="CD266" s="442">
        <v>0.29466666666666669</v>
      </c>
      <c r="CE266" s="442">
        <v>0.24642857142857147</v>
      </c>
      <c r="CF266" s="442">
        <v>0.29571428571428571</v>
      </c>
      <c r="CG266" s="442">
        <v>0.25266666666666665</v>
      </c>
      <c r="CH266" s="442">
        <v>0.22000000000000003</v>
      </c>
      <c r="CI266" s="442">
        <v>0.3126666666666667</v>
      </c>
      <c r="CJ266" s="442">
        <v>0.30499999999999999</v>
      </c>
      <c r="CK266" s="442">
        <v>0.3833333333333333</v>
      </c>
      <c r="CL266" s="442">
        <v>0.39909090909090905</v>
      </c>
      <c r="CM266" s="442">
        <v>0.34083333333333332</v>
      </c>
      <c r="CN266" s="442">
        <v>0.40833333333333338</v>
      </c>
      <c r="CO266" s="442">
        <v>0.41000000000000009</v>
      </c>
    </row>
    <row r="267" spans="4:93" x14ac:dyDescent="0.25">
      <c r="D267" s="39" t="s">
        <v>248</v>
      </c>
      <c r="E267" s="65">
        <f>AVERAGEIFS($K$36:$K$167,$C$36:$C$167,"=3", $B$36:$B$167,"OFICIAL")</f>
        <v>0.496</v>
      </c>
      <c r="F267" s="65">
        <f>AVERAGEIFS($J$36:$J$167,$C$36:$C$167,"=3", $B$36:$B$167,"OFICIAL")</f>
        <v>0.53800000000000003</v>
      </c>
      <c r="G267" s="65">
        <f>AVERAGEIFS($L$36:$L$167,$C$36:$C$167,"=3", $B$36:$B$167,"OFICIAL")</f>
        <v>0.56199999999999994</v>
      </c>
      <c r="H267" s="65">
        <f>AVERAGEIFS($K$36:$K$167,$C$36:$C$167,"=3", $B$36:$B$167,"NO OFICIAL")</f>
        <v>0.42692307692307696</v>
      </c>
      <c r="I267" s="65">
        <f>AVERAGEIFS($J$36:$J$167,$C$36:$C$167,"=3", $B$36:$B$167,"NO OFICIAL")</f>
        <v>0.50538461538461532</v>
      </c>
      <c r="J267" s="65">
        <f>AVERAGEIFS($L$36:$L$167,$C$36:$C$167,"=3", $B$36:$B$167,"NO OFICIAL")</f>
        <v>0.50076923076923074</v>
      </c>
      <c r="K267" s="65">
        <f>AVERAGEIFS($T$36:$T$167,$C$36:$C$167,"=3", $B$36:$B$167,"OFICIAL")</f>
        <v>0.58599999999999997</v>
      </c>
      <c r="L267" s="65">
        <f>AVERAGEIFS($S$36:$S$167,$C$36:$C$167,"=3", $B$36:$B$167,"OFICIAL")</f>
        <v>0.49199999999999999</v>
      </c>
      <c r="M267" s="65">
        <f>AVERAGEIFS($U$36:$U$167,$C$36:$C$167,"=3", $B$36:$B$167,"OFICIAL")</f>
        <v>0.38400000000000001</v>
      </c>
      <c r="N267" s="65">
        <f>AVERAGEIFS($T$36:$T$167,$C$36:$C$167,"=3", $B$36:$B$167,"NO OFICIAL")</f>
        <v>0.53230769230769237</v>
      </c>
      <c r="O267" s="65">
        <f>AVERAGEIFS($S$36:$S$167,$C$36:$C$167,"=3", $B$36:$B$167,"NO OFICIAL")</f>
        <v>0.45692307692307688</v>
      </c>
      <c r="P267" s="65">
        <f>AVERAGEIFS($U$36:$U$167,$C$36:$C$167,"=3", $B$36:$B$167,"NO OFICIAL")</f>
        <v>0.32307692307692309</v>
      </c>
      <c r="Q267" s="65">
        <f>AVERAGEIFS($AB$36:$AB$167,$C$36:$C$167,"=3", $B$36:$B$167,"OFICIAL")</f>
        <v>0.51</v>
      </c>
      <c r="R267" s="65">
        <f>AVERAGEIFS($AC$36:$AC$167,$C$36:$C$167,"=3", $B$36:$B$167,"OFICIAL")</f>
        <v>0.39200000000000002</v>
      </c>
      <c r="S267" s="65">
        <f>AVERAGEIFS($AD$36:$AD$167,$C$36:$C$167,"=3", $B$36:$B$167,"OFICIAL")</f>
        <v>0.52800000000000002</v>
      </c>
      <c r="T267" s="65">
        <f>AVERAGEIFS($AB$36:$AB$167,$C$36:$C$167,"=3", $B$36:$B$167,"NO OFICIAL")</f>
        <v>0.45769230769230762</v>
      </c>
      <c r="U267" s="65">
        <f>AVERAGEIFS($AC$36:$AC$167,$C$36:$C$167,"=3", $B$36:$B$167,"NO OFICIAL")</f>
        <v>0.35076923076923072</v>
      </c>
      <c r="V267" s="65">
        <f>AVERAGEIFS($AD$36:$AD$167,$C$36:$C$167,"=3", $B$36:$B$167,"NO OFICIAL")</f>
        <v>0.49076923076923074</v>
      </c>
      <c r="W267" s="65">
        <f>AVERAGEIFS($AK$36:$AK$167,$C$36:$C$167,"=3", $B$36:$B$167,"OFICIAL")</f>
        <v>0.55399999999999994</v>
      </c>
      <c r="X267" s="65">
        <f>AVERAGEIFS($AL$36:$AL$167,$C$36:$C$167,"=3", $B$36:$B$167,"OFICIAL")</f>
        <v>0.49000000000000005</v>
      </c>
      <c r="Y267" s="65">
        <f>AVERAGEIFS($AM$36:$AM$167,$C$36:$C$167,"=3", $B$36:$B$167,"OFICIAL")</f>
        <v>0.314</v>
      </c>
      <c r="Z267" s="65">
        <f>AVERAGEIFS($AK$36:$AK$167,$C$36:$C$167,"=3", $B$36:$B$167,"NO OFICIAL")</f>
        <v>0.50615384615384618</v>
      </c>
      <c r="AA267" s="65">
        <f>AVERAGEIFS($AL$36:$AL$167,$C$36:$C$167,"=3", $B$36:$B$167,"NO OFICIAL")</f>
        <v>0.44538461538461543</v>
      </c>
      <c r="AB267" s="65">
        <f t="shared" si="114"/>
        <v>0.28071428571428569</v>
      </c>
      <c r="AC267" s="65">
        <f>AVERAGEIFS($AT$36:$AT$167,$C$36:$C$167,"=3", $B$36:$B$167,"OFICIAL")</f>
        <v>0.28999999999999998</v>
      </c>
      <c r="AD267" s="65">
        <f>AVERAGEIFS($AV$36:$AV$167,$C$36:$C$167,"=3", $B$36:$B$167,"OFICIAL")</f>
        <v>0.51800000000000002</v>
      </c>
      <c r="AE267" s="65">
        <f>AVERAGEIFS($AU$36:$AU$167,$C$36:$C$167,"=3", $B$36:$B$167,"OFICIAL")</f>
        <v>0.51600000000000001</v>
      </c>
      <c r="AF267" s="65">
        <f>AVERAGEIFS($AT$36:$AT$167,$C$36:$C$167,"=3", $B$36:$B$167,"NO OFICIAL")</f>
        <v>0.252</v>
      </c>
      <c r="AG267" s="65">
        <f>AVERAGEIFS($AV$36:$AV$167,$C$36:$C$167,"=3", $B$36:$B$167,"NO OFICIAL")</f>
        <v>0.48800000000000004</v>
      </c>
      <c r="AH267" s="65">
        <f>AVERAGEIFS($AU$36:$AU$167,$C$36:$C$167,"=3", $B$36:$B$167,"NO OFICIAL")</f>
        <v>0.46</v>
      </c>
      <c r="AI267" s="65">
        <f>AVERAGEIFS($BE$36:$BE$167,$C$36:$C$167,"=3", $B$36:$B$167,"OFICIAL")</f>
        <v>0.30000000000000004</v>
      </c>
      <c r="AJ267" s="65">
        <f>AVERAGEIFS($BF$36:$BF$167,$C$36:$C$167,"=3", $B$36:$B$167,"OFICIAL")</f>
        <v>0.53600000000000003</v>
      </c>
      <c r="AK267" s="65">
        <f>AVERAGEIFS($BG$36:$BG$167,$C$36:$C$167,"=3", $B$36:$B$167,"OFICIAL")</f>
        <v>0.49800000000000005</v>
      </c>
      <c r="AL267" s="65">
        <f>AVERAGEIFS($BE$36:$BE$167,$C$36:$C$167,"=3", $B$36:$B$167,"NO OFICIAL")</f>
        <v>0.26599999999999996</v>
      </c>
      <c r="AM267" s="65">
        <f>AVERAGEIFS($BF$36:$BF$167,$C$36:$C$167,"=3", $B$36:$B$167,"NO OFICIAL")</f>
        <v>0.47733333333333333</v>
      </c>
      <c r="AN267" s="65">
        <f>AVERAGEIFS($BG$36:$BG$167,$C$36:$C$167,"=3", $B$36:$B$167,"NO OFICIAL")</f>
        <v>0.43600000000000005</v>
      </c>
      <c r="BE267" s="434">
        <v>3</v>
      </c>
      <c r="BF267" s="442">
        <v>0.53916666666666668</v>
      </c>
      <c r="BG267" s="442">
        <v>0.53307692307692311</v>
      </c>
      <c r="BH267" s="442">
        <v>0.52615384615384619</v>
      </c>
      <c r="BI267" s="442">
        <v>0.58615384615384625</v>
      </c>
      <c r="BJ267" s="442">
        <v>0.57692307692307687</v>
      </c>
      <c r="BK267" s="442">
        <v>0.57076923076923081</v>
      </c>
      <c r="BL267" s="442">
        <v>0.57133333333333336</v>
      </c>
      <c r="BM267" s="442">
        <v>0.55937499999999996</v>
      </c>
      <c r="BN267" s="442">
        <v>0.61312499999999992</v>
      </c>
      <c r="BO267" s="442">
        <v>0.6164705882352941</v>
      </c>
      <c r="BP267" s="442">
        <v>0.6399999999999999</v>
      </c>
      <c r="BQ267" s="442">
        <v>0.55588235294117638</v>
      </c>
      <c r="BR267" s="442">
        <v>0.60166666666666668</v>
      </c>
      <c r="BS267" s="442">
        <v>0.57416666666666671</v>
      </c>
      <c r="BT267" s="442">
        <v>0.59333333333333327</v>
      </c>
      <c r="BU267" s="442">
        <v>0.61249999999999993</v>
      </c>
      <c r="BV267" s="442">
        <v>0.67153846153846153</v>
      </c>
      <c r="BW267" s="442">
        <v>0.64076923076923076</v>
      </c>
      <c r="BX267" s="442">
        <v>0.505</v>
      </c>
      <c r="BY267" s="442">
        <v>0.56714285714285717</v>
      </c>
      <c r="BZ267" s="442">
        <v>0.66</v>
      </c>
      <c r="CA267" s="442">
        <v>0.52666666666666673</v>
      </c>
      <c r="CB267" s="442">
        <v>0.48799999999999999</v>
      </c>
      <c r="CC267" s="442">
        <v>0.49499999999999994</v>
      </c>
      <c r="CD267" s="442">
        <v>0.65800000000000003</v>
      </c>
      <c r="CE267" s="442">
        <v>0.66642857142857148</v>
      </c>
      <c r="CF267" s="442">
        <v>0.63357142857142856</v>
      </c>
      <c r="CG267" s="442">
        <v>0.68266666666666653</v>
      </c>
      <c r="CH267" s="442">
        <v>0.71533333333333338</v>
      </c>
      <c r="CI267" s="442">
        <v>0.6166666666666667</v>
      </c>
      <c r="CJ267" s="442">
        <v>0.58250000000000002</v>
      </c>
      <c r="CK267" s="442">
        <v>0.5083333333333333</v>
      </c>
      <c r="CL267" s="442">
        <v>0.56181818181818177</v>
      </c>
      <c r="CM267" s="442">
        <v>0.58416666666666661</v>
      </c>
      <c r="CN267" s="442">
        <v>0.52833333333333332</v>
      </c>
      <c r="CO267" s="442">
        <v>0.52500000000000002</v>
      </c>
    </row>
    <row r="268" spans="4:93" x14ac:dyDescent="0.25">
      <c r="D268" s="39" t="s">
        <v>249</v>
      </c>
      <c r="E268" s="65">
        <f>AVERAGEIFS($K$36:$K$167,$C$36:$C$167,"=4", $B$36:$B$167,"OFICIAL")</f>
        <v>0.5149999999999999</v>
      </c>
      <c r="F268" s="65">
        <f>AVERAGEIFS($J$36:$J$167,$C$36:$C$167,"=4", $B$36:$B$167,"OFICIAL")</f>
        <v>0.59666666666666668</v>
      </c>
      <c r="G268" s="65">
        <f>AVERAGEIFS($L$36:$L$167,$C$36:$C$167,"=4", $B$36:$B$167,"OFICIAL")</f>
        <v>0.60666666666666669</v>
      </c>
      <c r="H268" s="65">
        <f>AVERAGEIFS($K$36:$K$167,$C$36:$C$167,"=4", $B$36:$B$167,"NO OFICIAL")</f>
        <v>0.49625000000000002</v>
      </c>
      <c r="I268" s="65">
        <f>AVERAGEIFS($J$36:$J$167,$C$36:$C$167,"=4", $B$36:$B$167,"NO OFICIAL")</f>
        <v>0.55499999999999994</v>
      </c>
      <c r="J268" s="65">
        <f>AVERAGEIFS($L$36:$L$167,$C$36:$C$167,"=4", $B$36:$B$167,"NO OFICIAL")</f>
        <v>0.59125000000000005</v>
      </c>
      <c r="K268" s="65">
        <f>AVERAGEIFS($T$36:$T$167,$C$36:$C$167,"=4", $B$36:$B$167,"OFICIAL")</f>
        <v>0.61166666666666669</v>
      </c>
      <c r="L268" s="65">
        <f>AVERAGEIFS($S$36:$S$167,$C$36:$C$167,"=4", $B$36:$B$167,"OFICIAL")</f>
        <v>0.52666666666666673</v>
      </c>
      <c r="M268" s="65">
        <f>AVERAGEIFS($U$36:$U$167,$C$36:$C$167,"=4", $B$36:$B$167,"OFICIAL")</f>
        <v>0.43166666666666664</v>
      </c>
      <c r="N268" s="65">
        <f>AVERAGEIFS($T$36:$T$167,$C$36:$C$167,"=4", $B$36:$B$167,"NO OFICIAL")</f>
        <v>0.55500000000000005</v>
      </c>
      <c r="O268" s="65">
        <f>AVERAGEIFS($S$36:$S$167,$C$36:$C$167,"=4", $B$36:$B$167,"NO OFICIAL")</f>
        <v>0.49125000000000002</v>
      </c>
      <c r="P268" s="65">
        <f>AVERAGEIFS($U$36:$U$167,$C$36:$C$167,"=4", $B$36:$B$167,"NO OFICIAL")</f>
        <v>0.34250000000000003</v>
      </c>
      <c r="Q268" s="65">
        <f>AVERAGEIFS($AB$36:$AB$167,$C$36:$C$167,"=4", $B$36:$B$167,"OFICIAL")</f>
        <v>0.56166666666666665</v>
      </c>
      <c r="R268" s="65">
        <f>AVERAGEIFS($AC$36:$AC$167,$C$36:$C$167,"=4", $B$36:$B$167,"OFICIAL")</f>
        <v>0.44</v>
      </c>
      <c r="S268" s="65">
        <f>AVERAGEIFS($AD$36:$AD$167,$C$36:$C$167,"=4", $B$36:$B$167,"OFICIAL")</f>
        <v>0.58333333333333337</v>
      </c>
      <c r="T268" s="65">
        <f>AVERAGEIFS($AB$36:$AB$167,$C$36:$C$167,"=4", $B$36:$B$167,"NO OFICIAL")</f>
        <v>0.46500000000000002</v>
      </c>
      <c r="U268" s="65">
        <f>AVERAGEIFS($AC$36:$AC$167,$C$36:$C$167,"=4", $B$36:$B$167,"NO OFICIAL")</f>
        <v>0.38</v>
      </c>
      <c r="V268" s="65">
        <f>AVERAGEIFS($AD$36:$AD$167,$C$36:$C$167,"=4", $B$36:$B$167,"NO OFICIAL")</f>
        <v>0.50875000000000004</v>
      </c>
      <c r="W268" s="65">
        <f>AVERAGEIFS($AK$36:$AK$167,$C$36:$C$167,"=4", $B$36:$B$167,"OFICIAL")</f>
        <v>0.60666666666666669</v>
      </c>
      <c r="X268" s="65">
        <f>AVERAGEIFS($AL$36:$AL$167,$C$36:$C$167,"=4", $B$36:$B$167,"OFICIAL")</f>
        <v>0.54</v>
      </c>
      <c r="Y268" s="65">
        <f>AVERAGEIFS($AM$36:$AM$167,$C$36:$C$167,"=4", $B$36:$B$167,"OFICIAL")</f>
        <v>0.37666666666666665</v>
      </c>
      <c r="Z268" s="65">
        <f>AVERAGEIFS($AK$36:$AK$167,$C$36:$C$167,"=4", $B$36:$B$167,"NO OFICIAL")</f>
        <v>0.5485714285714286</v>
      </c>
      <c r="AA268" s="65">
        <f>AVERAGEIFS($AL$36:$AL$167,$C$36:$C$167,"=4", $B$36:$B$167,"NO OFICIAL")</f>
        <v>0.48714285714285716</v>
      </c>
      <c r="AB268" s="65">
        <f t="shared" si="114"/>
        <v>0.28071428571428569</v>
      </c>
      <c r="AC268" s="65">
        <f>AVERAGEIFS($AT$36:$AT$167,$C$36:$C$167,"=4", $B$36:$B$167,"OFICIAL")</f>
        <v>0.35833333333333334</v>
      </c>
      <c r="AD268" s="65">
        <f>AVERAGEIFS($AV$36:$AV$167,$C$36:$C$167,"=4", $B$36:$B$167,"OFICIAL")</f>
        <v>0.57333333333333336</v>
      </c>
      <c r="AE268" s="65">
        <f>AVERAGEIFS($AU$36:$AU$167,$C$36:$C$167,"=4", $B$36:$B$167,"OFICIAL")</f>
        <v>0.57666666666666666</v>
      </c>
      <c r="AF268" s="65">
        <f>AVERAGEIFS($AT$36:$AT$167,$C$36:$C$167,"=4", $B$36:$B$167,"NO OFICIAL")</f>
        <v>0.28285714285714286</v>
      </c>
      <c r="AG268" s="65">
        <f>AVERAGEIFS($AV$36:$AV$167,$C$36:$C$167,"=4", $B$36:$B$167,"NO OFICIAL")</f>
        <v>0.52714285714285714</v>
      </c>
      <c r="AH268" s="65">
        <f>AVERAGEIFS($AU$36:$AU$167,$C$36:$C$167,"=4", $B$36:$B$167,"NO OFICIAL")</f>
        <v>0.55285714285714282</v>
      </c>
      <c r="AI268" s="65">
        <f>AVERAGEIFS($BE$36:$BE$167,$C$36:$C$167,"=4", $B$36:$B$167,"OFICIAL")</f>
        <v>0.36000000000000004</v>
      </c>
      <c r="AJ268" s="65">
        <f>AVERAGEIFS($BF$36:$BF$167,$C$36:$C$167,"=4", $B$36:$B$167,"OFICIAL")</f>
        <v>0.57166666666666677</v>
      </c>
      <c r="AK268" s="65">
        <f>AVERAGEIFS($BG$36:$BG$167,$C$36:$C$167,"=4", $B$36:$B$167,"OFICIAL")</f>
        <v>0.53500000000000003</v>
      </c>
      <c r="AL268" s="65">
        <f>AVERAGEIFS($BE$36:$BE$167,$C$36:$C$167,"=4", $B$36:$B$167,"NO OFICIAL")</f>
        <v>0.35750000000000004</v>
      </c>
      <c r="AM268" s="65">
        <f>AVERAGEIFS($BF$36:$BF$167,$C$36:$C$167,"=4", $B$36:$B$167,"NO OFICIAL")</f>
        <v>0.51999999999999991</v>
      </c>
      <c r="AN268" s="65">
        <f>AVERAGEIFS($BG$36:$BG$167,$C$36:$C$167,"=4", $B$36:$B$167,"NO OFICIAL")</f>
        <v>0.50749999999999995</v>
      </c>
      <c r="BE268" s="434">
        <v>4</v>
      </c>
      <c r="BF268" s="442">
        <v>7.4999999999999997E-3</v>
      </c>
      <c r="BG268" s="442">
        <v>2.8461538461538465E-2</v>
      </c>
      <c r="BH268" s="442">
        <v>3.692307692307692E-2</v>
      </c>
      <c r="BI268" s="442">
        <v>2.6923076923076925E-2</v>
      </c>
      <c r="BJ268" s="442">
        <v>3.3846153846153845E-2</v>
      </c>
      <c r="BK268" s="442">
        <v>3.0769230769230774E-2</v>
      </c>
      <c r="BL268" s="442">
        <v>1.9333333333333334E-2</v>
      </c>
      <c r="BM268" s="442">
        <v>4.4375000000000005E-2</v>
      </c>
      <c r="BN268" s="442">
        <v>1.6250000000000001E-2</v>
      </c>
      <c r="BO268" s="442">
        <v>4.0000000000000008E-2</v>
      </c>
      <c r="BP268" s="442">
        <v>4.055555555555556E-2</v>
      </c>
      <c r="BQ268" s="442">
        <v>3.1176470588235295E-2</v>
      </c>
      <c r="BR268" s="442">
        <v>3.666666666666666E-2</v>
      </c>
      <c r="BS268" s="442">
        <v>3.7499999999999999E-2</v>
      </c>
      <c r="BT268" s="442">
        <v>4.9166666666666671E-2</v>
      </c>
      <c r="BU268" s="442">
        <v>3.5000000000000003E-2</v>
      </c>
      <c r="BV268" s="442">
        <v>3.9230769230769243E-2</v>
      </c>
      <c r="BW268" s="442">
        <v>3.692307692307692E-2</v>
      </c>
      <c r="BX268" s="442">
        <v>0</v>
      </c>
      <c r="BY268" s="442">
        <v>1.1428571428571429E-2</v>
      </c>
      <c r="BZ268" s="442">
        <v>1.1428571428571429E-2</v>
      </c>
      <c r="CA268" s="442">
        <v>0.03</v>
      </c>
      <c r="CB268" s="442">
        <v>6.2E-2</v>
      </c>
      <c r="CC268" s="442">
        <v>2.1666666666666667E-2</v>
      </c>
      <c r="CD268" s="442">
        <v>2.6000000000000002E-2</v>
      </c>
      <c r="CE268" s="442">
        <v>4.9285714285714301E-2</v>
      </c>
      <c r="CF268" s="442">
        <v>5.2857142857142859E-2</v>
      </c>
      <c r="CG268" s="442">
        <v>0.05</v>
      </c>
      <c r="CH268" s="442">
        <v>4.8000000000000008E-2</v>
      </c>
      <c r="CI268" s="442">
        <v>4.7333333333333345E-2</v>
      </c>
      <c r="CJ268" s="442">
        <v>1.0833333333333332E-2</v>
      </c>
      <c r="CK268" s="442">
        <v>0.02</v>
      </c>
      <c r="CL268" s="442">
        <v>1.5454545454545455E-2</v>
      </c>
      <c r="CM268" s="442">
        <v>4.3333333333333335E-2</v>
      </c>
      <c r="CN268" s="442">
        <v>3.2500000000000001E-2</v>
      </c>
      <c r="CO268" s="442">
        <v>3.8333333333333337E-2</v>
      </c>
    </row>
    <row r="269" spans="4:93" x14ac:dyDescent="0.25">
      <c r="D269" s="39" t="s">
        <v>250</v>
      </c>
      <c r="E269" s="65">
        <f>AVERAGEIFS($K$36:$K$167,$C$36:$C$167,"=5", $B$36:$B$167,"OFICIAL")</f>
        <v>0.48</v>
      </c>
      <c r="F269" s="65">
        <f>AVERAGEIFS($J$36:$J$167,$C$36:$C$167,"=5", $B$36:$B$167,"OFICIAL")</f>
        <v>0.53</v>
      </c>
      <c r="G269" s="65">
        <f>AVERAGEIFS($L$36:$L$167,$C$36:$C$167,"=5", $B$36:$B$167,"OFICIAL")</f>
        <v>0.52</v>
      </c>
      <c r="H269" s="65">
        <f>AVERAGEIFS($K$36:$K$167,$C$36:$C$167,"=5", $B$36:$B$167,"NO OFICIAL")</f>
        <v>0.436</v>
      </c>
      <c r="I269" s="65">
        <f>AVERAGEIFS($J$36:$J$167,$C$36:$C$167,"=5", $B$36:$B$167,"NO OFICIAL")</f>
        <v>0.48800000000000004</v>
      </c>
      <c r="J269" s="65">
        <f>AVERAGEIFS($L$36:$L$167,$C$36:$C$167,"=5", $B$36:$B$167,"NO OFICIAL")</f>
        <v>0.49599999999999994</v>
      </c>
      <c r="K269" s="65">
        <f>AVERAGEIFS($T$36:$T$167,$C$36:$C$167,"=5", $B$36:$B$167,"OFICIAL")</f>
        <v>0.56000000000000005</v>
      </c>
      <c r="L269" s="65">
        <f>AVERAGEIFS($S$36:$S$167,$C$36:$C$167,"=5", $B$36:$B$167,"OFICIAL")</f>
        <v>0.48</v>
      </c>
      <c r="M269" s="65">
        <f>AVERAGEIFS($U$36:$U$167,$C$36:$C$167,"=5", $B$36:$B$167,"OFICIAL")</f>
        <v>0.37</v>
      </c>
      <c r="N269" s="65">
        <f>AVERAGEIFS($T$36:$T$167,$C$36:$C$167,"=5", $B$36:$B$167,"NO OFICIAL")</f>
        <v>0.49600000000000005</v>
      </c>
      <c r="O269" s="65">
        <f>AVERAGEIFS($S$36:$S$167,$C$36:$C$167,"=5", $B$36:$B$167,"NO OFICIAL")</f>
        <v>0.43533333333333335</v>
      </c>
      <c r="P269" s="65">
        <f>AVERAGEIFS($U$36:$U$167,$C$36:$C$167,"=5", $B$36:$B$167,"NO OFICIAL")</f>
        <v>0.31200000000000006</v>
      </c>
      <c r="Q269" s="65">
        <f>AVERAGEIFS($AB$36:$AB$167,$C$36:$C$167,"=5", $B$36:$B$167,"OFICIAL")</f>
        <v>0.52500000000000002</v>
      </c>
      <c r="R269" s="65">
        <f>AVERAGEIFS($AC$36:$AC$167,$C$36:$C$167,"=5", $B$36:$B$167,"OFICIAL")</f>
        <v>0.39</v>
      </c>
      <c r="S269" s="65">
        <f>AVERAGEIFS($AD$36:$AD$167,$C$36:$C$167,"=5", $B$36:$B$167,"OFICIAL")</f>
        <v>0.53500000000000003</v>
      </c>
      <c r="T269" s="65">
        <f>AVERAGEIFS($AB$36:$AB$167,$C$36:$C$167,"=5", $B$36:$B$167,"NO OFICIAL")</f>
        <v>0.42866666666666664</v>
      </c>
      <c r="U269" s="65">
        <f>AVERAGEIFS($AC$36:$AC$167,$C$36:$C$167,"=5", $B$36:$B$167,"NO OFICIAL")</f>
        <v>0.34266666666666673</v>
      </c>
      <c r="V269" s="65">
        <f>AVERAGEIFS($AD$36:$AD$167,$C$36:$C$167,"=5", $B$36:$B$167,"NO OFICIAL")</f>
        <v>0.47133333333333344</v>
      </c>
      <c r="W269" s="65">
        <f>AVERAGEIFS($AK$36:$AK$167,$C$36:$C$167,"=5", $B$36:$B$167,"OFICIAL")</f>
        <v>0.54</v>
      </c>
      <c r="X269" s="65">
        <f>AVERAGEIFS($AL$36:$AL$167,$C$36:$C$167,"=5", $B$36:$B$167,"OFICIAL")</f>
        <v>0.48</v>
      </c>
      <c r="Y269" s="65">
        <f>AVERAGEIFS($AM$36:$AM$167,$C$36:$C$167,"=5", $B$36:$B$167,"OFICIAL")</f>
        <v>0.30000000000000004</v>
      </c>
      <c r="Z269" s="65">
        <f>AVERAGEIFS($AK$36:$AK$167,$C$36:$C$167,"=5", $B$36:$B$167,"NO OFICIAL")</f>
        <v>0.47500000000000003</v>
      </c>
      <c r="AA269" s="65">
        <f>AVERAGEIFS($AL$36:$AL$167,$C$36:$C$167,"=5", $B$36:$B$167,"NO OFICIAL")</f>
        <v>0.40749999999999997</v>
      </c>
      <c r="AB269" s="65">
        <f t="shared" si="114"/>
        <v>0.28071428571428569</v>
      </c>
      <c r="AC269" s="65">
        <f>AVERAGEIFS($AT$36:$AT$167,$C$36:$C$167,"=5", $B$36:$B$167,"OFICIAL")</f>
        <v>0.29000000000000004</v>
      </c>
      <c r="AD269" s="65">
        <f>AVERAGEIFS($AV$36:$AV$167,$C$36:$C$167,"=5", $B$36:$B$167,"OFICIAL")</f>
        <v>0.51500000000000001</v>
      </c>
      <c r="AE269" s="65">
        <f>AVERAGEIFS($AU$36:$AU$167,$C$36:$C$167,"=5", $B$36:$B$167,"OFICIAL")</f>
        <v>0.51500000000000001</v>
      </c>
      <c r="AF269" s="65">
        <f>AVERAGEIFS($AT$36:$AT$167,$C$36:$C$167,"=5", $B$36:$B$167,"NO OFICIAL")</f>
        <v>0.21625</v>
      </c>
      <c r="AG269" s="65">
        <f>AVERAGEIFS($AV$36:$AV$167,$C$36:$C$167,"=5", $B$36:$B$167,"NO OFICIAL")</f>
        <v>0.43687500000000001</v>
      </c>
      <c r="AH269" s="65">
        <f>AVERAGEIFS($AU$36:$AU$167,$C$36:$C$167,"=5", $B$36:$B$167,"NO OFICIAL")</f>
        <v>0.44750000000000001</v>
      </c>
      <c r="AI269" s="65">
        <f>AVERAGEIFS($BE$36:$BE$167,$C$36:$C$167,"=5", $B$36:$B$167,"OFICIAL")</f>
        <v>0.29500000000000004</v>
      </c>
      <c r="AJ269" s="65">
        <f>AVERAGEIFS($BF$36:$BF$167,$C$36:$C$167,"=5", $B$36:$B$167,"OFICIAL")</f>
        <v>0.52500000000000002</v>
      </c>
      <c r="AK269" s="65">
        <f>AVERAGEIFS($BG$36:$BG$167,$C$36:$C$167,"=5", $B$36:$B$167,"OFICIAL")</f>
        <v>0.49</v>
      </c>
      <c r="AL269" s="65">
        <f>AVERAGEIFS($BE$36:$BE$167,$C$36:$C$167,"=5", $B$36:$B$167,"NO OFICIAL")</f>
        <v>0.23875000000000005</v>
      </c>
      <c r="AM269" s="65">
        <f>AVERAGEIFS($BF$36:$BF$167,$C$36:$C$167,"=5", $B$36:$B$167,"NO OFICIAL")</f>
        <v>0.46875</v>
      </c>
      <c r="AN269" s="65">
        <f>AVERAGEIFS($BG$36:$BG$167,$C$36:$C$167,"=5", $B$36:$B$167,"NO OFICIAL")</f>
        <v>0.42125000000000001</v>
      </c>
    </row>
    <row r="270" spans="4:93" x14ac:dyDescent="0.25">
      <c r="D270" s="39" t="s">
        <v>251</v>
      </c>
      <c r="E270" s="65">
        <f>AVERAGEIFS($K$36:$K$167,$C$36:$C$167,"=6", $B$36:$B$167,"OFICIAL")</f>
        <v>0.45666666666666672</v>
      </c>
      <c r="F270" s="65">
        <f>AVERAGEIFS($J$36:$J$167,$C$36:$C$167,"=6", $B$36:$B$167,"OFICIAL")</f>
        <v>0.52666666666666673</v>
      </c>
      <c r="G270" s="65">
        <f>AVERAGEIFS($L$36:$L$167,$C$36:$C$167,"=6", $B$36:$B$167,"OFICIAL")</f>
        <v>0.54333333333333333</v>
      </c>
      <c r="H270" s="65">
        <f>AVERAGEIFS($K$36:$K$167,$C$36:$C$167,"=6", $B$36:$B$167,"NO OFICIAL")</f>
        <v>0.435</v>
      </c>
      <c r="I270" s="65">
        <f>AVERAGEIFS($J$36:$J$167,$C$36:$C$167,"=6", $B$36:$B$167,"NO OFICIAL")</f>
        <v>0.52166666666666661</v>
      </c>
      <c r="J270" s="65">
        <f>AVERAGEIFS($L$36:$L$167,$C$36:$C$167,"=6", $B$36:$B$167,"NO OFICIAL")</f>
        <v>0.52249999999999996</v>
      </c>
      <c r="K270" s="65">
        <f>AVERAGEIFS($T$36:$T$167,$C$36:$C$167,"=6", $B$36:$B$167,"OFICIAL")</f>
        <v>0.56333333333333335</v>
      </c>
      <c r="L270" s="65">
        <f>AVERAGEIFS($S$36:$S$167,$C$36:$C$167,"=6", $B$36:$B$167,"OFICIAL")</f>
        <v>0.49</v>
      </c>
      <c r="M270" s="65">
        <f>AVERAGEIFS($U$36:$U$167,$C$36:$C$167,"=6", $B$36:$B$167,"OFICIAL")</f>
        <v>0.35333333333333333</v>
      </c>
      <c r="N270" s="65">
        <f>AVERAGEIFS($T$36:$T$167,$C$36:$C$167,"=6", $B$36:$B$167,"NO OFICIAL")</f>
        <v>0.5591666666666667</v>
      </c>
      <c r="O270" s="65">
        <f>AVERAGEIFS($S$36:$S$167,$C$36:$C$167,"=6", $B$36:$B$167,"NO OFICIAL")</f>
        <v>0.4916666666666667</v>
      </c>
      <c r="P270" s="65">
        <f>AVERAGEIFS($U$36:$U$167,$C$36:$C$167,"=6", $B$36:$B$167,"NO OFICIAL")</f>
        <v>0.36749999999999994</v>
      </c>
      <c r="Q270" s="65">
        <f>AVERAGEIFS($AB$36:$AB$167,$C$36:$C$167,"=6", $B$36:$B$167,"OFICIAL")</f>
        <v>0.5033333333333333</v>
      </c>
      <c r="R270" s="65">
        <f>AVERAGEIFS($AC$36:$AC$167,$C$36:$C$167,"=6", $B$36:$B$167,"OFICIAL")</f>
        <v>0.38333333333333336</v>
      </c>
      <c r="S270" s="65">
        <f>AVERAGEIFS($AD$36:$AD$167,$C$36:$C$167,"=6", $B$36:$B$167,"OFICIAL")</f>
        <v>0.53666666666666663</v>
      </c>
      <c r="T270" s="65">
        <f>AVERAGEIFS($AB$36:$AB$167,$C$36:$C$167,"=6", $B$36:$B$167,"NO OFICIAL")</f>
        <v>0.4992307692307692</v>
      </c>
      <c r="U270" s="65">
        <f>AVERAGEIFS($AC$36:$AC$167,$C$36:$C$167,"=6", $B$36:$B$167,"NO OFICIAL")</f>
        <v>0.36538461538461536</v>
      </c>
      <c r="V270" s="65">
        <f>AVERAGEIFS($AD$36:$AD$167,$C$36:$C$167,"=6", $B$36:$B$167,"NO OFICIAL")</f>
        <v>0.5146153846153847</v>
      </c>
      <c r="W270" s="65">
        <f>AVERAGEIFS($AK$36:$AK$167,$C$36:$C$167,"=6", $B$36:$B$167,"OFICIAL")</f>
        <v>0.53666666666666674</v>
      </c>
      <c r="X270" s="65">
        <f>AVERAGEIFS($AL$36:$AL$167,$C$36:$C$167,"=6", $B$36:$B$167,"OFICIAL")</f>
        <v>0.47333333333333333</v>
      </c>
      <c r="Y270" s="65">
        <f>AVERAGEIFS($AM$36:$AM$167,$C$36:$C$167,"=6", $B$36:$B$167,"OFICIAL")</f>
        <v>0.30333333333333329</v>
      </c>
      <c r="Z270" s="65">
        <f>AVERAGEIFS($AK$36:$AK$167,$C$36:$C$167,"=6", $B$36:$B$167,"NO OFICIAL")</f>
        <v>0.51642857142857157</v>
      </c>
      <c r="AA270" s="65">
        <f>AVERAGEIFS($AL$36:$AL$167,$C$36:$C$167,"=6", $B$36:$B$167,"NO OFICIAL")</f>
        <v>0.44928571428571434</v>
      </c>
      <c r="AB270" s="65">
        <f t="shared" si="114"/>
        <v>0.28071428571428569</v>
      </c>
      <c r="AC270" s="65">
        <f>AVERAGEIFS($AT$36:$AT$167,$C$36:$C$167,"=6", $B$36:$B$167,"OFICIAL")</f>
        <v>0.26666666666666666</v>
      </c>
      <c r="AD270" s="65">
        <f>AVERAGEIFS($AV$36:$AV$167,$C$36:$C$167,"=6", $B$36:$B$167,"OFICIAL")</f>
        <v>0.51333333333333331</v>
      </c>
      <c r="AE270" s="65">
        <f>AVERAGEIFS($AU$36:$AU$167,$C$36:$C$167,"=6", $B$36:$B$167,"OFICIAL")</f>
        <v>0.5033333333333333</v>
      </c>
      <c r="AF270" s="65">
        <f>AVERAGEIFS($AT$36:$AT$167,$C$36:$C$167,"=6", $B$36:$B$167,"NO OFICIAL")</f>
        <v>0.29571428571428571</v>
      </c>
      <c r="AG270" s="65">
        <f>AVERAGEIFS($AV$36:$AV$167,$C$36:$C$167,"=6", $B$36:$B$167,"NO OFICIAL")</f>
        <v>0.50142857142857145</v>
      </c>
      <c r="AH270" s="65">
        <f>AVERAGEIFS($AU$36:$AU$167,$C$36:$C$167,"=6", $B$36:$B$167,"NO OFICIAL")</f>
        <v>0.51428571428571435</v>
      </c>
      <c r="AI270" s="65">
        <f>AVERAGEIFS($BE$36:$BE$167,$C$36:$C$167,"=6", $B$36:$B$167,"OFICIAL")</f>
        <v>0.31666666666666665</v>
      </c>
      <c r="AJ270" s="65">
        <f>AVERAGEIFS($BF$36:$BF$167,$C$36:$C$167,"=6", $B$36:$B$167,"OFICIAL")</f>
        <v>0.53333333333333333</v>
      </c>
      <c r="AK270" s="65">
        <f>AVERAGEIFS($BG$36:$BG$167,$C$36:$C$167,"=6", $B$36:$B$167,"OFICIAL")</f>
        <v>0.5033333333333333</v>
      </c>
      <c r="AL270" s="65">
        <f>AVERAGEIFS($BE$36:$BE$167,$C$36:$C$167,"=6", $B$36:$B$167,"NO OFICIAL")</f>
        <v>0.255</v>
      </c>
      <c r="AM270" s="65">
        <f>AVERAGEIFS($BF$36:$BF$167,$C$36:$C$167,"=6", $B$36:$B$167,"NO OFICIAL")</f>
        <v>0.51714285714285713</v>
      </c>
      <c r="AN270" s="65">
        <f>AVERAGEIFS($BG$36:$BG$167,$C$36:$C$167,"=6", $B$36:$B$167,"NO OFICIAL")</f>
        <v>0.48285714285714276</v>
      </c>
    </row>
  </sheetData>
  <sheetProtection algorithmName="SHA-512" hashValue="ayHMBH6HEAb8sfoQVwc2tVBbBKQMd/C/mMqC5UawEXB9DMc009N5XOfJZVowx2Y0PJT5g5C4UkuA26IXn642Bg==" saltValue="q++tdx11pjmgm7gqlTPlzA==" spinCount="100000" sheet="1" objects="1" scenarios="1"/>
  <sortState ref="A37:AV167">
    <sortCondition ref="A37:A167"/>
  </sortState>
  <mergeCells count="143">
    <mergeCell ref="AW7:BG7"/>
    <mergeCell ref="AW8:AW9"/>
    <mergeCell ref="AY8:AY9"/>
    <mergeCell ref="AX8:AX9"/>
    <mergeCell ref="AZ8:AZ9"/>
    <mergeCell ref="AE7:AM7"/>
    <mergeCell ref="BS7:CC7"/>
    <mergeCell ref="BS8:BS9"/>
    <mergeCell ref="BT8:BT9"/>
    <mergeCell ref="BU8:BU9"/>
    <mergeCell ref="BV8:BV9"/>
    <mergeCell ref="BH7:BR7"/>
    <mergeCell ref="BH8:BH9"/>
    <mergeCell ref="BI8:BI9"/>
    <mergeCell ref="BJ8:BJ9"/>
    <mergeCell ref="BK8:BK9"/>
    <mergeCell ref="D173:D174"/>
    <mergeCell ref="O173:P173"/>
    <mergeCell ref="T218:U218"/>
    <mergeCell ref="V218:W218"/>
    <mergeCell ref="X218:Y218"/>
    <mergeCell ref="Z218:AA218"/>
    <mergeCell ref="AB218:AC218"/>
    <mergeCell ref="S211:AM211"/>
    <mergeCell ref="T212:W212"/>
    <mergeCell ref="X212:AA212"/>
    <mergeCell ref="AB212:AE212"/>
    <mergeCell ref="AF212:AI212"/>
    <mergeCell ref="AJ212:AM212"/>
    <mergeCell ref="W185:X185"/>
    <mergeCell ref="E173:F173"/>
    <mergeCell ref="G173:H173"/>
    <mergeCell ref="I173:J173"/>
    <mergeCell ref="K173:L173"/>
    <mergeCell ref="S173:T173"/>
    <mergeCell ref="AC184:AF184"/>
    <mergeCell ref="AC185:AD185"/>
    <mergeCell ref="AE185:AF185"/>
    <mergeCell ref="AG184:AJ184"/>
    <mergeCell ref="AG185:AH185"/>
    <mergeCell ref="AN7:AV7"/>
    <mergeCell ref="V8:V9"/>
    <mergeCell ref="W8:W9"/>
    <mergeCell ref="AE8:AE9"/>
    <mergeCell ref="A1:N1"/>
    <mergeCell ref="A3:N3"/>
    <mergeCell ref="D7:L7"/>
    <mergeCell ref="D8:D9"/>
    <mergeCell ref="E8:E9"/>
    <mergeCell ref="M8:M9"/>
    <mergeCell ref="N8:N9"/>
    <mergeCell ref="M7:U7"/>
    <mergeCell ref="A7:A9"/>
    <mergeCell ref="B7:B9"/>
    <mergeCell ref="A4:N4"/>
    <mergeCell ref="F8:I8"/>
    <mergeCell ref="J8:L8"/>
    <mergeCell ref="O8:R8"/>
    <mergeCell ref="S8:U8"/>
    <mergeCell ref="C7:C9"/>
    <mergeCell ref="AF8:AF9"/>
    <mergeCell ref="AN8:AN9"/>
    <mergeCell ref="AO8:AO9"/>
    <mergeCell ref="V7:AD7"/>
    <mergeCell ref="AG8:AJ8"/>
    <mergeCell ref="AK8:AM8"/>
    <mergeCell ref="X8:AA8"/>
    <mergeCell ref="AB8:AD8"/>
    <mergeCell ref="V172:AB172"/>
    <mergeCell ref="D172:P172"/>
    <mergeCell ref="E195:J195"/>
    <mergeCell ref="R195:W195"/>
    <mergeCell ref="E185:F185"/>
    <mergeCell ref="G185:H185"/>
    <mergeCell ref="E184:H184"/>
    <mergeCell ref="I184:L184"/>
    <mergeCell ref="I185:J185"/>
    <mergeCell ref="K185:L185"/>
    <mergeCell ref="O185:P185"/>
    <mergeCell ref="Q185:R185"/>
    <mergeCell ref="S185:T185"/>
    <mergeCell ref="M184:P184"/>
    <mergeCell ref="Q184:T184"/>
    <mergeCell ref="M173:N173"/>
    <mergeCell ref="M185:N185"/>
    <mergeCell ref="U184:X184"/>
    <mergeCell ref="U185:V185"/>
    <mergeCell ref="Q173:R173"/>
    <mergeCell ref="Y231:AB231"/>
    <mergeCell ref="E241:L241"/>
    <mergeCell ref="M241:T241"/>
    <mergeCell ref="U241:AB241"/>
    <mergeCell ref="AC241:AJ241"/>
    <mergeCell ref="AK241:AR241"/>
    <mergeCell ref="AS241:AZ241"/>
    <mergeCell ref="Y184:AB184"/>
    <mergeCell ref="Y185:Z185"/>
    <mergeCell ref="AA185:AB185"/>
    <mergeCell ref="E231:H231"/>
    <mergeCell ref="I231:L231"/>
    <mergeCell ref="M231:P231"/>
    <mergeCell ref="Q231:T231"/>
    <mergeCell ref="U231:X231"/>
    <mergeCell ref="AN212:AQ212"/>
    <mergeCell ref="AR212:AU212"/>
    <mergeCell ref="AI185:AJ185"/>
    <mergeCell ref="AV212:AY212"/>
    <mergeCell ref="AS242:AV242"/>
    <mergeCell ref="AW242:AZ242"/>
    <mergeCell ref="E253:G253"/>
    <mergeCell ref="H253:J253"/>
    <mergeCell ref="K253:M253"/>
    <mergeCell ref="N253:P253"/>
    <mergeCell ref="Q253:S253"/>
    <mergeCell ref="T253:V253"/>
    <mergeCell ref="Y242:AB242"/>
    <mergeCell ref="AC242:AF242"/>
    <mergeCell ref="AG242:AJ242"/>
    <mergeCell ref="AK242:AN242"/>
    <mergeCell ref="AO242:AR242"/>
    <mergeCell ref="E242:H242"/>
    <mergeCell ref="I242:L242"/>
    <mergeCell ref="M242:P242"/>
    <mergeCell ref="Q242:T242"/>
    <mergeCell ref="U242:X242"/>
    <mergeCell ref="AI262:AN262"/>
    <mergeCell ref="E263:G263"/>
    <mergeCell ref="H263:J263"/>
    <mergeCell ref="K263:M263"/>
    <mergeCell ref="N263:P263"/>
    <mergeCell ref="Q263:S263"/>
    <mergeCell ref="T263:V263"/>
    <mergeCell ref="W263:Y263"/>
    <mergeCell ref="Z263:AB263"/>
    <mergeCell ref="AC263:AE263"/>
    <mergeCell ref="AF263:AH263"/>
    <mergeCell ref="AI263:AK263"/>
    <mergeCell ref="AL263:AN263"/>
    <mergeCell ref="E262:J262"/>
    <mergeCell ref="K262:P262"/>
    <mergeCell ref="Q262:V262"/>
    <mergeCell ref="W262:AB262"/>
    <mergeCell ref="AC262:AH262"/>
  </mergeCells>
  <pageMargins left="0.75" right="0.75" top="1" bottom="1" header="0.5" footer="0.5"/>
  <pageSetup orientation="portrait" horizontalDpi="300" verticalDpi="300" r:id="rId1"/>
  <headerFooter alignWithMargins="0"/>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8"/>
  <dimension ref="A1:DI278"/>
  <sheetViews>
    <sheetView topLeftCell="A4" zoomScale="49" zoomScaleNormal="49" workbookViewId="0">
      <pane xSplit="1" ySplit="8" topLeftCell="S186" activePane="bottomRight" state="frozen"/>
      <selection activeCell="AW12" sqref="AW12"/>
      <selection pane="topRight" activeCell="AW12" sqref="AW12"/>
      <selection pane="bottomLeft" activeCell="AW12" sqref="AW12"/>
      <selection pane="bottomRight" activeCell="T218" sqref="T218"/>
    </sheetView>
  </sheetViews>
  <sheetFormatPr baseColWidth="10" defaultColWidth="9.109375" defaultRowHeight="13.2" x14ac:dyDescent="0.25"/>
  <cols>
    <col min="1" max="1" width="42.88671875" customWidth="1"/>
    <col min="2" max="2" width="12.5546875" customWidth="1"/>
    <col min="3" max="3" width="10" customWidth="1"/>
    <col min="4" max="4" width="11.44140625" customWidth="1"/>
    <col min="5" max="5" width="14.33203125" customWidth="1"/>
    <col min="6" max="15" width="14.33203125" style="53" customWidth="1"/>
    <col min="16" max="16" width="12" customWidth="1"/>
    <col min="17" max="17" width="12.5546875" customWidth="1"/>
    <col min="18" max="21" width="12.5546875" style="53" customWidth="1"/>
    <col min="22" max="22" width="13" style="53" customWidth="1"/>
    <col min="23" max="23" width="13.109375" style="53" customWidth="1"/>
    <col min="24" max="24" width="12.5546875" style="53" customWidth="1"/>
    <col min="25" max="25" width="14.88671875" style="53" customWidth="1"/>
    <col min="26" max="26" width="14" style="53" customWidth="1"/>
    <col min="27" max="27" width="13.6640625" style="53" customWidth="1"/>
    <col min="28" max="28" width="10.6640625" customWidth="1"/>
    <col min="29" max="29" width="14" customWidth="1"/>
    <col min="30" max="39" width="14" style="53" customWidth="1"/>
    <col min="40" max="40" width="10.5546875" customWidth="1"/>
    <col min="41" max="41" width="11.6640625" customWidth="1"/>
    <col min="42" max="46" width="11.6640625" style="53" customWidth="1"/>
    <col min="47" max="47" width="13.5546875" style="53" customWidth="1"/>
    <col min="48" max="48" width="14.44140625" style="53" customWidth="1"/>
    <col min="49" max="49" width="13.109375" style="53" customWidth="1"/>
    <col min="50" max="51" width="13.6640625" style="53" customWidth="1"/>
    <col min="52" max="52" width="11" customWidth="1"/>
    <col min="53" max="53" width="12" customWidth="1"/>
    <col min="54" max="54" width="10.44140625" customWidth="1"/>
    <col min="55" max="55" width="12.109375" customWidth="1"/>
    <col min="56" max="56" width="10.44140625" customWidth="1"/>
    <col min="57" max="57" width="11.6640625" customWidth="1"/>
    <col min="58" max="58" width="12.88671875" customWidth="1"/>
    <col min="59" max="59" width="14.109375" customWidth="1"/>
    <col min="60" max="61" width="13.33203125" customWidth="1"/>
    <col min="62" max="62" width="12.88671875" customWidth="1"/>
    <col min="63" max="63" width="13.88671875" customWidth="1"/>
    <col min="64" max="64" width="11.6640625" customWidth="1"/>
    <col min="65" max="65" width="13.33203125" style="336" customWidth="1"/>
    <col min="66" max="66" width="12.33203125" customWidth="1"/>
    <col min="67" max="67" width="13.6640625" style="336" customWidth="1"/>
    <col min="72" max="72" width="13.6640625" customWidth="1"/>
    <col min="73" max="73" width="14.6640625" customWidth="1"/>
    <col min="74" max="74" width="14.44140625" customWidth="1"/>
    <col min="75" max="75" width="15.33203125" customWidth="1"/>
    <col min="76" max="76" width="14.6640625" customWidth="1"/>
    <col min="77" max="77" width="15.5546875" customWidth="1"/>
    <col min="86" max="86" width="13.77734375" customWidth="1"/>
    <col min="87" max="87" width="14.6640625" customWidth="1"/>
    <col min="88" max="88" width="12.6640625" customWidth="1"/>
    <col min="89" max="90" width="14.77734375" customWidth="1"/>
    <col min="91" max="91" width="15.88671875" customWidth="1"/>
    <col min="100" max="100" width="14.109375" customWidth="1"/>
    <col min="101" max="101" width="16.44140625" customWidth="1"/>
    <col min="102" max="102" width="15" customWidth="1"/>
    <col min="103" max="103" width="15.21875" customWidth="1"/>
    <col min="104" max="104" width="15.88671875" customWidth="1"/>
    <col min="105" max="105" width="14.77734375" customWidth="1"/>
  </cols>
  <sheetData>
    <row r="1" spans="1:113" x14ac:dyDescent="0.25">
      <c r="A1" s="739"/>
      <c r="B1" s="739"/>
      <c r="C1" s="739"/>
      <c r="D1" s="739"/>
      <c r="E1" s="739"/>
      <c r="F1" s="739"/>
      <c r="G1" s="739"/>
      <c r="H1" s="739"/>
      <c r="I1" s="739"/>
      <c r="J1" s="739"/>
      <c r="K1" s="739"/>
      <c r="L1" s="739"/>
      <c r="M1" s="739"/>
      <c r="N1" s="739"/>
      <c r="O1" s="739"/>
      <c r="P1" s="739"/>
      <c r="Q1" s="739"/>
    </row>
    <row r="3" spans="1:113" x14ac:dyDescent="0.25">
      <c r="A3" s="739"/>
      <c r="B3" s="739"/>
      <c r="C3" s="739"/>
      <c r="D3" s="739"/>
      <c r="E3" s="739"/>
      <c r="F3" s="739"/>
      <c r="G3" s="739"/>
      <c r="H3" s="739"/>
      <c r="I3" s="739"/>
      <c r="J3" s="739"/>
      <c r="K3" s="739"/>
      <c r="L3" s="739"/>
      <c r="M3" s="739"/>
      <c r="N3" s="739"/>
      <c r="O3" s="739"/>
      <c r="P3" s="739"/>
      <c r="Q3" s="739"/>
    </row>
    <row r="4" spans="1:113" x14ac:dyDescent="0.25">
      <c r="A4" s="739"/>
      <c r="B4" s="739"/>
      <c r="C4" s="739"/>
      <c r="D4" s="739"/>
      <c r="E4" s="739"/>
      <c r="F4" s="739"/>
      <c r="G4" s="739"/>
      <c r="H4" s="739"/>
      <c r="I4" s="739"/>
      <c r="J4" s="739"/>
      <c r="K4" s="739"/>
      <c r="L4" s="739"/>
      <c r="M4" s="739"/>
      <c r="N4" s="739"/>
      <c r="O4" s="739"/>
      <c r="P4" s="739"/>
      <c r="Q4" s="739"/>
    </row>
    <row r="6" spans="1:113" x14ac:dyDescent="0.25">
      <c r="A6">
        <v>1</v>
      </c>
      <c r="B6">
        <v>2</v>
      </c>
      <c r="C6">
        <v>3</v>
      </c>
      <c r="D6" s="329">
        <v>4</v>
      </c>
      <c r="E6" s="329">
        <v>5</v>
      </c>
      <c r="F6" s="329">
        <v>6</v>
      </c>
      <c r="G6" s="329">
        <v>7</v>
      </c>
      <c r="H6" s="329">
        <v>8</v>
      </c>
      <c r="I6" s="329">
        <v>9</v>
      </c>
      <c r="J6" s="329">
        <v>10</v>
      </c>
      <c r="K6" s="329">
        <v>11</v>
      </c>
      <c r="L6" s="329">
        <v>12</v>
      </c>
      <c r="M6" s="329">
        <v>13</v>
      </c>
      <c r="N6" s="329">
        <v>14</v>
      </c>
      <c r="O6" s="329">
        <v>15</v>
      </c>
      <c r="P6" s="329">
        <v>16</v>
      </c>
      <c r="Q6" s="329">
        <v>17</v>
      </c>
      <c r="R6" s="329">
        <v>18</v>
      </c>
      <c r="S6" s="329">
        <v>19</v>
      </c>
      <c r="T6" s="329">
        <v>20</v>
      </c>
      <c r="U6" s="329">
        <v>21</v>
      </c>
      <c r="V6" s="329">
        <v>22</v>
      </c>
      <c r="W6" s="329">
        <v>23</v>
      </c>
      <c r="X6" s="329">
        <v>24</v>
      </c>
      <c r="Y6" s="329">
        <v>25</v>
      </c>
      <c r="Z6" s="329">
        <v>26</v>
      </c>
      <c r="AA6" s="329">
        <v>27</v>
      </c>
      <c r="AB6" s="329">
        <v>28</v>
      </c>
      <c r="AC6" s="329">
        <v>29</v>
      </c>
      <c r="AD6" s="329">
        <v>30</v>
      </c>
      <c r="AE6" s="329">
        <v>31</v>
      </c>
      <c r="AF6" s="329">
        <v>32</v>
      </c>
      <c r="AG6" s="329">
        <v>33</v>
      </c>
      <c r="AH6" s="329">
        <v>34</v>
      </c>
      <c r="AI6" s="329">
        <v>35</v>
      </c>
      <c r="AJ6" s="329">
        <v>36</v>
      </c>
      <c r="AK6" s="329">
        <v>37</v>
      </c>
      <c r="AL6" s="329">
        <v>38</v>
      </c>
      <c r="AM6" s="329">
        <v>39</v>
      </c>
      <c r="AN6" s="329">
        <v>40</v>
      </c>
      <c r="AO6" s="329">
        <v>41</v>
      </c>
      <c r="AP6" s="329">
        <v>42</v>
      </c>
      <c r="AQ6" s="329">
        <v>43</v>
      </c>
      <c r="AR6" s="329">
        <v>44</v>
      </c>
      <c r="AS6" s="329">
        <v>45</v>
      </c>
      <c r="AT6" s="329">
        <v>46</v>
      </c>
      <c r="AU6" s="329">
        <v>47</v>
      </c>
      <c r="AV6" s="329">
        <v>48</v>
      </c>
      <c r="AW6" s="329">
        <v>49</v>
      </c>
      <c r="AX6" s="329">
        <v>50</v>
      </c>
      <c r="AY6" s="329">
        <v>51</v>
      </c>
      <c r="AZ6" s="329">
        <v>52</v>
      </c>
      <c r="BA6" s="329">
        <v>53</v>
      </c>
      <c r="BB6" s="329">
        <v>54</v>
      </c>
      <c r="BC6" s="329">
        <v>55</v>
      </c>
      <c r="BD6" s="329">
        <v>56</v>
      </c>
      <c r="BE6" s="329">
        <v>57</v>
      </c>
      <c r="BF6" s="329">
        <v>58</v>
      </c>
      <c r="BG6" s="329">
        <v>59</v>
      </c>
      <c r="BH6" s="329">
        <v>60</v>
      </c>
      <c r="BI6" s="329">
        <v>61</v>
      </c>
      <c r="BJ6" s="329">
        <v>62</v>
      </c>
      <c r="BK6" s="329">
        <v>63</v>
      </c>
      <c r="BL6">
        <v>64</v>
      </c>
      <c r="BM6" s="336">
        <v>65</v>
      </c>
      <c r="BN6">
        <v>66</v>
      </c>
      <c r="BO6" s="336">
        <v>67</v>
      </c>
      <c r="BP6">
        <v>68</v>
      </c>
      <c r="BQ6">
        <v>69</v>
      </c>
      <c r="BR6">
        <v>70</v>
      </c>
      <c r="BS6">
        <v>71</v>
      </c>
      <c r="BT6">
        <v>72</v>
      </c>
      <c r="BU6">
        <v>73</v>
      </c>
      <c r="BV6">
        <v>74</v>
      </c>
      <c r="BW6">
        <v>75</v>
      </c>
      <c r="BX6">
        <v>76</v>
      </c>
      <c r="BY6">
        <v>77</v>
      </c>
      <c r="BZ6">
        <v>78</v>
      </c>
      <c r="CA6">
        <v>79</v>
      </c>
      <c r="CB6">
        <v>80</v>
      </c>
      <c r="CC6">
        <v>81</v>
      </c>
      <c r="CD6">
        <v>82</v>
      </c>
      <c r="CE6">
        <v>83</v>
      </c>
      <c r="CF6">
        <v>84</v>
      </c>
      <c r="CG6">
        <v>85</v>
      </c>
      <c r="CH6">
        <v>86</v>
      </c>
      <c r="CI6">
        <v>87</v>
      </c>
      <c r="CJ6">
        <v>88</v>
      </c>
      <c r="CK6">
        <v>89</v>
      </c>
      <c r="CL6">
        <v>90</v>
      </c>
      <c r="CM6">
        <v>91</v>
      </c>
      <c r="CN6" s="631">
        <v>92</v>
      </c>
      <c r="CO6" s="631">
        <v>93</v>
      </c>
      <c r="CP6" s="631">
        <v>94</v>
      </c>
      <c r="CQ6" s="631">
        <v>95</v>
      </c>
      <c r="CR6" s="631">
        <v>96</v>
      </c>
      <c r="CS6" s="631">
        <v>97</v>
      </c>
      <c r="CT6" s="631">
        <v>98</v>
      </c>
      <c r="CU6" s="631">
        <v>99</v>
      </c>
      <c r="CV6" s="631">
        <v>100</v>
      </c>
      <c r="CW6" s="631">
        <v>101</v>
      </c>
      <c r="CX6" s="631">
        <v>102</v>
      </c>
      <c r="CY6" s="631">
        <v>103</v>
      </c>
      <c r="CZ6" s="631">
        <v>104</v>
      </c>
      <c r="DA6" s="631">
        <v>105</v>
      </c>
    </row>
    <row r="7" spans="1:113" ht="12.75" customHeight="1" x14ac:dyDescent="0.25">
      <c r="A7" s="737" t="s">
        <v>5</v>
      </c>
      <c r="B7" s="737" t="s">
        <v>244</v>
      </c>
      <c r="C7" s="737" t="s">
        <v>245</v>
      </c>
      <c r="D7" s="736">
        <v>2016</v>
      </c>
      <c r="E7" s="737"/>
      <c r="F7" s="737"/>
      <c r="G7" s="737"/>
      <c r="H7" s="737"/>
      <c r="I7" s="737"/>
      <c r="J7" s="737"/>
      <c r="K7" s="737"/>
      <c r="L7" s="737"/>
      <c r="M7" s="737"/>
      <c r="N7" s="737"/>
      <c r="O7" s="737"/>
      <c r="P7" s="736">
        <v>2017</v>
      </c>
      <c r="Q7" s="737"/>
      <c r="R7" s="737"/>
      <c r="S7" s="737"/>
      <c r="T7" s="737"/>
      <c r="U7" s="737"/>
      <c r="V7" s="737"/>
      <c r="W7" s="737"/>
      <c r="X7" s="737"/>
      <c r="Y7" s="737"/>
      <c r="Z7" s="737"/>
      <c r="AA7" s="737"/>
      <c r="AB7" s="736">
        <v>2018</v>
      </c>
      <c r="AC7" s="737"/>
      <c r="AD7" s="737"/>
      <c r="AE7" s="737"/>
      <c r="AF7" s="737"/>
      <c r="AG7" s="737"/>
      <c r="AH7" s="737"/>
      <c r="AI7" s="737"/>
      <c r="AJ7" s="737"/>
      <c r="AK7" s="737"/>
      <c r="AL7" s="737"/>
      <c r="AM7" s="737"/>
      <c r="AN7" s="736">
        <v>2019</v>
      </c>
      <c r="AO7" s="737"/>
      <c r="AP7" s="737"/>
      <c r="AQ7" s="737"/>
      <c r="AR7" s="737"/>
      <c r="AS7" s="737"/>
      <c r="AT7" s="737"/>
      <c r="AU7" s="737"/>
      <c r="AV7" s="737"/>
      <c r="AW7" s="737"/>
      <c r="AX7" s="737"/>
      <c r="AY7" s="737"/>
      <c r="AZ7" s="736">
        <v>2020</v>
      </c>
      <c r="BA7" s="737"/>
      <c r="BB7" s="737"/>
      <c r="BC7" s="737"/>
      <c r="BD7" s="737"/>
      <c r="BE7" s="737"/>
      <c r="BF7" s="737"/>
      <c r="BG7" s="737"/>
      <c r="BH7" s="737"/>
      <c r="BI7" s="737"/>
      <c r="BJ7" s="737"/>
      <c r="BK7" s="737"/>
      <c r="BL7" s="736">
        <v>2021</v>
      </c>
      <c r="BM7" s="737"/>
      <c r="BN7" s="737"/>
      <c r="BO7" s="737"/>
      <c r="BP7" s="737"/>
      <c r="BQ7" s="737"/>
      <c r="BR7" s="737"/>
      <c r="BS7" s="737"/>
      <c r="BT7" s="737"/>
      <c r="BU7" s="737"/>
      <c r="BV7" s="737"/>
      <c r="BW7" s="737"/>
      <c r="BX7" s="737"/>
      <c r="BY7" s="737"/>
      <c r="BZ7" s="736">
        <v>2022</v>
      </c>
      <c r="CA7" s="737"/>
      <c r="CB7" s="737"/>
      <c r="CC7" s="737"/>
      <c r="CD7" s="737"/>
      <c r="CE7" s="737"/>
      <c r="CF7" s="737"/>
      <c r="CG7" s="737"/>
      <c r="CH7" s="737"/>
      <c r="CI7" s="737"/>
      <c r="CJ7" s="737"/>
      <c r="CK7" s="737"/>
      <c r="CL7" s="737"/>
      <c r="CM7" s="737"/>
      <c r="CN7" s="736">
        <v>2023</v>
      </c>
      <c r="CO7" s="737"/>
      <c r="CP7" s="737"/>
      <c r="CQ7" s="737"/>
      <c r="CR7" s="737"/>
      <c r="CS7" s="737"/>
      <c r="CT7" s="737"/>
      <c r="CU7" s="737"/>
      <c r="CV7" s="737"/>
      <c r="CW7" s="737"/>
      <c r="CX7" s="737"/>
      <c r="CY7" s="737"/>
      <c r="CZ7" s="737"/>
      <c r="DA7" s="737"/>
    </row>
    <row r="8" spans="1:113" x14ac:dyDescent="0.25">
      <c r="A8" s="737"/>
      <c r="B8" s="737"/>
      <c r="C8" s="737"/>
      <c r="D8" s="864" t="s">
        <v>219</v>
      </c>
      <c r="E8" s="862" t="s">
        <v>218</v>
      </c>
      <c r="F8" s="860" t="s">
        <v>282</v>
      </c>
      <c r="G8" s="867"/>
      <c r="H8" s="867"/>
      <c r="I8" s="867"/>
      <c r="J8" s="860" t="s">
        <v>283</v>
      </c>
      <c r="K8" s="867"/>
      <c r="L8" s="867"/>
      <c r="M8" s="867"/>
      <c r="N8" s="867"/>
      <c r="O8" s="867"/>
      <c r="P8" s="864" t="s">
        <v>219</v>
      </c>
      <c r="Q8" s="862" t="s">
        <v>218</v>
      </c>
      <c r="R8" s="866" t="s">
        <v>282</v>
      </c>
      <c r="S8" s="867"/>
      <c r="T8" s="867"/>
      <c r="U8" s="867"/>
      <c r="V8" s="866" t="s">
        <v>283</v>
      </c>
      <c r="W8" s="867"/>
      <c r="X8" s="867"/>
      <c r="Y8" s="867"/>
      <c r="Z8" s="867"/>
      <c r="AA8" s="867"/>
      <c r="AB8" s="868" t="s">
        <v>219</v>
      </c>
      <c r="AC8" s="854" t="s">
        <v>218</v>
      </c>
      <c r="AD8" s="860" t="s">
        <v>282</v>
      </c>
      <c r="AE8" s="739"/>
      <c r="AF8" s="739"/>
      <c r="AG8" s="739"/>
      <c r="AH8" s="860" t="s">
        <v>283</v>
      </c>
      <c r="AI8" s="739"/>
      <c r="AJ8" s="739"/>
      <c r="AK8" s="739"/>
      <c r="AL8" s="739"/>
      <c r="AM8" s="739"/>
      <c r="AN8" s="868" t="s">
        <v>219</v>
      </c>
      <c r="AO8" s="854" t="s">
        <v>218</v>
      </c>
      <c r="AP8" s="860" t="s">
        <v>282</v>
      </c>
      <c r="AQ8" s="739"/>
      <c r="AR8" s="739"/>
      <c r="AS8" s="739"/>
      <c r="AT8" s="860" t="s">
        <v>283</v>
      </c>
      <c r="AU8" s="739"/>
      <c r="AV8" s="739"/>
      <c r="AW8" s="739"/>
      <c r="AX8" s="739"/>
      <c r="AY8" s="739"/>
      <c r="AZ8" s="868" t="s">
        <v>219</v>
      </c>
      <c r="BA8" s="854" t="s">
        <v>218</v>
      </c>
      <c r="BB8" s="80" t="s">
        <v>282</v>
      </c>
      <c r="BC8" s="81"/>
      <c r="BD8" s="81"/>
      <c r="BE8" s="82"/>
      <c r="BF8" s="80" t="s">
        <v>283</v>
      </c>
      <c r="BG8" s="81"/>
      <c r="BH8" s="81"/>
      <c r="BI8" s="81"/>
      <c r="BJ8" s="81"/>
      <c r="BK8" s="82"/>
      <c r="BL8" s="868" t="s">
        <v>219</v>
      </c>
      <c r="BM8" s="878" t="s">
        <v>924</v>
      </c>
      <c r="BN8" s="854" t="s">
        <v>218</v>
      </c>
      <c r="BO8" s="878" t="s">
        <v>925</v>
      </c>
      <c r="BP8" s="882" t="s">
        <v>282</v>
      </c>
      <c r="BQ8" s="883"/>
      <c r="BR8" s="883"/>
      <c r="BS8" s="884"/>
      <c r="BT8" s="879" t="s">
        <v>283</v>
      </c>
      <c r="BU8" s="880"/>
      <c r="BV8" s="880"/>
      <c r="BW8" s="880"/>
      <c r="BX8" s="880"/>
      <c r="BY8" s="881"/>
      <c r="BZ8" s="868" t="s">
        <v>219</v>
      </c>
      <c r="CA8" s="878" t="s">
        <v>924</v>
      </c>
      <c r="CB8" s="854" t="s">
        <v>218</v>
      </c>
      <c r="CC8" s="878" t="s">
        <v>925</v>
      </c>
      <c r="CD8" s="882" t="s">
        <v>282</v>
      </c>
      <c r="CE8" s="883"/>
      <c r="CF8" s="883"/>
      <c r="CG8" s="884"/>
      <c r="CH8" s="879" t="s">
        <v>283</v>
      </c>
      <c r="CI8" s="880"/>
      <c r="CJ8" s="880"/>
      <c r="CK8" s="880"/>
      <c r="CL8" s="880"/>
      <c r="CM8" s="881"/>
      <c r="CN8" s="868" t="s">
        <v>219</v>
      </c>
      <c r="CO8" s="878" t="s">
        <v>924</v>
      </c>
      <c r="CP8" s="854" t="s">
        <v>218</v>
      </c>
      <c r="CQ8" s="878" t="s">
        <v>925</v>
      </c>
      <c r="CR8" s="882" t="s">
        <v>282</v>
      </c>
      <c r="CS8" s="883"/>
      <c r="CT8" s="883"/>
      <c r="CU8" s="884"/>
      <c r="CV8" s="879" t="s">
        <v>283</v>
      </c>
      <c r="CW8" s="880"/>
      <c r="CX8" s="880"/>
      <c r="CY8" s="880"/>
      <c r="CZ8" s="880"/>
      <c r="DA8" s="881"/>
    </row>
    <row r="9" spans="1:113" ht="49.5" customHeight="1" x14ac:dyDescent="0.25">
      <c r="A9" s="745"/>
      <c r="B9" s="745"/>
      <c r="C9" s="745"/>
      <c r="D9" s="865"/>
      <c r="E9" s="863"/>
      <c r="F9" s="52" t="s">
        <v>191</v>
      </c>
      <c r="G9" s="52" t="s">
        <v>79</v>
      </c>
      <c r="H9" s="52" t="s">
        <v>156</v>
      </c>
      <c r="I9" s="52" t="s">
        <v>95</v>
      </c>
      <c r="J9" s="52" t="s">
        <v>356</v>
      </c>
      <c r="K9" s="52" t="s">
        <v>361</v>
      </c>
      <c r="L9" s="52" t="s">
        <v>362</v>
      </c>
      <c r="M9" s="52" t="s">
        <v>354</v>
      </c>
      <c r="N9" s="52" t="s">
        <v>350</v>
      </c>
      <c r="O9" s="52" t="s">
        <v>346</v>
      </c>
      <c r="P9" s="865"/>
      <c r="Q9" s="863"/>
      <c r="R9" s="22" t="s">
        <v>191</v>
      </c>
      <c r="S9" s="22" t="s">
        <v>79</v>
      </c>
      <c r="T9" s="22" t="s">
        <v>156</v>
      </c>
      <c r="U9" s="22" t="s">
        <v>95</v>
      </c>
      <c r="V9" s="22" t="s">
        <v>356</v>
      </c>
      <c r="W9" s="22" t="s">
        <v>361</v>
      </c>
      <c r="X9" s="22" t="s">
        <v>362</v>
      </c>
      <c r="Y9" s="22" t="s">
        <v>354</v>
      </c>
      <c r="Z9" s="22" t="s">
        <v>350</v>
      </c>
      <c r="AA9" s="22" t="s">
        <v>346</v>
      </c>
      <c r="AB9" s="865"/>
      <c r="AC9" s="863"/>
      <c r="AD9" s="52" t="s">
        <v>191</v>
      </c>
      <c r="AE9" s="52" t="s">
        <v>79</v>
      </c>
      <c r="AF9" s="52" t="s">
        <v>156</v>
      </c>
      <c r="AG9" s="52" t="s">
        <v>95</v>
      </c>
      <c r="AH9" s="52" t="s">
        <v>352</v>
      </c>
      <c r="AI9" s="52" t="s">
        <v>361</v>
      </c>
      <c r="AJ9" s="52" t="s">
        <v>355</v>
      </c>
      <c r="AK9" s="52" t="s">
        <v>357</v>
      </c>
      <c r="AL9" s="52" t="s">
        <v>347</v>
      </c>
      <c r="AM9" s="52" t="s">
        <v>363</v>
      </c>
      <c r="AN9" s="865"/>
      <c r="AO9" s="863"/>
      <c r="AP9" s="152">
        <v>1</v>
      </c>
      <c r="AQ9" s="152">
        <v>2</v>
      </c>
      <c r="AR9" s="152">
        <v>3</v>
      </c>
      <c r="AS9" s="152">
        <v>4</v>
      </c>
      <c r="AT9" s="52" t="s">
        <v>364</v>
      </c>
      <c r="AU9" s="52" t="s">
        <v>348</v>
      </c>
      <c r="AV9" s="52" t="s">
        <v>351</v>
      </c>
      <c r="AW9" s="52" t="s">
        <v>354</v>
      </c>
      <c r="AX9" s="52" t="s">
        <v>358</v>
      </c>
      <c r="AY9" s="52" t="s">
        <v>360</v>
      </c>
      <c r="AZ9" s="865"/>
      <c r="BA9" s="863"/>
      <c r="BB9" s="83" t="s">
        <v>191</v>
      </c>
      <c r="BC9" s="83" t="s">
        <v>79</v>
      </c>
      <c r="BD9" s="83" t="s">
        <v>156</v>
      </c>
      <c r="BE9" s="83" t="s">
        <v>95</v>
      </c>
      <c r="BF9" s="131" t="s">
        <v>349</v>
      </c>
      <c r="BG9" s="131" t="s">
        <v>353</v>
      </c>
      <c r="BH9" s="131" t="s">
        <v>359</v>
      </c>
      <c r="BI9" s="131" t="s">
        <v>365</v>
      </c>
      <c r="BJ9" s="131" t="s">
        <v>350</v>
      </c>
      <c r="BK9" s="131" t="s">
        <v>360</v>
      </c>
      <c r="BL9" s="865"/>
      <c r="BM9" s="878" t="s">
        <v>11</v>
      </c>
      <c r="BN9" s="863"/>
      <c r="BO9" s="878"/>
      <c r="BP9" s="83" t="s">
        <v>191</v>
      </c>
      <c r="BQ9" s="83" t="s">
        <v>79</v>
      </c>
      <c r="BR9" s="83" t="s">
        <v>156</v>
      </c>
      <c r="BS9" s="83" t="s">
        <v>95</v>
      </c>
      <c r="BT9" s="337" t="s">
        <v>364</v>
      </c>
      <c r="BU9" s="337" t="s">
        <v>920</v>
      </c>
      <c r="BV9" s="337" t="s">
        <v>921</v>
      </c>
      <c r="BW9" s="337" t="s">
        <v>922</v>
      </c>
      <c r="BX9" s="337" t="s">
        <v>923</v>
      </c>
      <c r="BY9" s="337" t="s">
        <v>360</v>
      </c>
      <c r="BZ9" s="865"/>
      <c r="CA9" s="878" t="s">
        <v>11</v>
      </c>
      <c r="CB9" s="863"/>
      <c r="CC9" s="878"/>
      <c r="CD9" s="83" t="s">
        <v>191</v>
      </c>
      <c r="CE9" s="83" t="s">
        <v>79</v>
      </c>
      <c r="CF9" s="83" t="s">
        <v>156</v>
      </c>
      <c r="CG9" s="83" t="s">
        <v>95</v>
      </c>
      <c r="CH9" s="462" t="s">
        <v>974</v>
      </c>
      <c r="CI9" s="462" t="s">
        <v>361</v>
      </c>
      <c r="CJ9" s="462" t="s">
        <v>359</v>
      </c>
      <c r="CK9" s="462" t="s">
        <v>973</v>
      </c>
      <c r="CL9" s="462" t="s">
        <v>350</v>
      </c>
      <c r="CM9" s="462" t="s">
        <v>363</v>
      </c>
      <c r="CN9" s="865"/>
      <c r="CO9" s="878" t="s">
        <v>11</v>
      </c>
      <c r="CP9" s="863"/>
      <c r="CQ9" s="878"/>
      <c r="CR9" s="83" t="s">
        <v>191</v>
      </c>
      <c r="CS9" s="83" t="s">
        <v>79</v>
      </c>
      <c r="CT9" s="83" t="s">
        <v>156</v>
      </c>
      <c r="CU9" s="83" t="s">
        <v>95</v>
      </c>
      <c r="CV9" s="632" t="s">
        <v>350</v>
      </c>
      <c r="CW9" s="632" t="s">
        <v>363</v>
      </c>
      <c r="CX9" s="625" t="s">
        <v>359</v>
      </c>
      <c r="CY9" s="632" t="s">
        <v>974</v>
      </c>
      <c r="CZ9" s="632" t="s">
        <v>973</v>
      </c>
      <c r="DA9" s="632" t="s">
        <v>361</v>
      </c>
      <c r="DD9" s="632" t="s">
        <v>974</v>
      </c>
      <c r="DE9" s="632" t="s">
        <v>361</v>
      </c>
      <c r="DF9" s="632" t="s">
        <v>359</v>
      </c>
      <c r="DG9" s="632" t="s">
        <v>973</v>
      </c>
      <c r="DH9" s="632" t="s">
        <v>350</v>
      </c>
      <c r="DI9" s="632" t="s">
        <v>363</v>
      </c>
    </row>
    <row r="10" spans="1:113" ht="24.9" customHeight="1" x14ac:dyDescent="0.25">
      <c r="A10" s="185" t="s">
        <v>10</v>
      </c>
      <c r="B10" s="3"/>
      <c r="C10" s="3"/>
      <c r="D10" s="25">
        <v>52</v>
      </c>
      <c r="E10" s="25">
        <v>11</v>
      </c>
      <c r="F10" s="97">
        <v>0.17</v>
      </c>
      <c r="G10" s="97">
        <v>0.47</v>
      </c>
      <c r="H10" s="97">
        <v>0.32</v>
      </c>
      <c r="I10" s="97">
        <v>0.03</v>
      </c>
      <c r="J10" s="97">
        <v>0.55000000000000004</v>
      </c>
      <c r="K10" s="97">
        <v>0.51</v>
      </c>
      <c r="L10" s="97">
        <v>0.57999999999999996</v>
      </c>
      <c r="M10" s="97">
        <v>0.43</v>
      </c>
      <c r="N10" s="97">
        <v>0.44</v>
      </c>
      <c r="O10" s="97">
        <v>0.49</v>
      </c>
      <c r="P10" s="25">
        <v>51</v>
      </c>
      <c r="Q10" s="25">
        <v>11</v>
      </c>
      <c r="R10" s="87">
        <v>0.17</v>
      </c>
      <c r="S10" s="87">
        <v>0.47</v>
      </c>
      <c r="T10" s="87">
        <v>0.32</v>
      </c>
      <c r="U10" s="87">
        <v>0.04</v>
      </c>
      <c r="V10" s="87">
        <v>0.43</v>
      </c>
      <c r="W10" s="87">
        <v>0.48</v>
      </c>
      <c r="X10" s="87">
        <v>0.54</v>
      </c>
      <c r="Y10" s="87">
        <v>0.44</v>
      </c>
      <c r="Z10" s="87">
        <v>0.41</v>
      </c>
      <c r="AA10" s="87">
        <v>0.48</v>
      </c>
      <c r="AB10" s="25">
        <v>49</v>
      </c>
      <c r="AC10" s="25">
        <v>12</v>
      </c>
      <c r="AD10" s="63">
        <v>0.25</v>
      </c>
      <c r="AE10" s="63">
        <v>0.43</v>
      </c>
      <c r="AF10" s="63">
        <v>0.28000000000000003</v>
      </c>
      <c r="AG10" s="63">
        <v>0.04</v>
      </c>
      <c r="AH10" s="63">
        <v>0.43</v>
      </c>
      <c r="AI10" s="63">
        <v>0.44</v>
      </c>
      <c r="AJ10" s="63">
        <v>0.42</v>
      </c>
      <c r="AK10" s="63">
        <v>0.5</v>
      </c>
      <c r="AL10" s="63">
        <v>0.53</v>
      </c>
      <c r="AM10" s="63">
        <v>0.52</v>
      </c>
      <c r="AN10" s="25">
        <v>48</v>
      </c>
      <c r="AO10" s="25">
        <v>12</v>
      </c>
      <c r="AP10" s="63">
        <v>0.32</v>
      </c>
      <c r="AQ10" s="63">
        <v>0.41</v>
      </c>
      <c r="AR10" s="63">
        <v>0.24</v>
      </c>
      <c r="AS10" s="63">
        <v>0.03</v>
      </c>
      <c r="AT10" s="63">
        <v>0.55000000000000004</v>
      </c>
      <c r="AU10" s="63">
        <v>0.48</v>
      </c>
      <c r="AV10" s="63">
        <v>0.46</v>
      </c>
      <c r="AW10" s="63">
        <v>0.48</v>
      </c>
      <c r="AX10" s="63">
        <v>0.49</v>
      </c>
      <c r="AY10" s="63">
        <v>0.49</v>
      </c>
      <c r="AZ10" s="76">
        <v>49</v>
      </c>
      <c r="BA10" s="76">
        <v>12</v>
      </c>
      <c r="BB10" s="84">
        <v>0.27</v>
      </c>
      <c r="BC10" s="84">
        <v>0.42</v>
      </c>
      <c r="BD10" s="84">
        <v>0.27</v>
      </c>
      <c r="BE10" s="84">
        <v>0.04</v>
      </c>
      <c r="BF10" s="84">
        <v>0.5</v>
      </c>
      <c r="BG10" s="84">
        <v>0.49</v>
      </c>
      <c r="BH10" s="84">
        <v>0.49</v>
      </c>
      <c r="BI10" s="84">
        <v>0.56000000000000005</v>
      </c>
      <c r="BJ10" s="84">
        <v>0.44</v>
      </c>
      <c r="BK10" s="84">
        <v>0.45</v>
      </c>
      <c r="BL10" s="345">
        <v>48</v>
      </c>
      <c r="BM10" s="344" t="s">
        <v>910</v>
      </c>
      <c r="BN10" s="345">
        <v>12</v>
      </c>
      <c r="BO10" s="344" t="s">
        <v>910</v>
      </c>
      <c r="BP10" s="368">
        <v>0.31</v>
      </c>
      <c r="BQ10" s="368">
        <v>0.42</v>
      </c>
      <c r="BR10" s="368">
        <v>0.24</v>
      </c>
      <c r="BS10" s="368">
        <v>0.03</v>
      </c>
      <c r="BT10" s="368">
        <v>0.46</v>
      </c>
      <c r="BU10" s="368">
        <v>0.51</v>
      </c>
      <c r="BV10" s="368">
        <v>0.57999999999999996</v>
      </c>
      <c r="BW10" s="368">
        <v>0.46</v>
      </c>
      <c r="BX10" s="368">
        <v>0.5</v>
      </c>
      <c r="BY10" s="368">
        <v>0.55000000000000004</v>
      </c>
      <c r="BZ10" s="478">
        <v>48</v>
      </c>
      <c r="CA10" s="481" t="s">
        <v>910</v>
      </c>
      <c r="CB10" s="478">
        <v>12</v>
      </c>
      <c r="CC10" s="481" t="s">
        <v>910</v>
      </c>
      <c r="CD10" s="422">
        <v>0.28999999999999998</v>
      </c>
      <c r="CE10" s="422">
        <v>0.41</v>
      </c>
      <c r="CF10" s="422">
        <v>0.27</v>
      </c>
      <c r="CG10" s="422">
        <v>0.03</v>
      </c>
      <c r="CH10" s="422">
        <v>0.52</v>
      </c>
      <c r="CI10" s="422">
        <v>0.43</v>
      </c>
      <c r="CJ10" s="422">
        <v>0.57999999999999996</v>
      </c>
      <c r="CK10" s="422">
        <v>0.56000000000000005</v>
      </c>
      <c r="CL10" s="422">
        <v>0.45</v>
      </c>
      <c r="CM10" s="422">
        <v>0.57999999999999996</v>
      </c>
      <c r="CN10" s="626">
        <v>49</v>
      </c>
      <c r="CO10" s="637" t="s">
        <v>910</v>
      </c>
      <c r="CP10" s="626">
        <v>12</v>
      </c>
      <c r="CQ10" s="637" t="s">
        <v>910</v>
      </c>
      <c r="CR10" s="641">
        <v>0.27</v>
      </c>
      <c r="CS10" s="641">
        <v>0.42</v>
      </c>
      <c r="CT10" s="641">
        <v>0.27</v>
      </c>
      <c r="CU10" s="641">
        <v>0.04</v>
      </c>
      <c r="CV10" s="641">
        <v>0.39</v>
      </c>
      <c r="CW10" s="641">
        <v>0.55000000000000004</v>
      </c>
      <c r="CX10" s="641">
        <v>0.56999999999999995</v>
      </c>
      <c r="CY10" s="641">
        <v>0.61</v>
      </c>
      <c r="CZ10" s="641">
        <v>0.56000000000000005</v>
      </c>
      <c r="DA10" s="641">
        <v>0.55000000000000004</v>
      </c>
    </row>
    <row r="11" spans="1:113" ht="24.9" customHeight="1" x14ac:dyDescent="0.25">
      <c r="A11" s="186" t="s">
        <v>0</v>
      </c>
      <c r="B11" s="4"/>
      <c r="C11" s="4"/>
      <c r="D11" s="28">
        <v>52</v>
      </c>
      <c r="E11" s="28">
        <v>9</v>
      </c>
      <c r="F11" s="93">
        <v>0.13</v>
      </c>
      <c r="G11" s="93">
        <v>0.52</v>
      </c>
      <c r="H11" s="93">
        <v>0.33</v>
      </c>
      <c r="I11" s="93">
        <v>0.01</v>
      </c>
      <c r="J11" s="93">
        <v>0.53</v>
      </c>
      <c r="K11" s="93">
        <v>0.49</v>
      </c>
      <c r="L11" s="93">
        <v>0.57999999999999996</v>
      </c>
      <c r="M11" s="93">
        <v>0.41</v>
      </c>
      <c r="N11" s="93">
        <v>0.41</v>
      </c>
      <c r="O11" s="93">
        <v>0.5</v>
      </c>
      <c r="P11" s="28">
        <v>52</v>
      </c>
      <c r="Q11" s="28">
        <v>10</v>
      </c>
      <c r="R11" s="88">
        <v>0.13</v>
      </c>
      <c r="S11" s="88">
        <v>0.51</v>
      </c>
      <c r="T11" s="88">
        <v>0.33</v>
      </c>
      <c r="U11" s="88">
        <v>0.02</v>
      </c>
      <c r="V11" s="88">
        <v>0.41</v>
      </c>
      <c r="W11" s="88">
        <v>0.47</v>
      </c>
      <c r="X11" s="88">
        <v>0.55000000000000004</v>
      </c>
      <c r="Y11" s="88">
        <v>0.44</v>
      </c>
      <c r="Z11" s="88">
        <v>0.42</v>
      </c>
      <c r="AA11" s="88">
        <v>0.49</v>
      </c>
      <c r="AB11" s="28">
        <v>50</v>
      </c>
      <c r="AC11" s="28">
        <v>10</v>
      </c>
      <c r="AD11" s="64">
        <v>0.21</v>
      </c>
      <c r="AE11" s="64">
        <v>0.49</v>
      </c>
      <c r="AF11" s="64">
        <v>0.28999999999999998</v>
      </c>
      <c r="AG11" s="64">
        <v>0.02</v>
      </c>
      <c r="AH11" s="64">
        <v>0.43</v>
      </c>
      <c r="AI11" s="64">
        <v>0.43</v>
      </c>
      <c r="AJ11" s="64">
        <v>0.41</v>
      </c>
      <c r="AK11" s="64">
        <v>0.5</v>
      </c>
      <c r="AL11" s="64">
        <v>0.55000000000000004</v>
      </c>
      <c r="AM11" s="64">
        <v>0.52</v>
      </c>
      <c r="AN11" s="28">
        <v>48</v>
      </c>
      <c r="AO11" s="28">
        <v>11</v>
      </c>
      <c r="AP11" s="64">
        <v>0.26</v>
      </c>
      <c r="AQ11" s="64">
        <v>0.47</v>
      </c>
      <c r="AR11" s="64">
        <v>0.25</v>
      </c>
      <c r="AS11" s="64">
        <v>0.01</v>
      </c>
      <c r="AT11" s="64">
        <v>0.55000000000000004</v>
      </c>
      <c r="AU11" s="64">
        <v>0.48</v>
      </c>
      <c r="AV11" s="64">
        <v>0.46</v>
      </c>
      <c r="AW11" s="64">
        <v>0.47</v>
      </c>
      <c r="AX11" s="64">
        <v>0.48</v>
      </c>
      <c r="AY11" s="64">
        <v>0.48</v>
      </c>
      <c r="AZ11" s="77">
        <v>50</v>
      </c>
      <c r="BA11" s="77">
        <v>11</v>
      </c>
      <c r="BB11" s="85">
        <v>0.19</v>
      </c>
      <c r="BC11" s="85">
        <v>0.47</v>
      </c>
      <c r="BD11" s="85">
        <v>0.31</v>
      </c>
      <c r="BE11" s="85">
        <v>0.02</v>
      </c>
      <c r="BF11" s="85">
        <v>0.48</v>
      </c>
      <c r="BG11" s="85">
        <v>0.47</v>
      </c>
      <c r="BH11" s="85">
        <v>0.46</v>
      </c>
      <c r="BI11" s="85">
        <v>0.54</v>
      </c>
      <c r="BJ11" s="85">
        <v>0.42</v>
      </c>
      <c r="BK11" s="85">
        <v>0.41</v>
      </c>
      <c r="BL11" s="346">
        <v>49</v>
      </c>
      <c r="BM11" s="342" t="s">
        <v>11</v>
      </c>
      <c r="BN11" s="346">
        <v>11</v>
      </c>
      <c r="BO11" s="342" t="s">
        <v>11</v>
      </c>
      <c r="BP11" s="369">
        <v>0.23</v>
      </c>
      <c r="BQ11" s="369">
        <v>0.48</v>
      </c>
      <c r="BR11" s="369">
        <v>0.27</v>
      </c>
      <c r="BS11" s="369">
        <v>0.02</v>
      </c>
      <c r="BT11" s="369">
        <v>0.46</v>
      </c>
      <c r="BU11" s="369">
        <v>0.48</v>
      </c>
      <c r="BV11" s="369">
        <v>0.56000000000000005</v>
      </c>
      <c r="BW11" s="369">
        <v>0.43</v>
      </c>
      <c r="BX11" s="369">
        <v>0.47</v>
      </c>
      <c r="BY11" s="369">
        <v>0.53</v>
      </c>
      <c r="BZ11" s="479">
        <v>50</v>
      </c>
      <c r="CA11" s="482" t="s">
        <v>11</v>
      </c>
      <c r="CB11" s="479">
        <v>11</v>
      </c>
      <c r="CC11" s="482" t="s">
        <v>11</v>
      </c>
      <c r="CD11" s="423">
        <v>0.21</v>
      </c>
      <c r="CE11" s="423">
        <v>0.46</v>
      </c>
      <c r="CF11" s="423">
        <v>0.31</v>
      </c>
      <c r="CG11" s="423">
        <v>0.02</v>
      </c>
      <c r="CH11" s="423">
        <v>0.49</v>
      </c>
      <c r="CI11" s="423">
        <v>0.39</v>
      </c>
      <c r="CJ11" s="423">
        <v>0.56000000000000005</v>
      </c>
      <c r="CK11" s="423">
        <v>0.54</v>
      </c>
      <c r="CL11" s="423">
        <v>0.43</v>
      </c>
      <c r="CM11" s="423">
        <v>0.56999999999999995</v>
      </c>
      <c r="CN11" s="627">
        <v>50</v>
      </c>
      <c r="CO11" s="638" t="s">
        <v>11</v>
      </c>
      <c r="CP11" s="627">
        <v>11</v>
      </c>
      <c r="CQ11" s="638" t="s">
        <v>11</v>
      </c>
      <c r="CR11" s="642">
        <v>0.2</v>
      </c>
      <c r="CS11" s="642">
        <v>0.48</v>
      </c>
      <c r="CT11" s="642">
        <v>0.31</v>
      </c>
      <c r="CU11" s="642">
        <v>0.02</v>
      </c>
      <c r="CV11" s="642">
        <v>0.36</v>
      </c>
      <c r="CW11" s="642">
        <v>0.54</v>
      </c>
      <c r="CX11" s="642">
        <v>0.56000000000000005</v>
      </c>
      <c r="CY11" s="642">
        <v>0.63</v>
      </c>
      <c r="CZ11" s="642">
        <v>0.55000000000000004</v>
      </c>
      <c r="DA11" s="642">
        <v>0.55000000000000004</v>
      </c>
    </row>
    <row r="12" spans="1:113" ht="24.9" customHeight="1" x14ac:dyDescent="0.25">
      <c r="A12" s="187" t="s">
        <v>12</v>
      </c>
      <c r="B12" s="6"/>
      <c r="C12" s="6"/>
      <c r="D12" s="30">
        <v>51</v>
      </c>
      <c r="E12" s="30">
        <v>9</v>
      </c>
      <c r="F12" s="98">
        <v>0.16</v>
      </c>
      <c r="G12" s="98">
        <v>0.55000000000000004</v>
      </c>
      <c r="H12" s="98">
        <v>0.28000000000000003</v>
      </c>
      <c r="I12" s="98">
        <v>0.01</v>
      </c>
      <c r="J12" s="65">
        <f>AVERAGEIFS(J$36:J$167,$B$36:$B$167,"=oficial")</f>
        <v>0.56391304347826099</v>
      </c>
      <c r="K12" s="65">
        <f t="shared" ref="K12:O12" si="0">AVERAGEIFS(K$36:K$167,$B$36:$B$167,"=oficial")</f>
        <v>0.51347826086956527</v>
      </c>
      <c r="L12" s="65">
        <f t="shared" si="0"/>
        <v>0.60086956521739143</v>
      </c>
      <c r="M12" s="65">
        <f t="shared" si="0"/>
        <v>0.44478260869565212</v>
      </c>
      <c r="N12" s="65">
        <f t="shared" si="0"/>
        <v>0.44695652173913047</v>
      </c>
      <c r="O12" s="65">
        <f t="shared" si="0"/>
        <v>0.53086956521739126</v>
      </c>
      <c r="P12" s="30">
        <v>50</v>
      </c>
      <c r="Q12" s="30">
        <v>10</v>
      </c>
      <c r="R12" s="89">
        <v>0.16</v>
      </c>
      <c r="S12" s="89">
        <v>0.54</v>
      </c>
      <c r="T12" s="89">
        <v>0.28999999999999998</v>
      </c>
      <c r="U12" s="89">
        <v>0.01</v>
      </c>
      <c r="V12" s="65">
        <f>AVERAGEIFS(V$36:V$167,$B$36:$B$167,"=oficial")</f>
        <v>0.44956521739130434</v>
      </c>
      <c r="W12" s="65">
        <f t="shared" ref="W12:AA12" si="1">AVERAGEIFS(W$36:W$167,$B$36:$B$167,"=oficial")</f>
        <v>0.5043478260869565</v>
      </c>
      <c r="X12" s="65">
        <f t="shared" si="1"/>
        <v>0.57000000000000017</v>
      </c>
      <c r="Y12" s="65">
        <f t="shared" si="1"/>
        <v>0.47521739130434798</v>
      </c>
      <c r="Z12" s="65">
        <f t="shared" si="1"/>
        <v>0.44000000000000006</v>
      </c>
      <c r="AA12" s="65">
        <f t="shared" si="1"/>
        <v>0.52652173913043487</v>
      </c>
      <c r="AB12" s="30">
        <v>48</v>
      </c>
      <c r="AC12" s="30">
        <v>10</v>
      </c>
      <c r="AD12" s="65">
        <v>0.25</v>
      </c>
      <c r="AE12" s="65">
        <v>0.51</v>
      </c>
      <c r="AF12" s="65">
        <v>0.24</v>
      </c>
      <c r="AG12" s="65">
        <v>0.01</v>
      </c>
      <c r="AH12" s="65">
        <f>AVERAGEIFS(AH$36:AH$167,$B$36:$B$167,"=oficial")</f>
        <v>0.46652173913043482</v>
      </c>
      <c r="AI12" s="65">
        <f t="shared" ref="AI12:AM12" si="2">AVERAGEIFS(AI$36:AI$167,$B$36:$B$167,"=oficial")</f>
        <v>0.46695652173913038</v>
      </c>
      <c r="AJ12" s="65">
        <f t="shared" si="2"/>
        <v>0.44521739130434784</v>
      </c>
      <c r="AK12" s="65">
        <f t="shared" si="2"/>
        <v>0.5360869565217391</v>
      </c>
      <c r="AL12" s="65">
        <f t="shared" si="2"/>
        <v>0.58565217391304347</v>
      </c>
      <c r="AM12" s="65">
        <f t="shared" si="2"/>
        <v>0.55304347826086941</v>
      </c>
      <c r="AN12" s="30">
        <v>47</v>
      </c>
      <c r="AO12" s="30">
        <v>11</v>
      </c>
      <c r="AP12" s="65">
        <v>0.31</v>
      </c>
      <c r="AQ12" s="65">
        <v>0.48</v>
      </c>
      <c r="AR12" s="65">
        <v>0.2</v>
      </c>
      <c r="AS12" s="65">
        <v>0.01</v>
      </c>
      <c r="AT12" s="65">
        <f>AVERAGEIFS(AT$36:AT$167,$B$36:$B$167,"=oficial")</f>
        <v>0.58260869565217388</v>
      </c>
      <c r="AU12" s="65">
        <f t="shared" ref="AU12:AY12" si="3">AVERAGEIFS(AU$36:AU$167,$B$36:$B$167,"=oficial")</f>
        <v>0.51043478260869568</v>
      </c>
      <c r="AV12" s="65">
        <f t="shared" si="3"/>
        <v>0.49347826086956537</v>
      </c>
      <c r="AW12" s="65">
        <f t="shared" si="3"/>
        <v>0.50652173913043497</v>
      </c>
      <c r="AX12" s="65">
        <f t="shared" si="3"/>
        <v>0.52086956521739136</v>
      </c>
      <c r="AY12" s="65">
        <f t="shared" si="3"/>
        <v>0.51260869565217393</v>
      </c>
      <c r="AZ12" s="78">
        <v>49</v>
      </c>
      <c r="BA12" s="78">
        <v>10</v>
      </c>
      <c r="BB12" s="86">
        <v>0.22</v>
      </c>
      <c r="BC12" s="86">
        <v>0.5</v>
      </c>
      <c r="BD12" s="86">
        <v>0.26</v>
      </c>
      <c r="BE12" s="86">
        <v>0.01</v>
      </c>
      <c r="BF12" s="65">
        <f>AVERAGEIFS(BF$36:BF$167,$B$36:$B$167,"=oficial")</f>
        <v>0.52</v>
      </c>
      <c r="BG12" s="65">
        <f t="shared" ref="BG12:BK12" si="4">AVERAGEIFS(BG$36:BG$167,$B$36:$B$167,"=oficial")</f>
        <v>0.50130434782608702</v>
      </c>
      <c r="BH12" s="65">
        <f t="shared" si="4"/>
        <v>0.5013043478260869</v>
      </c>
      <c r="BI12" s="65">
        <f t="shared" si="4"/>
        <v>0.58347826086956511</v>
      </c>
      <c r="BJ12" s="65">
        <f t="shared" si="4"/>
        <v>0.44956521739130434</v>
      </c>
      <c r="BK12" s="65">
        <f t="shared" si="4"/>
        <v>0.44608695652173913</v>
      </c>
      <c r="BL12" s="347">
        <v>47</v>
      </c>
      <c r="BM12" s="343" t="s">
        <v>910</v>
      </c>
      <c r="BN12" s="347">
        <v>10</v>
      </c>
      <c r="BO12" s="343" t="s">
        <v>910</v>
      </c>
      <c r="BP12" s="370">
        <v>0.28000000000000003</v>
      </c>
      <c r="BQ12" s="370">
        <v>0.5</v>
      </c>
      <c r="BR12" s="370">
        <v>0.21</v>
      </c>
      <c r="BS12" s="370">
        <v>0.01</v>
      </c>
      <c r="BT12" s="65">
        <f>AVERAGEIFS(BT$36:BT$167,$B$36:$B$167,"=oficial")</f>
        <v>0.49869565217391315</v>
      </c>
      <c r="BU12" s="65">
        <f t="shared" ref="BU12:BY12" si="5">AVERAGEIFS(BU$36:BU$167,$B$36:$B$167,"=oficial")</f>
        <v>0.52652173913043465</v>
      </c>
      <c r="BV12" s="65">
        <f t="shared" si="5"/>
        <v>0.60869565217391319</v>
      </c>
      <c r="BW12" s="65">
        <f t="shared" si="5"/>
        <v>0.46652173913043482</v>
      </c>
      <c r="BX12" s="65">
        <f t="shared" si="5"/>
        <v>0.50956521739130434</v>
      </c>
      <c r="BY12" s="65">
        <f t="shared" si="5"/>
        <v>0.57652173913043481</v>
      </c>
      <c r="BZ12" s="480">
        <v>48</v>
      </c>
      <c r="CA12" s="483" t="s">
        <v>910</v>
      </c>
      <c r="CB12" s="480">
        <v>10</v>
      </c>
      <c r="CC12" s="483" t="s">
        <v>910</v>
      </c>
      <c r="CD12" s="426">
        <v>0.25</v>
      </c>
      <c r="CE12" s="426">
        <v>0.5</v>
      </c>
      <c r="CF12" s="426">
        <v>0.23</v>
      </c>
      <c r="CG12" s="426">
        <v>0.01</v>
      </c>
      <c r="CH12" s="65">
        <f t="shared" ref="CH12:CM12" si="6">AVERAGEIFS(CH$36:CH$167,$B$36:$B$167,"=oficial")</f>
        <v>0.51518518518518508</v>
      </c>
      <c r="CI12" s="65">
        <f t="shared" si="6"/>
        <v>0.44296296296296295</v>
      </c>
      <c r="CJ12" s="65">
        <f t="shared" si="6"/>
        <v>0.59888888888888892</v>
      </c>
      <c r="CK12" s="65">
        <f t="shared" si="6"/>
        <v>0.57370370370370383</v>
      </c>
      <c r="CL12" s="65">
        <f t="shared" si="6"/>
        <v>0.45962962962962961</v>
      </c>
      <c r="CM12" s="65">
        <f t="shared" si="6"/>
        <v>0.60148148148148128</v>
      </c>
      <c r="CN12" s="628">
        <v>48</v>
      </c>
      <c r="CO12" s="639" t="s">
        <v>910</v>
      </c>
      <c r="CP12" s="628">
        <v>10</v>
      </c>
      <c r="CQ12" s="639" t="s">
        <v>910</v>
      </c>
      <c r="CR12" s="643">
        <v>0.24</v>
      </c>
      <c r="CS12" s="643">
        <v>0.51</v>
      </c>
      <c r="CT12" s="643">
        <v>0.24</v>
      </c>
      <c r="CU12" s="643">
        <v>0.01</v>
      </c>
      <c r="CV12" s="639" t="s">
        <v>287</v>
      </c>
      <c r="CW12" s="639" t="s">
        <v>287</v>
      </c>
      <c r="CX12" s="639" t="s">
        <v>287</v>
      </c>
      <c r="CY12" s="639" t="s">
        <v>287</v>
      </c>
      <c r="CZ12" s="639" t="s">
        <v>287</v>
      </c>
      <c r="DA12" s="639" t="s">
        <v>287</v>
      </c>
    </row>
    <row r="13" spans="1:113" ht="24.9" customHeight="1" x14ac:dyDescent="0.25">
      <c r="A13" s="187" t="s">
        <v>13</v>
      </c>
      <c r="B13" s="6"/>
      <c r="C13" s="6"/>
      <c r="D13" s="30">
        <v>50</v>
      </c>
      <c r="E13" s="30">
        <v>9</v>
      </c>
      <c r="F13" s="98">
        <v>0.15</v>
      </c>
      <c r="G13" s="98">
        <v>0.54</v>
      </c>
      <c r="H13" s="98">
        <v>0.32</v>
      </c>
      <c r="I13" s="98">
        <v>0</v>
      </c>
      <c r="J13" s="65">
        <f>J95</f>
        <v>0.63</v>
      </c>
      <c r="K13" s="65">
        <f t="shared" ref="K13:O13" si="7">K95</f>
        <v>0.56999999999999995</v>
      </c>
      <c r="L13" s="65">
        <f t="shared" si="7"/>
        <v>0.54</v>
      </c>
      <c r="M13" s="65">
        <f t="shared" si="7"/>
        <v>0.4</v>
      </c>
      <c r="N13" s="65">
        <f t="shared" si="7"/>
        <v>0.44</v>
      </c>
      <c r="O13" s="65">
        <f t="shared" si="7"/>
        <v>0.63</v>
      </c>
      <c r="P13" s="30">
        <v>49</v>
      </c>
      <c r="Q13" s="30">
        <v>9</v>
      </c>
      <c r="R13" s="89">
        <v>0.19</v>
      </c>
      <c r="S13" s="89">
        <v>0.6</v>
      </c>
      <c r="T13" s="89">
        <v>0.21</v>
      </c>
      <c r="U13" s="89">
        <v>0</v>
      </c>
      <c r="V13" s="65">
        <f>V95</f>
        <v>0.47</v>
      </c>
      <c r="W13" s="65">
        <f t="shared" ref="W13:AA13" si="8">W95</f>
        <v>0.55000000000000004</v>
      </c>
      <c r="X13" s="65">
        <f t="shared" si="8"/>
        <v>0.6</v>
      </c>
      <c r="Y13" s="65">
        <f t="shared" si="8"/>
        <v>0.52</v>
      </c>
      <c r="Z13" s="65">
        <f t="shared" si="8"/>
        <v>0.37</v>
      </c>
      <c r="AA13" s="65">
        <f t="shared" si="8"/>
        <v>0.56000000000000005</v>
      </c>
      <c r="AB13" s="30">
        <v>46</v>
      </c>
      <c r="AC13" s="30">
        <v>11</v>
      </c>
      <c r="AD13" s="65">
        <v>0.32</v>
      </c>
      <c r="AE13" s="65">
        <v>0.41</v>
      </c>
      <c r="AF13" s="65">
        <v>0.26</v>
      </c>
      <c r="AG13" s="65">
        <v>0</v>
      </c>
      <c r="AH13" s="65">
        <f>AH95</f>
        <v>0.46</v>
      </c>
      <c r="AI13" s="65">
        <f t="shared" ref="AI13:AM13" si="9">AI95</f>
        <v>0.48</v>
      </c>
      <c r="AJ13" s="65">
        <f t="shared" si="9"/>
        <v>0.49</v>
      </c>
      <c r="AK13" s="65">
        <f t="shared" si="9"/>
        <v>0.55000000000000004</v>
      </c>
      <c r="AL13" s="65">
        <f t="shared" si="9"/>
        <v>0.57999999999999996</v>
      </c>
      <c r="AM13" s="65">
        <f t="shared" si="9"/>
        <v>0.56000000000000005</v>
      </c>
      <c r="AN13" s="30">
        <v>46</v>
      </c>
      <c r="AO13" s="30">
        <v>12</v>
      </c>
      <c r="AP13" s="65">
        <v>0.35</v>
      </c>
      <c r="AQ13" s="65">
        <v>0.41</v>
      </c>
      <c r="AR13" s="65">
        <v>0.22</v>
      </c>
      <c r="AS13" s="65">
        <v>0.02</v>
      </c>
      <c r="AT13" s="65">
        <f>AT95</f>
        <v>0.64</v>
      </c>
      <c r="AU13" s="65">
        <f t="shared" ref="AU13:AY13" si="10">AU95</f>
        <v>0.48</v>
      </c>
      <c r="AV13" s="65">
        <f t="shared" si="10"/>
        <v>0.47</v>
      </c>
      <c r="AW13" s="65">
        <f t="shared" si="10"/>
        <v>0.5</v>
      </c>
      <c r="AX13" s="65">
        <f t="shared" si="10"/>
        <v>0.5</v>
      </c>
      <c r="AY13" s="65">
        <f t="shared" si="10"/>
        <v>0.55000000000000004</v>
      </c>
      <c r="AZ13" s="78">
        <v>48</v>
      </c>
      <c r="BA13" s="78">
        <v>12</v>
      </c>
      <c r="BB13" s="86">
        <v>0.28999999999999998</v>
      </c>
      <c r="BC13" s="86">
        <v>0.47</v>
      </c>
      <c r="BD13" s="86">
        <v>0.24</v>
      </c>
      <c r="BE13" s="86">
        <v>0</v>
      </c>
      <c r="BF13" s="65">
        <f>BF95</f>
        <v>0.61</v>
      </c>
      <c r="BG13" s="65">
        <f t="shared" ref="BG13:BK13" si="11">BG95</f>
        <v>0.47</v>
      </c>
      <c r="BH13" s="65">
        <f t="shared" si="11"/>
        <v>0.51</v>
      </c>
      <c r="BI13" s="65">
        <f t="shared" si="11"/>
        <v>0.56999999999999995</v>
      </c>
      <c r="BJ13" s="65">
        <f t="shared" si="11"/>
        <v>0.43</v>
      </c>
      <c r="BK13" s="65">
        <f t="shared" si="11"/>
        <v>0.43</v>
      </c>
      <c r="BL13" s="347">
        <v>46</v>
      </c>
      <c r="BM13" s="343" t="s">
        <v>910</v>
      </c>
      <c r="BN13" s="347">
        <v>10</v>
      </c>
      <c r="BO13" s="343" t="s">
        <v>910</v>
      </c>
      <c r="BP13" s="370">
        <v>0.3</v>
      </c>
      <c r="BQ13" s="370">
        <v>0.5</v>
      </c>
      <c r="BR13" s="370">
        <v>0.2</v>
      </c>
      <c r="BS13" s="370">
        <v>0</v>
      </c>
      <c r="BT13" s="65">
        <f>BT95</f>
        <v>0.42</v>
      </c>
      <c r="BU13" s="65">
        <f t="shared" ref="BU13:BY13" si="12">BU95</f>
        <v>0.56000000000000005</v>
      </c>
      <c r="BV13" s="65">
        <f t="shared" si="12"/>
        <v>0.49</v>
      </c>
      <c r="BW13" s="65">
        <f t="shared" si="12"/>
        <v>0.5</v>
      </c>
      <c r="BX13" s="65">
        <f t="shared" si="12"/>
        <v>0.51</v>
      </c>
      <c r="BY13" s="65">
        <f t="shared" si="12"/>
        <v>0.61</v>
      </c>
      <c r="BZ13" s="480">
        <v>46</v>
      </c>
      <c r="CA13" s="483" t="s">
        <v>912</v>
      </c>
      <c r="CB13" s="480">
        <v>11</v>
      </c>
      <c r="CC13" s="483" t="s">
        <v>910</v>
      </c>
      <c r="CD13" s="426">
        <v>0.33</v>
      </c>
      <c r="CE13" s="426">
        <v>0.48</v>
      </c>
      <c r="CF13" s="426">
        <v>0.2</v>
      </c>
      <c r="CG13" s="426">
        <v>0</v>
      </c>
      <c r="CH13" s="65">
        <f t="shared" ref="CH13:CM13" si="13">CH95</f>
        <v>0.61</v>
      </c>
      <c r="CI13" s="65">
        <f t="shared" si="13"/>
        <v>0.53</v>
      </c>
      <c r="CJ13" s="65">
        <f t="shared" si="13"/>
        <v>0.62</v>
      </c>
      <c r="CK13" s="65">
        <f t="shared" si="13"/>
        <v>0.57999999999999996</v>
      </c>
      <c r="CL13" s="65">
        <f t="shared" si="13"/>
        <v>0.41</v>
      </c>
      <c r="CM13" s="65">
        <f t="shared" si="13"/>
        <v>0.6</v>
      </c>
      <c r="CN13" s="628">
        <v>46</v>
      </c>
      <c r="CO13" s="639" t="s">
        <v>912</v>
      </c>
      <c r="CP13" s="628">
        <v>11</v>
      </c>
      <c r="CQ13" s="639" t="s">
        <v>910</v>
      </c>
      <c r="CR13" s="643">
        <v>0.38</v>
      </c>
      <c r="CS13" s="643">
        <v>0.42</v>
      </c>
      <c r="CT13" s="643">
        <v>0.18</v>
      </c>
      <c r="CU13" s="643">
        <v>0.02</v>
      </c>
      <c r="CV13" s="639" t="s">
        <v>287</v>
      </c>
      <c r="CW13" s="639" t="s">
        <v>287</v>
      </c>
      <c r="CX13" s="639" t="s">
        <v>287</v>
      </c>
      <c r="CY13" s="639" t="s">
        <v>287</v>
      </c>
      <c r="CZ13" s="639" t="s">
        <v>287</v>
      </c>
      <c r="DA13" s="639" t="s">
        <v>287</v>
      </c>
    </row>
    <row r="14" spans="1:113" ht="24.9" customHeight="1" x14ac:dyDescent="0.25">
      <c r="A14" s="187" t="s">
        <v>14</v>
      </c>
      <c r="B14" s="6"/>
      <c r="C14" s="6"/>
      <c r="D14" s="30">
        <v>53</v>
      </c>
      <c r="E14" s="30">
        <v>9</v>
      </c>
      <c r="F14" s="98">
        <v>0.11</v>
      </c>
      <c r="G14" s="98">
        <v>0.5</v>
      </c>
      <c r="H14" s="98">
        <v>0.38</v>
      </c>
      <c r="I14" s="98">
        <v>0.02</v>
      </c>
      <c r="J14" s="65">
        <f>AVERAGEIFS(J$36:J$167,$B$36:$B$167,"=no oficial")</f>
        <v>0.52037974683544308</v>
      </c>
      <c r="K14" s="65">
        <f t="shared" ref="K14:O14" si="14">AVERAGEIFS(K$36:K$167,$B$36:$B$167,"=no oficial")</f>
        <v>0.4827848101265822</v>
      </c>
      <c r="L14" s="65">
        <f t="shared" si="14"/>
        <v>0.57050632911392407</v>
      </c>
      <c r="M14" s="65">
        <f t="shared" si="14"/>
        <v>0.39632911392405068</v>
      </c>
      <c r="N14" s="65">
        <f t="shared" si="14"/>
        <v>0.41873417721518985</v>
      </c>
      <c r="O14" s="65">
        <f t="shared" si="14"/>
        <v>0.48443037974683539</v>
      </c>
      <c r="P14" s="30">
        <v>53</v>
      </c>
      <c r="Q14" s="30">
        <v>10</v>
      </c>
      <c r="R14" s="89">
        <v>0.11</v>
      </c>
      <c r="S14" s="89">
        <v>0.48</v>
      </c>
      <c r="T14" s="89">
        <v>0.39</v>
      </c>
      <c r="U14" s="89">
        <v>0.03</v>
      </c>
      <c r="V14" s="65">
        <f>AVERAGEIFS(V$36:V$167,$B$36:$B$167,"=no oficial")</f>
        <v>0.39025316455696207</v>
      </c>
      <c r="W14" s="65">
        <f t="shared" ref="W14:AA14" si="15">AVERAGEIFS(W$36:W$167,$B$36:$B$167,"=no oficial")</f>
        <v>0.45645569620253157</v>
      </c>
      <c r="X14" s="65">
        <f t="shared" si="15"/>
        <v>0.53734177215189882</v>
      </c>
      <c r="Y14" s="65">
        <f t="shared" si="15"/>
        <v>0.43278481012658232</v>
      </c>
      <c r="Z14" s="65">
        <f t="shared" si="15"/>
        <v>0.41620253164556958</v>
      </c>
      <c r="AA14" s="65">
        <f t="shared" si="15"/>
        <v>0.47101265822784794</v>
      </c>
      <c r="AB14" s="30">
        <v>52</v>
      </c>
      <c r="AC14" s="30">
        <v>10</v>
      </c>
      <c r="AD14" s="65">
        <v>0.16</v>
      </c>
      <c r="AE14" s="65">
        <v>0.47</v>
      </c>
      <c r="AF14" s="65">
        <v>0.35</v>
      </c>
      <c r="AG14" s="65">
        <v>0.03</v>
      </c>
      <c r="AH14" s="65">
        <f>AVERAGEIFS(AH$36:AH$167,$B$36:$B$167,"=no oficial")</f>
        <v>0.40849999999999992</v>
      </c>
      <c r="AI14" s="65">
        <f t="shared" ref="AI14:AM14" si="16">AVERAGEIFS(AI$36:AI$167,$B$36:$B$167,"=no oficial")</f>
        <v>0.41050000000000003</v>
      </c>
      <c r="AJ14" s="65">
        <f t="shared" si="16"/>
        <v>0.38037500000000002</v>
      </c>
      <c r="AK14" s="65">
        <f t="shared" si="16"/>
        <v>0.46799999999999997</v>
      </c>
      <c r="AL14" s="65">
        <f t="shared" si="16"/>
        <v>0.53237500000000004</v>
      </c>
      <c r="AM14" s="65">
        <f t="shared" si="16"/>
        <v>0.50437500000000013</v>
      </c>
      <c r="AN14" s="30">
        <v>50</v>
      </c>
      <c r="AO14" s="30">
        <v>11</v>
      </c>
      <c r="AP14" s="65">
        <v>0.21</v>
      </c>
      <c r="AQ14" s="65">
        <v>0.46</v>
      </c>
      <c r="AR14" s="65">
        <v>0.31</v>
      </c>
      <c r="AS14" s="65">
        <v>0.02</v>
      </c>
      <c r="AT14" s="65">
        <f>AVERAGEIFS(AT$36:AT$167,$B$36:$B$167,"=no oficial")</f>
        <v>0.52890243902439027</v>
      </c>
      <c r="AU14" s="65">
        <f t="shared" ref="AU14:AY14" si="17">AVERAGEIFS(AU$36:AU$167,$B$36:$B$167,"=no oficial")</f>
        <v>0.4510975609756096</v>
      </c>
      <c r="AV14" s="65">
        <f t="shared" si="17"/>
        <v>0.43841463414634141</v>
      </c>
      <c r="AW14" s="65">
        <f t="shared" si="17"/>
        <v>0.45304878048780478</v>
      </c>
      <c r="AX14" s="65">
        <f t="shared" si="17"/>
        <v>0.45890243902439037</v>
      </c>
      <c r="AY14" s="65">
        <f t="shared" si="17"/>
        <v>0.46707317073170729</v>
      </c>
      <c r="AZ14" s="78">
        <v>52</v>
      </c>
      <c r="BA14" s="78">
        <v>11</v>
      </c>
      <c r="BB14" s="86">
        <v>0.16</v>
      </c>
      <c r="BC14" s="86">
        <v>0.45</v>
      </c>
      <c r="BD14" s="86">
        <v>0.36</v>
      </c>
      <c r="BE14" s="86">
        <v>0.03</v>
      </c>
      <c r="BF14" s="65">
        <f>AVERAGEIFS(BF$36:BF$167,$B$36:$B$167,"=no oficial")</f>
        <v>0.46919540229885065</v>
      </c>
      <c r="BG14" s="65">
        <f t="shared" ref="BG14:BK14" si="18">AVERAGEIFS(BG$36:BG$167,$B$36:$B$167,"=no oficial")</f>
        <v>0.4513793103448277</v>
      </c>
      <c r="BH14" s="65">
        <f t="shared" si="18"/>
        <v>0.44712643678160935</v>
      </c>
      <c r="BI14" s="65">
        <f t="shared" si="18"/>
        <v>0.52517241379310342</v>
      </c>
      <c r="BJ14" s="65">
        <f t="shared" si="18"/>
        <v>0.40505747126436792</v>
      </c>
      <c r="BK14" s="65">
        <f t="shared" si="18"/>
        <v>0.38919540229885063</v>
      </c>
      <c r="BL14" s="347">
        <v>51</v>
      </c>
      <c r="BM14" s="343" t="s">
        <v>910</v>
      </c>
      <c r="BN14" s="347">
        <v>11</v>
      </c>
      <c r="BO14" s="343" t="s">
        <v>910</v>
      </c>
      <c r="BP14" s="370">
        <v>0.19</v>
      </c>
      <c r="BQ14" s="370">
        <v>0.45</v>
      </c>
      <c r="BR14" s="370">
        <v>0.33</v>
      </c>
      <c r="BS14" s="370">
        <v>0.03</v>
      </c>
      <c r="BT14" s="65">
        <f>AVERAGEIFS(BT$36:BT$167,$B$36:$B$167,"=no oficial")</f>
        <v>0.4317441860465116</v>
      </c>
      <c r="BU14" s="65">
        <f t="shared" ref="BU14:BY14" si="19">AVERAGEIFS(BU$36:BU$167,$B$36:$B$167,"=no oficial")</f>
        <v>0.45755813953488389</v>
      </c>
      <c r="BV14" s="65">
        <f t="shared" si="19"/>
        <v>0.53883720930232559</v>
      </c>
      <c r="BW14" s="65">
        <f t="shared" si="19"/>
        <v>0.42488372093023252</v>
      </c>
      <c r="BX14" s="65">
        <f t="shared" si="19"/>
        <v>0.4570930232558138</v>
      </c>
      <c r="BY14" s="65">
        <f t="shared" si="19"/>
        <v>0.52325581395348852</v>
      </c>
      <c r="BZ14" s="480">
        <v>52</v>
      </c>
      <c r="CA14" s="483" t="s">
        <v>910</v>
      </c>
      <c r="CB14" s="480">
        <v>11</v>
      </c>
      <c r="CC14" s="483" t="s">
        <v>910</v>
      </c>
      <c r="CD14" s="426">
        <v>0.16</v>
      </c>
      <c r="CE14" s="426">
        <v>0.42</v>
      </c>
      <c r="CF14" s="426">
        <v>0.39</v>
      </c>
      <c r="CG14" s="426">
        <v>0.03</v>
      </c>
      <c r="CH14" s="65">
        <f t="shared" ref="CH14:CM14" si="20">AVERAGEIFS(CH$36:CH$167,$B$36:$B$167,"=no oficial")</f>
        <v>0.47806818181818184</v>
      </c>
      <c r="CI14" s="65">
        <f t="shared" si="20"/>
        <v>0.36280898876404499</v>
      </c>
      <c r="CJ14" s="65">
        <f t="shared" si="20"/>
        <v>0.54820224719101118</v>
      </c>
      <c r="CK14" s="65">
        <f t="shared" si="20"/>
        <v>0.5149438202247193</v>
      </c>
      <c r="CL14" s="65">
        <f t="shared" si="20"/>
        <v>0.42078651685393248</v>
      </c>
      <c r="CM14" s="65">
        <f t="shared" si="20"/>
        <v>0.53617977528089866</v>
      </c>
      <c r="CN14" s="628">
        <v>53</v>
      </c>
      <c r="CO14" s="639" t="s">
        <v>910</v>
      </c>
      <c r="CP14" s="628">
        <v>11</v>
      </c>
      <c r="CQ14" s="639" t="s">
        <v>910</v>
      </c>
      <c r="CR14" s="643">
        <v>0.14000000000000001</v>
      </c>
      <c r="CS14" s="643">
        <v>0.44</v>
      </c>
      <c r="CT14" s="643">
        <v>0.38</v>
      </c>
      <c r="CU14" s="643">
        <v>0.03</v>
      </c>
      <c r="CV14" s="639" t="s">
        <v>287</v>
      </c>
      <c r="CW14" s="639" t="s">
        <v>287</v>
      </c>
      <c r="CX14" s="639" t="s">
        <v>287</v>
      </c>
      <c r="CY14" s="639" t="s">
        <v>287</v>
      </c>
      <c r="CZ14" s="639" t="s">
        <v>287</v>
      </c>
      <c r="DA14" s="639" t="s">
        <v>287</v>
      </c>
    </row>
    <row r="15" spans="1:113" ht="24.9" customHeight="1" x14ac:dyDescent="0.25">
      <c r="A15" s="187" t="s">
        <v>15</v>
      </c>
      <c r="B15" s="6"/>
      <c r="C15" s="6"/>
      <c r="D15" s="30">
        <v>50</v>
      </c>
      <c r="E15" s="30">
        <v>9</v>
      </c>
      <c r="F15" s="98">
        <v>0.18</v>
      </c>
      <c r="G15" s="98">
        <v>0.56000000000000005</v>
      </c>
      <c r="H15" s="98">
        <v>0.25</v>
      </c>
      <c r="I15" s="98">
        <v>0</v>
      </c>
      <c r="J15" s="11" t="s">
        <v>287</v>
      </c>
      <c r="K15" s="11" t="s">
        <v>287</v>
      </c>
      <c r="L15" s="11" t="s">
        <v>287</v>
      </c>
      <c r="M15" s="94" t="s">
        <v>287</v>
      </c>
      <c r="N15" s="94" t="s">
        <v>287</v>
      </c>
      <c r="O15" s="94" t="s">
        <v>287</v>
      </c>
      <c r="P15" s="30">
        <v>50</v>
      </c>
      <c r="Q15" s="30">
        <v>10</v>
      </c>
      <c r="R15" s="89">
        <v>0.17</v>
      </c>
      <c r="S15" s="89">
        <v>0.53</v>
      </c>
      <c r="T15" s="89">
        <v>0.28000000000000003</v>
      </c>
      <c r="U15" s="89">
        <v>0.01</v>
      </c>
      <c r="V15" s="11" t="s">
        <v>287</v>
      </c>
      <c r="W15" s="11" t="s">
        <v>287</v>
      </c>
      <c r="X15" s="11" t="s">
        <v>287</v>
      </c>
      <c r="Y15" s="94" t="s">
        <v>287</v>
      </c>
      <c r="Z15" s="94" t="s">
        <v>287</v>
      </c>
      <c r="AA15" s="94" t="s">
        <v>287</v>
      </c>
      <c r="AB15" s="30">
        <v>48</v>
      </c>
      <c r="AC15" s="30">
        <v>10</v>
      </c>
      <c r="AD15" s="65">
        <v>0.26</v>
      </c>
      <c r="AE15" s="65">
        <v>0.51</v>
      </c>
      <c r="AF15" s="65">
        <v>0.23</v>
      </c>
      <c r="AG15" s="65">
        <v>0.01</v>
      </c>
      <c r="AH15" s="11" t="s">
        <v>287</v>
      </c>
      <c r="AI15" s="11" t="s">
        <v>287</v>
      </c>
      <c r="AJ15" s="11" t="s">
        <v>287</v>
      </c>
      <c r="AK15" s="94" t="s">
        <v>287</v>
      </c>
      <c r="AL15" s="94" t="s">
        <v>287</v>
      </c>
      <c r="AM15" s="94" t="s">
        <v>287</v>
      </c>
      <c r="AN15" s="30">
        <v>46</v>
      </c>
      <c r="AO15" s="30">
        <v>11</v>
      </c>
      <c r="AP15" s="65">
        <v>0.33</v>
      </c>
      <c r="AQ15" s="65">
        <v>0.46</v>
      </c>
      <c r="AR15" s="65">
        <v>0.2</v>
      </c>
      <c r="AS15" s="65">
        <v>0.01</v>
      </c>
      <c r="AT15" s="11" t="s">
        <v>287</v>
      </c>
      <c r="AU15" s="11" t="s">
        <v>287</v>
      </c>
      <c r="AV15" s="11" t="s">
        <v>287</v>
      </c>
      <c r="AW15" s="94" t="s">
        <v>287</v>
      </c>
      <c r="AX15" s="94" t="s">
        <v>287</v>
      </c>
      <c r="AY15" s="94" t="s">
        <v>287</v>
      </c>
      <c r="AZ15" s="78">
        <v>48</v>
      </c>
      <c r="BA15" s="78">
        <v>10</v>
      </c>
      <c r="BB15" s="86">
        <v>0.24</v>
      </c>
      <c r="BC15" s="86">
        <v>0.52</v>
      </c>
      <c r="BD15" s="86">
        <v>0.22</v>
      </c>
      <c r="BE15" s="86">
        <v>0.01</v>
      </c>
      <c r="BF15" s="11" t="s">
        <v>287</v>
      </c>
      <c r="BG15" s="11" t="s">
        <v>287</v>
      </c>
      <c r="BH15" s="11" t="s">
        <v>287</v>
      </c>
      <c r="BI15" s="94" t="s">
        <v>287</v>
      </c>
      <c r="BJ15" s="94" t="s">
        <v>287</v>
      </c>
      <c r="BK15" s="94" t="s">
        <v>287</v>
      </c>
      <c r="BL15" s="347">
        <v>46</v>
      </c>
      <c r="BM15" s="343" t="s">
        <v>910</v>
      </c>
      <c r="BN15" s="347">
        <v>10</v>
      </c>
      <c r="BO15" s="343" t="s">
        <v>910</v>
      </c>
      <c r="BP15" s="370">
        <v>0.31</v>
      </c>
      <c r="BQ15" s="370">
        <v>0.49</v>
      </c>
      <c r="BR15" s="370">
        <v>0.19</v>
      </c>
      <c r="BS15" s="370">
        <v>0.01</v>
      </c>
      <c r="BT15" s="343" t="s">
        <v>287</v>
      </c>
      <c r="BU15" s="343" t="s">
        <v>287</v>
      </c>
      <c r="BV15" s="343" t="s">
        <v>287</v>
      </c>
      <c r="BW15" s="343" t="s">
        <v>287</v>
      </c>
      <c r="BX15" s="343" t="s">
        <v>287</v>
      </c>
      <c r="BY15" s="343" t="s">
        <v>287</v>
      </c>
      <c r="BZ15" s="480">
        <v>47</v>
      </c>
      <c r="CA15" s="483" t="s">
        <v>910</v>
      </c>
      <c r="CB15" s="480">
        <v>10</v>
      </c>
      <c r="CC15" s="483" t="s">
        <v>910</v>
      </c>
      <c r="CD15" s="426">
        <v>0.28999999999999998</v>
      </c>
      <c r="CE15" s="426">
        <v>0.49</v>
      </c>
      <c r="CF15" s="426">
        <v>0.21</v>
      </c>
      <c r="CG15" s="426">
        <v>0.01</v>
      </c>
      <c r="CH15" s="483" t="s">
        <v>287</v>
      </c>
      <c r="CI15" s="483" t="s">
        <v>287</v>
      </c>
      <c r="CJ15" s="483" t="s">
        <v>287</v>
      </c>
      <c r="CK15" s="483" t="s">
        <v>287</v>
      </c>
      <c r="CL15" s="483" t="s">
        <v>287</v>
      </c>
      <c r="CM15" s="483" t="s">
        <v>287</v>
      </c>
      <c r="CN15" s="628">
        <v>48</v>
      </c>
      <c r="CO15" s="639" t="s">
        <v>910</v>
      </c>
      <c r="CP15" s="628">
        <v>10</v>
      </c>
      <c r="CQ15" s="639" t="s">
        <v>910</v>
      </c>
      <c r="CR15" s="643">
        <v>0.26</v>
      </c>
      <c r="CS15" s="643">
        <v>0.51</v>
      </c>
      <c r="CT15" s="643">
        <v>0.22</v>
      </c>
      <c r="CU15" s="643">
        <v>0.01</v>
      </c>
      <c r="CV15" s="639" t="s">
        <v>287</v>
      </c>
      <c r="CW15" s="639" t="s">
        <v>287</v>
      </c>
      <c r="CX15" s="639" t="s">
        <v>287</v>
      </c>
      <c r="CY15" s="639" t="s">
        <v>287</v>
      </c>
      <c r="CZ15" s="639" t="s">
        <v>287</v>
      </c>
      <c r="DA15" s="639" t="s">
        <v>287</v>
      </c>
    </row>
    <row r="16" spans="1:113" ht="24.9" customHeight="1" x14ac:dyDescent="0.25">
      <c r="A16" s="187" t="s">
        <v>16</v>
      </c>
      <c r="B16" s="6"/>
      <c r="C16" s="6"/>
      <c r="D16" s="30">
        <v>53</v>
      </c>
      <c r="E16" s="30">
        <v>9</v>
      </c>
      <c r="F16" s="98">
        <v>0.11</v>
      </c>
      <c r="G16" s="98">
        <v>0.51</v>
      </c>
      <c r="H16" s="98">
        <v>0.37</v>
      </c>
      <c r="I16" s="98">
        <v>0.02</v>
      </c>
      <c r="J16" s="11" t="s">
        <v>287</v>
      </c>
      <c r="K16" s="11" t="s">
        <v>287</v>
      </c>
      <c r="L16" s="11" t="s">
        <v>287</v>
      </c>
      <c r="M16" s="94" t="s">
        <v>287</v>
      </c>
      <c r="N16" s="94" t="s">
        <v>287</v>
      </c>
      <c r="O16" s="94" t="s">
        <v>287</v>
      </c>
      <c r="P16" s="30">
        <v>53</v>
      </c>
      <c r="Q16" s="30">
        <v>10</v>
      </c>
      <c r="R16" s="89">
        <v>0.11</v>
      </c>
      <c r="S16" s="89">
        <v>0.49</v>
      </c>
      <c r="T16" s="89">
        <v>0.37</v>
      </c>
      <c r="U16" s="89">
        <v>0.03</v>
      </c>
      <c r="V16" s="11" t="s">
        <v>287</v>
      </c>
      <c r="W16" s="11" t="s">
        <v>287</v>
      </c>
      <c r="X16" s="11" t="s">
        <v>287</v>
      </c>
      <c r="Y16" s="94" t="s">
        <v>287</v>
      </c>
      <c r="Z16" s="94" t="s">
        <v>287</v>
      </c>
      <c r="AA16" s="94" t="s">
        <v>287</v>
      </c>
      <c r="AB16" s="30">
        <v>51</v>
      </c>
      <c r="AC16" s="30">
        <v>10</v>
      </c>
      <c r="AD16" s="65">
        <v>0.17</v>
      </c>
      <c r="AE16" s="65">
        <v>0.48</v>
      </c>
      <c r="AF16" s="65">
        <v>0.33</v>
      </c>
      <c r="AG16" s="65">
        <v>0.02</v>
      </c>
      <c r="AH16" s="11" t="s">
        <v>287</v>
      </c>
      <c r="AI16" s="11" t="s">
        <v>287</v>
      </c>
      <c r="AJ16" s="11" t="s">
        <v>287</v>
      </c>
      <c r="AK16" s="94" t="s">
        <v>287</v>
      </c>
      <c r="AL16" s="94" t="s">
        <v>287</v>
      </c>
      <c r="AM16" s="94" t="s">
        <v>287</v>
      </c>
      <c r="AN16" s="30">
        <v>49</v>
      </c>
      <c r="AO16" s="30">
        <v>11</v>
      </c>
      <c r="AP16" s="65">
        <v>0.22</v>
      </c>
      <c r="AQ16" s="65">
        <v>0.48</v>
      </c>
      <c r="AR16" s="65">
        <v>0.28000000000000003</v>
      </c>
      <c r="AS16" s="65">
        <v>0.02</v>
      </c>
      <c r="AT16" s="11" t="s">
        <v>287</v>
      </c>
      <c r="AU16" s="11" t="s">
        <v>287</v>
      </c>
      <c r="AV16" s="11" t="s">
        <v>287</v>
      </c>
      <c r="AW16" s="94" t="s">
        <v>287</v>
      </c>
      <c r="AX16" s="94" t="s">
        <v>287</v>
      </c>
      <c r="AY16" s="94" t="s">
        <v>287</v>
      </c>
      <c r="AZ16" s="78">
        <v>51</v>
      </c>
      <c r="BA16" s="78">
        <v>11</v>
      </c>
      <c r="BB16" s="86">
        <v>0.17</v>
      </c>
      <c r="BC16" s="86">
        <v>0.46</v>
      </c>
      <c r="BD16" s="86">
        <v>0.34</v>
      </c>
      <c r="BE16" s="86">
        <v>0.03</v>
      </c>
      <c r="BF16" s="11" t="s">
        <v>287</v>
      </c>
      <c r="BG16" s="11" t="s">
        <v>287</v>
      </c>
      <c r="BH16" s="11" t="s">
        <v>287</v>
      </c>
      <c r="BI16" s="94" t="s">
        <v>287</v>
      </c>
      <c r="BJ16" s="94" t="s">
        <v>287</v>
      </c>
      <c r="BK16" s="94" t="s">
        <v>287</v>
      </c>
      <c r="BL16" s="347">
        <v>50</v>
      </c>
      <c r="BM16" s="343" t="s">
        <v>910</v>
      </c>
      <c r="BN16" s="347">
        <v>11</v>
      </c>
      <c r="BO16" s="343" t="s">
        <v>910</v>
      </c>
      <c r="BP16" s="370">
        <v>0.21</v>
      </c>
      <c r="BQ16" s="370">
        <v>0.47</v>
      </c>
      <c r="BR16" s="370">
        <v>0.3</v>
      </c>
      <c r="BS16" s="370">
        <v>0.02</v>
      </c>
      <c r="BT16" s="343" t="s">
        <v>287</v>
      </c>
      <c r="BU16" s="343" t="s">
        <v>287</v>
      </c>
      <c r="BV16" s="343" t="s">
        <v>287</v>
      </c>
      <c r="BW16" s="343" t="s">
        <v>287</v>
      </c>
      <c r="BX16" s="343" t="s">
        <v>287</v>
      </c>
      <c r="BY16" s="343" t="s">
        <v>287</v>
      </c>
      <c r="BZ16" s="480">
        <v>51</v>
      </c>
      <c r="CA16" s="483" t="s">
        <v>910</v>
      </c>
      <c r="CB16" s="480">
        <v>11</v>
      </c>
      <c r="CC16" s="483" t="s">
        <v>910</v>
      </c>
      <c r="CD16" s="426">
        <v>0.17</v>
      </c>
      <c r="CE16" s="426">
        <v>0.45</v>
      </c>
      <c r="CF16" s="426">
        <v>0.35</v>
      </c>
      <c r="CG16" s="426">
        <v>0.03</v>
      </c>
      <c r="CH16" s="483" t="s">
        <v>287</v>
      </c>
      <c r="CI16" s="483" t="s">
        <v>287</v>
      </c>
      <c r="CJ16" s="483" t="s">
        <v>287</v>
      </c>
      <c r="CK16" s="483" t="s">
        <v>287</v>
      </c>
      <c r="CL16" s="483" t="s">
        <v>287</v>
      </c>
      <c r="CM16" s="483" t="s">
        <v>287</v>
      </c>
      <c r="CN16" s="628">
        <v>52</v>
      </c>
      <c r="CO16" s="639" t="s">
        <v>910</v>
      </c>
      <c r="CP16" s="628">
        <v>10</v>
      </c>
      <c r="CQ16" s="639" t="s">
        <v>910</v>
      </c>
      <c r="CR16" s="643">
        <v>0.16</v>
      </c>
      <c r="CS16" s="643">
        <v>0.46</v>
      </c>
      <c r="CT16" s="643">
        <v>0.36</v>
      </c>
      <c r="CU16" s="643">
        <v>0.03</v>
      </c>
      <c r="CV16" s="639" t="s">
        <v>287</v>
      </c>
      <c r="CW16" s="639" t="s">
        <v>287</v>
      </c>
      <c r="CX16" s="639" t="s">
        <v>287</v>
      </c>
      <c r="CY16" s="639" t="s">
        <v>287</v>
      </c>
      <c r="CZ16" s="639" t="s">
        <v>287</v>
      </c>
      <c r="DA16" s="639" t="s">
        <v>287</v>
      </c>
    </row>
    <row r="17" spans="1:105" s="461" customFormat="1" ht="24.9" customHeight="1" x14ac:dyDescent="0.25">
      <c r="A17" s="427" t="s">
        <v>17</v>
      </c>
      <c r="B17" s="427"/>
      <c r="C17" s="427"/>
      <c r="D17" s="495"/>
      <c r="E17" s="495"/>
      <c r="F17" s="499"/>
      <c r="G17" s="499"/>
      <c r="H17" s="499"/>
      <c r="I17" s="499"/>
      <c r="J17" s="483"/>
      <c r="K17" s="483"/>
      <c r="L17" s="483"/>
      <c r="M17" s="486"/>
      <c r="N17" s="486"/>
      <c r="O17" s="486"/>
      <c r="P17" s="495"/>
      <c r="Q17" s="495"/>
      <c r="R17" s="497"/>
      <c r="S17" s="497"/>
      <c r="T17" s="497"/>
      <c r="U17" s="497"/>
      <c r="V17" s="483"/>
      <c r="W17" s="483"/>
      <c r="X17" s="483"/>
      <c r="Y17" s="486"/>
      <c r="Z17" s="486"/>
      <c r="AA17" s="486"/>
      <c r="AB17" s="495"/>
      <c r="AC17" s="495"/>
      <c r="AD17" s="426"/>
      <c r="AE17" s="426"/>
      <c r="AF17" s="426"/>
      <c r="AG17" s="426"/>
      <c r="AH17" s="483"/>
      <c r="AI17" s="483"/>
      <c r="AJ17" s="483"/>
      <c r="AK17" s="486"/>
      <c r="AL17" s="486"/>
      <c r="AM17" s="486"/>
      <c r="AN17" s="495"/>
      <c r="AO17" s="495"/>
      <c r="AP17" s="426"/>
      <c r="AQ17" s="426"/>
      <c r="AR17" s="426"/>
      <c r="AS17" s="426"/>
      <c r="AT17" s="483"/>
      <c r="AU17" s="483"/>
      <c r="AV17" s="483"/>
      <c r="AW17" s="486"/>
      <c r="AX17" s="486"/>
      <c r="AY17" s="486"/>
      <c r="AZ17" s="511"/>
      <c r="BA17" s="511"/>
      <c r="BB17" s="510"/>
      <c r="BC17" s="510"/>
      <c r="BD17" s="510"/>
      <c r="BE17" s="510"/>
      <c r="BF17" s="483"/>
      <c r="BG17" s="483"/>
      <c r="BH17" s="483"/>
      <c r="BI17" s="486"/>
      <c r="BJ17" s="486"/>
      <c r="BK17" s="486"/>
      <c r="BL17" s="488"/>
      <c r="BM17" s="513"/>
      <c r="BN17" s="488"/>
      <c r="BO17" s="513"/>
      <c r="BP17" s="500"/>
      <c r="BQ17" s="500"/>
      <c r="BR17" s="500"/>
      <c r="BS17" s="500"/>
      <c r="BT17" s="489"/>
      <c r="BU17" s="489"/>
      <c r="BV17" s="489"/>
      <c r="BW17" s="489"/>
      <c r="BX17" s="489"/>
      <c r="BY17" s="489"/>
      <c r="BZ17" s="480">
        <v>61</v>
      </c>
      <c r="CA17" s="483" t="s">
        <v>911</v>
      </c>
      <c r="CB17" s="480">
        <v>10</v>
      </c>
      <c r="CC17" s="483" t="s">
        <v>910</v>
      </c>
      <c r="CD17" s="426">
        <v>0</v>
      </c>
      <c r="CE17" s="426">
        <v>0.33</v>
      </c>
      <c r="CF17" s="426">
        <v>0.33</v>
      </c>
      <c r="CG17" s="426">
        <v>0.33</v>
      </c>
      <c r="CH17" s="483" t="s">
        <v>287</v>
      </c>
      <c r="CI17" s="483" t="s">
        <v>287</v>
      </c>
      <c r="CJ17" s="483" t="s">
        <v>287</v>
      </c>
      <c r="CK17" s="483" t="s">
        <v>287</v>
      </c>
      <c r="CL17" s="483" t="s">
        <v>287</v>
      </c>
      <c r="CM17" s="483" t="s">
        <v>287</v>
      </c>
    </row>
    <row r="18" spans="1:105" s="267" customFormat="1" ht="24.9" customHeight="1" x14ac:dyDescent="0.25">
      <c r="A18" s="283" t="s">
        <v>246</v>
      </c>
      <c r="B18" s="6"/>
      <c r="C18" s="6"/>
      <c r="D18" s="192">
        <f>AVERAGEIF($C$36:$C$167,"=1",D$36:D$167)</f>
        <v>50.588235294117645</v>
      </c>
      <c r="E18" s="192">
        <f>AVERAGEIF($C$36:$C$167,"=1",E$36:E$167)</f>
        <v>8.3529411764705888</v>
      </c>
      <c r="F18" s="65">
        <f>AVERAGEIF($C$36:$C$167,"=1",F$36:F$167)</f>
        <v>0.1735294117647059</v>
      </c>
      <c r="G18" s="65">
        <f t="shared" ref="G18:O18" si="21">AVERAGEIF($C$36:$C$167,"=1",G$36:G$167)</f>
        <v>0.53647058823529414</v>
      </c>
      <c r="H18" s="65">
        <f t="shared" si="21"/>
        <v>0.28764705882352942</v>
      </c>
      <c r="I18" s="65">
        <f t="shared" si="21"/>
        <v>1.764705882352941E-3</v>
      </c>
      <c r="J18" s="65">
        <f t="shared" si="21"/>
        <v>0.5458823529411766</v>
      </c>
      <c r="K18" s="65">
        <f t="shared" si="21"/>
        <v>0.51411764705882357</v>
      </c>
      <c r="L18" s="65">
        <f t="shared" si="21"/>
        <v>0.63235294117647067</v>
      </c>
      <c r="M18" s="65">
        <f t="shared" si="21"/>
        <v>0.41647058823529415</v>
      </c>
      <c r="N18" s="65">
        <f t="shared" si="21"/>
        <v>0.44117647058823534</v>
      </c>
      <c r="O18" s="65">
        <f t="shared" si="21"/>
        <v>0.51882352941176468</v>
      </c>
      <c r="P18" s="192">
        <f>AVERAGEIF($C$36:$C$167,"=1",P$36:P$167)</f>
        <v>50.8125</v>
      </c>
      <c r="Q18" s="192">
        <f>AVERAGEIF($C$36:$C$167,"=1",Q$36:Q$167)</f>
        <v>9.0625</v>
      </c>
      <c r="R18" s="65">
        <f>AVERAGEIF($C$36:$C$167,"=1",R$36:R$167)</f>
        <v>0.15624999999999994</v>
      </c>
      <c r="S18" s="65">
        <f t="shared" ref="S18:AA18" si="22">AVERAGEIF($C$36:$C$167,"=1",S$36:S$167)</f>
        <v>0.51500000000000001</v>
      </c>
      <c r="T18" s="65">
        <f t="shared" si="22"/>
        <v>0.30875000000000002</v>
      </c>
      <c r="U18" s="65">
        <f t="shared" si="22"/>
        <v>1.9374999999999996E-2</v>
      </c>
      <c r="V18" s="65">
        <f t="shared" si="22"/>
        <v>0.42624999999999996</v>
      </c>
      <c r="W18" s="65">
        <f t="shared" si="22"/>
        <v>0.479375</v>
      </c>
      <c r="X18" s="65">
        <f t="shared" si="22"/>
        <v>0.56874999999999998</v>
      </c>
      <c r="Y18" s="65">
        <f t="shared" si="22"/>
        <v>0.44562499999999994</v>
      </c>
      <c r="Z18" s="65">
        <f t="shared" si="22"/>
        <v>0.43687499999999996</v>
      </c>
      <c r="AA18" s="65">
        <f t="shared" si="22"/>
        <v>0.51437500000000003</v>
      </c>
      <c r="AB18" s="192">
        <f>AVERAGEIF($C$36:$C$167,"=1",AB$36:AB$167)</f>
        <v>48.882352941176471</v>
      </c>
      <c r="AC18" s="192">
        <f>AVERAGEIF($C$36:$C$167,"=1",AC$36:AC$167)</f>
        <v>10.058823529411764</v>
      </c>
      <c r="AD18" s="65">
        <f>AVERAGEIF($C$36:$C$167,"=1",AD$36:AD$167)</f>
        <v>0.23117647058823532</v>
      </c>
      <c r="AE18" s="65">
        <f t="shared" ref="AE18:AM18" si="23">AVERAGEIF($C$36:$C$167,"=1",AE$36:AE$167)</f>
        <v>0.49411764705882355</v>
      </c>
      <c r="AF18" s="65">
        <f t="shared" si="23"/>
        <v>0.25352941176470584</v>
      </c>
      <c r="AG18" s="65">
        <f t="shared" si="23"/>
        <v>2.2352941176470589E-2</v>
      </c>
      <c r="AH18" s="65">
        <f t="shared" si="23"/>
        <v>0.44470588235294128</v>
      </c>
      <c r="AI18" s="65">
        <f t="shared" si="23"/>
        <v>0.45411764705882357</v>
      </c>
      <c r="AJ18" s="65">
        <f t="shared" si="23"/>
        <v>0.41352941176470592</v>
      </c>
      <c r="AK18" s="65">
        <f t="shared" si="23"/>
        <v>0.50411764705882356</v>
      </c>
      <c r="AL18" s="65">
        <f t="shared" si="23"/>
        <v>0.55882352941176472</v>
      </c>
      <c r="AM18" s="65">
        <f t="shared" si="23"/>
        <v>0.55058823529411771</v>
      </c>
      <c r="AN18" s="192">
        <f>AVERAGEIF($C$36:$C$167,"=1",AN$36:AN$167)</f>
        <v>46.941176470588232</v>
      </c>
      <c r="AO18" s="192">
        <f>AVERAGEIF($C$36:$C$167,"=1",AO$36:AO$167)</f>
        <v>10.176470588235293</v>
      </c>
      <c r="AP18" s="65">
        <f>AVERAGEIF($C$36:$C$167,"=1",AP$36:AP$167)</f>
        <v>0.29705882352941188</v>
      </c>
      <c r="AQ18" s="65">
        <f t="shared" ref="AQ18:AY18" si="24">AVERAGEIF($C$36:$C$167,"=1",AQ$36:AQ$167)</f>
        <v>0.48235294117647065</v>
      </c>
      <c r="AR18" s="65">
        <f t="shared" si="24"/>
        <v>0.21411764705882352</v>
      </c>
      <c r="AS18" s="65">
        <f t="shared" si="24"/>
        <v>8.8235294117647058E-3</v>
      </c>
      <c r="AT18" s="65">
        <f t="shared" si="24"/>
        <v>0.55823529411764694</v>
      </c>
      <c r="AU18" s="65">
        <f t="shared" si="24"/>
        <v>0.49529411764705883</v>
      </c>
      <c r="AV18" s="65">
        <f t="shared" si="24"/>
        <v>0.48</v>
      </c>
      <c r="AW18" s="65">
        <f t="shared" si="24"/>
        <v>0.48588235294117643</v>
      </c>
      <c r="AX18" s="65">
        <f t="shared" si="24"/>
        <v>0.51117647058823534</v>
      </c>
      <c r="AY18" s="65">
        <f t="shared" si="24"/>
        <v>0.50058823529411778</v>
      </c>
      <c r="AZ18" s="192">
        <f>AVERAGEIF($C$36:$C$167,"=1",AZ$36:AZ$167)</f>
        <v>50.058823529411768</v>
      </c>
      <c r="BA18" s="192">
        <f>AVERAGEIF($C$36:$C$167,"=1",BA$36:BA$167)</f>
        <v>9.882352941176471</v>
      </c>
      <c r="BB18" s="65">
        <f>AVERAGEIF($C$36:$C$167,"=1",BB$36:BB$167)</f>
        <v>0.20705882352941171</v>
      </c>
      <c r="BC18" s="65">
        <f t="shared" ref="BC18:BK18" si="25">AVERAGEIF($C$36:$C$167,"=1",BC$36:BC$167)</f>
        <v>0.47764705882352937</v>
      </c>
      <c r="BD18" s="65">
        <f t="shared" si="25"/>
        <v>0.29647058823529415</v>
      </c>
      <c r="BE18" s="65">
        <f t="shared" si="25"/>
        <v>1.8823529411764708E-2</v>
      </c>
      <c r="BF18" s="65">
        <f t="shared" si="25"/>
        <v>0.501764705882353</v>
      </c>
      <c r="BG18" s="65">
        <f t="shared" si="25"/>
        <v>0.47764705882352948</v>
      </c>
      <c r="BH18" s="65">
        <f t="shared" si="25"/>
        <v>0.47764705882352937</v>
      </c>
      <c r="BI18" s="65">
        <f t="shared" si="25"/>
        <v>0.54058823529411781</v>
      </c>
      <c r="BJ18" s="65">
        <f t="shared" si="25"/>
        <v>0.42470588235294121</v>
      </c>
      <c r="BK18" s="65">
        <f t="shared" si="25"/>
        <v>0.41823529411764709</v>
      </c>
      <c r="BL18" s="192">
        <f>AVERAGEIF($C$36:$C$167,"=1",BL$36:BL$167)</f>
        <v>48.823529411764703</v>
      </c>
      <c r="BM18" s="336"/>
      <c r="BN18" s="192">
        <f>AVERAGEIF($C$36:$C$167,"=1",BN$36:BN$167)</f>
        <v>9.7058823529411757</v>
      </c>
      <c r="BO18" s="336"/>
      <c r="BP18" s="65">
        <f>AVERAGEIF($C$36:$C$167,"=1",BP$36:BP$167)</f>
        <v>0.21411764705882352</v>
      </c>
      <c r="BQ18" s="65">
        <f t="shared" ref="BQ18:BY18" si="26">AVERAGEIF($C$36:$C$167,"=1",BQ$36:BQ$167)</f>
        <v>0.53117647058823536</v>
      </c>
      <c r="BR18" s="65">
        <f t="shared" si="26"/>
        <v>0.24117647058823527</v>
      </c>
      <c r="BS18" s="65">
        <f t="shared" si="26"/>
        <v>1.3529411764705882E-2</v>
      </c>
      <c r="BT18" s="65">
        <f t="shared" si="26"/>
        <v>0.48352941176470593</v>
      </c>
      <c r="BU18" s="65">
        <f t="shared" si="26"/>
        <v>0.47588235294117659</v>
      </c>
      <c r="BV18" s="65">
        <f t="shared" si="26"/>
        <v>0.60176470588235309</v>
      </c>
      <c r="BW18" s="65">
        <f t="shared" si="26"/>
        <v>0.43470588235294116</v>
      </c>
      <c r="BX18" s="65">
        <f t="shared" si="26"/>
        <v>0.4747058823529412</v>
      </c>
      <c r="BY18" s="65">
        <f t="shared" si="26"/>
        <v>0.53588235294117659</v>
      </c>
      <c r="BZ18" s="192">
        <f>AVERAGEIF($C$36:$C$167,"=1",BZ$36:BZ$167)</f>
        <v>49.388888888888886</v>
      </c>
      <c r="CB18" s="192">
        <f>AVERAGEIF($C$36:$C$167,"=1",CB$36:CB$167)</f>
        <v>10.333333333333334</v>
      </c>
      <c r="CD18" s="521">
        <f>AVERAGEIF($C$36:$C$167,"=1",CD$36:CD$167)</f>
        <v>0.2277777777777778</v>
      </c>
      <c r="CE18" s="521">
        <f t="shared" ref="CE18:CM18" si="27">AVERAGEIF($C$36:$C$167,"=1",CE$36:CE$167)</f>
        <v>0.43555555555555553</v>
      </c>
      <c r="CF18" s="521">
        <f t="shared" si="27"/>
        <v>0.3255555555555556</v>
      </c>
      <c r="CG18" s="521">
        <f t="shared" si="27"/>
        <v>1.0000000000000002E-2</v>
      </c>
      <c r="CH18" s="521">
        <f t="shared" si="27"/>
        <v>0.53055555555555556</v>
      </c>
      <c r="CI18" s="521">
        <f t="shared" si="27"/>
        <v>0.42388888888888887</v>
      </c>
      <c r="CJ18" s="521">
        <f t="shared" si="27"/>
        <v>0.58333333333333348</v>
      </c>
      <c r="CK18" s="521">
        <f t="shared" si="27"/>
        <v>0.54444444444444451</v>
      </c>
      <c r="CL18" s="521">
        <f t="shared" si="27"/>
        <v>0.43444444444444452</v>
      </c>
      <c r="CM18" s="521">
        <f t="shared" si="27"/>
        <v>0.56944444444444431</v>
      </c>
      <c r="CN18" s="192">
        <f>AVERAGEIF($C$36:$C$167,"=1",CN$36:CN$167)</f>
        <v>50.058823529411768</v>
      </c>
      <c r="CP18" s="192">
        <f>AVERAGEIF($C$36:$C$167,"=1",CP$36:CP$167)</f>
        <v>9.764705882352942</v>
      </c>
      <c r="CR18" s="521">
        <f>AVERAGEIF($C$36:$C$167,"=1",CR$36:CR$167)</f>
        <v>0.18470588235294116</v>
      </c>
      <c r="CS18" s="521">
        <f t="shared" ref="CS18:DA18" si="28">AVERAGEIF($C$36:$C$167,"=1",CS$36:CS$167)</f>
        <v>0.5</v>
      </c>
      <c r="CT18" s="521">
        <f t="shared" si="28"/>
        <v>0.3023529411764706</v>
      </c>
      <c r="CU18" s="521">
        <f t="shared" si="28"/>
        <v>1.2941176470588235E-2</v>
      </c>
      <c r="CV18" s="521">
        <f t="shared" si="28"/>
        <v>0.36529411764705877</v>
      </c>
      <c r="CW18" s="521">
        <f t="shared" si="28"/>
        <v>0.53882352941176481</v>
      </c>
      <c r="CX18" s="521">
        <f t="shared" si="28"/>
        <v>0.56705882352941184</v>
      </c>
      <c r="CY18" s="521">
        <f t="shared" si="28"/>
        <v>0.59235294117647075</v>
      </c>
      <c r="CZ18" s="521">
        <f t="shared" si="28"/>
        <v>0.5623529411764705</v>
      </c>
      <c r="DA18" s="521">
        <f t="shared" si="28"/>
        <v>0.57529411764705884</v>
      </c>
    </row>
    <row r="19" spans="1:105" s="267" customFormat="1" ht="24.9" customHeight="1" x14ac:dyDescent="0.25">
      <c r="A19" s="283" t="s">
        <v>247</v>
      </c>
      <c r="B19" s="6"/>
      <c r="C19" s="6"/>
      <c r="D19" s="192">
        <f>AVERAGEIF($C$36:$C$167,"=2",D$36:D$167)</f>
        <v>52.9</v>
      </c>
      <c r="E19" s="192">
        <f>AVERAGEIF($C$36:$C$167,"=2",E$36:E$167)</f>
        <v>7.95</v>
      </c>
      <c r="F19" s="65">
        <f>AVERAGEIF($C$36:$C$167,"=2",F$36:F$167)</f>
        <v>0.13</v>
      </c>
      <c r="G19" s="65">
        <f t="shared" ref="G19:O19" si="29">AVERAGEIF($C$36:$C$167,"=2",G$36:G$167)</f>
        <v>0.45050000000000001</v>
      </c>
      <c r="H19" s="65">
        <f t="shared" si="29"/>
        <v>0.40500000000000008</v>
      </c>
      <c r="I19" s="65">
        <f t="shared" si="29"/>
        <v>1.5000000000000003E-2</v>
      </c>
      <c r="J19" s="65">
        <f t="shared" si="29"/>
        <v>0.50700000000000001</v>
      </c>
      <c r="K19" s="65">
        <f t="shared" si="29"/>
        <v>0.48399999999999999</v>
      </c>
      <c r="L19" s="65">
        <f t="shared" si="29"/>
        <v>0.55500000000000005</v>
      </c>
      <c r="M19" s="65">
        <f t="shared" si="29"/>
        <v>0.38700000000000001</v>
      </c>
      <c r="N19" s="65">
        <f t="shared" si="29"/>
        <v>0.41549999999999992</v>
      </c>
      <c r="O19" s="65">
        <f t="shared" si="29"/>
        <v>0.46050000000000002</v>
      </c>
      <c r="P19" s="192">
        <f>AVERAGEIF($C$36:$C$167,"=2",P$36:P$167)</f>
        <v>52.421052631578945</v>
      </c>
      <c r="Q19" s="192">
        <f>AVERAGEIF($C$36:$C$167,"=2",Q$36:Q$167)</f>
        <v>9</v>
      </c>
      <c r="R19" s="65">
        <f>AVERAGEIF($C$36:$C$167,"=2",R$36:R$167)</f>
        <v>0.13473684210526315</v>
      </c>
      <c r="S19" s="65">
        <f t="shared" ref="S19:AA19" si="30">AVERAGEIF($C$36:$C$167,"=2",S$36:S$167)</f>
        <v>0.47736842105263166</v>
      </c>
      <c r="T19" s="65">
        <f t="shared" si="30"/>
        <v>0.36315789473684207</v>
      </c>
      <c r="U19" s="65">
        <f t="shared" si="30"/>
        <v>2.68421052631579E-2</v>
      </c>
      <c r="V19" s="65">
        <f t="shared" si="30"/>
        <v>0.39210526315789468</v>
      </c>
      <c r="W19" s="65">
        <f t="shared" si="30"/>
        <v>0.45894736842105266</v>
      </c>
      <c r="X19" s="65">
        <f t="shared" si="30"/>
        <v>0.5368421052631579</v>
      </c>
      <c r="Y19" s="65">
        <f t="shared" si="30"/>
        <v>0.44210526315789478</v>
      </c>
      <c r="Z19" s="65">
        <f t="shared" si="30"/>
        <v>0.40947368421052638</v>
      </c>
      <c r="AA19" s="65">
        <f t="shared" si="30"/>
        <v>0.46894736842105261</v>
      </c>
      <c r="AB19" s="192">
        <f>AVERAGEIF($C$36:$C$167,"=2",AB$36:AB$167)</f>
        <v>50.684210526315788</v>
      </c>
      <c r="AC19" s="192">
        <f>AVERAGEIF($C$36:$C$167,"=2",AC$36:AC$167)</f>
        <v>9.3157894736842106</v>
      </c>
      <c r="AD19" s="65">
        <f>AVERAGEIF($C$36:$C$167,"=2",AD$36:AD$167)</f>
        <v>0.22368421052631585</v>
      </c>
      <c r="AE19" s="65">
        <f t="shared" ref="AE19:AM19" si="31">AVERAGEIF($C$36:$C$167,"=2",AE$36:AE$167)</f>
        <v>0.42473684210526308</v>
      </c>
      <c r="AF19" s="65">
        <f t="shared" si="31"/>
        <v>0.3242105263157895</v>
      </c>
      <c r="AG19" s="65">
        <f t="shared" si="31"/>
        <v>2.8947368421052635E-2</v>
      </c>
      <c r="AH19" s="65">
        <f t="shared" si="31"/>
        <v>0.41736842105263161</v>
      </c>
      <c r="AI19" s="65">
        <f t="shared" si="31"/>
        <v>0.40842105263157896</v>
      </c>
      <c r="AJ19" s="65">
        <f t="shared" si="31"/>
        <v>0.39473684210526316</v>
      </c>
      <c r="AK19" s="65">
        <f t="shared" si="31"/>
        <v>0.48842105263157903</v>
      </c>
      <c r="AL19" s="65">
        <f t="shared" si="31"/>
        <v>0.52631578947368407</v>
      </c>
      <c r="AM19" s="65">
        <f t="shared" si="31"/>
        <v>0.49473684210526309</v>
      </c>
      <c r="AN19" s="192">
        <f>AVERAGEIF($C$36:$C$167,"=2",AN$36:AN$167)</f>
        <v>49.65</v>
      </c>
      <c r="AO19" s="192">
        <f>AVERAGEIF($C$36:$C$167,"=2",AO$36:AO$167)</f>
        <v>9.9</v>
      </c>
      <c r="AP19" s="65">
        <f>AVERAGEIF($C$36:$C$167,"=2",AP$36:AP$167)</f>
        <v>0.20400000000000001</v>
      </c>
      <c r="AQ19" s="65">
        <f t="shared" ref="AQ19:AY19" si="32">AVERAGEIF($C$36:$C$167,"=2",AQ$36:AQ$167)</f>
        <v>0.47749999999999992</v>
      </c>
      <c r="AR19" s="65">
        <f t="shared" si="32"/>
        <v>0.30099999999999993</v>
      </c>
      <c r="AS19" s="65">
        <f t="shared" si="32"/>
        <v>1.8500000000000006E-2</v>
      </c>
      <c r="AT19" s="65">
        <f t="shared" si="32"/>
        <v>0.52100000000000013</v>
      </c>
      <c r="AU19" s="65">
        <f t="shared" si="32"/>
        <v>0.43200000000000005</v>
      </c>
      <c r="AV19" s="65">
        <f t="shared" si="32"/>
        <v>0.43050000000000016</v>
      </c>
      <c r="AW19" s="65">
        <f t="shared" si="32"/>
        <v>0.4405</v>
      </c>
      <c r="AX19" s="65">
        <f t="shared" si="32"/>
        <v>0.44849999999999995</v>
      </c>
      <c r="AY19" s="65">
        <f t="shared" si="32"/>
        <v>0.46349999999999997</v>
      </c>
      <c r="AZ19" s="192">
        <f>AVERAGEIF($C$36:$C$167,"=2",AZ$36:AZ$167)</f>
        <v>51.083333333333336</v>
      </c>
      <c r="BA19" s="192">
        <f>AVERAGEIF($C$36:$C$167,"=2",BA$36:BA$167)</f>
        <v>9.125</v>
      </c>
      <c r="BB19" s="65">
        <f>AVERAGEIF($C$36:$C$167,"=2",BB$36:BB$167)</f>
        <v>0.2108333333333334</v>
      </c>
      <c r="BC19" s="65">
        <f t="shared" ref="BC19:BK19" si="33">AVERAGEIF($C$36:$C$167,"=2",BC$36:BC$167)</f>
        <v>0.46083333333333337</v>
      </c>
      <c r="BD19" s="65">
        <f t="shared" si="33"/>
        <v>0.29958333333333337</v>
      </c>
      <c r="BE19" s="65">
        <f t="shared" si="33"/>
        <v>0.03</v>
      </c>
      <c r="BF19" s="65">
        <f t="shared" si="33"/>
        <v>0.46416666666666662</v>
      </c>
      <c r="BG19" s="65">
        <f t="shared" si="33"/>
        <v>0.45999999999999996</v>
      </c>
      <c r="BH19" s="65">
        <f t="shared" si="33"/>
        <v>0.45000000000000012</v>
      </c>
      <c r="BI19" s="65">
        <f t="shared" si="33"/>
        <v>0.53249999999999997</v>
      </c>
      <c r="BJ19" s="65">
        <f t="shared" si="33"/>
        <v>0.40791666666666665</v>
      </c>
      <c r="BK19" s="65">
        <f t="shared" si="33"/>
        <v>0.37541666666666668</v>
      </c>
      <c r="BL19" s="192">
        <f>AVERAGEIF($C$36:$C$167,"=2",BL$36:BL$167)</f>
        <v>48.636363636363633</v>
      </c>
      <c r="BM19" s="336"/>
      <c r="BN19" s="192">
        <f>AVERAGEIF($C$36:$C$167,"=2",BN$36:BN$167)</f>
        <v>9.4090909090909083</v>
      </c>
      <c r="BO19" s="336"/>
      <c r="BP19" s="65">
        <f>AVERAGEIF($C$36:$C$167,"=2",BP$36:BP$167)</f>
        <v>0.26727272727272733</v>
      </c>
      <c r="BQ19" s="65">
        <f t="shared" ref="BQ19:BY19" si="34">AVERAGEIF($C$36:$C$167,"=2",BQ$36:BQ$167)</f>
        <v>0.42818181818181827</v>
      </c>
      <c r="BR19" s="65">
        <f t="shared" si="34"/>
        <v>0.2845454545454546</v>
      </c>
      <c r="BS19" s="65">
        <f t="shared" si="34"/>
        <v>2.3181818181818178E-2</v>
      </c>
      <c r="BT19" s="65">
        <f t="shared" si="34"/>
        <v>0.45500000000000007</v>
      </c>
      <c r="BU19" s="65">
        <f t="shared" si="34"/>
        <v>0.46727272727272723</v>
      </c>
      <c r="BV19" s="65">
        <f t="shared" si="34"/>
        <v>0.55772727272727263</v>
      </c>
      <c r="BW19" s="65">
        <f t="shared" si="34"/>
        <v>0.4527272727272727</v>
      </c>
      <c r="BX19" s="65">
        <f t="shared" si="34"/>
        <v>0.47772727272727272</v>
      </c>
      <c r="BY19" s="65">
        <f t="shared" si="34"/>
        <v>0.53454545454545466</v>
      </c>
      <c r="BZ19" s="192">
        <f>AVERAGEIF($C$36:$C$167,"=2",BZ$36:BZ$167)</f>
        <v>51.08</v>
      </c>
      <c r="CB19" s="192">
        <f>AVERAGEIF($C$36:$C$167,"=2",CB$36:CB$167)</f>
        <v>9.92</v>
      </c>
      <c r="CD19" s="521">
        <f>AVERAGEIF($C$36:$C$167,"=2",CD$36:CD$167)</f>
        <v>0.1928</v>
      </c>
      <c r="CE19" s="521">
        <f t="shared" ref="CE19:CM19" si="35">AVERAGEIF($C$36:$C$167,"=2",CE$36:CE$167)</f>
        <v>0.42680000000000007</v>
      </c>
      <c r="CF19" s="521">
        <f t="shared" si="35"/>
        <v>0.3524000000000001</v>
      </c>
      <c r="CG19" s="521">
        <f t="shared" si="35"/>
        <v>3.1200000000000009E-2</v>
      </c>
      <c r="CH19" s="521">
        <f t="shared" si="35"/>
        <v>0.48749999999999999</v>
      </c>
      <c r="CI19" s="521">
        <f t="shared" si="35"/>
        <v>0.36759999999999993</v>
      </c>
      <c r="CJ19" s="521">
        <f t="shared" si="35"/>
        <v>0.5544</v>
      </c>
      <c r="CK19" s="521">
        <f t="shared" si="35"/>
        <v>0.50640000000000007</v>
      </c>
      <c r="CL19" s="521">
        <f t="shared" si="35"/>
        <v>0.43759999999999999</v>
      </c>
      <c r="CM19" s="521">
        <f t="shared" si="35"/>
        <v>0.53880000000000006</v>
      </c>
      <c r="CN19" s="192">
        <f>AVERAGEIF($C$36:$C$167,"=2",CN$36:CN$167)</f>
        <v>51.5</v>
      </c>
      <c r="CP19" s="192">
        <f>AVERAGEIF($C$36:$C$167,"=2",CP$36:CP$167)</f>
        <v>9.384615384615385</v>
      </c>
      <c r="CR19" s="521">
        <f>AVERAGEIF($C$36:$C$167,"=2",CR$36:CR$167)</f>
        <v>0.16153846153846155</v>
      </c>
      <c r="CS19" s="521">
        <f t="shared" ref="CS19:DA19" si="36">AVERAGEIF($C$36:$C$167,"=2",CS$36:CS$167)</f>
        <v>0.4834615384615385</v>
      </c>
      <c r="CT19" s="521">
        <f t="shared" si="36"/>
        <v>0.32615384615384613</v>
      </c>
      <c r="CU19" s="521">
        <f t="shared" si="36"/>
        <v>3.0000000000000009E-2</v>
      </c>
      <c r="CV19" s="521">
        <f t="shared" si="36"/>
        <v>0.33615384615384625</v>
      </c>
      <c r="CW19" s="521">
        <f t="shared" si="36"/>
        <v>0.49461538461538457</v>
      </c>
      <c r="CX19" s="521">
        <f t="shared" si="36"/>
        <v>0.5623076923076924</v>
      </c>
      <c r="CY19" s="521">
        <f t="shared" si="36"/>
        <v>0.69480000000000008</v>
      </c>
      <c r="CZ19" s="521">
        <f t="shared" si="36"/>
        <v>0.51807692307692299</v>
      </c>
      <c r="DA19" s="521">
        <f t="shared" si="36"/>
        <v>0.52307692307692311</v>
      </c>
    </row>
    <row r="20" spans="1:105" s="267" customFormat="1" ht="24.9" customHeight="1" x14ac:dyDescent="0.25">
      <c r="A20" s="283" t="s">
        <v>248</v>
      </c>
      <c r="B20" s="6"/>
      <c r="C20" s="6"/>
      <c r="D20" s="192">
        <f>AVERAGEIF($C$36:$C$167,"=3",D$36:D$167)</f>
        <v>52.166666666666664</v>
      </c>
      <c r="E20" s="192">
        <f>AVERAGEIF($C$36:$C$167,"=3",E$36:E$167)</f>
        <v>8.7222222222222214</v>
      </c>
      <c r="F20" s="65">
        <f>AVERAGEIF($C$36:$C$167,"=3",F$36:F$167)</f>
        <v>0.10944444444444446</v>
      </c>
      <c r="G20" s="65">
        <f t="shared" ref="G20:O20" si="37">AVERAGEIF($C$36:$C$167,"=3",G$36:G$167)</f>
        <v>0.53277777777777791</v>
      </c>
      <c r="H20" s="65">
        <f t="shared" si="37"/>
        <v>0.34833333333333338</v>
      </c>
      <c r="I20" s="65">
        <f t="shared" si="37"/>
        <v>1.2222222222222225E-2</v>
      </c>
      <c r="J20" s="65">
        <f t="shared" si="37"/>
        <v>0.52833333333333332</v>
      </c>
      <c r="K20" s="65">
        <f t="shared" si="37"/>
        <v>0.48333333333333328</v>
      </c>
      <c r="L20" s="65">
        <f t="shared" si="37"/>
        <v>0.57277777777777783</v>
      </c>
      <c r="M20" s="65">
        <f t="shared" si="37"/>
        <v>0.40611111111111109</v>
      </c>
      <c r="N20" s="65">
        <f t="shared" si="37"/>
        <v>0.41833333333333339</v>
      </c>
      <c r="O20" s="65">
        <f t="shared" si="37"/>
        <v>0.47333333333333333</v>
      </c>
      <c r="P20" s="192">
        <f>AVERAGEIF($C$36:$C$167,"=3",P$36:P$167)</f>
        <v>52.473684210526315</v>
      </c>
      <c r="Q20" s="192">
        <f>AVERAGEIF($C$36:$C$167,"=3",Q$36:Q$167)</f>
        <v>9.526315789473685</v>
      </c>
      <c r="R20" s="65">
        <f>AVERAGEIF($C$36:$C$167,"=3",R$36:R$167)</f>
        <v>0.10526315789473686</v>
      </c>
      <c r="S20" s="65">
        <f t="shared" ref="S20:AA20" si="38">AVERAGEIF($C$36:$C$167,"=3",S$36:S$167)</f>
        <v>0.50684210526315787</v>
      </c>
      <c r="T20" s="65">
        <f t="shared" si="38"/>
        <v>0.35894736842105263</v>
      </c>
      <c r="U20" s="65">
        <f t="shared" si="38"/>
        <v>3.0000000000000002E-2</v>
      </c>
      <c r="V20" s="65">
        <f t="shared" si="38"/>
        <v>0.39947368421052637</v>
      </c>
      <c r="W20" s="65">
        <f t="shared" si="38"/>
        <v>0.46105263157894744</v>
      </c>
      <c r="X20" s="65">
        <f t="shared" si="38"/>
        <v>0.54105263157894734</v>
      </c>
      <c r="Y20" s="65">
        <f t="shared" si="38"/>
        <v>0.44105263157894731</v>
      </c>
      <c r="Z20" s="65">
        <f t="shared" si="38"/>
        <v>0.41263157894736846</v>
      </c>
      <c r="AA20" s="65">
        <f t="shared" si="38"/>
        <v>0.4678947368421052</v>
      </c>
      <c r="AB20" s="192">
        <f>AVERAGEIF($C$36:$C$167,"=3",AB$36:AB$167)</f>
        <v>51.10526315789474</v>
      </c>
      <c r="AC20" s="192">
        <f>AVERAGEIF($C$36:$C$167,"=3",AC$36:AC$167)</f>
        <v>9.8333333333333339</v>
      </c>
      <c r="AD20" s="65">
        <f>AVERAGEIF($C$36:$C$167,"=3",AD$36:AD$167)</f>
        <v>0.16210526315789472</v>
      </c>
      <c r="AE20" s="65">
        <f t="shared" ref="AE20:AM20" si="39">AVERAGEIF($C$36:$C$167,"=3",AE$36:AE$167)</f>
        <v>0.47578947368421065</v>
      </c>
      <c r="AF20" s="65">
        <f t="shared" si="39"/>
        <v>0.34052631578947362</v>
      </c>
      <c r="AG20" s="65">
        <f t="shared" si="39"/>
        <v>1.947368421052632E-2</v>
      </c>
      <c r="AH20" s="65">
        <f t="shared" si="39"/>
        <v>0.40578947368421064</v>
      </c>
      <c r="AI20" s="65">
        <f t="shared" si="39"/>
        <v>0.40157894736842109</v>
      </c>
      <c r="AJ20" s="65">
        <f t="shared" si="39"/>
        <v>0.38789473684210524</v>
      </c>
      <c r="AK20" s="65">
        <f t="shared" si="39"/>
        <v>0.47157894736842099</v>
      </c>
      <c r="AL20" s="65">
        <f t="shared" si="39"/>
        <v>0.53947368421052633</v>
      </c>
      <c r="AM20" s="65">
        <f t="shared" si="39"/>
        <v>0.50210526315789472</v>
      </c>
      <c r="AN20" s="192">
        <f>AVERAGEIF($C$36:$C$167,"=3",AN$36:AN$167)</f>
        <v>48.684210526315788</v>
      </c>
      <c r="AO20" s="192">
        <f>AVERAGEIF($C$36:$C$167,"=3",AO$36:AO$167)</f>
        <v>10.277777777777779</v>
      </c>
      <c r="AP20" s="65">
        <f>AVERAGEIF($C$36:$C$167,"=3",AP$36:AP$167)</f>
        <v>0.24631578947368418</v>
      </c>
      <c r="AQ20" s="65">
        <f t="shared" ref="AQ20:AY20" si="40">AVERAGEIF($C$36:$C$167,"=3",AQ$36:AQ$167)</f>
        <v>0.47263157894736846</v>
      </c>
      <c r="AR20" s="65">
        <f t="shared" si="40"/>
        <v>0.26736842105263159</v>
      </c>
      <c r="AS20" s="65">
        <f t="shared" si="40"/>
        <v>1.368421052631579E-2</v>
      </c>
      <c r="AT20" s="65">
        <f t="shared" si="40"/>
        <v>0.55052631578947375</v>
      </c>
      <c r="AU20" s="65">
        <f t="shared" si="40"/>
        <v>0.46526315789473677</v>
      </c>
      <c r="AV20" s="65">
        <f t="shared" si="40"/>
        <v>0.44842105263157894</v>
      </c>
      <c r="AW20" s="65">
        <f t="shared" si="40"/>
        <v>0.47105263157894733</v>
      </c>
      <c r="AX20" s="65">
        <f t="shared" si="40"/>
        <v>0.46789473684210531</v>
      </c>
      <c r="AY20" s="65">
        <f t="shared" si="40"/>
        <v>0.473157894736842</v>
      </c>
      <c r="AZ20" s="192">
        <f>AVERAGEIF($C$36:$C$167,"=3",AZ$36:AZ$167)</f>
        <v>51.6</v>
      </c>
      <c r="BA20" s="192">
        <f>AVERAGEIF($C$36:$C$167,"=3",BA$36:BA$167)</f>
        <v>10.25</v>
      </c>
      <c r="BB20" s="65">
        <f>AVERAGEIF($C$36:$C$167,"=3",BB$36:BB$167)</f>
        <v>0.15950000000000003</v>
      </c>
      <c r="BC20" s="65">
        <f t="shared" ref="BC20:BK20" si="41">AVERAGEIF($C$36:$C$167,"=3",BC$36:BC$167)</f>
        <v>0.46599999999999991</v>
      </c>
      <c r="BD20" s="65">
        <f t="shared" si="41"/>
        <v>0.33950000000000002</v>
      </c>
      <c r="BE20" s="65">
        <f t="shared" si="41"/>
        <v>3.5500000000000004E-2</v>
      </c>
      <c r="BF20" s="65">
        <f t="shared" si="41"/>
        <v>0.46000000000000008</v>
      </c>
      <c r="BG20" s="65">
        <f t="shared" si="41"/>
        <v>0.43649999999999994</v>
      </c>
      <c r="BH20" s="65">
        <f t="shared" si="41"/>
        <v>0.4425</v>
      </c>
      <c r="BI20" s="65">
        <f t="shared" si="41"/>
        <v>0.53400000000000003</v>
      </c>
      <c r="BJ20" s="65">
        <f t="shared" si="41"/>
        <v>0.41299999999999998</v>
      </c>
      <c r="BK20" s="65">
        <f t="shared" si="41"/>
        <v>0.38649999999999995</v>
      </c>
      <c r="BL20" s="192">
        <f>AVERAGEIF($C$36:$C$167,"=3",BL$36:BL$167)</f>
        <v>50.05</v>
      </c>
      <c r="BM20" s="336"/>
      <c r="BN20" s="192">
        <f>AVERAGEIF($C$36:$C$167,"=3",BN$36:BN$167)</f>
        <v>10.199999999999999</v>
      </c>
      <c r="BO20" s="336"/>
      <c r="BP20" s="65">
        <f>AVERAGEIF($C$36:$C$167,"=3",BP$36:BP$167)</f>
        <v>0.20500000000000002</v>
      </c>
      <c r="BQ20" s="65">
        <f t="shared" ref="BQ20:BY20" si="42">AVERAGEIF($C$36:$C$167,"=3",BQ$36:BQ$167)</f>
        <v>0.47050000000000003</v>
      </c>
      <c r="BR20" s="65">
        <f t="shared" si="42"/>
        <v>0.30399999999999999</v>
      </c>
      <c r="BS20" s="65">
        <f t="shared" si="42"/>
        <v>2.1499999999999998E-2</v>
      </c>
      <c r="BT20" s="65">
        <f t="shared" si="42"/>
        <v>0.4365</v>
      </c>
      <c r="BU20" s="65">
        <f t="shared" si="42"/>
        <v>0.45800000000000002</v>
      </c>
      <c r="BV20" s="65">
        <f t="shared" si="42"/>
        <v>0.5595</v>
      </c>
      <c r="BW20" s="65">
        <f t="shared" si="42"/>
        <v>0.41450000000000004</v>
      </c>
      <c r="BX20" s="65">
        <f t="shared" si="42"/>
        <v>0.4469999999999999</v>
      </c>
      <c r="BY20" s="65">
        <f t="shared" si="42"/>
        <v>0.52300000000000002</v>
      </c>
      <c r="BZ20" s="192">
        <f>AVERAGEIF($C$36:$C$167,"=3",BZ$36:BZ$167)</f>
        <v>51.863636363636367</v>
      </c>
      <c r="CB20" s="192">
        <f>AVERAGEIF($C$36:$C$167,"=3",CB$36:CB$167)</f>
        <v>10.045454545454545</v>
      </c>
      <c r="CD20" s="521">
        <f>AVERAGEIF($C$36:$C$167,"=3",CD$36:CD$167)</f>
        <v>0.16545454545454547</v>
      </c>
      <c r="CE20" s="521">
        <f t="shared" ref="CE20:CM20" si="43">AVERAGEIF($C$36:$C$167,"=3",CE$36:CE$167)</f>
        <v>0.44409090909090915</v>
      </c>
      <c r="CF20" s="521">
        <f t="shared" si="43"/>
        <v>0.36363636363636365</v>
      </c>
      <c r="CG20" s="521">
        <f t="shared" si="43"/>
        <v>2.7727272727272732E-2</v>
      </c>
      <c r="CH20" s="521">
        <f t="shared" si="43"/>
        <v>0.45045454545454544</v>
      </c>
      <c r="CI20" s="521">
        <f t="shared" si="43"/>
        <v>0.35681818181818181</v>
      </c>
      <c r="CJ20" s="521">
        <f t="shared" si="43"/>
        <v>0.54454545454545444</v>
      </c>
      <c r="CK20" s="521">
        <f t="shared" si="43"/>
        <v>0.51227272727272732</v>
      </c>
      <c r="CL20" s="521">
        <f t="shared" si="43"/>
        <v>0.39545454545454545</v>
      </c>
      <c r="CM20" s="521">
        <f t="shared" si="43"/>
        <v>0.53590909090909089</v>
      </c>
      <c r="CN20" s="192">
        <f>AVERAGEIF($C$36:$C$167,"=3",CN$36:CN$167)</f>
        <v>51.409090909090907</v>
      </c>
      <c r="CP20" s="192">
        <f>AVERAGEIF($C$36:$C$167,"=3",CP$36:CP$167)</f>
        <v>10.090909090909092</v>
      </c>
      <c r="CR20" s="521">
        <f>AVERAGEIF($C$36:$C$167,"=3",CR$36:CR$167)</f>
        <v>0.18</v>
      </c>
      <c r="CS20" s="521">
        <f t="shared" ref="CS20:DA20" si="44">AVERAGEIF($C$36:$C$167,"=3",CS$36:CS$167)</f>
        <v>0.43954545454545452</v>
      </c>
      <c r="CT20" s="521">
        <f t="shared" si="44"/>
        <v>0.35318181818181815</v>
      </c>
      <c r="CU20" s="521">
        <f t="shared" si="44"/>
        <v>2.6818181818181821E-2</v>
      </c>
      <c r="CV20" s="521">
        <f t="shared" si="44"/>
        <v>0.33181818181818179</v>
      </c>
      <c r="CW20" s="521">
        <f t="shared" si="44"/>
        <v>0.51590909090909076</v>
      </c>
      <c r="CX20" s="521">
        <f t="shared" si="44"/>
        <v>0.54</v>
      </c>
      <c r="CY20" s="521">
        <f t="shared" si="44"/>
        <v>0.5968181818181818</v>
      </c>
      <c r="CZ20" s="521">
        <f t="shared" si="44"/>
        <v>0.54772727272727273</v>
      </c>
      <c r="DA20" s="521">
        <f t="shared" si="44"/>
        <v>0.53318181818181809</v>
      </c>
    </row>
    <row r="21" spans="1:105" s="267" customFormat="1" ht="24.9" customHeight="1" x14ac:dyDescent="0.25">
      <c r="A21" s="283" t="s">
        <v>249</v>
      </c>
      <c r="B21" s="6"/>
      <c r="C21" s="6"/>
      <c r="D21" s="192">
        <f>AVERAGEIF($C$36:$C$167,"=4",D$36:D$167)</f>
        <v>48.142857142857146</v>
      </c>
      <c r="E21" s="192">
        <f>AVERAGEIF($C$36:$C$167,"=4",E$36:E$167)</f>
        <v>8</v>
      </c>
      <c r="F21" s="65">
        <f>AVERAGEIF($C$36:$C$167,"=4",F$36:F$167)</f>
        <v>0.27714285714285719</v>
      </c>
      <c r="G21" s="65">
        <f t="shared" ref="G21:O21" si="45">AVERAGEIF($C$36:$C$167,"=4",G$36:G$167)</f>
        <v>0.49928571428571428</v>
      </c>
      <c r="H21" s="65">
        <f t="shared" si="45"/>
        <v>0.22</v>
      </c>
      <c r="I21" s="65">
        <f t="shared" si="45"/>
        <v>2.8571428571428571E-3</v>
      </c>
      <c r="J21" s="65">
        <f t="shared" si="45"/>
        <v>0.59285714285714286</v>
      </c>
      <c r="K21" s="65">
        <f t="shared" si="45"/>
        <v>0.5407142857142857</v>
      </c>
      <c r="L21" s="65">
        <f t="shared" si="45"/>
        <v>0.61071428571428577</v>
      </c>
      <c r="M21" s="65">
        <f t="shared" si="45"/>
        <v>0.47500000000000003</v>
      </c>
      <c r="N21" s="65">
        <f t="shared" si="45"/>
        <v>0.45714285714285718</v>
      </c>
      <c r="O21" s="65">
        <f t="shared" si="45"/>
        <v>0.56071428571428572</v>
      </c>
      <c r="P21" s="192">
        <f>AVERAGEIF($C$36:$C$167,"=4",P$36:P$167)</f>
        <v>50.266666666666666</v>
      </c>
      <c r="Q21" s="192">
        <f>AVERAGEIF($C$36:$C$167,"=4",Q$36:Q$167)</f>
        <v>8.4666666666666668</v>
      </c>
      <c r="R21" s="65">
        <f>AVERAGEIF($C$36:$C$167,"=4",R$36:R$167)</f>
        <v>0.18866666666666662</v>
      </c>
      <c r="S21" s="65">
        <f t="shared" ref="S21:AA21" si="46">AVERAGEIF($C$36:$C$167,"=4",S$36:S$167)</f>
        <v>0.46866666666666673</v>
      </c>
      <c r="T21" s="65">
        <f t="shared" si="46"/>
        <v>0.33399999999999996</v>
      </c>
      <c r="U21" s="65">
        <f t="shared" si="46"/>
        <v>8.6666666666666663E-3</v>
      </c>
      <c r="V21" s="65">
        <f t="shared" si="46"/>
        <v>0.45</v>
      </c>
      <c r="W21" s="65">
        <f t="shared" si="46"/>
        <v>0.48599999999999999</v>
      </c>
      <c r="X21" s="65">
        <f t="shared" si="46"/>
        <v>0.56399999999999995</v>
      </c>
      <c r="Y21" s="65">
        <f t="shared" si="46"/>
        <v>0.45733333333333331</v>
      </c>
      <c r="Z21" s="65">
        <f t="shared" si="46"/>
        <v>0.44399999999999995</v>
      </c>
      <c r="AA21" s="65">
        <f t="shared" si="46"/>
        <v>0.48666666666666664</v>
      </c>
      <c r="AB21" s="192">
        <f>AVERAGEIF($C$36:$C$167,"=4",AB$36:AB$167)</f>
        <v>47.93333333333333</v>
      </c>
      <c r="AC21" s="192">
        <f>AVERAGEIF($C$36:$C$167,"=4",AC$36:AC$167)</f>
        <v>8.8666666666666671</v>
      </c>
      <c r="AD21" s="65">
        <f>AVERAGEIF($C$36:$C$167,"=4",AD$36:AD$167)</f>
        <v>0.25266666666666671</v>
      </c>
      <c r="AE21" s="65">
        <f t="shared" ref="AE21:AM21" si="47">AVERAGEIF($C$36:$C$167,"=4",AE$36:AE$167)</f>
        <v>0.55400000000000005</v>
      </c>
      <c r="AF21" s="65">
        <f t="shared" si="47"/>
        <v>0.1846666666666667</v>
      </c>
      <c r="AG21" s="65">
        <f t="shared" si="47"/>
        <v>1.0000000000000002E-2</v>
      </c>
      <c r="AH21" s="65">
        <f t="shared" si="47"/>
        <v>0.46266666666666662</v>
      </c>
      <c r="AI21" s="65">
        <f t="shared" si="47"/>
        <v>0.45600000000000007</v>
      </c>
      <c r="AJ21" s="65">
        <f t="shared" si="47"/>
        <v>0.44733333333333325</v>
      </c>
      <c r="AK21" s="65">
        <f t="shared" si="47"/>
        <v>0.51666666666666661</v>
      </c>
      <c r="AL21" s="65">
        <f t="shared" si="47"/>
        <v>0.59599999999999997</v>
      </c>
      <c r="AM21" s="65">
        <f t="shared" si="47"/>
        <v>0.53866666666666663</v>
      </c>
      <c r="AN21" s="192">
        <f>AVERAGEIF($C$36:$C$167,"=4",AN$36:AN$167)</f>
        <v>45.785714285714285</v>
      </c>
      <c r="AO21" s="192">
        <f>AVERAGEIF($C$36:$C$167,"=4",AO$36:AO$167)</f>
        <v>10.357142857142858</v>
      </c>
      <c r="AP21" s="65">
        <f>AVERAGEIF($C$36:$C$167,"=4",AP$36:AP$167)</f>
        <v>0.35642857142857148</v>
      </c>
      <c r="AQ21" s="65">
        <f t="shared" ref="AQ21:AY21" si="48">AVERAGEIF($C$36:$C$167,"=4",AQ$36:AQ$167)</f>
        <v>0.42571428571428571</v>
      </c>
      <c r="AR21" s="65">
        <f t="shared" si="48"/>
        <v>0.21071428571428569</v>
      </c>
      <c r="AS21" s="65">
        <f t="shared" si="48"/>
        <v>4.9999999999999992E-3</v>
      </c>
      <c r="AT21" s="65">
        <f t="shared" si="48"/>
        <v>0.59928571428571431</v>
      </c>
      <c r="AU21" s="65">
        <f t="shared" si="48"/>
        <v>0.51</v>
      </c>
      <c r="AV21" s="65">
        <f t="shared" si="48"/>
        <v>0.4835714285714286</v>
      </c>
      <c r="AW21" s="65">
        <f t="shared" si="48"/>
        <v>0.50857142857142856</v>
      </c>
      <c r="AX21" s="65">
        <f t="shared" si="48"/>
        <v>0.53142857142857147</v>
      </c>
      <c r="AY21" s="65">
        <f t="shared" si="48"/>
        <v>0.51785714285714279</v>
      </c>
      <c r="AZ21" s="192">
        <f>AVERAGEIF($C$36:$C$167,"=4",AZ$36:AZ$167)</f>
        <v>46.692307692307693</v>
      </c>
      <c r="BA21" s="192">
        <f>AVERAGEIF($C$36:$C$167,"=4",BA$36:BA$167)</f>
        <v>9.615384615384615</v>
      </c>
      <c r="BB21" s="65">
        <f>AVERAGEIF($C$36:$C$167,"=4",BB$36:BB$167)</f>
        <v>0.29230769230769232</v>
      </c>
      <c r="BC21" s="65">
        <f t="shared" ref="BC21:BK21" si="49">AVERAGEIF($C$36:$C$167,"=4",BC$36:BC$167)</f>
        <v>0.47230769230769226</v>
      </c>
      <c r="BD21" s="65">
        <f t="shared" si="49"/>
        <v>0.23461538461538461</v>
      </c>
      <c r="BE21" s="65">
        <f t="shared" si="49"/>
        <v>3.0769230769230769E-3</v>
      </c>
      <c r="BF21" s="65">
        <f t="shared" si="49"/>
        <v>0.59307692307692306</v>
      </c>
      <c r="BG21" s="65">
        <f t="shared" si="49"/>
        <v>0.52307692307692299</v>
      </c>
      <c r="BH21" s="65">
        <f t="shared" si="49"/>
        <v>0.51846153846153853</v>
      </c>
      <c r="BI21" s="65">
        <f t="shared" si="49"/>
        <v>0.61538461538461553</v>
      </c>
      <c r="BJ21" s="65">
        <f t="shared" si="49"/>
        <v>0.48307692307692301</v>
      </c>
      <c r="BK21" s="65">
        <f t="shared" si="49"/>
        <v>0.47230769230769226</v>
      </c>
      <c r="BL21" s="192">
        <f>AVERAGEIF($C$36:$C$167,"=4",BL$36:BL$167)</f>
        <v>46.642857142857146</v>
      </c>
      <c r="BM21" s="336"/>
      <c r="BN21" s="192">
        <f>AVERAGEIF($C$36:$C$167,"=4",BN$36:BN$167)</f>
        <v>9.6428571428571423</v>
      </c>
      <c r="BO21" s="336"/>
      <c r="BP21" s="65">
        <f>AVERAGEIF($C$36:$C$167,"=4",BP$36:BP$167)</f>
        <v>0.28500000000000003</v>
      </c>
      <c r="BQ21" s="65">
        <f t="shared" ref="BQ21:BY21" si="50">AVERAGEIF($C$36:$C$167,"=4",BQ$36:BQ$167)</f>
        <v>0.49785714285714294</v>
      </c>
      <c r="BR21" s="65">
        <f t="shared" si="50"/>
        <v>0.2035714285714286</v>
      </c>
      <c r="BS21" s="65">
        <f t="shared" si="50"/>
        <v>1.5000000000000001E-2</v>
      </c>
      <c r="BT21" s="65">
        <f t="shared" si="50"/>
        <v>0.4900000000000001</v>
      </c>
      <c r="BU21" s="65">
        <f t="shared" si="50"/>
        <v>0.51714285714285713</v>
      </c>
      <c r="BV21" s="65">
        <f t="shared" si="50"/>
        <v>0.58571428571428574</v>
      </c>
      <c r="BW21" s="65">
        <f t="shared" si="50"/>
        <v>0.47357142857142864</v>
      </c>
      <c r="BX21" s="65">
        <f t="shared" si="50"/>
        <v>0.50785714285714278</v>
      </c>
      <c r="BY21" s="65">
        <f t="shared" si="50"/>
        <v>0.57642857142857129</v>
      </c>
      <c r="BZ21" s="192">
        <f>AVERAGEIF($C$36:$C$167,"=4",BZ$36:BZ$167)</f>
        <v>47.214285714285715</v>
      </c>
      <c r="CB21" s="192">
        <f>AVERAGEIF($C$36:$C$167,"=4",CB$36:CB$167)</f>
        <v>9.8571428571428577</v>
      </c>
      <c r="CD21" s="521">
        <f>AVERAGEIF($C$36:$C$167,"=4",CD$36:CD$167)</f>
        <v>0.28500000000000003</v>
      </c>
      <c r="CE21" s="521">
        <f t="shared" ref="CE21:CM21" si="51">AVERAGEIF($C$36:$C$167,"=4",CE$36:CE$167)</f>
        <v>0.50428571428571434</v>
      </c>
      <c r="CF21" s="521">
        <f t="shared" si="51"/>
        <v>0.20142857142857137</v>
      </c>
      <c r="CG21" s="521">
        <f t="shared" si="51"/>
        <v>1.0714285714285716E-2</v>
      </c>
      <c r="CH21" s="521">
        <f t="shared" si="51"/>
        <v>0.51214285714285712</v>
      </c>
      <c r="CI21" s="521">
        <f t="shared" si="51"/>
        <v>0.44071428571428573</v>
      </c>
      <c r="CJ21" s="521">
        <f t="shared" si="51"/>
        <v>0.59714285714285709</v>
      </c>
      <c r="CK21" s="521">
        <f t="shared" si="51"/>
        <v>0.58499999999999996</v>
      </c>
      <c r="CL21" s="521">
        <f t="shared" si="51"/>
        <v>0.46857142857142853</v>
      </c>
      <c r="CM21" s="521">
        <f t="shared" si="51"/>
        <v>0.60642857142857143</v>
      </c>
      <c r="CN21" s="192">
        <f>AVERAGEIF($C$36:$C$167,"=4",CN$36:CN$167)</f>
        <v>46.733333333333334</v>
      </c>
      <c r="CP21" s="192">
        <f>AVERAGEIF($C$36:$C$167,"=4",CP$36:CP$167)</f>
        <v>9.6</v>
      </c>
      <c r="CR21" s="521">
        <f>AVERAGEIF($C$36:$C$167,"=4",CR$36:CR$167)</f>
        <v>0.27266666666666667</v>
      </c>
      <c r="CS21" s="521">
        <f t="shared" ref="CS21:DA21" si="52">AVERAGEIF($C$36:$C$167,"=4",CS$36:CS$167)</f>
        <v>0.53799999999999992</v>
      </c>
      <c r="CT21" s="521">
        <f t="shared" si="52"/>
        <v>0.18266666666666667</v>
      </c>
      <c r="CU21" s="521">
        <f t="shared" si="52"/>
        <v>7.3333333333333341E-3</v>
      </c>
      <c r="CV21" s="521">
        <f t="shared" si="52"/>
        <v>0.41800000000000009</v>
      </c>
      <c r="CW21" s="521">
        <f t="shared" si="52"/>
        <v>0.60866666666666658</v>
      </c>
      <c r="CX21" s="521">
        <f t="shared" si="52"/>
        <v>0.60866666666666669</v>
      </c>
      <c r="CY21" s="521">
        <f t="shared" si="52"/>
        <v>0.71266666666666667</v>
      </c>
      <c r="CZ21" s="521">
        <f t="shared" si="52"/>
        <v>0.59533333333333327</v>
      </c>
      <c r="DA21" s="521">
        <f t="shared" si="52"/>
        <v>0.62866666666666648</v>
      </c>
    </row>
    <row r="22" spans="1:105" s="267" customFormat="1" ht="24.9" customHeight="1" x14ac:dyDescent="0.25">
      <c r="A22" s="283" t="s">
        <v>250</v>
      </c>
      <c r="B22" s="6"/>
      <c r="C22" s="6"/>
      <c r="D22" s="192">
        <f>AVERAGEIF($C$36:$C$167,"=5",D$36:D$167)</f>
        <v>54.235294117647058</v>
      </c>
      <c r="E22" s="192">
        <f>AVERAGEIF($C$36:$C$167,"=5",E$36:E$167)</f>
        <v>8.6470588235294112</v>
      </c>
      <c r="F22" s="65">
        <f>AVERAGEIF($C$36:$C$167,"=5",F$36:F$167)</f>
        <v>7.058823529411766E-2</v>
      </c>
      <c r="G22" s="65">
        <f t="shared" ref="G22:O22" si="53">AVERAGEIF($C$36:$C$167,"=5",G$36:G$167)</f>
        <v>0.50588235294117634</v>
      </c>
      <c r="H22" s="65">
        <f t="shared" si="53"/>
        <v>0.41117647058823537</v>
      </c>
      <c r="I22" s="65">
        <f t="shared" si="53"/>
        <v>1.4117647058823528E-2</v>
      </c>
      <c r="J22" s="65">
        <f t="shared" si="53"/>
        <v>0.50294117647058822</v>
      </c>
      <c r="K22" s="65">
        <f t="shared" si="53"/>
        <v>0.44176470588235295</v>
      </c>
      <c r="L22" s="65">
        <f t="shared" si="53"/>
        <v>0.55823529411764705</v>
      </c>
      <c r="M22" s="65">
        <f t="shared" si="53"/>
        <v>0.36764705882352944</v>
      </c>
      <c r="N22" s="65">
        <f t="shared" si="53"/>
        <v>0.39647058823529413</v>
      </c>
      <c r="O22" s="65">
        <f t="shared" si="53"/>
        <v>0.46764705882352942</v>
      </c>
      <c r="P22" s="192">
        <f>AVERAGEIF($C$36:$C$167,"=5",P$36:P$167)</f>
        <v>54.117647058823529</v>
      </c>
      <c r="Q22" s="192">
        <f>AVERAGEIF($C$36:$C$167,"=5",Q$36:Q$167)</f>
        <v>8.882352941176471</v>
      </c>
      <c r="R22" s="65">
        <f>AVERAGEIF($C$36:$C$167,"=5",R$36:R$167)</f>
        <v>8.8235294117647078E-2</v>
      </c>
      <c r="S22" s="65">
        <f t="shared" ref="S22:AA22" si="54">AVERAGEIF($C$36:$C$167,"=5",S$36:S$167)</f>
        <v>0.44647058823529412</v>
      </c>
      <c r="T22" s="65">
        <f t="shared" si="54"/>
        <v>0.44000000000000006</v>
      </c>
      <c r="U22" s="65">
        <f t="shared" si="54"/>
        <v>2.5294117647058828E-2</v>
      </c>
      <c r="V22" s="65">
        <f t="shared" si="54"/>
        <v>0.35823529411764693</v>
      </c>
      <c r="W22" s="65">
        <f t="shared" si="54"/>
        <v>0.42823529411764705</v>
      </c>
      <c r="X22" s="65">
        <f t="shared" si="54"/>
        <v>0.50941176470588234</v>
      </c>
      <c r="Y22" s="65">
        <f t="shared" si="54"/>
        <v>0.40176470588235291</v>
      </c>
      <c r="Z22" s="65">
        <f t="shared" si="54"/>
        <v>0.3876470588235294</v>
      </c>
      <c r="AA22" s="65">
        <f t="shared" si="54"/>
        <v>0.44941176470588234</v>
      </c>
      <c r="AB22" s="192">
        <f>AVERAGEIF($C$36:$C$167,"=5",AB$36:AB$167)</f>
        <v>52.555555555555557</v>
      </c>
      <c r="AC22" s="192">
        <f>AVERAGEIF($C$36:$C$167,"=5",AC$36:AC$167)</f>
        <v>9.3333333333333339</v>
      </c>
      <c r="AD22" s="65">
        <f>AVERAGEIF($C$36:$C$167,"=5",AD$36:AD$167)</f>
        <v>0.11611111111111112</v>
      </c>
      <c r="AE22" s="65">
        <f t="shared" ref="AE22:AM22" si="55">AVERAGEIF($C$36:$C$167,"=5",AE$36:AE$167)</f>
        <v>0.46055555555555561</v>
      </c>
      <c r="AF22" s="65">
        <f t="shared" si="55"/>
        <v>0.39111111111111119</v>
      </c>
      <c r="AG22" s="65">
        <f t="shared" si="55"/>
        <v>3.2777777777777781E-2</v>
      </c>
      <c r="AH22" s="65">
        <f t="shared" si="55"/>
        <v>0.39499999999999991</v>
      </c>
      <c r="AI22" s="65">
        <f t="shared" si="55"/>
        <v>0.3938888888888889</v>
      </c>
      <c r="AJ22" s="65">
        <f t="shared" si="55"/>
        <v>0.34944444444444456</v>
      </c>
      <c r="AK22" s="65">
        <f t="shared" si="55"/>
        <v>0.44222222222222224</v>
      </c>
      <c r="AL22" s="65">
        <f t="shared" si="55"/>
        <v>0.5066666666666666</v>
      </c>
      <c r="AM22" s="65">
        <f t="shared" si="55"/>
        <v>0.48444444444444446</v>
      </c>
      <c r="AN22" s="192">
        <f>AVERAGEIF($C$36:$C$167,"=5",AN$36:AN$167)</f>
        <v>50.421052631578945</v>
      </c>
      <c r="AO22" s="192">
        <f>AVERAGEIF($C$36:$C$167,"=5",AO$36:AO$167)</f>
        <v>10.157894736842104</v>
      </c>
      <c r="AP22" s="65">
        <f>AVERAGEIF($C$36:$C$167,"=5",AP$36:AP$167)</f>
        <v>0.18526315789473688</v>
      </c>
      <c r="AQ22" s="65">
        <f t="shared" ref="AQ22:AY22" si="56">AVERAGEIF($C$36:$C$167,"=5",AQ$36:AQ$167)</f>
        <v>0.48052631578947363</v>
      </c>
      <c r="AR22" s="65">
        <f t="shared" si="56"/>
        <v>0.31052631578947371</v>
      </c>
      <c r="AS22" s="65">
        <f t="shared" si="56"/>
        <v>2.6315789473684209E-2</v>
      </c>
      <c r="AT22" s="65">
        <f t="shared" si="56"/>
        <v>0.48947368421052628</v>
      </c>
      <c r="AU22" s="65">
        <f t="shared" si="56"/>
        <v>0.44210526315789478</v>
      </c>
      <c r="AV22" s="65">
        <f t="shared" si="56"/>
        <v>0.42315789473684207</v>
      </c>
      <c r="AW22" s="65">
        <f t="shared" si="56"/>
        <v>0.44157894736842102</v>
      </c>
      <c r="AX22" s="65">
        <f t="shared" si="56"/>
        <v>0.43315789473684213</v>
      </c>
      <c r="AY22" s="65">
        <f t="shared" si="56"/>
        <v>0.43842105263157893</v>
      </c>
      <c r="AZ22" s="192">
        <f>AVERAGEIF($C$36:$C$167,"=5",AZ$36:AZ$167)</f>
        <v>53.777777777777779</v>
      </c>
      <c r="BA22" s="192">
        <f>AVERAGEIF($C$36:$C$167,"=5",BA$36:BA$167)</f>
        <v>9</v>
      </c>
      <c r="BB22" s="65">
        <f>AVERAGEIF($C$36:$C$167,"=5",BB$36:BB$167)</f>
        <v>0.10055555555555556</v>
      </c>
      <c r="BC22" s="65">
        <f t="shared" ref="BC22:BK22" si="57">AVERAGEIF($C$36:$C$167,"=5",BC$36:BC$167)</f>
        <v>0.44111111111111112</v>
      </c>
      <c r="BD22" s="65">
        <f t="shared" si="57"/>
        <v>0.435</v>
      </c>
      <c r="BE22" s="65">
        <f t="shared" si="57"/>
        <v>2.4444444444444446E-2</v>
      </c>
      <c r="BF22" s="65">
        <f t="shared" si="57"/>
        <v>0.40833333333333327</v>
      </c>
      <c r="BG22" s="65">
        <f t="shared" si="57"/>
        <v>0.41499999999999998</v>
      </c>
      <c r="BH22" s="65">
        <f t="shared" si="57"/>
        <v>0.39777777777777784</v>
      </c>
      <c r="BI22" s="65">
        <f t="shared" si="57"/>
        <v>0.46444444444444444</v>
      </c>
      <c r="BJ22" s="65">
        <f t="shared" si="57"/>
        <v>0.36055555555555552</v>
      </c>
      <c r="BK22" s="65">
        <f t="shared" si="57"/>
        <v>0.35666666666666669</v>
      </c>
      <c r="BL22" s="192">
        <f>AVERAGEIF($C$36:$C$167,"=5",BL$36:BL$167)</f>
        <v>52.111111111111114</v>
      </c>
      <c r="BM22" s="336"/>
      <c r="BN22" s="192">
        <f>AVERAGEIF($C$36:$C$167,"=5",BN$36:BN$167)</f>
        <v>10.222222222222221</v>
      </c>
      <c r="BO22" s="336"/>
      <c r="BP22" s="65">
        <f>AVERAGEIF($C$36:$C$167,"=5",BP$36:BP$167)</f>
        <v>0.15722222222222224</v>
      </c>
      <c r="BQ22" s="65">
        <f t="shared" ref="BQ22:BY22" si="58">AVERAGEIF($C$36:$C$167,"=5",BQ$36:BQ$167)</f>
        <v>0.44333333333333336</v>
      </c>
      <c r="BR22" s="65">
        <f t="shared" si="58"/>
        <v>0.36166666666666664</v>
      </c>
      <c r="BS22" s="65">
        <f t="shared" si="58"/>
        <v>3.7222222222222233E-2</v>
      </c>
      <c r="BT22" s="65">
        <f t="shared" si="58"/>
        <v>0.39944444444444449</v>
      </c>
      <c r="BU22" s="65">
        <f t="shared" si="58"/>
        <v>0.43333333333333335</v>
      </c>
      <c r="BV22" s="65">
        <f t="shared" si="58"/>
        <v>0.4811111111111111</v>
      </c>
      <c r="BW22" s="65">
        <f t="shared" si="58"/>
        <v>0.39111111111111119</v>
      </c>
      <c r="BX22" s="65">
        <f t="shared" si="58"/>
        <v>0.42777777777777776</v>
      </c>
      <c r="BY22" s="65">
        <f t="shared" si="58"/>
        <v>0.48833333333333329</v>
      </c>
      <c r="BZ22" s="192">
        <f>AVERAGEIF($C$36:$C$167,"=5",BZ$36:BZ$167)</f>
        <v>53.352941176470587</v>
      </c>
      <c r="CB22" s="192">
        <f>AVERAGEIF($C$36:$C$167,"=5",CB$36:CB$167)</f>
        <v>9.5882352941176467</v>
      </c>
      <c r="CD22" s="521">
        <f>AVERAGEIF($C$36:$C$167,"=5",CD$36:CD$167)</f>
        <v>0.13470588235294118</v>
      </c>
      <c r="CE22" s="521">
        <f t="shared" ref="CE22:CM22" si="59">AVERAGEIF($C$36:$C$167,"=5",CE$36:CE$167)</f>
        <v>0.42117647058823526</v>
      </c>
      <c r="CF22" s="521">
        <f t="shared" si="59"/>
        <v>0.42000000000000004</v>
      </c>
      <c r="CG22" s="521">
        <f t="shared" si="59"/>
        <v>2.4705882352941178E-2</v>
      </c>
      <c r="CH22" s="521">
        <f t="shared" si="59"/>
        <v>0.46294117647058819</v>
      </c>
      <c r="CI22" s="521">
        <f t="shared" si="59"/>
        <v>0.33058823529411763</v>
      </c>
      <c r="CJ22" s="521">
        <f t="shared" si="59"/>
        <v>0.5135294117647059</v>
      </c>
      <c r="CK22" s="521">
        <f t="shared" si="59"/>
        <v>0.50000000000000011</v>
      </c>
      <c r="CL22" s="521">
        <f t="shared" si="59"/>
        <v>0.38764705882352946</v>
      </c>
      <c r="CM22" s="521">
        <f t="shared" si="59"/>
        <v>0.5135294117647059</v>
      </c>
      <c r="CN22" s="192">
        <f>AVERAGEIF($C$36:$C$167,"=5",CN$36:CN$167)</f>
        <v>53.647058823529413</v>
      </c>
      <c r="CP22" s="192">
        <f>AVERAGEIF($C$36:$C$167,"=5",CP$36:CP$167)</f>
        <v>9.7058823529411757</v>
      </c>
      <c r="CR22" s="521">
        <f>AVERAGEIF($C$36:$C$167,"=5",CR$36:CR$167)</f>
        <v>0.10294117647058826</v>
      </c>
      <c r="CS22" s="521">
        <f t="shared" ref="CS22:DA22" si="60">AVERAGEIF($C$36:$C$167,"=5",CS$36:CS$167)</f>
        <v>0.46235294117647063</v>
      </c>
      <c r="CT22" s="521">
        <f t="shared" si="60"/>
        <v>0.39000000000000007</v>
      </c>
      <c r="CU22" s="521">
        <f t="shared" si="60"/>
        <v>4.8235294117647064E-2</v>
      </c>
      <c r="CV22" s="521">
        <f t="shared" si="60"/>
        <v>0.308235294117647</v>
      </c>
      <c r="CW22" s="521">
        <f t="shared" si="60"/>
        <v>0.47529411764705892</v>
      </c>
      <c r="CX22" s="521">
        <f t="shared" si="60"/>
        <v>0.50705882352941167</v>
      </c>
      <c r="CY22" s="521">
        <f t="shared" si="60"/>
        <v>0.59647058823529409</v>
      </c>
      <c r="CZ22" s="521">
        <f t="shared" si="60"/>
        <v>0.47058823529411759</v>
      </c>
      <c r="DA22" s="521">
        <f t="shared" si="60"/>
        <v>0.50705882352941167</v>
      </c>
    </row>
    <row r="23" spans="1:105" ht="24.9" customHeight="1" x14ac:dyDescent="0.25">
      <c r="A23" s="283" t="s">
        <v>251</v>
      </c>
      <c r="B23" s="6"/>
      <c r="C23" s="6"/>
      <c r="D23" s="192">
        <f>AVERAGEIF($C$36:$C$167,"=6",D$36:D$167)</f>
        <v>52.06666666666667</v>
      </c>
      <c r="E23" s="192">
        <f>AVERAGEIF($C$36:$C$167,"=6",E$36:E$167)</f>
        <v>7.5333333333333332</v>
      </c>
      <c r="F23" s="65">
        <f>AVERAGEIF($C$36:$C$167,"=6",F$36:F$167)</f>
        <v>0.13933333333333336</v>
      </c>
      <c r="G23" s="65">
        <f t="shared" ref="G23:O23" si="61">AVERAGEIF($C$36:$C$167,"=6",G$36:G$167)</f>
        <v>0.47666666666666663</v>
      </c>
      <c r="H23" s="65">
        <f t="shared" si="61"/>
        <v>0.37199999999999994</v>
      </c>
      <c r="I23" s="65">
        <f t="shared" si="61"/>
        <v>1.2666666666666666E-2</v>
      </c>
      <c r="J23" s="65">
        <f t="shared" si="61"/>
        <v>0.51133333333333342</v>
      </c>
      <c r="K23" s="65">
        <f t="shared" si="61"/>
        <v>0.47866666666666663</v>
      </c>
      <c r="L23" s="65">
        <f t="shared" si="61"/>
        <v>0.54333333333333333</v>
      </c>
      <c r="M23" s="65">
        <f t="shared" si="61"/>
        <v>0.40733333333333344</v>
      </c>
      <c r="N23" s="65">
        <f t="shared" si="61"/>
        <v>0.42933333333333334</v>
      </c>
      <c r="O23" s="65">
        <f t="shared" si="61"/>
        <v>0.50000000000000011</v>
      </c>
      <c r="P23" s="192">
        <f>AVERAGEIF($C$36:$C$167,"=6",P$36:P$167)</f>
        <v>50.6</v>
      </c>
      <c r="Q23" s="192">
        <f>AVERAGEIF($C$36:$C$167,"=6",Q$36:Q$167)</f>
        <v>9.5333333333333332</v>
      </c>
      <c r="R23" s="65">
        <f>AVERAGEIF($C$36:$C$167,"=6",R$36:R$167)</f>
        <v>0.16</v>
      </c>
      <c r="S23" s="65">
        <f t="shared" ref="S23:AA23" si="62">AVERAGEIF($C$36:$C$167,"=6",S$36:S$167)</f>
        <v>0.5013333333333333</v>
      </c>
      <c r="T23" s="65">
        <f t="shared" si="62"/>
        <v>0.3246666666666666</v>
      </c>
      <c r="U23" s="65">
        <f t="shared" si="62"/>
        <v>1.6666666666666666E-2</v>
      </c>
      <c r="V23" s="65">
        <f t="shared" si="62"/>
        <v>0.40000000000000008</v>
      </c>
      <c r="W23" s="65">
        <f t="shared" si="62"/>
        <v>0.49266666666666653</v>
      </c>
      <c r="X23" s="65">
        <f t="shared" si="62"/>
        <v>0.55066666666666664</v>
      </c>
      <c r="Y23" s="65">
        <f t="shared" si="62"/>
        <v>0.46666666666666667</v>
      </c>
      <c r="Z23" s="65">
        <f t="shared" si="62"/>
        <v>0.45133333333333336</v>
      </c>
      <c r="AA23" s="65">
        <f t="shared" si="62"/>
        <v>0.51933333333333331</v>
      </c>
      <c r="AB23" s="192">
        <f>AVERAGEIF($C$36:$C$167,"=6",AB$36:AB$167)</f>
        <v>50.571428571428569</v>
      </c>
      <c r="AC23" s="192">
        <f>AVERAGEIF($C$36:$C$167,"=6",AC$36:AC$167)</f>
        <v>10.357142857142858</v>
      </c>
      <c r="AD23" s="65">
        <f>AVERAGEIF($C$36:$C$167,"=6",AD$36:AD$167)</f>
        <v>0.18642857142857142</v>
      </c>
      <c r="AE23" s="65">
        <f t="shared" ref="AE23:AM23" si="63">AVERAGEIF($C$36:$C$167,"=6",AE$36:AE$167)</f>
        <v>0.50714285714285712</v>
      </c>
      <c r="AF23" s="65">
        <f t="shared" si="63"/>
        <v>0.28214285714285714</v>
      </c>
      <c r="AG23" s="65">
        <f t="shared" si="63"/>
        <v>2.5714285714285714E-2</v>
      </c>
      <c r="AH23" s="65">
        <f t="shared" si="63"/>
        <v>0.40714285714285708</v>
      </c>
      <c r="AI23" s="65">
        <f t="shared" si="63"/>
        <v>0.43285714285714288</v>
      </c>
      <c r="AJ23" s="65">
        <f t="shared" si="63"/>
        <v>0.37714285714285717</v>
      </c>
      <c r="AK23" s="65">
        <f t="shared" si="63"/>
        <v>0.47857142857142865</v>
      </c>
      <c r="AL23" s="65">
        <f t="shared" si="63"/>
        <v>0.54785714285714282</v>
      </c>
      <c r="AM23" s="65">
        <f t="shared" si="63"/>
        <v>0.52928571428571425</v>
      </c>
      <c r="AN23" s="192">
        <f>AVERAGEIF($C$36:$C$167,"=6",AN$36:AN$167)</f>
        <v>49.2</v>
      </c>
      <c r="AO23" s="192">
        <f>AVERAGEIF($C$36:$C$167,"=6",AO$36:AO$167)</f>
        <v>10.066666666666666</v>
      </c>
      <c r="AP23" s="65">
        <f>AVERAGEIF($C$36:$C$167,"=6",AP$36:AP$167)</f>
        <v>0.2233333333333333</v>
      </c>
      <c r="AQ23" s="65">
        <f t="shared" ref="AQ23:AY23" si="64">AVERAGEIF($C$36:$C$167,"=6",AQ$36:AQ$167)</f>
        <v>0.51066666666666671</v>
      </c>
      <c r="AR23" s="65">
        <f t="shared" si="64"/>
        <v>0.25266666666666665</v>
      </c>
      <c r="AS23" s="65">
        <f t="shared" si="64"/>
        <v>1.4000000000000002E-2</v>
      </c>
      <c r="AT23" s="65">
        <f t="shared" si="64"/>
        <v>0.53800000000000003</v>
      </c>
      <c r="AU23" s="65">
        <f t="shared" si="64"/>
        <v>0.45400000000000001</v>
      </c>
      <c r="AV23" s="65">
        <f t="shared" si="64"/>
        <v>0.44866666666666666</v>
      </c>
      <c r="AW23" s="65">
        <f t="shared" si="64"/>
        <v>0.45133333333333336</v>
      </c>
      <c r="AX23" s="65">
        <f t="shared" si="64"/>
        <v>0.45933333333333337</v>
      </c>
      <c r="AY23" s="65">
        <f t="shared" si="64"/>
        <v>0.47933333333333344</v>
      </c>
      <c r="AZ23" s="192">
        <f>AVERAGEIF($C$36:$C$167,"=6",AZ$36:AZ$167)</f>
        <v>49.588235294117645</v>
      </c>
      <c r="BA23" s="192">
        <f>AVERAGEIF($C$36:$C$167,"=6",BA$36:BA$167)</f>
        <v>9.3529411764705888</v>
      </c>
      <c r="BB23" s="65">
        <f>AVERAGEIF($C$36:$C$167,"=6",BB$36:BB$167)</f>
        <v>0.23470588235294115</v>
      </c>
      <c r="BC23" s="65">
        <f t="shared" ref="BC23:BK23" si="65">AVERAGEIF($C$36:$C$167,"=6",BC$36:BC$167)</f>
        <v>0.47823529411764709</v>
      </c>
      <c r="BD23" s="65">
        <f t="shared" si="65"/>
        <v>0.25882352941176479</v>
      </c>
      <c r="BE23" s="65">
        <f t="shared" si="65"/>
        <v>2.8235294117647063E-2</v>
      </c>
      <c r="BF23" s="65">
        <f t="shared" si="65"/>
        <v>0.4847058823529411</v>
      </c>
      <c r="BG23" s="65">
        <f t="shared" si="65"/>
        <v>0.48058823529411765</v>
      </c>
      <c r="BH23" s="65">
        <f t="shared" si="65"/>
        <v>0.48529411764705882</v>
      </c>
      <c r="BI23" s="65">
        <f t="shared" si="65"/>
        <v>0.56058823529411761</v>
      </c>
      <c r="BJ23" s="65">
        <f t="shared" si="65"/>
        <v>0.41823529411764715</v>
      </c>
      <c r="BK23" s="65">
        <f t="shared" si="65"/>
        <v>0.42823529411764705</v>
      </c>
      <c r="BL23" s="192">
        <f>AVERAGEIF($C$36:$C$167,"=6",BL$36:BL$167)</f>
        <v>48.941176470588232</v>
      </c>
      <c r="BN23" s="192">
        <f>AVERAGEIF($C$36:$C$167,"=6",BN$36:BN$167)</f>
        <v>9.1764705882352935</v>
      </c>
      <c r="BP23" s="65">
        <f>AVERAGEIF($C$36:$C$167,"=6",BP$36:BP$167)</f>
        <v>0.20764705882352943</v>
      </c>
      <c r="BQ23" s="65">
        <f t="shared" ref="BQ23:BY23" si="66">AVERAGEIF($C$36:$C$167,"=6",BQ$36:BQ$167)</f>
        <v>0.52882352941176469</v>
      </c>
      <c r="BR23" s="65">
        <f t="shared" si="66"/>
        <v>0.25588235294117645</v>
      </c>
      <c r="BS23" s="65">
        <f t="shared" si="66"/>
        <v>0.01</v>
      </c>
      <c r="BT23" s="65">
        <f t="shared" si="66"/>
        <v>0.42176470588235299</v>
      </c>
      <c r="BU23" s="65">
        <f t="shared" si="66"/>
        <v>0.49</v>
      </c>
      <c r="BV23" s="65">
        <f t="shared" si="66"/>
        <v>0.54705882352941182</v>
      </c>
      <c r="BW23" s="65">
        <f t="shared" si="66"/>
        <v>0.43882352941176478</v>
      </c>
      <c r="BX23" s="65">
        <f t="shared" si="66"/>
        <v>0.48176470588235293</v>
      </c>
      <c r="BY23" s="65">
        <f t="shared" si="66"/>
        <v>0.55647058823529416</v>
      </c>
      <c r="BZ23" s="192">
        <f>AVERAGEIF($C$36:$C$167,"=6",BZ$36:BZ$167)</f>
        <v>49.736842105263158</v>
      </c>
      <c r="CB23" s="192">
        <f>AVERAGEIF($C$36:$C$167,"=6",CB$36:CB$167)</f>
        <v>10.789473684210526</v>
      </c>
      <c r="CD23" s="521">
        <f>AVERAGEIF($C$36:$C$167,"=6",CD$36:CD$167)</f>
        <v>0.25210526315789467</v>
      </c>
      <c r="CE23" s="521">
        <f t="shared" ref="CE23:CM23" si="67">AVERAGEIF($C$36:$C$167,"=6",CE$36:CE$167)</f>
        <v>0.39526315789473687</v>
      </c>
      <c r="CF23" s="521">
        <f t="shared" si="67"/>
        <v>0.3194736842105263</v>
      </c>
      <c r="CG23" s="521">
        <f t="shared" si="67"/>
        <v>3.3157894736842108E-2</v>
      </c>
      <c r="CH23" s="521">
        <f t="shared" si="67"/>
        <v>0.48263157894736841</v>
      </c>
      <c r="CI23" s="521">
        <f t="shared" si="67"/>
        <v>0.38210526315789478</v>
      </c>
      <c r="CJ23" s="521">
        <f t="shared" si="67"/>
        <v>0.5742105263157895</v>
      </c>
      <c r="CK23" s="521">
        <f t="shared" si="67"/>
        <v>0.54315789473684206</v>
      </c>
      <c r="CL23" s="521">
        <f t="shared" si="67"/>
        <v>0.46526315789473682</v>
      </c>
      <c r="CM23" s="521">
        <f t="shared" si="67"/>
        <v>0.55947368421052635</v>
      </c>
      <c r="CN23" s="192">
        <f>AVERAGEIF($C$36:$C$167,"=6",CN$36:CN$167)</f>
        <v>51.15</v>
      </c>
      <c r="CP23" s="192">
        <f>AVERAGEIF($C$36:$C$167,"=6",CP$36:CP$167)</f>
        <v>8.5500000000000007</v>
      </c>
      <c r="CR23" s="521">
        <f>AVERAGEIF($C$36:$C$167,"=6",CR$36:CR$167)</f>
        <v>0.16200000000000001</v>
      </c>
      <c r="CS23" s="521">
        <f t="shared" ref="CS23:DA23" si="68">AVERAGEIF($C$36:$C$167,"=6",CS$36:CS$167)</f>
        <v>0.49749999999999989</v>
      </c>
      <c r="CT23" s="521">
        <f t="shared" si="68"/>
        <v>0.32400000000000007</v>
      </c>
      <c r="CU23" s="521">
        <f t="shared" si="68"/>
        <v>1.4999999999999999E-2</v>
      </c>
      <c r="CV23" s="521">
        <f t="shared" si="68"/>
        <v>0.35450000000000004</v>
      </c>
      <c r="CW23" s="521">
        <f t="shared" si="68"/>
        <v>0.51149999999999995</v>
      </c>
      <c r="CX23" s="521">
        <f t="shared" si="68"/>
        <v>0.52350000000000008</v>
      </c>
      <c r="CY23" s="521">
        <f t="shared" si="68"/>
        <v>0.6725000000000001</v>
      </c>
      <c r="CZ23" s="521">
        <f t="shared" si="68"/>
        <v>0.5784999999999999</v>
      </c>
      <c r="DA23" s="521">
        <f t="shared" si="68"/>
        <v>0.51600000000000013</v>
      </c>
    </row>
    <row r="24" spans="1:105" s="434" customFormat="1" ht="24.9" customHeight="1" x14ac:dyDescent="0.25">
      <c r="A24" s="6" t="s">
        <v>931</v>
      </c>
      <c r="B24" s="447"/>
      <c r="C24" s="447"/>
      <c r="D24" s="192">
        <f>AVERAGEIFS(D$36:D$167,$C$36:$C$167,"=1", $B$36:$B$167,"OFICIAL")</f>
        <v>50.75</v>
      </c>
      <c r="E24" s="192">
        <f>AVERAGEIFS(E$36:E$167,$C$36:$C$167,"=1", $B$36:$B$167,"OFICIAL")</f>
        <v>9</v>
      </c>
      <c r="F24" s="65">
        <f>AVERAGEIFS(F$36:F$167,$C$36:$C$167,"=1", $B$36:$B$167,"OFICIAL")</f>
        <v>0.16250000000000001</v>
      </c>
      <c r="G24" s="65">
        <f t="shared" ref="G24:O24" si="69">AVERAGEIFS(G$36:G$167,$C$36:$C$167,"=1", $B$36:$B$167,"OFICIAL")</f>
        <v>0.53750000000000009</v>
      </c>
      <c r="H24" s="65">
        <f t="shared" si="69"/>
        <v>0.29249999999999998</v>
      </c>
      <c r="I24" s="65">
        <f t="shared" si="69"/>
        <v>5.0000000000000001E-3</v>
      </c>
      <c r="J24" s="65">
        <f t="shared" si="69"/>
        <v>0.5475000000000001</v>
      </c>
      <c r="K24" s="65">
        <f t="shared" si="69"/>
        <v>0.52</v>
      </c>
      <c r="L24" s="65">
        <f t="shared" si="69"/>
        <v>0.59499999999999997</v>
      </c>
      <c r="M24" s="65">
        <f t="shared" si="69"/>
        <v>0.42999999999999994</v>
      </c>
      <c r="N24" s="65">
        <f t="shared" si="69"/>
        <v>0.42749999999999999</v>
      </c>
      <c r="O24" s="65">
        <f t="shared" si="69"/>
        <v>0.51</v>
      </c>
      <c r="P24" s="192">
        <f>AVERAGEIFS(P$36:P$167,$C$36:$C$167,"=1", $B$36:$B$167,"OFICIAL")</f>
        <v>51.5</v>
      </c>
      <c r="Q24" s="192">
        <f>AVERAGEIFS(Q$36:Q$167,$C$36:$C$167,"=1", $B$36:$B$167,"OFICIAL")</f>
        <v>8.75</v>
      </c>
      <c r="R24" s="65">
        <f>AVERAGEIFS(R$36:R$167,$C$36:$C$167,"=1", $B$36:$B$167,"OFICIAL")</f>
        <v>0.125</v>
      </c>
      <c r="S24" s="65">
        <f t="shared" ref="S24:AA24" si="70">AVERAGEIFS(S$36:S$167,$C$36:$C$167,"=1", $B$36:$B$167,"OFICIAL")</f>
        <v>0.53750000000000009</v>
      </c>
      <c r="T24" s="65">
        <f t="shared" si="70"/>
        <v>0.32750000000000001</v>
      </c>
      <c r="U24" s="65">
        <f t="shared" si="70"/>
        <v>0.01</v>
      </c>
      <c r="V24" s="65">
        <f t="shared" si="70"/>
        <v>0.42000000000000004</v>
      </c>
      <c r="W24" s="65">
        <f t="shared" si="70"/>
        <v>0.47749999999999998</v>
      </c>
      <c r="X24" s="65">
        <f t="shared" si="70"/>
        <v>0.5475000000000001</v>
      </c>
      <c r="Y24" s="65">
        <f t="shared" si="70"/>
        <v>0.4425</v>
      </c>
      <c r="Z24" s="65">
        <f t="shared" si="70"/>
        <v>0.42000000000000004</v>
      </c>
      <c r="AA24" s="65">
        <f t="shared" si="70"/>
        <v>0.48750000000000004</v>
      </c>
      <c r="AB24" s="192">
        <f>AVERAGEIFS(AB$36:AB$167,$C$36:$C$167,"=1", $B$36:$B$167,"OFICIAL")</f>
        <v>48.25</v>
      </c>
      <c r="AC24" s="192">
        <f>AVERAGEIFS(AC$36:AC$167,$C$36:$C$167,"=1", $B$36:$B$167,"OFICIAL")</f>
        <v>10</v>
      </c>
      <c r="AD24" s="65">
        <f>AVERAGEIFS(AD$36:AD$167,$C$36:$C$167,"=1", $B$36:$B$167,"OFICIAL")</f>
        <v>0.24249999999999999</v>
      </c>
      <c r="AE24" s="65">
        <f t="shared" ref="AE24:AM24" si="71">AVERAGEIFS(AE$36:AE$167,$C$36:$C$167,"=1", $B$36:$B$167,"OFICIAL")</f>
        <v>0.53</v>
      </c>
      <c r="AF24" s="65">
        <f t="shared" si="71"/>
        <v>0.21999999999999997</v>
      </c>
      <c r="AG24" s="65">
        <f t="shared" si="71"/>
        <v>0.01</v>
      </c>
      <c r="AH24" s="65">
        <f t="shared" si="71"/>
        <v>0.45499999999999996</v>
      </c>
      <c r="AI24" s="65">
        <f t="shared" si="71"/>
        <v>0.45999999999999996</v>
      </c>
      <c r="AJ24" s="65">
        <f t="shared" si="71"/>
        <v>0.42500000000000004</v>
      </c>
      <c r="AK24" s="65">
        <f t="shared" si="71"/>
        <v>0.52249999999999996</v>
      </c>
      <c r="AL24" s="65">
        <f t="shared" si="71"/>
        <v>0.58250000000000002</v>
      </c>
      <c r="AM24" s="65">
        <f t="shared" si="71"/>
        <v>0.56499999999999995</v>
      </c>
      <c r="AN24" s="192">
        <f>AVERAGEIFS(AN$36:AN$167,$C$36:$C$167,"=1", $B$36:$B$167,"OFICIAL")</f>
        <v>47.25</v>
      </c>
      <c r="AO24" s="192">
        <f>AVERAGEIFS(AO$36:AO$167,$C$36:$C$167,"=1", $B$36:$B$167,"OFICIAL")</f>
        <v>10.75</v>
      </c>
      <c r="AP24" s="65">
        <f>AVERAGEIFS(AP$36:AP$167,$C$36:$C$167,"=1", $B$36:$B$167,"OFICIAL")</f>
        <v>0.29000000000000004</v>
      </c>
      <c r="AQ24" s="65">
        <f t="shared" ref="AQ24:AY24" si="72">AVERAGEIFS(AQ$36:AQ$167,$C$36:$C$167,"=1", $B$36:$B$167,"OFICIAL")</f>
        <v>0.48</v>
      </c>
      <c r="AR24" s="65">
        <f t="shared" si="72"/>
        <v>0.2175</v>
      </c>
      <c r="AS24" s="65">
        <f t="shared" si="72"/>
        <v>1.7500000000000002E-2</v>
      </c>
      <c r="AT24" s="65">
        <f t="shared" si="72"/>
        <v>0.57250000000000001</v>
      </c>
      <c r="AU24" s="65">
        <f t="shared" si="72"/>
        <v>0.4975</v>
      </c>
      <c r="AV24" s="65">
        <f t="shared" si="72"/>
        <v>0.47499999999999998</v>
      </c>
      <c r="AW24" s="65">
        <f t="shared" si="72"/>
        <v>0.47749999999999998</v>
      </c>
      <c r="AX24" s="65">
        <f t="shared" si="72"/>
        <v>0.505</v>
      </c>
      <c r="AY24" s="65">
        <f t="shared" si="72"/>
        <v>0.49</v>
      </c>
      <c r="AZ24" s="192">
        <f>AVERAGEIFS(AZ$36:AZ$167,$C$36:$C$167,"=1", $B$36:$B$167,"OFICIAL")</f>
        <v>49.75</v>
      </c>
      <c r="BA24" s="192">
        <f>AVERAGEIFS(BA$36:BA$167,$C$36:$C$167,"=1", $B$36:$B$167,"OFICIAL")</f>
        <v>9.75</v>
      </c>
      <c r="BB24" s="65">
        <f>AVERAGEIFS(BB$36:BB$167,$C$36:$C$167,"=1", $B$36:$B$167,"OFICIAL")</f>
        <v>0.19750000000000001</v>
      </c>
      <c r="BC24" s="65">
        <f t="shared" ref="BC24:BK24" si="73">AVERAGEIFS(BC$36:BC$167,$C$36:$C$167,"=1", $B$36:$B$167,"OFICIAL")</f>
        <v>0.52249999999999996</v>
      </c>
      <c r="BD24" s="65">
        <f t="shared" si="73"/>
        <v>0.255</v>
      </c>
      <c r="BE24" s="65">
        <f t="shared" si="73"/>
        <v>2.2499999999999999E-2</v>
      </c>
      <c r="BF24" s="65">
        <f t="shared" si="73"/>
        <v>0.47499999999999998</v>
      </c>
      <c r="BG24" s="65">
        <f t="shared" si="73"/>
        <v>0.48499999999999999</v>
      </c>
      <c r="BH24" s="65">
        <f t="shared" si="73"/>
        <v>0.48749999999999999</v>
      </c>
      <c r="BI24" s="65">
        <f t="shared" si="73"/>
        <v>0.5774999999999999</v>
      </c>
      <c r="BJ24" s="65">
        <f t="shared" si="73"/>
        <v>0.41250000000000003</v>
      </c>
      <c r="BK24" s="65">
        <f t="shared" si="73"/>
        <v>0.41749999999999998</v>
      </c>
      <c r="BL24" s="192">
        <f>AVERAGEIFS(BL$36:BL$167,$C$36:$C$167,"=1", $B$36:$B$167,"OFICIAL")</f>
        <v>47.5</v>
      </c>
      <c r="BN24" s="192">
        <f>AVERAGEIFS(BN$36:BN$167,$C$36:$C$167,"=1", $B$36:$B$167,"OFICIAL")</f>
        <v>10.25</v>
      </c>
      <c r="BP24" s="65">
        <f>AVERAGEIFS(BP$36:BP$167,$C$36:$C$167,"=1", $B$36:$B$167,"OFICIAL")</f>
        <v>0.26500000000000001</v>
      </c>
      <c r="BQ24" s="65">
        <f t="shared" ref="BQ24:BY24" si="74">AVERAGEIFS(BQ$36:BQ$167,$C$36:$C$167,"=1", $B$36:$B$167,"OFICIAL")</f>
        <v>0.4975</v>
      </c>
      <c r="BR24" s="65">
        <f t="shared" si="74"/>
        <v>0.22249999999999998</v>
      </c>
      <c r="BS24" s="65">
        <f t="shared" si="74"/>
        <v>1.4999999999999999E-2</v>
      </c>
      <c r="BT24" s="65">
        <f t="shared" si="74"/>
        <v>0.47249999999999998</v>
      </c>
      <c r="BU24" s="65">
        <f t="shared" si="74"/>
        <v>0.51750000000000007</v>
      </c>
      <c r="BV24" s="65">
        <f t="shared" si="74"/>
        <v>0.61250000000000004</v>
      </c>
      <c r="BW24" s="65">
        <f t="shared" si="74"/>
        <v>0.45499999999999996</v>
      </c>
      <c r="BX24" s="65">
        <f t="shared" si="74"/>
        <v>0.48749999999999999</v>
      </c>
      <c r="BY24" s="65">
        <f t="shared" si="74"/>
        <v>0.55249999999999999</v>
      </c>
      <c r="BZ24" s="192">
        <f>AVERAGEIFS(BZ$36:BZ$167,$C$36:$C$167,"=1", $B$36:$B$167,"OFICIAL")</f>
        <v>48.2</v>
      </c>
      <c r="CB24" s="192">
        <f>AVERAGEIFS(CB$36:CB$167,$C$36:$C$167,"=1", $B$36:$B$167,"OFICIAL")</f>
        <v>10.8</v>
      </c>
      <c r="CD24" s="521">
        <f>AVERAGEIFS(CD$36:CD$167,$C$36:$C$167,"=1", $B$36:$B$167,"OFICIAL")</f>
        <v>0.25600000000000001</v>
      </c>
      <c r="CE24" s="521">
        <f t="shared" ref="CE24:CM24" si="75">AVERAGEIFS(CE$36:CE$167,$C$36:$C$167,"=1", $B$36:$B$167,"OFICIAL")</f>
        <v>0.49199999999999999</v>
      </c>
      <c r="CF24" s="521">
        <f t="shared" si="75"/>
        <v>0.23599999999999999</v>
      </c>
      <c r="CG24" s="521">
        <f t="shared" si="75"/>
        <v>1.7999999999999999E-2</v>
      </c>
      <c r="CH24" s="521">
        <f t="shared" si="75"/>
        <v>0.53</v>
      </c>
      <c r="CI24" s="521">
        <f t="shared" si="75"/>
        <v>0.442</v>
      </c>
      <c r="CJ24" s="521">
        <f t="shared" si="75"/>
        <v>0.59199999999999997</v>
      </c>
      <c r="CK24" s="521">
        <f t="shared" si="75"/>
        <v>0.56200000000000006</v>
      </c>
      <c r="CL24" s="521">
        <f t="shared" si="75"/>
        <v>0.45199999999999996</v>
      </c>
      <c r="CM24" s="521">
        <f t="shared" si="75"/>
        <v>0.59199999999999986</v>
      </c>
      <c r="CN24" s="192">
        <f>AVERAGEIFS(CN$36:CN$167,$C$36:$C$167,"=1", $B$36:$B$167,"OFICIAL")</f>
        <v>48.2</v>
      </c>
      <c r="CP24" s="192">
        <f>AVERAGEIFS(CP$36:CP$167,$C$36:$C$167,"=1", $B$36:$B$167,"OFICIAL")</f>
        <v>9.8000000000000007</v>
      </c>
      <c r="CR24" s="521">
        <f>AVERAGEIFS(CR$36:CR$167,$C$36:$C$167,"=1", $B$36:$B$167,"OFICIAL")</f>
        <v>0.246</v>
      </c>
      <c r="CS24" s="521">
        <f t="shared" ref="CS24:DA24" si="76">AVERAGEIFS(CS$36:CS$167,$C$36:$C$167,"=1", $B$36:$B$167,"OFICIAL")</f>
        <v>0.51600000000000001</v>
      </c>
      <c r="CT24" s="521">
        <f t="shared" si="76"/>
        <v>0.22800000000000004</v>
      </c>
      <c r="CU24" s="521">
        <f t="shared" si="76"/>
        <v>8.0000000000000002E-3</v>
      </c>
      <c r="CV24" s="521">
        <f t="shared" si="76"/>
        <v>0.38800000000000001</v>
      </c>
      <c r="CW24" s="521">
        <f t="shared" si="76"/>
        <v>0.57000000000000006</v>
      </c>
      <c r="CX24" s="521">
        <f t="shared" si="76"/>
        <v>0.60599999999999998</v>
      </c>
      <c r="CY24" s="521">
        <f t="shared" si="76"/>
        <v>0.59600000000000009</v>
      </c>
      <c r="CZ24" s="521">
        <f t="shared" si="76"/>
        <v>0.6</v>
      </c>
      <c r="DA24" s="521">
        <f t="shared" si="76"/>
        <v>0.61</v>
      </c>
    </row>
    <row r="25" spans="1:105" s="434" customFormat="1" ht="24.9" customHeight="1" x14ac:dyDescent="0.25">
      <c r="A25" s="6" t="s">
        <v>932</v>
      </c>
      <c r="B25" s="447"/>
      <c r="C25" s="447"/>
      <c r="D25" s="192">
        <f>AVERAGEIFS(D$36:D$167,$C$36:$C$167,"=2", $B$36:$B$167,"OFICIAL")</f>
        <v>52</v>
      </c>
      <c r="E25" s="192">
        <f>AVERAGEIFS(E$36:E$167,$C$36:$C$167,"=2", $B$36:$B$167,"OFICIAL")</f>
        <v>8.5</v>
      </c>
      <c r="F25" s="65">
        <f>AVERAGEIFS(F$36:F$167,$C$36:$C$167,"=2", $B$36:$B$167,"OFICIAL")</f>
        <v>0.11</v>
      </c>
      <c r="G25" s="65">
        <f t="shared" ref="G25:O25" si="77">AVERAGEIFS(G$36:G$167,$C$36:$C$167,"=2", $B$36:$B$167,"OFICIAL")</f>
        <v>0.55499999999999994</v>
      </c>
      <c r="H25" s="65">
        <f t="shared" si="77"/>
        <v>0.33</v>
      </c>
      <c r="I25" s="65">
        <f t="shared" si="77"/>
        <v>0.01</v>
      </c>
      <c r="J25" s="65">
        <f t="shared" si="77"/>
        <v>0.52500000000000002</v>
      </c>
      <c r="K25" s="65">
        <f t="shared" si="77"/>
        <v>0.48</v>
      </c>
      <c r="L25" s="65">
        <f t="shared" si="77"/>
        <v>0.57999999999999996</v>
      </c>
      <c r="M25" s="65">
        <f t="shared" si="77"/>
        <v>0.44</v>
      </c>
      <c r="N25" s="65">
        <f t="shared" si="77"/>
        <v>0.42000000000000004</v>
      </c>
      <c r="O25" s="65">
        <f t="shared" si="77"/>
        <v>0.52</v>
      </c>
      <c r="P25" s="192">
        <f>AVERAGEIFS(P$36:P$167,$C$36:$C$167,"=2", $B$36:$B$167,"OFICIAL")</f>
        <v>51</v>
      </c>
      <c r="Q25" s="192">
        <f>AVERAGEIFS(Q$36:Q$167,$C$36:$C$167,"=2", $B$36:$B$167,"OFICIAL")</f>
        <v>9.5</v>
      </c>
      <c r="R25" s="65">
        <f>AVERAGEIFS(R$36:R$167,$C$36:$C$167,"=2", $B$36:$B$167,"OFICIAL")</f>
        <v>0.13500000000000001</v>
      </c>
      <c r="S25" s="65">
        <f t="shared" ref="S25:AA25" si="78">AVERAGEIFS(S$36:S$167,$C$36:$C$167,"=2", $B$36:$B$167,"OFICIAL")</f>
        <v>0.52500000000000002</v>
      </c>
      <c r="T25" s="65">
        <f t="shared" si="78"/>
        <v>0.32</v>
      </c>
      <c r="U25" s="65">
        <f t="shared" si="78"/>
        <v>2.5000000000000001E-2</v>
      </c>
      <c r="V25" s="65">
        <f t="shared" si="78"/>
        <v>0.41499999999999998</v>
      </c>
      <c r="W25" s="65">
        <f t="shared" si="78"/>
        <v>0.48</v>
      </c>
      <c r="X25" s="65">
        <f t="shared" si="78"/>
        <v>0.54500000000000004</v>
      </c>
      <c r="Y25" s="65">
        <f t="shared" si="78"/>
        <v>0.44500000000000001</v>
      </c>
      <c r="Z25" s="65">
        <f t="shared" si="78"/>
        <v>0.44</v>
      </c>
      <c r="AA25" s="65">
        <f t="shared" si="78"/>
        <v>0.495</v>
      </c>
      <c r="AB25" s="192">
        <f>AVERAGEIFS(AB$36:AB$167,$C$36:$C$167,"=2", $B$36:$B$167,"OFICIAL")</f>
        <v>49</v>
      </c>
      <c r="AC25" s="192">
        <f>AVERAGEIFS(AC$36:AC$167,$C$36:$C$167,"=2", $B$36:$B$167,"OFICIAL")</f>
        <v>10</v>
      </c>
      <c r="AD25" s="65">
        <f>AVERAGEIFS(AD$36:AD$167,$C$36:$C$167,"=2", $B$36:$B$167,"OFICIAL")</f>
        <v>0.21000000000000002</v>
      </c>
      <c r="AE25" s="65">
        <f t="shared" ref="AE25:AM25" si="79">AVERAGEIFS(AE$36:AE$167,$C$36:$C$167,"=2", $B$36:$B$167,"OFICIAL")</f>
        <v>0.5</v>
      </c>
      <c r="AF25" s="65">
        <f t="shared" si="79"/>
        <v>0.29000000000000004</v>
      </c>
      <c r="AG25" s="65">
        <f t="shared" si="79"/>
        <v>5.0000000000000001E-3</v>
      </c>
      <c r="AH25" s="65">
        <f t="shared" si="79"/>
        <v>0.44500000000000001</v>
      </c>
      <c r="AI25" s="65">
        <f t="shared" si="79"/>
        <v>0.435</v>
      </c>
      <c r="AJ25" s="65">
        <f t="shared" si="79"/>
        <v>0.42</v>
      </c>
      <c r="AK25" s="65">
        <f t="shared" si="79"/>
        <v>0.51500000000000001</v>
      </c>
      <c r="AL25" s="65">
        <f t="shared" si="79"/>
        <v>0.54</v>
      </c>
      <c r="AM25" s="65">
        <f t="shared" si="79"/>
        <v>0.52500000000000002</v>
      </c>
      <c r="AN25" s="192">
        <f>AVERAGEIFS(AN$36:AN$167,$C$36:$C$167,"=2", $B$36:$B$167,"OFICIAL")</f>
        <v>48</v>
      </c>
      <c r="AO25" s="192">
        <f>AVERAGEIFS(AO$36:AO$167,$C$36:$C$167,"=2", $B$36:$B$167,"OFICIAL")</f>
        <v>10.5</v>
      </c>
      <c r="AP25" s="65">
        <f>AVERAGEIFS(AP$36:AP$167,$C$36:$C$167,"=2", $B$36:$B$167,"OFICIAL")</f>
        <v>0.28000000000000003</v>
      </c>
      <c r="AQ25" s="65">
        <f t="shared" ref="AQ25:AY25" si="80">AVERAGEIFS(AQ$36:AQ$167,$C$36:$C$167,"=2", $B$36:$B$167,"OFICIAL")</f>
        <v>0.45499999999999996</v>
      </c>
      <c r="AR25" s="65">
        <f t="shared" si="80"/>
        <v>0.255</v>
      </c>
      <c r="AS25" s="65">
        <f t="shared" si="80"/>
        <v>0.01</v>
      </c>
      <c r="AT25" s="65">
        <f t="shared" si="80"/>
        <v>0.56000000000000005</v>
      </c>
      <c r="AU25" s="65">
        <f t="shared" si="80"/>
        <v>0.45999999999999996</v>
      </c>
      <c r="AV25" s="65">
        <f t="shared" si="80"/>
        <v>0.48</v>
      </c>
      <c r="AW25" s="65">
        <f t="shared" si="80"/>
        <v>0.47499999999999998</v>
      </c>
      <c r="AX25" s="65">
        <f t="shared" si="80"/>
        <v>0.495</v>
      </c>
      <c r="AY25" s="65">
        <f t="shared" si="80"/>
        <v>0.48</v>
      </c>
      <c r="AZ25" s="192">
        <f>AVERAGEIFS(AZ$36:AZ$167,$C$36:$C$167,"=2", $B$36:$B$167,"OFICIAL")</f>
        <v>50</v>
      </c>
      <c r="BA25" s="192">
        <f>AVERAGEIFS(BA$36:BA$167,$C$36:$C$167,"=2", $B$36:$B$167,"OFICIAL")</f>
        <v>10</v>
      </c>
      <c r="BB25" s="65">
        <f>AVERAGEIFS(BB$36:BB$167,$C$36:$C$167,"=2", $B$36:$B$167,"OFICIAL")</f>
        <v>0.185</v>
      </c>
      <c r="BC25" s="65">
        <f t="shared" ref="BC25:BK25" si="81">AVERAGEIFS(BC$36:BC$167,$C$36:$C$167,"=2", $B$36:$B$167,"OFICIAL")</f>
        <v>0.49</v>
      </c>
      <c r="BD25" s="65">
        <f t="shared" si="81"/>
        <v>0.31000000000000005</v>
      </c>
      <c r="BE25" s="65">
        <f t="shared" si="81"/>
        <v>0.02</v>
      </c>
      <c r="BF25" s="65">
        <f t="shared" si="81"/>
        <v>0.48</v>
      </c>
      <c r="BG25" s="65">
        <f t="shared" si="81"/>
        <v>0.46499999999999997</v>
      </c>
      <c r="BH25" s="65">
        <f t="shared" si="81"/>
        <v>0.46499999999999997</v>
      </c>
      <c r="BI25" s="65">
        <f t="shared" si="81"/>
        <v>0.53500000000000003</v>
      </c>
      <c r="BJ25" s="65">
        <f t="shared" si="81"/>
        <v>0.42500000000000004</v>
      </c>
      <c r="BK25" s="65">
        <f t="shared" si="81"/>
        <v>0.40500000000000003</v>
      </c>
      <c r="BL25" s="192">
        <f>AVERAGEIFS(BL$36:BL$167,$C$36:$C$167,"=2", $B$36:$B$167,"OFICIAL")</f>
        <v>48.5</v>
      </c>
      <c r="BN25" s="192">
        <f>AVERAGEIFS(BN$36:BN$167,$C$36:$C$167,"=2", $B$36:$B$167,"OFICIAL")</f>
        <v>10</v>
      </c>
      <c r="BP25" s="65">
        <f>AVERAGEIFS(BP$36:BP$167,$C$36:$C$167,"=2", $B$36:$B$167,"OFICIAL")</f>
        <v>0.245</v>
      </c>
      <c r="BQ25" s="65">
        <f t="shared" ref="BQ25:BY25" si="82">AVERAGEIFS(BQ$36:BQ$167,$C$36:$C$167,"=2", $B$36:$B$167,"OFICIAL")</f>
        <v>0.505</v>
      </c>
      <c r="BR25" s="65">
        <f t="shared" si="82"/>
        <v>0.245</v>
      </c>
      <c r="BS25" s="65">
        <f t="shared" si="82"/>
        <v>5.0000000000000001E-3</v>
      </c>
      <c r="BT25" s="65">
        <f t="shared" si="82"/>
        <v>0.48</v>
      </c>
      <c r="BU25" s="65">
        <f t="shared" si="82"/>
        <v>0.5</v>
      </c>
      <c r="BV25" s="65">
        <f t="shared" si="82"/>
        <v>0.55000000000000004</v>
      </c>
      <c r="BW25" s="65">
        <f t="shared" si="82"/>
        <v>0.45500000000000002</v>
      </c>
      <c r="BX25" s="65">
        <f t="shared" si="82"/>
        <v>0.49</v>
      </c>
      <c r="BY25" s="65">
        <f t="shared" si="82"/>
        <v>0.55500000000000005</v>
      </c>
      <c r="BZ25" s="192">
        <f>AVERAGEIFS(BZ$36:BZ$167,$C$36:$C$167,"=2", $B$36:$B$167,"OFICIAL")</f>
        <v>48.5</v>
      </c>
      <c r="CB25" s="192">
        <f>AVERAGEIFS(CB$36:CB$167,$C$36:$C$167,"=2", $B$36:$B$167,"OFICIAL")</f>
        <v>10.25</v>
      </c>
      <c r="CD25" s="521">
        <f>AVERAGEIFS(CD$36:CD$167,$C$36:$C$167,"=2", $B$36:$B$167,"OFICIAL")</f>
        <v>0.23749999999999999</v>
      </c>
      <c r="CE25" s="521">
        <f t="shared" ref="CE25:CM25" si="83">AVERAGEIFS(CE$36:CE$167,$C$36:$C$167,"=2", $B$36:$B$167,"OFICIAL")</f>
        <v>0.48749999999999999</v>
      </c>
      <c r="CF25" s="521">
        <f t="shared" si="83"/>
        <v>0.26750000000000002</v>
      </c>
      <c r="CG25" s="521">
        <f t="shared" si="83"/>
        <v>0.01</v>
      </c>
      <c r="CH25" s="521">
        <f t="shared" si="83"/>
        <v>0.52250000000000008</v>
      </c>
      <c r="CI25" s="521">
        <f t="shared" si="83"/>
        <v>0.43999999999999995</v>
      </c>
      <c r="CJ25" s="521">
        <f t="shared" si="83"/>
        <v>0.57750000000000001</v>
      </c>
      <c r="CK25" s="521">
        <f t="shared" si="83"/>
        <v>0.5625</v>
      </c>
      <c r="CL25" s="521">
        <f t="shared" si="83"/>
        <v>0.45750000000000002</v>
      </c>
      <c r="CM25" s="521">
        <f t="shared" si="83"/>
        <v>0.59</v>
      </c>
      <c r="CN25" s="192">
        <f>AVERAGEIFS(CN$36:CN$167,$C$36:$C$167,"=2", $B$36:$B$167,"OFICIAL")</f>
        <v>49</v>
      </c>
      <c r="CP25" s="192">
        <f>AVERAGEIFS(CP$36:CP$167,$C$36:$C$167,"=2", $B$36:$B$167,"OFICIAL")</f>
        <v>10</v>
      </c>
      <c r="CR25" s="521">
        <f>AVERAGEIFS(CR$36:CR$167,$C$36:$C$167,"=2", $B$36:$B$167,"OFICIAL")</f>
        <v>0.2175</v>
      </c>
      <c r="CS25" s="521">
        <f t="shared" ref="CS25:DA25" si="84">AVERAGEIFS(CS$36:CS$167,$C$36:$C$167,"=2", $B$36:$B$167,"OFICIAL")</f>
        <v>0.505</v>
      </c>
      <c r="CT25" s="521">
        <f t="shared" si="84"/>
        <v>0.26500000000000001</v>
      </c>
      <c r="CU25" s="521">
        <f t="shared" si="84"/>
        <v>1.4999999999999999E-2</v>
      </c>
      <c r="CV25" s="521">
        <f t="shared" si="84"/>
        <v>0.37249999999999994</v>
      </c>
      <c r="CW25" s="521">
        <f t="shared" si="84"/>
        <v>0.57250000000000001</v>
      </c>
      <c r="CX25" s="521">
        <f t="shared" si="84"/>
        <v>0.58749999999999991</v>
      </c>
      <c r="CY25" s="521">
        <f t="shared" si="84"/>
        <v>0.63</v>
      </c>
      <c r="CZ25" s="521">
        <f t="shared" si="84"/>
        <v>0.57750000000000001</v>
      </c>
      <c r="DA25" s="521">
        <f t="shared" si="84"/>
        <v>0.61</v>
      </c>
    </row>
    <row r="26" spans="1:105" s="434" customFormat="1" ht="24.9" customHeight="1" x14ac:dyDescent="0.25">
      <c r="A26" s="6" t="s">
        <v>933</v>
      </c>
      <c r="B26" s="447"/>
      <c r="C26" s="447"/>
      <c r="D26" s="192">
        <f>AVERAGEIFS(D$36:D$167,$C$36:$C$167,"=3", $B$36:$B$167,"OFICIAL")</f>
        <v>50.4</v>
      </c>
      <c r="E26" s="192">
        <f>AVERAGEIFS(E$36:E$167,$C$36:$C$167,"=3", $B$36:$B$167,"OFICIAL")</f>
        <v>8.8000000000000007</v>
      </c>
      <c r="F26" s="65">
        <f>AVERAGEIFS(F$36:F$167,$C$36:$C$167,"=3", $B$36:$B$167,"OFICIAL")</f>
        <v>0.158</v>
      </c>
      <c r="G26" s="65">
        <f t="shared" ref="G26:O26" si="85">AVERAGEIFS(G$36:G$167,$C$36:$C$167,"=3", $B$36:$B$167,"OFICIAL")</f>
        <v>0.56600000000000006</v>
      </c>
      <c r="H26" s="65">
        <f t="shared" si="85"/>
        <v>0.26600000000000001</v>
      </c>
      <c r="I26" s="65">
        <f t="shared" si="85"/>
        <v>1.5999999999999997E-2</v>
      </c>
      <c r="J26" s="65">
        <f t="shared" si="85"/>
        <v>0.54400000000000004</v>
      </c>
      <c r="K26" s="65">
        <f t="shared" si="85"/>
        <v>0.504</v>
      </c>
      <c r="L26" s="65">
        <f t="shared" si="85"/>
        <v>0.60000000000000009</v>
      </c>
      <c r="M26" s="65">
        <f t="shared" si="85"/>
        <v>0.45599999999999996</v>
      </c>
      <c r="N26" s="65">
        <f t="shared" si="85"/>
        <v>0.45800000000000002</v>
      </c>
      <c r="O26" s="65">
        <f t="shared" si="85"/>
        <v>0.52600000000000002</v>
      </c>
      <c r="P26" s="192">
        <f>AVERAGEIFS(P$36:P$167,$C$36:$C$167,"=3", $B$36:$B$167,"OFICIAL")</f>
        <v>51</v>
      </c>
      <c r="Q26" s="192">
        <f>AVERAGEIFS(Q$36:Q$167,$C$36:$C$167,"=3", $B$36:$B$167,"OFICIAL")</f>
        <v>9.4</v>
      </c>
      <c r="R26" s="65">
        <f>AVERAGEIFS(R$36:R$167,$C$36:$C$167,"=3", $B$36:$B$167,"OFICIAL")</f>
        <v>0.15000000000000002</v>
      </c>
      <c r="S26" s="65">
        <f t="shared" ref="S26:AA26" si="86">AVERAGEIFS(S$36:S$167,$C$36:$C$167,"=3", $B$36:$B$167,"OFICIAL")</f>
        <v>0.50600000000000001</v>
      </c>
      <c r="T26" s="65">
        <f t="shared" si="86"/>
        <v>0.34</v>
      </c>
      <c r="U26" s="65">
        <f t="shared" si="86"/>
        <v>4.0000000000000001E-3</v>
      </c>
      <c r="V26" s="65">
        <f t="shared" si="86"/>
        <v>0.44000000000000006</v>
      </c>
      <c r="W26" s="65">
        <f t="shared" si="86"/>
        <v>0.49199999999999999</v>
      </c>
      <c r="X26" s="65">
        <f t="shared" si="86"/>
        <v>0.57400000000000007</v>
      </c>
      <c r="Y26" s="65">
        <f t="shared" si="86"/>
        <v>0.46399999999999997</v>
      </c>
      <c r="Z26" s="65">
        <f t="shared" si="86"/>
        <v>0.434</v>
      </c>
      <c r="AA26" s="65">
        <f t="shared" si="86"/>
        <v>0.504</v>
      </c>
      <c r="AB26" s="192">
        <f>AVERAGEIFS(AB$36:AB$167,$C$36:$C$167,"=3", $B$36:$B$167,"OFICIAL")</f>
        <v>50</v>
      </c>
      <c r="AC26" s="192">
        <f>AVERAGEIFS(AC$36:AC$167,$C$36:$C$167,"=3", $B$36:$B$167,"OFICIAL")</f>
        <v>10</v>
      </c>
      <c r="AD26" s="65">
        <f>AVERAGEIFS(AD$36:AD$167,$C$36:$C$167,"=3", $B$36:$B$167,"OFICIAL")</f>
        <v>0.186</v>
      </c>
      <c r="AE26" s="65">
        <f t="shared" ref="AE26:AM26" si="87">AVERAGEIFS(AE$36:AE$167,$C$36:$C$167,"=3", $B$36:$B$167,"OFICIAL")</f>
        <v>0.504</v>
      </c>
      <c r="AF26" s="65">
        <f t="shared" si="87"/>
        <v>0.29599999999999999</v>
      </c>
      <c r="AG26" s="65">
        <f t="shared" si="87"/>
        <v>1.2E-2</v>
      </c>
      <c r="AH26" s="65">
        <f t="shared" si="87"/>
        <v>0.43600000000000005</v>
      </c>
      <c r="AI26" s="65">
        <f t="shared" si="87"/>
        <v>0.42800000000000005</v>
      </c>
      <c r="AJ26" s="65">
        <f t="shared" si="87"/>
        <v>0.41399999999999998</v>
      </c>
      <c r="AK26" s="65">
        <f t="shared" si="87"/>
        <v>0.51</v>
      </c>
      <c r="AL26" s="65">
        <f t="shared" si="87"/>
        <v>0.55600000000000005</v>
      </c>
      <c r="AM26" s="65">
        <f t="shared" si="87"/>
        <v>0.52</v>
      </c>
      <c r="AN26" s="192">
        <f>AVERAGEIFS(AN$36:AN$167,$C$36:$C$167,"=3", $B$36:$B$167,"OFICIAL")</f>
        <v>47.2</v>
      </c>
      <c r="AO26" s="192">
        <f>AVERAGEIFS(AO$36:AO$167,$C$36:$C$167,"=3", $B$36:$B$167,"OFICIAL")</f>
        <v>10</v>
      </c>
      <c r="AP26" s="65">
        <f>AVERAGEIFS(AP$36:AP$167,$C$36:$C$167,"=3", $B$36:$B$167,"OFICIAL")</f>
        <v>0.28600000000000003</v>
      </c>
      <c r="AQ26" s="65">
        <f t="shared" ref="AQ26:AY26" si="88">AVERAGEIFS(AQ$36:AQ$167,$C$36:$C$167,"=3", $B$36:$B$167,"OFICIAL")</f>
        <v>0.48200000000000004</v>
      </c>
      <c r="AR26" s="65">
        <f t="shared" si="88"/>
        <v>0.22199999999999998</v>
      </c>
      <c r="AS26" s="65">
        <f t="shared" si="88"/>
        <v>0.01</v>
      </c>
      <c r="AT26" s="65">
        <f t="shared" si="88"/>
        <v>0.55400000000000005</v>
      </c>
      <c r="AU26" s="65">
        <f t="shared" si="88"/>
        <v>0.49800000000000005</v>
      </c>
      <c r="AV26" s="65">
        <f t="shared" si="88"/>
        <v>0.48</v>
      </c>
      <c r="AW26" s="65">
        <f t="shared" si="88"/>
        <v>0.49199999999999999</v>
      </c>
      <c r="AX26" s="65">
        <f t="shared" si="88"/>
        <v>0.51400000000000001</v>
      </c>
      <c r="AY26" s="65">
        <f t="shared" si="88"/>
        <v>0.5</v>
      </c>
      <c r="AZ26" s="192">
        <f>AVERAGEIFS(AZ$36:AZ$167,$C$36:$C$167,"=3", $B$36:$B$167,"OFICIAL")</f>
        <v>49.8</v>
      </c>
      <c r="BA26" s="192">
        <f>AVERAGEIFS(BA$36:BA$167,$C$36:$C$167,"=3", $B$36:$B$167,"OFICIAL")</f>
        <v>10</v>
      </c>
      <c r="BB26" s="65">
        <f>AVERAGEIFS(BB$36:BB$167,$C$36:$C$167,"=3", $B$36:$B$167,"OFICIAL")</f>
        <v>0.184</v>
      </c>
      <c r="BC26" s="65">
        <f t="shared" ref="BC26:BK26" si="89">AVERAGEIFS(BC$36:BC$167,$C$36:$C$167,"=3", $B$36:$B$167,"OFICIAL")</f>
        <v>0.48399999999999999</v>
      </c>
      <c r="BD26" s="65">
        <f t="shared" si="89"/>
        <v>0.32200000000000001</v>
      </c>
      <c r="BE26" s="65">
        <f t="shared" si="89"/>
        <v>1.3999999999999999E-2</v>
      </c>
      <c r="BF26" s="65">
        <f t="shared" si="89"/>
        <v>0.49199999999999999</v>
      </c>
      <c r="BG26" s="65">
        <f t="shared" si="89"/>
        <v>0.47000000000000003</v>
      </c>
      <c r="BH26" s="65">
        <f t="shared" si="89"/>
        <v>0.48</v>
      </c>
      <c r="BI26" s="65">
        <f t="shared" si="89"/>
        <v>0.55400000000000005</v>
      </c>
      <c r="BJ26" s="65">
        <f t="shared" si="89"/>
        <v>0.44800000000000006</v>
      </c>
      <c r="BK26" s="65">
        <f t="shared" si="89"/>
        <v>0.41600000000000004</v>
      </c>
      <c r="BL26" s="192">
        <f>AVERAGEIFS(BL$36:BL$167,$C$36:$C$167,"=3", $B$36:$B$167,"OFICIAL")</f>
        <v>47.6</v>
      </c>
      <c r="BN26" s="192">
        <f>AVERAGEIFS(BN$36:BN$167,$C$36:$C$167,"=3", $B$36:$B$167,"OFICIAL")</f>
        <v>10</v>
      </c>
      <c r="BP26" s="65">
        <f>AVERAGEIFS(BP$36:BP$167,$C$36:$C$167,"=3", $B$36:$B$167,"OFICIAL")</f>
        <v>0.25600000000000001</v>
      </c>
      <c r="BQ26" s="65">
        <f t="shared" ref="BQ26:BY26" si="90">AVERAGEIFS(BQ$36:BQ$167,$C$36:$C$167,"=3", $B$36:$B$167,"OFICIAL")</f>
        <v>0.52200000000000002</v>
      </c>
      <c r="BR26" s="65">
        <f t="shared" si="90"/>
        <v>0.21600000000000003</v>
      </c>
      <c r="BS26" s="65">
        <f t="shared" si="90"/>
        <v>0.01</v>
      </c>
      <c r="BT26" s="65">
        <f t="shared" si="90"/>
        <v>0.48799999999999999</v>
      </c>
      <c r="BU26" s="65">
        <f t="shared" si="90"/>
        <v>0.51600000000000001</v>
      </c>
      <c r="BV26" s="65">
        <f t="shared" si="90"/>
        <v>0.56799999999999995</v>
      </c>
      <c r="BW26" s="65">
        <f t="shared" si="90"/>
        <v>0.44400000000000006</v>
      </c>
      <c r="BX26" s="65">
        <f t="shared" si="90"/>
        <v>0.48399999999999999</v>
      </c>
      <c r="BY26" s="65">
        <f t="shared" si="90"/>
        <v>0.56799999999999995</v>
      </c>
      <c r="BZ26" s="192">
        <f>AVERAGEIFS(BZ$36:BZ$167,$C$36:$C$167,"=3", $B$36:$B$167,"OFICIAL")</f>
        <v>49.333333333333336</v>
      </c>
      <c r="CB26" s="192">
        <f>AVERAGEIFS(CB$36:CB$167,$C$36:$C$167,"=3", $B$36:$B$167,"OFICIAL")</f>
        <v>10</v>
      </c>
      <c r="CD26" s="521">
        <f>AVERAGEIFS(CD$36:CD$167,$C$36:$C$167,"=3", $B$36:$B$167,"OFICIAL")</f>
        <v>0.20166666666666666</v>
      </c>
      <c r="CE26" s="521">
        <f t="shared" ref="CE26:CM26" si="91">AVERAGEIFS(CE$36:CE$167,$C$36:$C$167,"=3", $B$36:$B$167,"OFICIAL")</f>
        <v>0.51500000000000001</v>
      </c>
      <c r="CF26" s="521">
        <f t="shared" si="91"/>
        <v>0.26333333333333336</v>
      </c>
      <c r="CG26" s="521">
        <f t="shared" si="91"/>
        <v>1.6666666666666666E-2</v>
      </c>
      <c r="CH26" s="521">
        <f t="shared" si="91"/>
        <v>0.4916666666666667</v>
      </c>
      <c r="CI26" s="521">
        <f t="shared" si="91"/>
        <v>0.41833333333333339</v>
      </c>
      <c r="CJ26" s="521">
        <f t="shared" si="91"/>
        <v>0.58499999999999996</v>
      </c>
      <c r="CK26" s="521">
        <f t="shared" si="91"/>
        <v>0.54999999999999993</v>
      </c>
      <c r="CL26" s="521">
        <f t="shared" si="91"/>
        <v>0.45333333333333337</v>
      </c>
      <c r="CM26" s="521">
        <f t="shared" si="91"/>
        <v>0.57166666666666666</v>
      </c>
      <c r="CN26" s="192">
        <f>AVERAGEIFS(CN$36:CN$167,$C$36:$C$167,"=3", $B$36:$B$167,"OFICIAL")</f>
        <v>49.666666666666664</v>
      </c>
      <c r="CP26" s="192">
        <f>AVERAGEIFS(CP$36:CP$167,$C$36:$C$167,"=3", $B$36:$B$167,"OFICIAL")</f>
        <v>10</v>
      </c>
      <c r="CR26" s="521">
        <f>AVERAGEIFS(CR$36:CR$167,$C$36:$C$167,"=3", $B$36:$B$167,"OFICIAL")</f>
        <v>0.21333333333333329</v>
      </c>
      <c r="CS26" s="521">
        <f t="shared" ref="CS26:DA26" si="92">AVERAGEIFS(CS$36:CS$167,$C$36:$C$167,"=3", $B$36:$B$167,"OFICIAL")</f>
        <v>0.49666666666666665</v>
      </c>
      <c r="CT26" s="521">
        <f t="shared" si="92"/>
        <v>0.27666666666666667</v>
      </c>
      <c r="CU26" s="521">
        <f t="shared" si="92"/>
        <v>1.4999999999999999E-2</v>
      </c>
      <c r="CV26" s="521">
        <f t="shared" si="92"/>
        <v>0.35666666666666663</v>
      </c>
      <c r="CW26" s="521">
        <f t="shared" si="92"/>
        <v>0.55666666666666675</v>
      </c>
      <c r="CX26" s="521">
        <f t="shared" si="92"/>
        <v>0.57833333333333337</v>
      </c>
      <c r="CY26" s="521">
        <f t="shared" si="92"/>
        <v>0.64500000000000002</v>
      </c>
      <c r="CZ26" s="521">
        <f t="shared" si="92"/>
        <v>0.57833333333333325</v>
      </c>
      <c r="DA26" s="521">
        <f t="shared" si="92"/>
        <v>0.53833333333333344</v>
      </c>
    </row>
    <row r="27" spans="1:105" s="434" customFormat="1" ht="24.9" customHeight="1" x14ac:dyDescent="0.25">
      <c r="A27" s="6" t="s">
        <v>934</v>
      </c>
      <c r="B27" s="447"/>
      <c r="C27" s="447"/>
      <c r="D27" s="192">
        <f>AVERAGEIFS(D$36:D$167,$C$36:$C$167,"=4", $B$36:$B$167,"OFICIAL")</f>
        <v>47.166666666666664</v>
      </c>
      <c r="E27" s="192">
        <f>AVERAGEIFS(E$36:E$167,$C$36:$C$167,"=4", $B$36:$B$167,"OFICIAL")</f>
        <v>8.5</v>
      </c>
      <c r="F27" s="65">
        <f>AVERAGEIFS(F$36:F$167,$C$36:$C$167,"=4", $B$36:$B$167,"OFICIAL")</f>
        <v>0.28999999999999998</v>
      </c>
      <c r="G27" s="65">
        <f t="shared" ref="G27:O27" si="93">AVERAGEIFS(G$36:G$167,$C$36:$C$167,"=4", $B$36:$B$167,"OFICIAL")</f>
        <v>0.52166666666666661</v>
      </c>
      <c r="H27" s="65">
        <f t="shared" si="93"/>
        <v>0.18500000000000003</v>
      </c>
      <c r="I27" s="65">
        <f t="shared" si="93"/>
        <v>3.3333333333333335E-3</v>
      </c>
      <c r="J27" s="65">
        <f t="shared" si="93"/>
        <v>0.61</v>
      </c>
      <c r="K27" s="65">
        <f t="shared" si="93"/>
        <v>0.54333333333333333</v>
      </c>
      <c r="L27" s="65">
        <f t="shared" si="93"/>
        <v>0.61333333333333329</v>
      </c>
      <c r="M27" s="65">
        <f t="shared" si="93"/>
        <v>0.49333333333333335</v>
      </c>
      <c r="N27" s="65">
        <f t="shared" si="93"/>
        <v>0.47166666666666668</v>
      </c>
      <c r="O27" s="65">
        <f t="shared" si="93"/>
        <v>0.56833333333333325</v>
      </c>
      <c r="P27" s="192">
        <f>AVERAGEIFS(P$36:P$167,$C$36:$C$167,"=4", $B$36:$B$167,"OFICIAL")</f>
        <v>47.5</v>
      </c>
      <c r="Q27" s="192">
        <f>AVERAGEIFS(Q$36:Q$167,$C$36:$C$167,"=4", $B$36:$B$167,"OFICIAL")</f>
        <v>9.6666666666666661</v>
      </c>
      <c r="R27" s="65">
        <f>AVERAGEIFS(R$36:R$167,$C$36:$C$167,"=4", $B$36:$B$167,"OFICIAL")</f>
        <v>0.26333333333333336</v>
      </c>
      <c r="S27" s="65">
        <f t="shared" ref="S27:AA27" si="94">AVERAGEIFS(S$36:S$167,$C$36:$C$167,"=4", $B$36:$B$167,"OFICIAL")</f>
        <v>0.53</v>
      </c>
      <c r="T27" s="65">
        <f t="shared" si="94"/>
        <v>0.18833333333333332</v>
      </c>
      <c r="U27" s="65">
        <f t="shared" si="94"/>
        <v>1.8333333333333333E-2</v>
      </c>
      <c r="V27" s="65">
        <f t="shared" si="94"/>
        <v>0.5033333333333333</v>
      </c>
      <c r="W27" s="65">
        <f t="shared" si="94"/>
        <v>0.53833333333333344</v>
      </c>
      <c r="X27" s="65">
        <f t="shared" si="94"/>
        <v>0.60666666666666669</v>
      </c>
      <c r="Y27" s="65">
        <f t="shared" si="94"/>
        <v>0.51166666666666671</v>
      </c>
      <c r="Z27" s="65">
        <f t="shared" si="94"/>
        <v>0.46166666666666673</v>
      </c>
      <c r="AA27" s="65">
        <f t="shared" si="94"/>
        <v>0.57166666666666666</v>
      </c>
      <c r="AB27" s="192">
        <f>AVERAGEIFS(AB$36:AB$167,$C$36:$C$167,"=4", $B$36:$B$167,"OFICIAL")</f>
        <v>45.166666666666664</v>
      </c>
      <c r="AC27" s="192">
        <f>AVERAGEIFS(AC$36:AC$167,$C$36:$C$167,"=4", $B$36:$B$167,"OFICIAL")</f>
        <v>10</v>
      </c>
      <c r="AD27" s="65">
        <f>AVERAGEIFS(AD$36:AD$167,$C$36:$C$167,"=4", $B$36:$B$167,"OFICIAL")</f>
        <v>0.35166666666666663</v>
      </c>
      <c r="AE27" s="65">
        <f t="shared" ref="AE27:AM27" si="95">AVERAGEIFS(AE$36:AE$167,$C$36:$C$167,"=4", $B$36:$B$167,"OFICIAL")</f>
        <v>0.47833333333333333</v>
      </c>
      <c r="AF27" s="65">
        <f t="shared" si="95"/>
        <v>0.16500000000000001</v>
      </c>
      <c r="AG27" s="65">
        <f t="shared" si="95"/>
        <v>6.6666666666666671E-3</v>
      </c>
      <c r="AH27" s="65">
        <f t="shared" si="95"/>
        <v>0.5083333333333333</v>
      </c>
      <c r="AI27" s="65">
        <f t="shared" si="95"/>
        <v>0.51500000000000001</v>
      </c>
      <c r="AJ27" s="65">
        <f t="shared" si="95"/>
        <v>0.49000000000000005</v>
      </c>
      <c r="AK27" s="65">
        <f t="shared" si="95"/>
        <v>0.57666666666666655</v>
      </c>
      <c r="AL27" s="65">
        <f t="shared" si="95"/>
        <v>0.6283333333333333</v>
      </c>
      <c r="AM27" s="65">
        <f t="shared" si="95"/>
        <v>0.58833333333333337</v>
      </c>
      <c r="AN27" s="192">
        <f>AVERAGEIFS(AN$36:AN$167,$C$36:$C$167,"=4", $B$36:$B$167,"OFICIAL")</f>
        <v>43</v>
      </c>
      <c r="AO27" s="192">
        <f>AVERAGEIFS(AO$36:AO$167,$C$36:$C$167,"=4", $B$36:$B$167,"OFICIAL")</f>
        <v>10.666666666666666</v>
      </c>
      <c r="AP27" s="65">
        <f>AVERAGEIFS(AP$36:AP$167,$C$36:$C$167,"=4", $B$36:$B$167,"OFICIAL")</f>
        <v>0.46666666666666662</v>
      </c>
      <c r="AQ27" s="65">
        <f t="shared" ref="AQ27:AY27" si="96">AVERAGEIFS(AQ$36:AQ$167,$C$36:$C$167,"=4", $B$36:$B$167,"OFICIAL")</f>
        <v>0.37999999999999995</v>
      </c>
      <c r="AR27" s="65">
        <f t="shared" si="96"/>
        <v>0.15</v>
      </c>
      <c r="AS27" s="65">
        <f t="shared" si="96"/>
        <v>1.6666666666666668E-3</v>
      </c>
      <c r="AT27" s="65">
        <f t="shared" si="96"/>
        <v>0.6316666666666666</v>
      </c>
      <c r="AU27" s="65">
        <f t="shared" si="96"/>
        <v>0.55500000000000005</v>
      </c>
      <c r="AV27" s="65">
        <f t="shared" si="96"/>
        <v>0.54166666666666663</v>
      </c>
      <c r="AW27" s="65">
        <f t="shared" si="96"/>
        <v>0.55333333333333334</v>
      </c>
      <c r="AX27" s="65">
        <f t="shared" si="96"/>
        <v>0.57333333333333336</v>
      </c>
      <c r="AY27" s="65">
        <f t="shared" si="96"/>
        <v>0.54999999999999993</v>
      </c>
      <c r="AZ27" s="192">
        <f>AVERAGEIFS(AZ$36:AZ$167,$C$36:$C$167,"=4", $B$36:$B$167,"OFICIAL")</f>
        <v>45.333333333333336</v>
      </c>
      <c r="BA27" s="192">
        <f>AVERAGEIFS(BA$36:BA$167,$C$36:$C$167,"=4", $B$36:$B$167,"OFICIAL")</f>
        <v>9</v>
      </c>
      <c r="BB27" s="65">
        <f>AVERAGEIFS(BB$36:BB$167,$C$36:$C$167,"=4", $B$36:$B$167,"OFICIAL")</f>
        <v>0.30166666666666664</v>
      </c>
      <c r="BC27" s="65">
        <f t="shared" ref="BC27:BK27" si="97">AVERAGEIFS(BC$36:BC$167,$C$36:$C$167,"=4", $B$36:$B$167,"OFICIAL")</f>
        <v>0.55833333333333346</v>
      </c>
      <c r="BD27" s="65">
        <f t="shared" si="97"/>
        <v>0.13999999999999999</v>
      </c>
      <c r="BE27" s="65">
        <f t="shared" si="97"/>
        <v>3.3333333333333335E-3</v>
      </c>
      <c r="BF27" s="65">
        <f t="shared" si="97"/>
        <v>0.57833333333333325</v>
      </c>
      <c r="BG27" s="65">
        <f t="shared" si="97"/>
        <v>0.55166666666666664</v>
      </c>
      <c r="BH27" s="65">
        <f t="shared" si="97"/>
        <v>0.54666666666666675</v>
      </c>
      <c r="BI27" s="65">
        <f t="shared" si="97"/>
        <v>0.64499999999999991</v>
      </c>
      <c r="BJ27" s="65">
        <f t="shared" si="97"/>
        <v>0.49666666666666676</v>
      </c>
      <c r="BK27" s="65">
        <f t="shared" si="97"/>
        <v>0.51833333333333342</v>
      </c>
      <c r="BL27" s="192">
        <f>AVERAGEIFS(BL$36:BL$167,$C$36:$C$167,"=4", $B$36:$B$167,"OFICIAL")</f>
        <v>44</v>
      </c>
      <c r="BN27" s="192">
        <f>AVERAGEIFS(BN$36:BN$167,$C$36:$C$167,"=4", $B$36:$B$167,"OFICIAL")</f>
        <v>9.8333333333333339</v>
      </c>
      <c r="BP27" s="65">
        <f>AVERAGEIFS(BP$36:BP$167,$C$36:$C$167,"=4", $B$36:$B$167,"OFICIAL")</f>
        <v>0.38500000000000001</v>
      </c>
      <c r="BQ27" s="65">
        <f t="shared" ref="BQ27:BY27" si="98">AVERAGEIFS(BQ$36:BQ$167,$C$36:$C$167,"=4", $B$36:$B$167,"OFICIAL")</f>
        <v>0.48</v>
      </c>
      <c r="BR27" s="65">
        <f t="shared" si="98"/>
        <v>0.13333333333333333</v>
      </c>
      <c r="BS27" s="65">
        <f t="shared" si="98"/>
        <v>1.6666666666666668E-3</v>
      </c>
      <c r="BT27" s="65">
        <f t="shared" si="98"/>
        <v>0.55333333333333334</v>
      </c>
      <c r="BU27" s="65">
        <f t="shared" si="98"/>
        <v>0.55500000000000005</v>
      </c>
      <c r="BV27" s="65">
        <f t="shared" si="98"/>
        <v>0.66999999999999993</v>
      </c>
      <c r="BW27" s="65">
        <f t="shared" si="98"/>
        <v>0.505</v>
      </c>
      <c r="BX27" s="65">
        <f t="shared" si="98"/>
        <v>0.55666666666666664</v>
      </c>
      <c r="BY27" s="65">
        <f t="shared" si="98"/>
        <v>0.6133333333333334</v>
      </c>
      <c r="BZ27" s="192">
        <f>AVERAGEIFS(BZ$36:BZ$167,$C$36:$C$167,"=4", $B$36:$B$167,"OFICIAL")</f>
        <v>45</v>
      </c>
      <c r="CB27" s="192">
        <f>AVERAGEIFS(CB$36:CB$167,$C$36:$C$167,"=4", $B$36:$B$167,"OFICIAL")</f>
        <v>9.8333333333333339</v>
      </c>
      <c r="CD27" s="521">
        <f>AVERAGEIFS(CD$36:CD$167,$C$36:$C$167,"=4", $B$36:$B$167,"OFICIAL")</f>
        <v>0.35333333333333333</v>
      </c>
      <c r="CE27" s="521">
        <f t="shared" ref="CE27:CM27" si="99">AVERAGEIFS(CE$36:CE$167,$C$36:$C$167,"=4", $B$36:$B$167,"OFICIAL")</f>
        <v>0.5083333333333333</v>
      </c>
      <c r="CF27" s="521">
        <f t="shared" si="99"/>
        <v>0.13500000000000001</v>
      </c>
      <c r="CG27" s="521">
        <f t="shared" si="99"/>
        <v>6.6666666666666671E-3</v>
      </c>
      <c r="CH27" s="521">
        <f t="shared" si="99"/>
        <v>0.52500000000000002</v>
      </c>
      <c r="CI27" s="521">
        <f t="shared" si="99"/>
        <v>0.47666666666666663</v>
      </c>
      <c r="CJ27" s="521">
        <f t="shared" si="99"/>
        <v>0.64</v>
      </c>
      <c r="CK27" s="521">
        <f t="shared" si="99"/>
        <v>0.6216666666666667</v>
      </c>
      <c r="CL27" s="521">
        <f t="shared" si="99"/>
        <v>0.48666666666666658</v>
      </c>
      <c r="CM27" s="521">
        <f t="shared" si="99"/>
        <v>0.64500000000000013</v>
      </c>
      <c r="CN27" s="192">
        <f>AVERAGEIFS(CN$36:CN$167,$C$36:$C$167,"=4", $B$36:$B$167,"OFICIAL")</f>
        <v>45.5</v>
      </c>
      <c r="CP27" s="192">
        <f>AVERAGEIFS(CP$36:CP$167,$C$36:$C$167,"=4", $B$36:$B$167,"OFICIAL")</f>
        <v>10</v>
      </c>
      <c r="CR27" s="521">
        <f>AVERAGEIFS(CR$36:CR$167,$C$36:$C$167,"=4", $B$36:$B$167,"OFICIAL")</f>
        <v>0.34166666666666662</v>
      </c>
      <c r="CS27" s="521">
        <f t="shared" ref="CS27:DA27" si="100">AVERAGEIFS(CS$36:CS$167,$C$36:$C$167,"=4", $B$36:$B$167,"OFICIAL")</f>
        <v>0.5033333333333333</v>
      </c>
      <c r="CT27" s="521">
        <f t="shared" si="100"/>
        <v>0.15333333333333335</v>
      </c>
      <c r="CU27" s="521">
        <f t="shared" si="100"/>
        <v>5.0000000000000001E-3</v>
      </c>
      <c r="CV27" s="521">
        <f t="shared" si="100"/>
        <v>0.46500000000000002</v>
      </c>
      <c r="CW27" s="521">
        <f t="shared" si="100"/>
        <v>0.61833333333333329</v>
      </c>
      <c r="CX27" s="521">
        <f t="shared" si="100"/>
        <v>0.62500000000000011</v>
      </c>
      <c r="CY27" s="521">
        <f t="shared" si="100"/>
        <v>0.70000000000000007</v>
      </c>
      <c r="CZ27" s="521">
        <f t="shared" si="100"/>
        <v>0.61166666666666669</v>
      </c>
      <c r="DA27" s="521">
        <f t="shared" si="100"/>
        <v>0.63833333333333331</v>
      </c>
    </row>
    <row r="28" spans="1:105" s="434" customFormat="1" ht="24.9" customHeight="1" x14ac:dyDescent="0.25">
      <c r="A28" s="6" t="s">
        <v>935</v>
      </c>
      <c r="B28" s="447"/>
      <c r="C28" s="447"/>
      <c r="D28" s="192">
        <f>AVERAGEIFS(D$36:D$167,$C$36:$C$167,"=5", $B$36:$B$167,"OFICIAL")</f>
        <v>52</v>
      </c>
      <c r="E28" s="192">
        <f>AVERAGEIFS(E$36:E$167,$C$36:$C$167,"=5", $B$36:$B$167,"OFICIAL")</f>
        <v>8.5</v>
      </c>
      <c r="F28" s="65">
        <f>AVERAGEIFS(F$36:F$167,$C$36:$C$167,"=5", $B$36:$B$167,"OFICIAL")</f>
        <v>0.125</v>
      </c>
      <c r="G28" s="65">
        <f t="shared" ref="G28:O28" si="101">AVERAGEIFS(G$36:G$167,$C$36:$C$167,"=5", $B$36:$B$167,"OFICIAL")</f>
        <v>0.57000000000000006</v>
      </c>
      <c r="H28" s="65">
        <f t="shared" si="101"/>
        <v>0.29499999999999998</v>
      </c>
      <c r="I28" s="65">
        <f t="shared" si="101"/>
        <v>1.4999999999999999E-2</v>
      </c>
      <c r="J28" s="65">
        <f t="shared" si="101"/>
        <v>0.52500000000000002</v>
      </c>
      <c r="K28" s="65">
        <f t="shared" si="101"/>
        <v>0.47499999999999998</v>
      </c>
      <c r="L28" s="65">
        <f t="shared" si="101"/>
        <v>0.57000000000000006</v>
      </c>
      <c r="M28" s="65">
        <f t="shared" si="101"/>
        <v>0.39</v>
      </c>
      <c r="N28" s="65">
        <f t="shared" si="101"/>
        <v>0.42499999999999999</v>
      </c>
      <c r="O28" s="65">
        <f t="shared" si="101"/>
        <v>0.52500000000000002</v>
      </c>
      <c r="P28" s="192">
        <f>AVERAGEIFS(P$36:P$167,$C$36:$C$167,"=5", $B$36:$B$167,"OFICIAL")</f>
        <v>50</v>
      </c>
      <c r="Q28" s="192">
        <f>AVERAGEIFS(Q$36:Q$167,$C$36:$C$167,"=5", $B$36:$B$167,"OFICIAL")</f>
        <v>9.5</v>
      </c>
      <c r="R28" s="65">
        <f>AVERAGEIFS(R$36:R$167,$C$36:$C$167,"=5", $B$36:$B$167,"OFICIAL")</f>
        <v>0.14499999999999999</v>
      </c>
      <c r="S28" s="65">
        <f t="shared" ref="S28:AA28" si="102">AVERAGEIFS(S$36:S$167,$C$36:$C$167,"=5", $B$36:$B$167,"OFICIAL")</f>
        <v>0.57499999999999996</v>
      </c>
      <c r="T28" s="65">
        <f t="shared" si="102"/>
        <v>0.26</v>
      </c>
      <c r="U28" s="65">
        <f t="shared" si="102"/>
        <v>0.02</v>
      </c>
      <c r="V28" s="65">
        <f t="shared" si="102"/>
        <v>0.42500000000000004</v>
      </c>
      <c r="W28" s="65">
        <f t="shared" si="102"/>
        <v>0.495</v>
      </c>
      <c r="X28" s="65">
        <f t="shared" si="102"/>
        <v>0.54500000000000004</v>
      </c>
      <c r="Y28" s="65">
        <f t="shared" si="102"/>
        <v>0.47499999999999998</v>
      </c>
      <c r="Z28" s="65">
        <f t="shared" si="102"/>
        <v>0.45499999999999996</v>
      </c>
      <c r="AA28" s="65">
        <f t="shared" si="102"/>
        <v>0.54</v>
      </c>
      <c r="AB28" s="192">
        <f>AVERAGEIFS(AB$36:AB$167,$C$36:$C$167,"=5", $B$36:$B$167,"OFICIAL")</f>
        <v>48</v>
      </c>
      <c r="AC28" s="192">
        <f>AVERAGEIFS(AC$36:AC$167,$C$36:$C$167,"=5", $B$36:$B$167,"OFICIAL")</f>
        <v>9.5</v>
      </c>
      <c r="AD28" s="65">
        <f>AVERAGEIFS(AD$36:AD$167,$C$36:$C$167,"=5", $B$36:$B$167,"OFICIAL")</f>
        <v>0.245</v>
      </c>
      <c r="AE28" s="65">
        <f t="shared" ref="AE28:AM28" si="103">AVERAGEIFS(AE$36:AE$167,$C$36:$C$167,"=5", $B$36:$B$167,"OFICIAL")</f>
        <v>0.51</v>
      </c>
      <c r="AF28" s="65">
        <f t="shared" si="103"/>
        <v>0.23500000000000001</v>
      </c>
      <c r="AG28" s="65">
        <f t="shared" si="103"/>
        <v>5.0000000000000001E-3</v>
      </c>
      <c r="AH28" s="65">
        <f t="shared" si="103"/>
        <v>0.46499999999999997</v>
      </c>
      <c r="AI28" s="65">
        <f t="shared" si="103"/>
        <v>0.47499999999999998</v>
      </c>
      <c r="AJ28" s="65">
        <f t="shared" si="103"/>
        <v>0.435</v>
      </c>
      <c r="AK28" s="65">
        <f t="shared" si="103"/>
        <v>0.52500000000000002</v>
      </c>
      <c r="AL28" s="65">
        <f t="shared" si="103"/>
        <v>0.58499999999999996</v>
      </c>
      <c r="AM28" s="65">
        <f t="shared" si="103"/>
        <v>0.56000000000000005</v>
      </c>
      <c r="AN28" s="192">
        <f>AVERAGEIFS(AN$36:AN$167,$C$36:$C$167,"=5", $B$36:$B$167,"OFICIAL")</f>
        <v>47.5</v>
      </c>
      <c r="AO28" s="192">
        <f>AVERAGEIFS(AO$36:AO$167,$C$36:$C$167,"=5", $B$36:$B$167,"OFICIAL")</f>
        <v>10</v>
      </c>
      <c r="AP28" s="65">
        <f>AVERAGEIFS(AP$36:AP$167,$C$36:$C$167,"=5", $B$36:$B$167,"OFICIAL")</f>
        <v>0.245</v>
      </c>
      <c r="AQ28" s="65">
        <f t="shared" ref="AQ28:AY28" si="104">AVERAGEIFS(AQ$36:AQ$167,$C$36:$C$167,"=5", $B$36:$B$167,"OFICIAL")</f>
        <v>0.55499999999999994</v>
      </c>
      <c r="AR28" s="65">
        <f t="shared" si="104"/>
        <v>0.19500000000000001</v>
      </c>
      <c r="AS28" s="65">
        <f t="shared" si="104"/>
        <v>0.01</v>
      </c>
      <c r="AT28" s="65">
        <f t="shared" si="104"/>
        <v>0.53</v>
      </c>
      <c r="AU28" s="65">
        <f t="shared" si="104"/>
        <v>0.505</v>
      </c>
      <c r="AV28" s="65">
        <f t="shared" si="104"/>
        <v>0.45999999999999996</v>
      </c>
      <c r="AW28" s="65">
        <f t="shared" si="104"/>
        <v>0.495</v>
      </c>
      <c r="AX28" s="65">
        <f t="shared" si="104"/>
        <v>0.48499999999999999</v>
      </c>
      <c r="AY28" s="65">
        <f t="shared" si="104"/>
        <v>0.49</v>
      </c>
      <c r="AZ28" s="192">
        <f>AVERAGEIFS(AZ$36:AZ$167,$C$36:$C$167,"=5", $B$36:$B$167,"OFICIAL")</f>
        <v>49.5</v>
      </c>
      <c r="BA28" s="192">
        <f>AVERAGEIFS(BA$36:BA$167,$C$36:$C$167,"=5", $B$36:$B$167,"OFICIAL")</f>
        <v>9.5</v>
      </c>
      <c r="BB28" s="65">
        <f>AVERAGEIFS(BB$36:BB$167,$C$36:$C$167,"=5", $B$36:$B$167,"OFICIAL")</f>
        <v>0.22500000000000001</v>
      </c>
      <c r="BC28" s="65">
        <f t="shared" ref="BC28:BK28" si="105">AVERAGEIFS(BC$36:BC$167,$C$36:$C$167,"=5", $B$36:$B$167,"OFICIAL")</f>
        <v>0.52</v>
      </c>
      <c r="BD28" s="65">
        <f t="shared" si="105"/>
        <v>0.25</v>
      </c>
      <c r="BE28" s="65">
        <f t="shared" si="105"/>
        <v>0.01</v>
      </c>
      <c r="BF28" s="65">
        <f t="shared" si="105"/>
        <v>0.52500000000000002</v>
      </c>
      <c r="BG28" s="65">
        <f t="shared" si="105"/>
        <v>0.505</v>
      </c>
      <c r="BH28" s="65">
        <f t="shared" si="105"/>
        <v>0.48</v>
      </c>
      <c r="BI28" s="65">
        <f t="shared" si="105"/>
        <v>0.56000000000000005</v>
      </c>
      <c r="BJ28" s="65">
        <f t="shared" si="105"/>
        <v>0.43</v>
      </c>
      <c r="BK28" s="65">
        <f t="shared" si="105"/>
        <v>0.42000000000000004</v>
      </c>
      <c r="BL28" s="192">
        <f>AVERAGEIFS(BL$36:BL$167,$C$36:$C$167,"=5", $B$36:$B$167,"OFICIAL")</f>
        <v>48</v>
      </c>
      <c r="BN28" s="192">
        <f>AVERAGEIFS(BN$36:BN$167,$C$36:$C$167,"=5", $B$36:$B$167,"OFICIAL")</f>
        <v>10.5</v>
      </c>
      <c r="BP28" s="65">
        <f>AVERAGEIFS(BP$36:BP$167,$C$36:$C$167,"=5", $B$36:$B$167,"OFICIAL")</f>
        <v>0.255</v>
      </c>
      <c r="BQ28" s="65">
        <f t="shared" ref="BQ28:BY28" si="106">AVERAGEIFS(BQ$36:BQ$167,$C$36:$C$167,"=5", $B$36:$B$167,"OFICIAL")</f>
        <v>0.49</v>
      </c>
      <c r="BR28" s="65">
        <f t="shared" si="106"/>
        <v>0.245</v>
      </c>
      <c r="BS28" s="65">
        <f t="shared" si="106"/>
        <v>1.4999999999999999E-2</v>
      </c>
      <c r="BT28" s="65">
        <f t="shared" si="106"/>
        <v>0.47</v>
      </c>
      <c r="BU28" s="65">
        <f t="shared" si="106"/>
        <v>0.5</v>
      </c>
      <c r="BV28" s="65">
        <f t="shared" si="106"/>
        <v>0.63</v>
      </c>
      <c r="BW28" s="65">
        <f t="shared" si="106"/>
        <v>0.44500000000000001</v>
      </c>
      <c r="BX28" s="65">
        <f t="shared" si="106"/>
        <v>0.5</v>
      </c>
      <c r="BY28" s="65">
        <f t="shared" si="106"/>
        <v>0.55000000000000004</v>
      </c>
      <c r="BZ28" s="192">
        <f>AVERAGEIFS(BZ$36:BZ$167,$C$36:$C$167,"=5", $B$36:$B$167,"OFICIAL")</f>
        <v>50</v>
      </c>
      <c r="CB28" s="192">
        <f>AVERAGEIFS(CB$36:CB$167,$C$36:$C$167,"=5", $B$36:$B$167,"OFICIAL")</f>
        <v>10</v>
      </c>
      <c r="CD28" s="521">
        <f>AVERAGEIFS(CD$36:CD$167,$C$36:$C$167,"=5", $B$36:$B$167,"OFICIAL")</f>
        <v>0.19</v>
      </c>
      <c r="CE28" s="521">
        <f t="shared" ref="CE28:CM28" si="107">AVERAGEIFS(CE$36:CE$167,$C$36:$C$167,"=5", $B$36:$B$167,"OFICIAL")</f>
        <v>0.5</v>
      </c>
      <c r="CF28" s="521">
        <f t="shared" si="107"/>
        <v>0.28500000000000003</v>
      </c>
      <c r="CG28" s="521">
        <f t="shared" si="107"/>
        <v>2.5000000000000001E-2</v>
      </c>
      <c r="CH28" s="521">
        <f t="shared" si="107"/>
        <v>0.47499999999999998</v>
      </c>
      <c r="CI28" s="521">
        <f t="shared" si="107"/>
        <v>0.38500000000000001</v>
      </c>
      <c r="CJ28" s="521">
        <f t="shared" si="107"/>
        <v>0.57000000000000006</v>
      </c>
      <c r="CK28" s="521">
        <f t="shared" si="107"/>
        <v>0.53500000000000003</v>
      </c>
      <c r="CL28" s="521">
        <f t="shared" si="107"/>
        <v>0.41499999999999998</v>
      </c>
      <c r="CM28" s="521">
        <f t="shared" si="107"/>
        <v>0.56499999999999995</v>
      </c>
      <c r="CN28" s="192">
        <f>AVERAGEIFS(CN$36:CN$167,$C$36:$C$167,"=5", $B$36:$B$167,"OFICIAL")</f>
        <v>49.5</v>
      </c>
      <c r="CP28" s="192">
        <f>AVERAGEIFS(CP$36:CP$167,$C$36:$C$167,"=5", $B$36:$B$167,"OFICIAL")</f>
        <v>9.5</v>
      </c>
      <c r="CR28" s="521">
        <f>AVERAGEIFS(CR$36:CR$167,$C$36:$C$167,"=5", $B$36:$B$167,"OFICIAL")</f>
        <v>0.19</v>
      </c>
      <c r="CS28" s="521">
        <f t="shared" ref="CS28:DA28" si="108">AVERAGEIFS(CS$36:CS$167,$C$36:$C$167,"=5", $B$36:$B$167,"OFICIAL")</f>
        <v>0.53</v>
      </c>
      <c r="CT28" s="521">
        <f t="shared" si="108"/>
        <v>0.27</v>
      </c>
      <c r="CU28" s="521">
        <f t="shared" si="108"/>
        <v>1.4999999999999999E-2</v>
      </c>
      <c r="CV28" s="521">
        <f t="shared" si="108"/>
        <v>0.35499999999999998</v>
      </c>
      <c r="CW28" s="521">
        <f t="shared" si="108"/>
        <v>0.55499999999999994</v>
      </c>
      <c r="CX28" s="521">
        <f t="shared" si="108"/>
        <v>0.56999999999999995</v>
      </c>
      <c r="CY28" s="521">
        <f t="shared" si="108"/>
        <v>0.67500000000000004</v>
      </c>
      <c r="CZ28" s="521">
        <f t="shared" si="108"/>
        <v>0.58499999999999996</v>
      </c>
      <c r="DA28" s="521">
        <f t="shared" si="108"/>
        <v>0.55499999999999994</v>
      </c>
    </row>
    <row r="29" spans="1:105" s="434" customFormat="1" ht="24.9" customHeight="1" x14ac:dyDescent="0.25">
      <c r="A29" s="6" t="s">
        <v>936</v>
      </c>
      <c r="B29" s="447"/>
      <c r="C29" s="447"/>
      <c r="D29" s="192">
        <f>AVERAGEIFS(D$36:D$167,$C$36:$C$167,"=6", $B$36:$B$167,"OFICIAL")</f>
        <v>50.666666666666664</v>
      </c>
      <c r="E29" s="192">
        <f>AVERAGEIFS(E$36:E$167,$C$36:$C$167,"=6", $B$36:$B$167,"OFICIAL")</f>
        <v>8.6666666666666661</v>
      </c>
      <c r="F29" s="65">
        <f>AVERAGEIFS(F$36:F$167,$C$36:$C$167,"=6", $B$36:$B$167,"OFICIAL")</f>
        <v>0.14000000000000001</v>
      </c>
      <c r="G29" s="65">
        <f t="shared" ref="G29:O29" si="109">AVERAGEIFS(G$36:G$167,$C$36:$C$167,"=6", $B$36:$B$167,"OFICIAL")</f>
        <v>0.57333333333333325</v>
      </c>
      <c r="H29" s="65">
        <f t="shared" si="109"/>
        <v>0.28333333333333338</v>
      </c>
      <c r="I29" s="65">
        <f t="shared" si="109"/>
        <v>3.3333333333333335E-3</v>
      </c>
      <c r="J29" s="65">
        <f t="shared" si="109"/>
        <v>0.55666666666666664</v>
      </c>
      <c r="K29" s="65">
        <f t="shared" si="109"/>
        <v>0.49</v>
      </c>
      <c r="L29" s="65">
        <f t="shared" si="109"/>
        <v>0.64</v>
      </c>
      <c r="M29" s="65">
        <f t="shared" si="109"/>
        <v>0.40333333333333332</v>
      </c>
      <c r="N29" s="65">
        <f t="shared" si="109"/>
        <v>0.43999999999999995</v>
      </c>
      <c r="O29" s="65">
        <f t="shared" si="109"/>
        <v>0.47</v>
      </c>
      <c r="P29" s="192">
        <f>AVERAGEIFS(P$36:P$167,$C$36:$C$167,"=6", $B$36:$B$167,"OFICIAL")</f>
        <v>50</v>
      </c>
      <c r="Q29" s="192">
        <f>AVERAGEIFS(Q$36:Q$167,$C$36:$C$167,"=6", $B$36:$B$167,"OFICIAL")</f>
        <v>9.3333333333333339</v>
      </c>
      <c r="R29" s="65">
        <f>AVERAGEIFS(R$36:R$167,$C$36:$C$167,"=6", $B$36:$B$167,"OFICIAL")</f>
        <v>0.15333333333333335</v>
      </c>
      <c r="S29" s="65">
        <f t="shared" ref="S29:AA29" si="110">AVERAGEIFS(S$36:S$167,$C$36:$C$167,"=6", $B$36:$B$167,"OFICIAL")</f>
        <v>0.54333333333333333</v>
      </c>
      <c r="T29" s="65">
        <f t="shared" si="110"/>
        <v>0.29333333333333333</v>
      </c>
      <c r="U29" s="65">
        <f t="shared" si="110"/>
        <v>1.3333333333333334E-2</v>
      </c>
      <c r="V29" s="65">
        <f t="shared" si="110"/>
        <v>0.43</v>
      </c>
      <c r="W29" s="65">
        <f t="shared" si="110"/>
        <v>0.5</v>
      </c>
      <c r="X29" s="65">
        <f t="shared" si="110"/>
        <v>0.54333333333333333</v>
      </c>
      <c r="Y29" s="65">
        <f t="shared" si="110"/>
        <v>0.47</v>
      </c>
      <c r="Z29" s="65">
        <f t="shared" si="110"/>
        <v>0.4466666666666666</v>
      </c>
      <c r="AA29" s="65">
        <f t="shared" si="110"/>
        <v>0.52666666666666673</v>
      </c>
      <c r="AB29" s="192">
        <f>AVERAGEIFS(AB$36:AB$167,$C$36:$C$167,"=6", $B$36:$B$167,"OFICIAL")</f>
        <v>47.666666666666664</v>
      </c>
      <c r="AC29" s="192">
        <f>AVERAGEIFS(AC$36:AC$167,$C$36:$C$167,"=6", $B$36:$B$167,"OFICIAL")</f>
        <v>10.666666666666666</v>
      </c>
      <c r="AD29" s="65">
        <f>AVERAGEIFS(AD$36:AD$167,$C$36:$C$167,"=6", $B$36:$B$167,"OFICIAL")</f>
        <v>0.27666666666666667</v>
      </c>
      <c r="AE29" s="65">
        <f t="shared" ref="AE29:AM29" si="111">AVERAGEIFS(AE$36:AE$167,$C$36:$C$167,"=6", $B$36:$B$167,"OFICIAL")</f>
        <v>0.48333333333333334</v>
      </c>
      <c r="AF29" s="65">
        <f t="shared" si="111"/>
        <v>0.22666666666666668</v>
      </c>
      <c r="AG29" s="65">
        <f t="shared" si="111"/>
        <v>1.6666666666666666E-2</v>
      </c>
      <c r="AH29" s="65">
        <f t="shared" si="111"/>
        <v>0.46666666666666662</v>
      </c>
      <c r="AI29" s="65">
        <f t="shared" si="111"/>
        <v>0.45666666666666661</v>
      </c>
      <c r="AJ29" s="65">
        <f t="shared" si="111"/>
        <v>0.44333333333333336</v>
      </c>
      <c r="AK29" s="65">
        <f t="shared" si="111"/>
        <v>0.53333333333333333</v>
      </c>
      <c r="AL29" s="65">
        <f t="shared" si="111"/>
        <v>0.58666666666666667</v>
      </c>
      <c r="AM29" s="65">
        <f t="shared" si="111"/>
        <v>0.53333333333333333</v>
      </c>
      <c r="AN29" s="192">
        <f>AVERAGEIFS(AN$36:AN$167,$C$36:$C$167,"=6", $B$36:$B$167,"OFICIAL")</f>
        <v>46.666666666666664</v>
      </c>
      <c r="AO29" s="192">
        <f>AVERAGEIFS(AO$36:AO$167,$C$36:$C$167,"=6", $B$36:$B$167,"OFICIAL")</f>
        <v>10.666666666666666</v>
      </c>
      <c r="AP29" s="65">
        <f>AVERAGEIFS(AP$36:AP$167,$C$36:$C$167,"=6", $B$36:$B$167,"OFICIAL")</f>
        <v>0.31</v>
      </c>
      <c r="AQ29" s="65">
        <f t="shared" ref="AQ29:AY29" si="112">AVERAGEIFS(AQ$36:AQ$167,$C$36:$C$167,"=6", $B$36:$B$167,"OFICIAL")</f>
        <v>0.5</v>
      </c>
      <c r="AR29" s="65">
        <f t="shared" si="112"/>
        <v>0.17333333333333334</v>
      </c>
      <c r="AS29" s="65">
        <f t="shared" si="112"/>
        <v>1.6666666666666666E-2</v>
      </c>
      <c r="AT29" s="65">
        <f t="shared" si="112"/>
        <v>0.57666666666666666</v>
      </c>
      <c r="AU29" s="65">
        <f t="shared" si="112"/>
        <v>0.50666666666666671</v>
      </c>
      <c r="AV29" s="65">
        <f t="shared" si="112"/>
        <v>0.48333333333333334</v>
      </c>
      <c r="AW29" s="65">
        <f t="shared" si="112"/>
        <v>0.50666666666666671</v>
      </c>
      <c r="AX29" s="65">
        <f t="shared" si="112"/>
        <v>0.49666666666666665</v>
      </c>
      <c r="AY29" s="65">
        <f t="shared" si="112"/>
        <v>0.51333333333333331</v>
      </c>
      <c r="AZ29" s="192">
        <f>AVERAGEIFS(AZ$36:AZ$167,$C$36:$C$167,"=6", $B$36:$B$167,"OFICIAL")</f>
        <v>48.666666666666664</v>
      </c>
      <c r="BA29" s="192">
        <f>AVERAGEIFS(BA$36:BA$167,$C$36:$C$167,"=6", $B$36:$B$167,"OFICIAL")</f>
        <v>10</v>
      </c>
      <c r="BB29" s="65">
        <f>AVERAGEIFS(BB$36:BB$167,$C$36:$C$167,"=6", $B$36:$B$167,"OFICIAL")</f>
        <v>0.23333333333333331</v>
      </c>
      <c r="BC29" s="65">
        <f t="shared" ref="BC29:BK29" si="113">AVERAGEIFS(BC$36:BC$167,$C$36:$C$167,"=6", $B$36:$B$167,"OFICIAL")</f>
        <v>0.49666666666666665</v>
      </c>
      <c r="BD29" s="65">
        <f t="shared" si="113"/>
        <v>0.25</v>
      </c>
      <c r="BE29" s="65">
        <f t="shared" si="113"/>
        <v>0.02</v>
      </c>
      <c r="BF29" s="65">
        <f t="shared" si="113"/>
        <v>0.5033333333333333</v>
      </c>
      <c r="BG29" s="65">
        <f t="shared" si="113"/>
        <v>0.50666666666666671</v>
      </c>
      <c r="BH29" s="65">
        <f t="shared" si="113"/>
        <v>0.5</v>
      </c>
      <c r="BI29" s="65">
        <f t="shared" si="113"/>
        <v>0.56999999999999995</v>
      </c>
      <c r="BJ29" s="65">
        <f t="shared" si="113"/>
        <v>0.44333333333333336</v>
      </c>
      <c r="BK29" s="65">
        <f t="shared" si="113"/>
        <v>0.44</v>
      </c>
      <c r="BL29" s="192">
        <f>AVERAGEIFS(BL$36:BL$167,$C$36:$C$167,"=6", $B$36:$B$167,"OFICIAL")</f>
        <v>46.666666666666664</v>
      </c>
      <c r="BN29" s="192">
        <f>AVERAGEIFS(BN$36:BN$167,$C$36:$C$167,"=6", $B$36:$B$167,"OFICIAL")</f>
        <v>10.333333333333334</v>
      </c>
      <c r="BP29" s="65">
        <f>AVERAGEIFS(BP$36:BP$167,$C$36:$C$167,"=6", $B$36:$B$167,"OFICIAL")</f>
        <v>0.29000000000000004</v>
      </c>
      <c r="BQ29" s="65">
        <f t="shared" ref="BQ29:BY29" si="114">AVERAGEIFS(BQ$36:BQ$167,$C$36:$C$167,"=6", $B$36:$B$167,"OFICIAL")</f>
        <v>0.50666666666666671</v>
      </c>
      <c r="BR29" s="65">
        <f t="shared" si="114"/>
        <v>0.20333333333333334</v>
      </c>
      <c r="BS29" s="65">
        <f t="shared" si="114"/>
        <v>6.6666666666666671E-3</v>
      </c>
      <c r="BT29" s="65">
        <f t="shared" si="114"/>
        <v>0.5</v>
      </c>
      <c r="BU29" s="65">
        <f t="shared" si="114"/>
        <v>0.52333333333333332</v>
      </c>
      <c r="BV29" s="65">
        <f t="shared" si="114"/>
        <v>0.61333333333333329</v>
      </c>
      <c r="BW29" s="65">
        <f t="shared" si="114"/>
        <v>0.45333333333333331</v>
      </c>
      <c r="BX29" s="65">
        <f t="shared" si="114"/>
        <v>0.50666666666666671</v>
      </c>
      <c r="BY29" s="65">
        <f t="shared" si="114"/>
        <v>0.56999999999999995</v>
      </c>
      <c r="BZ29" s="192">
        <f>AVERAGEIFS(BZ$36:BZ$167,$C$36:$C$167,"=6", $B$36:$B$167,"OFICIAL")</f>
        <v>47</v>
      </c>
      <c r="CB29" s="192">
        <f>AVERAGEIFS(CB$36:CB$167,$C$36:$C$167,"=6", $B$36:$B$167,"OFICIAL")</f>
        <v>10</v>
      </c>
      <c r="CD29" s="521">
        <f>AVERAGEIFS(CD$36:CD$167,$C$36:$C$167,"=6", $B$36:$B$167,"OFICIAL")</f>
        <v>0.29333333333333328</v>
      </c>
      <c r="CE29" s="521">
        <f t="shared" ref="CE29:CM29" si="115">AVERAGEIFS(CE$36:CE$167,$C$36:$C$167,"=6", $B$36:$B$167,"OFICIAL")</f>
        <v>0.48</v>
      </c>
      <c r="CF29" s="521">
        <f t="shared" si="115"/>
        <v>0.22</v>
      </c>
      <c r="CG29" s="521">
        <f t="shared" si="115"/>
        <v>3.3333333333333335E-3</v>
      </c>
      <c r="CH29" s="521">
        <f t="shared" si="115"/>
        <v>0.5033333333333333</v>
      </c>
      <c r="CI29" s="521">
        <f t="shared" si="115"/>
        <v>0.44</v>
      </c>
      <c r="CJ29" s="521">
        <f t="shared" si="115"/>
        <v>0.59666666666666668</v>
      </c>
      <c r="CK29" s="521">
        <f t="shared" si="115"/>
        <v>0.58333333333333337</v>
      </c>
      <c r="CL29" s="521">
        <f t="shared" si="115"/>
        <v>0.48</v>
      </c>
      <c r="CM29" s="521">
        <f t="shared" si="115"/>
        <v>0.63</v>
      </c>
      <c r="CN29" s="192">
        <f>AVERAGEIFS(CN$36:CN$167,$C$36:$C$167,"=6", $B$36:$B$167,"OFICIAL")</f>
        <v>47.333333333333336</v>
      </c>
      <c r="CP29" s="192">
        <f>AVERAGEIFS(CP$36:CP$167,$C$36:$C$167,"=6", $B$36:$B$167,"OFICIAL")</f>
        <v>9.6666666666666661</v>
      </c>
      <c r="CR29" s="521">
        <f>AVERAGEIFS(CR$36:CR$167,$C$36:$C$167,"=6", $B$36:$B$167,"OFICIAL")</f>
        <v>0.27</v>
      </c>
      <c r="CS29" s="521">
        <f t="shared" ref="CS29:DA29" si="116">AVERAGEIFS(CS$36:CS$167,$C$36:$C$167,"=6", $B$36:$B$167,"OFICIAL")</f>
        <v>0.51666666666666672</v>
      </c>
      <c r="CT29" s="521">
        <f t="shared" si="116"/>
        <v>0.20666666666666667</v>
      </c>
      <c r="CU29" s="521">
        <f t="shared" si="116"/>
        <v>3.3333333333333335E-3</v>
      </c>
      <c r="CV29" s="521">
        <f t="shared" si="116"/>
        <v>0.39333333333333337</v>
      </c>
      <c r="CW29" s="521">
        <f t="shared" si="116"/>
        <v>0.59</v>
      </c>
      <c r="CX29" s="521">
        <f t="shared" si="116"/>
        <v>0.6166666666666667</v>
      </c>
      <c r="CY29" s="521">
        <f t="shared" si="116"/>
        <v>0.64666666666666661</v>
      </c>
      <c r="CZ29" s="521">
        <f t="shared" si="116"/>
        <v>0.6333333333333333</v>
      </c>
      <c r="DA29" s="521">
        <f t="shared" si="116"/>
        <v>0.55333333333333334</v>
      </c>
    </row>
    <row r="30" spans="1:105" s="434" customFormat="1" ht="24.9" customHeight="1" x14ac:dyDescent="0.25">
      <c r="A30" s="6" t="s">
        <v>937</v>
      </c>
      <c r="B30" s="447"/>
      <c r="C30" s="447"/>
      <c r="D30" s="192">
        <f>AVERAGEIFS(D$36:D$167,$C$36:$C$167,"=1", $B$36:$B$167,"NO OFICIAL")</f>
        <v>50.53846153846154</v>
      </c>
      <c r="E30" s="192">
        <f>AVERAGEIFS(E$36:E$167,$C$36:$C$167,"=1", $B$36:$B$167,"NO OFICIAL")</f>
        <v>8.1538461538461533</v>
      </c>
      <c r="F30" s="65">
        <f>AVERAGEIFS(F$36:F$167,$C$36:$C$167,"=1", $B$36:$B$167,"NO OFICIAL")</f>
        <v>0.17692307692307693</v>
      </c>
      <c r="G30" s="65">
        <f t="shared" ref="G30:O30" si="117">AVERAGEIFS(G$36:G$167,$C$36:$C$167,"=1", $B$36:$B$167,"NO OFICIAL")</f>
        <v>0.53615384615384609</v>
      </c>
      <c r="H30" s="65">
        <f t="shared" si="117"/>
        <v>0.28615384615384615</v>
      </c>
      <c r="I30" s="65">
        <f t="shared" si="117"/>
        <v>7.6923076923076923E-4</v>
      </c>
      <c r="J30" s="65">
        <f t="shared" si="117"/>
        <v>0.54538461538461547</v>
      </c>
      <c r="K30" s="65">
        <f t="shared" si="117"/>
        <v>0.51230769230769235</v>
      </c>
      <c r="L30" s="65">
        <f t="shared" si="117"/>
        <v>0.64384615384615373</v>
      </c>
      <c r="M30" s="65">
        <f t="shared" si="117"/>
        <v>0.41230769230769232</v>
      </c>
      <c r="N30" s="65">
        <f t="shared" si="117"/>
        <v>0.44538461538461538</v>
      </c>
      <c r="O30" s="65">
        <f t="shared" si="117"/>
        <v>0.52153846153846151</v>
      </c>
      <c r="P30" s="192">
        <f>AVERAGEIFS(P$36:P$167,$C$36:$C$167,"=1", $B$36:$B$167,"NO OFICIAL")</f>
        <v>50.583333333333336</v>
      </c>
      <c r="Q30" s="192">
        <f>AVERAGEIFS(Q$36:Q$167,$C$36:$C$167,"=1", $B$36:$B$167,"NO OFICIAL")</f>
        <v>9.1666666666666661</v>
      </c>
      <c r="R30" s="65">
        <f>AVERAGEIFS(R$36:R$167,$C$36:$C$167,"=1", $B$36:$B$167,"NO OFICIAL")</f>
        <v>0.16666666666666671</v>
      </c>
      <c r="S30" s="65">
        <f t="shared" ref="S30:AA30" si="118">AVERAGEIFS(S$36:S$167,$C$36:$C$167,"=1", $B$36:$B$167,"NO OFICIAL")</f>
        <v>0.50750000000000006</v>
      </c>
      <c r="T30" s="65">
        <f t="shared" si="118"/>
        <v>0.30249999999999999</v>
      </c>
      <c r="U30" s="65">
        <f t="shared" si="118"/>
        <v>2.2500000000000003E-2</v>
      </c>
      <c r="V30" s="65">
        <f t="shared" si="118"/>
        <v>0.42833333333333329</v>
      </c>
      <c r="W30" s="65">
        <f t="shared" si="118"/>
        <v>0.48</v>
      </c>
      <c r="X30" s="65">
        <f t="shared" si="118"/>
        <v>0.57583333333333331</v>
      </c>
      <c r="Y30" s="65">
        <f t="shared" si="118"/>
        <v>0.4466666666666666</v>
      </c>
      <c r="Z30" s="65">
        <f t="shared" si="118"/>
        <v>0.44249999999999989</v>
      </c>
      <c r="AA30" s="65">
        <f t="shared" si="118"/>
        <v>0.52333333333333332</v>
      </c>
      <c r="AB30" s="192">
        <f>AVERAGEIFS(AB$36:AB$167,$C$36:$C$167,"=1", $B$36:$B$167,"NO OFICIAL")</f>
        <v>49.07692307692308</v>
      </c>
      <c r="AC30" s="192">
        <f>AVERAGEIFS(AC$36:AC$167,$C$36:$C$167,"=1", $B$36:$B$167,"NO OFICIAL")</f>
        <v>10.076923076923077</v>
      </c>
      <c r="AD30" s="65">
        <f>AVERAGEIFS(AD$36:AD$167,$C$36:$C$167,"=1", $B$36:$B$167,"NO OFICIAL")</f>
        <v>0.22769230769230769</v>
      </c>
      <c r="AE30" s="65">
        <f t="shared" ref="AE30:AM30" si="119">AVERAGEIFS(AE$36:AE$167,$C$36:$C$167,"=1", $B$36:$B$167,"NO OFICIAL")</f>
        <v>0.48307692307692307</v>
      </c>
      <c r="AF30" s="65">
        <f t="shared" si="119"/>
        <v>0.26384615384615384</v>
      </c>
      <c r="AG30" s="65">
        <f t="shared" si="119"/>
        <v>2.6153846153846159E-2</v>
      </c>
      <c r="AH30" s="65">
        <f t="shared" si="119"/>
        <v>0.4415384615384616</v>
      </c>
      <c r="AI30" s="65">
        <f t="shared" si="119"/>
        <v>0.45230769230769236</v>
      </c>
      <c r="AJ30" s="65">
        <f t="shared" si="119"/>
        <v>0.41000000000000003</v>
      </c>
      <c r="AK30" s="65">
        <f t="shared" si="119"/>
        <v>0.4984615384615384</v>
      </c>
      <c r="AL30" s="65">
        <f t="shared" si="119"/>
        <v>0.55153846153846142</v>
      </c>
      <c r="AM30" s="65">
        <f t="shared" si="119"/>
        <v>0.54615384615384621</v>
      </c>
      <c r="AN30" s="192">
        <f>AVERAGEIFS(AN$36:AN$167,$C$36:$C$167,"=1", $B$36:$B$167,"NO OFICIAL")</f>
        <v>46.846153846153847</v>
      </c>
      <c r="AO30" s="192">
        <f>AVERAGEIFS(AO$36:AO$167,$C$36:$C$167,"=1", $B$36:$B$167,"NO OFICIAL")</f>
        <v>10</v>
      </c>
      <c r="AP30" s="65">
        <f>AVERAGEIFS(AP$36:AP$167,$C$36:$C$167,"=1", $B$36:$B$167,"NO OFICIAL")</f>
        <v>0.2992307692307693</v>
      </c>
      <c r="AQ30" s="65">
        <f t="shared" ref="AQ30:AY30" si="120">AVERAGEIFS(AQ$36:AQ$167,$C$36:$C$167,"=1", $B$36:$B$167,"NO OFICIAL")</f>
        <v>0.48307692307692307</v>
      </c>
      <c r="AR30" s="65">
        <f t="shared" si="120"/>
        <v>0.21307692307692311</v>
      </c>
      <c r="AS30" s="65">
        <f t="shared" si="120"/>
        <v>6.1538461538461538E-3</v>
      </c>
      <c r="AT30" s="65">
        <f t="shared" si="120"/>
        <v>0.55384615384615377</v>
      </c>
      <c r="AU30" s="65">
        <f t="shared" si="120"/>
        <v>0.49461538461538468</v>
      </c>
      <c r="AV30" s="65">
        <f t="shared" si="120"/>
        <v>0.48153846153846164</v>
      </c>
      <c r="AW30" s="65">
        <f t="shared" si="120"/>
        <v>0.48846153846153845</v>
      </c>
      <c r="AX30" s="65">
        <f t="shared" si="120"/>
        <v>0.51307692307692299</v>
      </c>
      <c r="AY30" s="65">
        <f t="shared" si="120"/>
        <v>0.50384615384615394</v>
      </c>
      <c r="AZ30" s="192">
        <f>AVERAGEIFS(AZ$36:AZ$167,$C$36:$C$167,"=1", $B$36:$B$167,"NO OFICIAL")</f>
        <v>50.153846153846153</v>
      </c>
      <c r="BA30" s="192">
        <f>AVERAGEIFS(BA$36:BA$167,$C$36:$C$167,"=1", $B$36:$B$167,"NO OFICIAL")</f>
        <v>9.9230769230769234</v>
      </c>
      <c r="BB30" s="65">
        <f>AVERAGEIFS(BB$36:BB$167,$C$36:$C$167,"=1", $B$36:$B$167,"NO OFICIAL")</f>
        <v>0.20999999999999996</v>
      </c>
      <c r="BC30" s="65">
        <f t="shared" ref="BC30:BK30" si="121">AVERAGEIFS(BC$36:BC$167,$C$36:$C$167,"=1", $B$36:$B$167,"NO OFICIAL")</f>
        <v>0.46384615384615385</v>
      </c>
      <c r="BD30" s="65">
        <f t="shared" si="121"/>
        <v>0.3092307692307692</v>
      </c>
      <c r="BE30" s="65">
        <f t="shared" si="121"/>
        <v>1.7692307692307691E-2</v>
      </c>
      <c r="BF30" s="65">
        <f t="shared" si="121"/>
        <v>0.51</v>
      </c>
      <c r="BG30" s="65">
        <f t="shared" si="121"/>
        <v>0.47538461538461529</v>
      </c>
      <c r="BH30" s="65">
        <f t="shared" si="121"/>
        <v>0.47461538461538466</v>
      </c>
      <c r="BI30" s="65">
        <f t="shared" si="121"/>
        <v>0.52923076923076917</v>
      </c>
      <c r="BJ30" s="65">
        <f t="shared" si="121"/>
        <v>0.4284615384615385</v>
      </c>
      <c r="BK30" s="65">
        <f t="shared" si="121"/>
        <v>0.4184615384615385</v>
      </c>
      <c r="BL30" s="192">
        <f>AVERAGEIFS(BL$36:BL$167,$C$36:$C$167,"=1", $B$36:$B$167,"NO OFICIAL")</f>
        <v>49.230769230769234</v>
      </c>
      <c r="BN30" s="192">
        <f>AVERAGEIFS(BN$36:BN$167,$C$36:$C$167,"=1", $B$36:$B$167,"NO OFICIAL")</f>
        <v>9.5384615384615383</v>
      </c>
      <c r="BP30" s="65">
        <f>AVERAGEIFS(BP$36:BP$167,$C$36:$C$167,"=1", $B$36:$B$167,"NO OFICIAL")</f>
        <v>0.19846153846153844</v>
      </c>
      <c r="BQ30" s="65">
        <f t="shared" ref="BQ30:BY30" si="122">AVERAGEIFS(BQ$36:BQ$167,$C$36:$C$167,"=1", $B$36:$B$167,"NO OFICIAL")</f>
        <v>0.54153846153846152</v>
      </c>
      <c r="BR30" s="65">
        <f t="shared" si="122"/>
        <v>0.24692307692307697</v>
      </c>
      <c r="BS30" s="65">
        <f t="shared" si="122"/>
        <v>1.3076923076923078E-2</v>
      </c>
      <c r="BT30" s="65">
        <f t="shared" si="122"/>
        <v>0.4869230769230769</v>
      </c>
      <c r="BU30" s="65">
        <f t="shared" si="122"/>
        <v>0.46307692307692311</v>
      </c>
      <c r="BV30" s="65">
        <f t="shared" si="122"/>
        <v>0.59846153846153838</v>
      </c>
      <c r="BW30" s="65">
        <f t="shared" si="122"/>
        <v>0.42846153846153839</v>
      </c>
      <c r="BX30" s="65">
        <f t="shared" si="122"/>
        <v>0.47076923076923077</v>
      </c>
      <c r="BY30" s="65">
        <f t="shared" si="122"/>
        <v>0.53076923076923077</v>
      </c>
      <c r="BZ30" s="192">
        <f>AVERAGEIFS(BZ$36:BZ$167,$C$36:$C$167,"=1", $B$36:$B$167,"NO OFICIAL")</f>
        <v>49.846153846153847</v>
      </c>
      <c r="CB30" s="192">
        <f>AVERAGEIFS(CB$36:CB$167,$C$36:$C$167,"=1", $B$36:$B$167,"NO OFICIAL")</f>
        <v>10.153846153846153</v>
      </c>
      <c r="CD30" s="521">
        <f>AVERAGEIFS(CD$36:CD$167,$C$36:$C$167,"=1", $B$36:$B$167,"NO OFICIAL")</f>
        <v>0.21692307692307694</v>
      </c>
      <c r="CE30" s="521">
        <f t="shared" ref="CE30:CM30" si="123">AVERAGEIFS(CE$36:CE$167,$C$36:$C$167,"=1", $B$36:$B$167,"NO OFICIAL")</f>
        <v>0.41384615384615386</v>
      </c>
      <c r="CF30" s="521">
        <f t="shared" si="123"/>
        <v>0.36</v>
      </c>
      <c r="CG30" s="521">
        <f t="shared" si="123"/>
        <v>6.9230769230769224E-3</v>
      </c>
      <c r="CH30" s="521">
        <f t="shared" si="123"/>
        <v>0.53076923076923077</v>
      </c>
      <c r="CI30" s="521">
        <f t="shared" si="123"/>
        <v>0.4169230769230769</v>
      </c>
      <c r="CJ30" s="521">
        <f t="shared" si="123"/>
        <v>0.58000000000000007</v>
      </c>
      <c r="CK30" s="521">
        <f t="shared" si="123"/>
        <v>0.5376923076923078</v>
      </c>
      <c r="CL30" s="521">
        <f t="shared" si="123"/>
        <v>0.42769230769230765</v>
      </c>
      <c r="CM30" s="521">
        <f t="shared" si="123"/>
        <v>0.5607692307692308</v>
      </c>
      <c r="CN30" s="192">
        <f>AVERAGEIFS(CN$36:CN$167,$C$36:$C$167,"=1", $B$36:$B$167,"NO OFICIAL")</f>
        <v>50.833333333333336</v>
      </c>
      <c r="CP30" s="192">
        <f>AVERAGEIFS(CP$36:CP$167,$C$36:$C$167,"=1", $B$36:$B$167,"NO OFICIAL")</f>
        <v>9.75</v>
      </c>
      <c r="CR30" s="521">
        <f>AVERAGEIFS(CR$36:CR$167,$C$36:$C$167,"=1", $B$36:$B$167,"NO OFICIAL")</f>
        <v>0.15916666666666665</v>
      </c>
      <c r="CS30" s="521">
        <f t="shared" ref="CS30:DA30" si="124">AVERAGEIFS(CS$36:CS$167,$C$36:$C$167,"=1", $B$36:$B$167,"NO OFICIAL")</f>
        <v>0.49333333333333335</v>
      </c>
      <c r="CT30" s="521">
        <f t="shared" si="124"/>
        <v>0.33333333333333331</v>
      </c>
      <c r="CU30" s="521">
        <f t="shared" si="124"/>
        <v>1.4999999999999999E-2</v>
      </c>
      <c r="CV30" s="521">
        <f t="shared" si="124"/>
        <v>0.35583333333333328</v>
      </c>
      <c r="CW30" s="521">
        <f t="shared" si="124"/>
        <v>0.52583333333333337</v>
      </c>
      <c r="CX30" s="521">
        <f t="shared" si="124"/>
        <v>0.5508333333333334</v>
      </c>
      <c r="CY30" s="521">
        <f t="shared" si="124"/>
        <v>0.59083333333333343</v>
      </c>
      <c r="CZ30" s="521">
        <f t="shared" si="124"/>
        <v>0.54666666666666663</v>
      </c>
      <c r="DA30" s="521">
        <f t="shared" si="124"/>
        <v>0.56083333333333341</v>
      </c>
    </row>
    <row r="31" spans="1:105" s="434" customFormat="1" ht="24.9" customHeight="1" x14ac:dyDescent="0.25">
      <c r="A31" s="6" t="s">
        <v>938</v>
      </c>
      <c r="B31" s="447"/>
      <c r="C31" s="447"/>
      <c r="D31" s="192">
        <f>AVERAGEIFS(D$36:D$167,$C$36:$C$167,"=2", $B$36:$B$167,"NO OFICIAL")</f>
        <v>53</v>
      </c>
      <c r="E31" s="192">
        <f>AVERAGEIFS(E$36:E$167,$C$36:$C$167,"=2", $B$36:$B$167,"NO OFICIAL")</f>
        <v>7.8888888888888893</v>
      </c>
      <c r="F31" s="65">
        <f>AVERAGEIFS(F$36:F$167,$C$36:$C$167,"=2", $B$36:$B$167,"NO OFICIAL")</f>
        <v>0.13222222222222221</v>
      </c>
      <c r="G31" s="65">
        <f t="shared" ref="G31:O31" si="125">AVERAGEIFS(G$36:G$167,$C$36:$C$167,"=2", $B$36:$B$167,"NO OFICIAL")</f>
        <v>0.43888888888888888</v>
      </c>
      <c r="H31" s="65">
        <f t="shared" si="125"/>
        <v>0.41333333333333339</v>
      </c>
      <c r="I31" s="65">
        <f t="shared" si="125"/>
        <v>1.5555555555555557E-2</v>
      </c>
      <c r="J31" s="65">
        <f t="shared" si="125"/>
        <v>0.50500000000000012</v>
      </c>
      <c r="K31" s="65">
        <f t="shared" si="125"/>
        <v>0.4844444444444444</v>
      </c>
      <c r="L31" s="65">
        <f t="shared" si="125"/>
        <v>0.55222222222222228</v>
      </c>
      <c r="M31" s="65">
        <f t="shared" si="125"/>
        <v>0.38111111111111118</v>
      </c>
      <c r="N31" s="65">
        <f t="shared" si="125"/>
        <v>0.41499999999999992</v>
      </c>
      <c r="O31" s="65">
        <f t="shared" si="125"/>
        <v>0.4538888888888889</v>
      </c>
      <c r="P31" s="192">
        <f>AVERAGEIFS(P$36:P$167,$C$36:$C$167,"=2", $B$36:$B$167,"NO OFICIAL")</f>
        <v>52.588235294117645</v>
      </c>
      <c r="Q31" s="192">
        <f>AVERAGEIFS(Q$36:Q$167,$C$36:$C$167,"=2", $B$36:$B$167,"NO OFICIAL")</f>
        <v>8.9411764705882355</v>
      </c>
      <c r="R31" s="65">
        <f>AVERAGEIFS(R$36:R$167,$C$36:$C$167,"=2", $B$36:$B$167,"NO OFICIAL")</f>
        <v>0.13470588235294118</v>
      </c>
      <c r="S31" s="65">
        <f t="shared" ref="S31:AA31" si="126">AVERAGEIFS(S$36:S$167,$C$36:$C$167,"=2", $B$36:$B$167,"NO OFICIAL")</f>
        <v>0.47176470588235303</v>
      </c>
      <c r="T31" s="65">
        <f t="shared" si="126"/>
        <v>0.36823529411764705</v>
      </c>
      <c r="U31" s="65">
        <f t="shared" si="126"/>
        <v>2.7058823529411771E-2</v>
      </c>
      <c r="V31" s="65">
        <f t="shared" si="126"/>
        <v>0.38941176470588229</v>
      </c>
      <c r="W31" s="65">
        <f t="shared" si="126"/>
        <v>0.45647058823529413</v>
      </c>
      <c r="X31" s="65">
        <f t="shared" si="126"/>
        <v>0.53588235294117648</v>
      </c>
      <c r="Y31" s="65">
        <f t="shared" si="126"/>
        <v>0.44176470588235295</v>
      </c>
      <c r="Z31" s="65">
        <f t="shared" si="126"/>
        <v>0.40588235294117647</v>
      </c>
      <c r="AA31" s="65">
        <f t="shared" si="126"/>
        <v>0.46588235294117641</v>
      </c>
      <c r="AB31" s="192">
        <f>AVERAGEIFS(AB$36:AB$167,$C$36:$C$167,"=2", $B$36:$B$167,"NO OFICIAL")</f>
        <v>50.882352941176471</v>
      </c>
      <c r="AC31" s="192">
        <f>AVERAGEIFS(AC$36:AC$167,$C$36:$C$167,"=2", $B$36:$B$167,"NO OFICIAL")</f>
        <v>9.235294117647058</v>
      </c>
      <c r="AD31" s="65">
        <f>AVERAGEIFS(AD$36:AD$167,$C$36:$C$167,"=2", $B$36:$B$167,"NO OFICIAL")</f>
        <v>0.22529411764705884</v>
      </c>
      <c r="AE31" s="65">
        <f t="shared" ref="AE31:AM31" si="127">AVERAGEIFS(AE$36:AE$167,$C$36:$C$167,"=2", $B$36:$B$167,"NO OFICIAL")</f>
        <v>0.41588235294117637</v>
      </c>
      <c r="AF31" s="65">
        <f t="shared" si="127"/>
        <v>0.32823529411764707</v>
      </c>
      <c r="AG31" s="65">
        <f t="shared" si="127"/>
        <v>3.1764705882352945E-2</v>
      </c>
      <c r="AH31" s="65">
        <f t="shared" si="127"/>
        <v>0.41411764705882353</v>
      </c>
      <c r="AI31" s="65">
        <f t="shared" si="127"/>
        <v>0.4052941176470588</v>
      </c>
      <c r="AJ31" s="65">
        <f t="shared" si="127"/>
        <v>0.39176470588235296</v>
      </c>
      <c r="AK31" s="65">
        <f t="shared" si="127"/>
        <v>0.48529411764705882</v>
      </c>
      <c r="AL31" s="65">
        <f t="shared" si="127"/>
        <v>0.52470588235294113</v>
      </c>
      <c r="AM31" s="65">
        <f t="shared" si="127"/>
        <v>0.49117647058823527</v>
      </c>
      <c r="AN31" s="192">
        <f>AVERAGEIFS(AN$36:AN$167,$C$36:$C$167,"=2", $B$36:$B$167,"NO OFICIAL")</f>
        <v>49.833333333333336</v>
      </c>
      <c r="AO31" s="192">
        <f>AVERAGEIFS(AO$36:AO$167,$C$36:$C$167,"=2", $B$36:$B$167,"NO OFICIAL")</f>
        <v>9.8333333333333339</v>
      </c>
      <c r="AP31" s="65">
        <f>AVERAGEIFS(AP$36:AP$167,$C$36:$C$167,"=2", $B$36:$B$167,"NO OFICIAL")</f>
        <v>0.19555555555555554</v>
      </c>
      <c r="AQ31" s="65">
        <f t="shared" ref="AQ31:AY31" si="128">AVERAGEIFS(AQ$36:AQ$167,$C$36:$C$167,"=2", $B$36:$B$167,"NO OFICIAL")</f>
        <v>0.47999999999999993</v>
      </c>
      <c r="AR31" s="65">
        <f t="shared" si="128"/>
        <v>0.30611111111111106</v>
      </c>
      <c r="AS31" s="65">
        <f t="shared" si="128"/>
        <v>1.9444444444444448E-2</v>
      </c>
      <c r="AT31" s="65">
        <f t="shared" si="128"/>
        <v>0.51666666666666672</v>
      </c>
      <c r="AU31" s="65">
        <f t="shared" si="128"/>
        <v>0.42888888888888893</v>
      </c>
      <c r="AV31" s="65">
        <f t="shared" si="128"/>
        <v>0.4250000000000001</v>
      </c>
      <c r="AW31" s="65">
        <f t="shared" si="128"/>
        <v>0.4366666666666667</v>
      </c>
      <c r="AX31" s="65">
        <f t="shared" si="128"/>
        <v>0.4433333333333333</v>
      </c>
      <c r="AY31" s="65">
        <f t="shared" si="128"/>
        <v>0.46166666666666667</v>
      </c>
      <c r="AZ31" s="192">
        <f>AVERAGEIFS(AZ$36:AZ$167,$C$36:$C$167,"=2", $B$36:$B$167,"NO OFICIAL")</f>
        <v>51.18181818181818</v>
      </c>
      <c r="BA31" s="192">
        <f>AVERAGEIFS(BA$36:BA$167,$C$36:$C$167,"=2", $B$36:$B$167,"NO OFICIAL")</f>
        <v>9.045454545454545</v>
      </c>
      <c r="BB31" s="65">
        <f>AVERAGEIFS(BB$36:BB$167,$C$36:$C$167,"=2", $B$36:$B$167,"NO OFICIAL")</f>
        <v>0.21318181818181819</v>
      </c>
      <c r="BC31" s="65">
        <f t="shared" ref="BC31:BK31" si="129">AVERAGEIFS(BC$36:BC$167,$C$36:$C$167,"=2", $B$36:$B$167,"NO OFICIAL")</f>
        <v>0.45818181818181819</v>
      </c>
      <c r="BD31" s="65">
        <f t="shared" si="129"/>
        <v>0.2986363636363637</v>
      </c>
      <c r="BE31" s="65">
        <f t="shared" si="129"/>
        <v>3.0909090909090917E-2</v>
      </c>
      <c r="BF31" s="65">
        <f t="shared" si="129"/>
        <v>0.46272727272727271</v>
      </c>
      <c r="BG31" s="65">
        <f t="shared" si="129"/>
        <v>0.45954545454545453</v>
      </c>
      <c r="BH31" s="65">
        <f t="shared" si="129"/>
        <v>0.44863636363636367</v>
      </c>
      <c r="BI31" s="65">
        <f t="shared" si="129"/>
        <v>0.53227272727272734</v>
      </c>
      <c r="BJ31" s="65">
        <f t="shared" si="129"/>
        <v>0.40636363636363632</v>
      </c>
      <c r="BK31" s="65">
        <f t="shared" si="129"/>
        <v>0.3727272727272728</v>
      </c>
      <c r="BL31" s="192">
        <f>AVERAGEIFS(BL$36:BL$167,$C$36:$C$167,"=2", $B$36:$B$167,"NO OFICIAL")</f>
        <v>48.65</v>
      </c>
      <c r="BN31" s="192">
        <f>AVERAGEIFS(BN$36:BN$167,$C$36:$C$167,"=2", $B$36:$B$167,"NO OFICIAL")</f>
        <v>9.35</v>
      </c>
      <c r="BP31" s="65">
        <f>AVERAGEIFS(BP$36:BP$167,$C$36:$C$167,"=2", $B$36:$B$167,"NO OFICIAL")</f>
        <v>0.26950000000000002</v>
      </c>
      <c r="BQ31" s="65">
        <f t="shared" ref="BQ31:BY31" si="130">AVERAGEIFS(BQ$36:BQ$167,$C$36:$C$167,"=2", $B$36:$B$167,"NO OFICIAL")</f>
        <v>0.42049999999999998</v>
      </c>
      <c r="BR31" s="65">
        <f t="shared" si="130"/>
        <v>0.28850000000000003</v>
      </c>
      <c r="BS31" s="65">
        <f t="shared" si="130"/>
        <v>2.4999999999999998E-2</v>
      </c>
      <c r="BT31" s="65">
        <f t="shared" si="130"/>
        <v>0.45250000000000001</v>
      </c>
      <c r="BU31" s="65">
        <f t="shared" si="130"/>
        <v>0.46399999999999997</v>
      </c>
      <c r="BV31" s="65">
        <f t="shared" si="130"/>
        <v>0.5585</v>
      </c>
      <c r="BW31" s="65">
        <f t="shared" si="130"/>
        <v>0.45249999999999996</v>
      </c>
      <c r="BX31" s="65">
        <f t="shared" si="130"/>
        <v>0.47650000000000003</v>
      </c>
      <c r="BY31" s="65">
        <f t="shared" si="130"/>
        <v>0.53249999999999997</v>
      </c>
      <c r="BZ31" s="192">
        <f>AVERAGEIFS(BZ$36:BZ$167,$C$36:$C$167,"=2", $B$36:$B$167,"NO OFICIAL")</f>
        <v>51.571428571428569</v>
      </c>
      <c r="CB31" s="192">
        <f>AVERAGEIFS(CB$36:CB$167,$C$36:$C$167,"=2", $B$36:$B$167,"NO OFICIAL")</f>
        <v>9.8571428571428577</v>
      </c>
      <c r="CD31" s="521">
        <f>AVERAGEIFS(CD$36:CD$167,$C$36:$C$167,"=2", $B$36:$B$167,"NO OFICIAL")</f>
        <v>0.1842857142857143</v>
      </c>
      <c r="CE31" s="521">
        <f t="shared" ref="CE31:CM31" si="131">AVERAGEIFS(CE$36:CE$167,$C$36:$C$167,"=2", $B$36:$B$167,"NO OFICIAL")</f>
        <v>0.41523809523809529</v>
      </c>
      <c r="CF31" s="521">
        <f t="shared" si="131"/>
        <v>0.36857142857142866</v>
      </c>
      <c r="CG31" s="521">
        <f t="shared" si="131"/>
        <v>3.5238095238095249E-2</v>
      </c>
      <c r="CH31" s="521">
        <f t="shared" si="131"/>
        <v>0.48049999999999987</v>
      </c>
      <c r="CI31" s="521">
        <f t="shared" si="131"/>
        <v>0.35380952380952368</v>
      </c>
      <c r="CJ31" s="521">
        <f t="shared" si="131"/>
        <v>0.55000000000000004</v>
      </c>
      <c r="CK31" s="521">
        <f t="shared" si="131"/>
        <v>0.49571428571428583</v>
      </c>
      <c r="CL31" s="521">
        <f t="shared" si="131"/>
        <v>0.43380952380952376</v>
      </c>
      <c r="CM31" s="521">
        <f t="shared" si="131"/>
        <v>0.52904761904761899</v>
      </c>
      <c r="CN31" s="192">
        <f>AVERAGEIFS(CN$36:CN$167,$C$36:$C$167,"=2", $B$36:$B$167,"NO OFICIAL")</f>
        <v>51.954545454545453</v>
      </c>
      <c r="CP31" s="192">
        <f>AVERAGEIFS(CP$36:CP$167,$C$36:$C$167,"=2", $B$36:$B$167,"NO OFICIAL")</f>
        <v>9.2727272727272734</v>
      </c>
      <c r="CR31" s="521">
        <f>AVERAGEIFS(CR$36:CR$167,$C$36:$C$167,"=2", $B$36:$B$167,"NO OFICIAL")</f>
        <v>0.15136363636363637</v>
      </c>
      <c r="CS31" s="521">
        <f t="shared" ref="CS31:DA31" si="132">AVERAGEIFS(CS$36:CS$167,$C$36:$C$167,"=2", $B$36:$B$167,"NO OFICIAL")</f>
        <v>0.47954545454545455</v>
      </c>
      <c r="CT31" s="521">
        <f t="shared" si="132"/>
        <v>0.33727272727272728</v>
      </c>
      <c r="CU31" s="521">
        <f t="shared" si="132"/>
        <v>3.2727272727272737E-2</v>
      </c>
      <c r="CV31" s="521">
        <f t="shared" si="132"/>
        <v>0.32954545454545453</v>
      </c>
      <c r="CW31" s="521">
        <f t="shared" si="132"/>
        <v>0.48045454545454547</v>
      </c>
      <c r="CX31" s="521">
        <f t="shared" si="132"/>
        <v>0.55772727272727274</v>
      </c>
      <c r="CY31" s="521">
        <f t="shared" si="132"/>
        <v>0.70714285714285718</v>
      </c>
      <c r="CZ31" s="521">
        <f t="shared" si="132"/>
        <v>0.50727272727272721</v>
      </c>
      <c r="DA31" s="521">
        <f t="shared" si="132"/>
        <v>0.50727272727272721</v>
      </c>
    </row>
    <row r="32" spans="1:105" s="434" customFormat="1" ht="24.9" customHeight="1" x14ac:dyDescent="0.25">
      <c r="A32" s="6" t="s">
        <v>939</v>
      </c>
      <c r="B32" s="447"/>
      <c r="C32" s="447"/>
      <c r="D32" s="192">
        <f>AVERAGEIFS(D$36:D$167,$C$36:$C$167,"=3", $B$36:$B$167,"NO OFICIAL")</f>
        <v>52.846153846153847</v>
      </c>
      <c r="E32" s="192">
        <f>AVERAGEIFS(E$36:E$167,$C$36:$C$167,"=3", $B$36:$B$167,"NO OFICIAL")</f>
        <v>8.6923076923076916</v>
      </c>
      <c r="F32" s="65">
        <f>AVERAGEIFS(F$36:F$167,$C$36:$C$167,"=3", $B$36:$B$167,"NO OFICIAL")</f>
        <v>9.0769230769230783E-2</v>
      </c>
      <c r="G32" s="65">
        <f t="shared" ref="G32:O32" si="133">AVERAGEIFS(G$36:G$167,$C$36:$C$167,"=3", $B$36:$B$167,"NO OFICIAL")</f>
        <v>0.52</v>
      </c>
      <c r="H32" s="65">
        <f t="shared" si="133"/>
        <v>0.38</v>
      </c>
      <c r="I32" s="65">
        <f t="shared" si="133"/>
        <v>1.0769230769230771E-2</v>
      </c>
      <c r="J32" s="65">
        <f t="shared" si="133"/>
        <v>0.52230769230769236</v>
      </c>
      <c r="K32" s="65">
        <f t="shared" si="133"/>
        <v>0.47538461538461535</v>
      </c>
      <c r="L32" s="65">
        <f t="shared" si="133"/>
        <v>0.5623076923076924</v>
      </c>
      <c r="M32" s="65">
        <f t="shared" si="133"/>
        <v>0.38692307692307693</v>
      </c>
      <c r="N32" s="65">
        <f t="shared" si="133"/>
        <v>0.40307692307692311</v>
      </c>
      <c r="O32" s="65">
        <f t="shared" si="133"/>
        <v>0.45307692307692299</v>
      </c>
      <c r="P32" s="192">
        <f>AVERAGEIFS(P$36:P$167,$C$36:$C$167,"=3", $B$36:$B$167,"NO OFICIAL")</f>
        <v>53</v>
      </c>
      <c r="Q32" s="192">
        <f>AVERAGEIFS(Q$36:Q$167,$C$36:$C$167,"=3", $B$36:$B$167,"NO OFICIAL")</f>
        <v>9.5714285714285712</v>
      </c>
      <c r="R32" s="65">
        <f>AVERAGEIFS(R$36:R$167,$C$36:$C$167,"=3", $B$36:$B$167,"NO OFICIAL")</f>
        <v>8.9285714285714302E-2</v>
      </c>
      <c r="S32" s="65">
        <f t="shared" ref="S32:AA32" si="134">AVERAGEIFS(S$36:S$167,$C$36:$C$167,"=3", $B$36:$B$167,"NO OFICIAL")</f>
        <v>0.50714285714285712</v>
      </c>
      <c r="T32" s="65">
        <f t="shared" si="134"/>
        <v>0.36571428571428571</v>
      </c>
      <c r="U32" s="65">
        <f t="shared" si="134"/>
        <v>3.9285714285714292E-2</v>
      </c>
      <c r="V32" s="65">
        <f t="shared" si="134"/>
        <v>0.38500000000000012</v>
      </c>
      <c r="W32" s="65">
        <f t="shared" si="134"/>
        <v>0.45000000000000007</v>
      </c>
      <c r="X32" s="65">
        <f t="shared" si="134"/>
        <v>0.52928571428571425</v>
      </c>
      <c r="Y32" s="65">
        <f t="shared" si="134"/>
        <v>0.43285714285714283</v>
      </c>
      <c r="Z32" s="65">
        <f t="shared" si="134"/>
        <v>0.40500000000000008</v>
      </c>
      <c r="AA32" s="65">
        <f t="shared" si="134"/>
        <v>0.45500000000000002</v>
      </c>
      <c r="AB32" s="192">
        <f>AVERAGEIFS(AB$36:AB$167,$C$36:$C$167,"=3", $B$36:$B$167,"NO OFICIAL")</f>
        <v>51.5</v>
      </c>
      <c r="AC32" s="192">
        <f>AVERAGEIFS(AC$36:AC$167,$C$36:$C$167,"=3", $B$36:$B$167,"NO OFICIAL")</f>
        <v>9.7857142857142865</v>
      </c>
      <c r="AD32" s="65">
        <f>AVERAGEIFS(AD$36:AD$167,$C$36:$C$167,"=3", $B$36:$B$167,"NO OFICIAL")</f>
        <v>0.15357142857142855</v>
      </c>
      <c r="AE32" s="65">
        <f t="shared" ref="AE32:AM32" si="135">AVERAGEIFS(AE$36:AE$167,$C$36:$C$167,"=3", $B$36:$B$167,"NO OFICIAL")</f>
        <v>0.46571428571428569</v>
      </c>
      <c r="AF32" s="65">
        <f t="shared" si="135"/>
        <v>0.35642857142857137</v>
      </c>
      <c r="AG32" s="65">
        <f t="shared" si="135"/>
        <v>2.2142857142857141E-2</v>
      </c>
      <c r="AH32" s="65">
        <f t="shared" si="135"/>
        <v>0.39500000000000002</v>
      </c>
      <c r="AI32" s="65">
        <f t="shared" si="135"/>
        <v>0.39214285714285718</v>
      </c>
      <c r="AJ32" s="65">
        <f t="shared" si="135"/>
        <v>0.3785714285714285</v>
      </c>
      <c r="AK32" s="65">
        <f t="shared" si="135"/>
        <v>0.4578571428571428</v>
      </c>
      <c r="AL32" s="65">
        <f t="shared" si="135"/>
        <v>0.53357142857142859</v>
      </c>
      <c r="AM32" s="65">
        <f t="shared" si="135"/>
        <v>0.49571428571428572</v>
      </c>
      <c r="AN32" s="192">
        <f>AVERAGEIFS(AN$36:AN$167,$C$36:$C$167,"=3", $B$36:$B$167,"NO OFICIAL")</f>
        <v>49.214285714285715</v>
      </c>
      <c r="AO32" s="192">
        <f>AVERAGEIFS(AO$36:AO$167,$C$36:$C$167,"=3", $B$36:$B$167,"NO OFICIAL")</f>
        <v>10.357142857142858</v>
      </c>
      <c r="AP32" s="65">
        <f>AVERAGEIFS(AP$36:AP$167,$C$36:$C$167,"=3", $B$36:$B$167,"NO OFICIAL")</f>
        <v>0.23214285714285715</v>
      </c>
      <c r="AQ32" s="65">
        <f t="shared" ref="AQ32:AY32" si="136">AVERAGEIFS(AQ$36:AQ$167,$C$36:$C$167,"=3", $B$36:$B$167,"NO OFICIAL")</f>
        <v>0.46928571428571431</v>
      </c>
      <c r="AR32" s="65">
        <f t="shared" si="136"/>
        <v>0.28357142857142864</v>
      </c>
      <c r="AS32" s="65">
        <f t="shared" si="136"/>
        <v>1.4999999999999999E-2</v>
      </c>
      <c r="AT32" s="65">
        <f t="shared" si="136"/>
        <v>0.54928571428571427</v>
      </c>
      <c r="AU32" s="65">
        <f t="shared" si="136"/>
        <v>0.45357142857142863</v>
      </c>
      <c r="AV32" s="65">
        <f t="shared" si="136"/>
        <v>0.43714285714285711</v>
      </c>
      <c r="AW32" s="65">
        <f t="shared" si="136"/>
        <v>0.46357142857142852</v>
      </c>
      <c r="AX32" s="65">
        <f t="shared" si="136"/>
        <v>0.45142857142857146</v>
      </c>
      <c r="AY32" s="65">
        <f t="shared" si="136"/>
        <v>0.46357142857142863</v>
      </c>
      <c r="AZ32" s="192">
        <f>AVERAGEIFS(AZ$36:AZ$167,$C$36:$C$167,"=3", $B$36:$B$167,"NO OFICIAL")</f>
        <v>52.2</v>
      </c>
      <c r="BA32" s="192">
        <f>AVERAGEIFS(BA$36:BA$167,$C$36:$C$167,"=3", $B$36:$B$167,"NO OFICIAL")</f>
        <v>10.333333333333334</v>
      </c>
      <c r="BB32" s="65">
        <f>AVERAGEIFS(BB$36:BB$167,$C$36:$C$167,"=3", $B$36:$B$167,"NO OFICIAL")</f>
        <v>0.15133333333333335</v>
      </c>
      <c r="BC32" s="65">
        <f t="shared" ref="BC32:BK32" si="137">AVERAGEIFS(BC$36:BC$167,$C$36:$C$167,"=3", $B$36:$B$167,"NO OFICIAL")</f>
        <v>0.45999999999999996</v>
      </c>
      <c r="BD32" s="65">
        <f t="shared" si="137"/>
        <v>0.34533333333333338</v>
      </c>
      <c r="BE32" s="65">
        <f t="shared" si="137"/>
        <v>4.2666666666666665E-2</v>
      </c>
      <c r="BF32" s="65">
        <f t="shared" si="137"/>
        <v>0.44933333333333336</v>
      </c>
      <c r="BG32" s="65">
        <f t="shared" si="137"/>
        <v>0.42533333333333329</v>
      </c>
      <c r="BH32" s="65">
        <f t="shared" si="137"/>
        <v>0.42999999999999994</v>
      </c>
      <c r="BI32" s="65">
        <f t="shared" si="137"/>
        <v>0.52733333333333332</v>
      </c>
      <c r="BJ32" s="65">
        <f t="shared" si="137"/>
        <v>0.40133333333333338</v>
      </c>
      <c r="BK32" s="65">
        <f t="shared" si="137"/>
        <v>0.37666666666666665</v>
      </c>
      <c r="BL32" s="192">
        <f>AVERAGEIFS(BL$36:BL$167,$C$36:$C$167,"=3", $B$36:$B$167,"NO OFICIAL")</f>
        <v>50.866666666666667</v>
      </c>
      <c r="BN32" s="192">
        <f>AVERAGEIFS(BN$36:BN$167,$C$36:$C$167,"=3", $B$36:$B$167,"NO OFICIAL")</f>
        <v>10.266666666666667</v>
      </c>
      <c r="BP32" s="65">
        <f>AVERAGEIFS(BP$36:BP$167,$C$36:$C$167,"=3", $B$36:$B$167,"NO OFICIAL")</f>
        <v>0.18800000000000003</v>
      </c>
      <c r="BQ32" s="65">
        <f t="shared" ref="BQ32:BY32" si="138">AVERAGEIFS(BQ$36:BQ$167,$C$36:$C$167,"=3", $B$36:$B$167,"NO OFICIAL")</f>
        <v>0.45333333333333337</v>
      </c>
      <c r="BR32" s="65">
        <f t="shared" si="138"/>
        <v>0.33333333333333331</v>
      </c>
      <c r="BS32" s="65">
        <f t="shared" si="138"/>
        <v>2.5333333333333329E-2</v>
      </c>
      <c r="BT32" s="65">
        <f t="shared" si="138"/>
        <v>0.41933333333333334</v>
      </c>
      <c r="BU32" s="65">
        <f t="shared" si="138"/>
        <v>0.43866666666666665</v>
      </c>
      <c r="BV32" s="65">
        <f t="shared" si="138"/>
        <v>0.55666666666666664</v>
      </c>
      <c r="BW32" s="65">
        <f t="shared" si="138"/>
        <v>0.40466666666666667</v>
      </c>
      <c r="BX32" s="65">
        <f t="shared" si="138"/>
        <v>0.43466666666666665</v>
      </c>
      <c r="BY32" s="65">
        <f t="shared" si="138"/>
        <v>0.50800000000000012</v>
      </c>
      <c r="BZ32" s="192">
        <f>AVERAGEIFS(BZ$36:BZ$167,$C$36:$C$167,"=3", $B$36:$B$167,"NO OFICIAL")</f>
        <v>52.8125</v>
      </c>
      <c r="CB32" s="192">
        <f>AVERAGEIFS(CB$36:CB$167,$C$36:$C$167,"=3", $B$36:$B$167,"NO OFICIAL")</f>
        <v>10.0625</v>
      </c>
      <c r="CD32" s="521">
        <f>AVERAGEIFS(CD$36:CD$167,$C$36:$C$167,"=3", $B$36:$B$167,"NO OFICIAL")</f>
        <v>0.15187500000000001</v>
      </c>
      <c r="CE32" s="521">
        <f t="shared" ref="CE32:CM32" si="139">AVERAGEIFS(CE$36:CE$167,$C$36:$C$167,"=3", $B$36:$B$167,"NO OFICIAL")</f>
        <v>0.41750000000000009</v>
      </c>
      <c r="CF32" s="521">
        <f t="shared" si="139"/>
        <v>0.40125</v>
      </c>
      <c r="CG32" s="521">
        <f t="shared" si="139"/>
        <v>3.1875000000000001E-2</v>
      </c>
      <c r="CH32" s="521">
        <f t="shared" si="139"/>
        <v>0.43499999999999994</v>
      </c>
      <c r="CI32" s="521">
        <f t="shared" si="139"/>
        <v>0.33374999999999999</v>
      </c>
      <c r="CJ32" s="521">
        <f t="shared" si="139"/>
        <v>0.52937499999999993</v>
      </c>
      <c r="CK32" s="521">
        <f t="shared" si="139"/>
        <v>0.49812500000000004</v>
      </c>
      <c r="CL32" s="521">
        <f t="shared" si="139"/>
        <v>0.37374999999999997</v>
      </c>
      <c r="CM32" s="521">
        <f t="shared" si="139"/>
        <v>0.52250000000000008</v>
      </c>
      <c r="CN32" s="192">
        <f>AVERAGEIFS(CN$36:CN$167,$C$36:$C$167,"=3", $B$36:$B$167,"NO OFICIAL")</f>
        <v>52.0625</v>
      </c>
      <c r="CP32" s="192">
        <f>AVERAGEIFS(CP$36:CP$167,$C$36:$C$167,"=3", $B$36:$B$167,"NO OFICIAL")</f>
        <v>10.125</v>
      </c>
      <c r="CR32" s="521">
        <f>AVERAGEIFS(CR$36:CR$167,$C$36:$C$167,"=3", $B$36:$B$167,"NO OFICIAL")</f>
        <v>0.16749999999999998</v>
      </c>
      <c r="CS32" s="521">
        <f t="shared" ref="CS32:DA32" si="140">AVERAGEIFS(CS$36:CS$167,$C$36:$C$167,"=3", $B$36:$B$167,"NO OFICIAL")</f>
        <v>0.41812499999999997</v>
      </c>
      <c r="CT32" s="521">
        <f t="shared" si="140"/>
        <v>0.38187500000000002</v>
      </c>
      <c r="CU32" s="521">
        <f t="shared" si="140"/>
        <v>3.125E-2</v>
      </c>
      <c r="CV32" s="521">
        <f t="shared" si="140"/>
        <v>0.32250000000000001</v>
      </c>
      <c r="CW32" s="521">
        <f t="shared" si="140"/>
        <v>0.50062499999999999</v>
      </c>
      <c r="CX32" s="521">
        <f t="shared" si="140"/>
        <v>0.52562500000000001</v>
      </c>
      <c r="CY32" s="521">
        <f t="shared" si="140"/>
        <v>0.57874999999999999</v>
      </c>
      <c r="CZ32" s="521">
        <f t="shared" si="140"/>
        <v>0.53625</v>
      </c>
      <c r="DA32" s="521">
        <f t="shared" si="140"/>
        <v>0.53125</v>
      </c>
    </row>
    <row r="33" spans="1:105" s="434" customFormat="1" ht="24.9" customHeight="1" x14ac:dyDescent="0.25">
      <c r="A33" s="6" t="s">
        <v>940</v>
      </c>
      <c r="B33" s="447"/>
      <c r="C33" s="447"/>
      <c r="D33" s="192">
        <f>AVERAGEIFS(D$36:D$167,$C$36:$C$167,"=4", $B$36:$B$167,"NO OFICIAL")</f>
        <v>48.875</v>
      </c>
      <c r="E33" s="192">
        <f>AVERAGEIFS(E$36:E$167,$C$36:$C$167,"=4", $B$36:$B$167,"NO OFICIAL")</f>
        <v>7.625</v>
      </c>
      <c r="F33" s="65">
        <f>AVERAGEIFS(F$36:F$167,$C$36:$C$167,"=4", $B$36:$B$167,"NO OFICIAL")</f>
        <v>0.26750000000000002</v>
      </c>
      <c r="G33" s="65">
        <f t="shared" ref="G33:O33" si="141">AVERAGEIFS(G$36:G$167,$C$36:$C$167,"=4", $B$36:$B$167,"NO OFICIAL")</f>
        <v>0.48249999999999998</v>
      </c>
      <c r="H33" s="65">
        <f t="shared" si="141"/>
        <v>0.24625</v>
      </c>
      <c r="I33" s="65">
        <f t="shared" si="141"/>
        <v>2.5000000000000001E-3</v>
      </c>
      <c r="J33" s="65">
        <f t="shared" si="141"/>
        <v>0.58000000000000007</v>
      </c>
      <c r="K33" s="65">
        <f t="shared" si="141"/>
        <v>0.53875000000000006</v>
      </c>
      <c r="L33" s="65">
        <f t="shared" si="141"/>
        <v>0.60875000000000001</v>
      </c>
      <c r="M33" s="65">
        <f t="shared" si="141"/>
        <v>0.46125000000000005</v>
      </c>
      <c r="N33" s="65">
        <f t="shared" si="141"/>
        <v>0.44624999999999998</v>
      </c>
      <c r="O33" s="65">
        <f t="shared" si="141"/>
        <v>0.55500000000000005</v>
      </c>
      <c r="P33" s="192">
        <f>AVERAGEIFS(P$36:P$167,$C$36:$C$167,"=4", $B$36:$B$167,"NO OFICIAL")</f>
        <v>52.111111111111114</v>
      </c>
      <c r="Q33" s="192">
        <f>AVERAGEIFS(Q$36:Q$167,$C$36:$C$167,"=4", $B$36:$B$167,"NO OFICIAL")</f>
        <v>7.666666666666667</v>
      </c>
      <c r="R33" s="65">
        <f>AVERAGEIFS(R$36:R$167,$C$36:$C$167,"=4", $B$36:$B$167,"NO OFICIAL")</f>
        <v>0.1388888888888889</v>
      </c>
      <c r="S33" s="65">
        <f t="shared" ref="S33:AA33" si="142">AVERAGEIFS(S$36:S$167,$C$36:$C$167,"=4", $B$36:$B$167,"NO OFICIAL")</f>
        <v>0.42777777777777776</v>
      </c>
      <c r="T33" s="65">
        <f t="shared" si="142"/>
        <v>0.43111111111111111</v>
      </c>
      <c r="U33" s="65">
        <f t="shared" si="142"/>
        <v>2.2222222222222222E-3</v>
      </c>
      <c r="V33" s="65">
        <f t="shared" si="142"/>
        <v>0.41444444444444439</v>
      </c>
      <c r="W33" s="65">
        <f t="shared" si="142"/>
        <v>0.45111111111111118</v>
      </c>
      <c r="X33" s="65">
        <f t="shared" si="142"/>
        <v>0.53555555555555556</v>
      </c>
      <c r="Y33" s="65">
        <f t="shared" si="142"/>
        <v>0.4211111111111111</v>
      </c>
      <c r="Z33" s="65">
        <f t="shared" si="142"/>
        <v>0.43222222222222223</v>
      </c>
      <c r="AA33" s="65">
        <f t="shared" si="142"/>
        <v>0.42999999999999994</v>
      </c>
      <c r="AB33" s="192">
        <f>AVERAGEIFS(AB$36:AB$167,$C$36:$C$167,"=4", $B$36:$B$167,"NO OFICIAL")</f>
        <v>49.777777777777779</v>
      </c>
      <c r="AC33" s="192">
        <f>AVERAGEIFS(AC$36:AC$167,$C$36:$C$167,"=4", $B$36:$B$167,"NO OFICIAL")</f>
        <v>8.1111111111111107</v>
      </c>
      <c r="AD33" s="65">
        <f>AVERAGEIFS(AD$36:AD$167,$C$36:$C$167,"=4", $B$36:$B$167,"NO OFICIAL")</f>
        <v>0.18666666666666665</v>
      </c>
      <c r="AE33" s="65">
        <f t="shared" ref="AE33:AM33" si="143">AVERAGEIFS(AE$36:AE$167,$C$36:$C$167,"=4", $B$36:$B$167,"NO OFICIAL")</f>
        <v>0.60444444444444434</v>
      </c>
      <c r="AF33" s="65">
        <f t="shared" si="143"/>
        <v>0.19777777777777777</v>
      </c>
      <c r="AG33" s="65">
        <f t="shared" si="143"/>
        <v>1.2222222222222223E-2</v>
      </c>
      <c r="AH33" s="65">
        <f t="shared" si="143"/>
        <v>0.43222222222222223</v>
      </c>
      <c r="AI33" s="65">
        <f t="shared" si="143"/>
        <v>0.41666666666666669</v>
      </c>
      <c r="AJ33" s="65">
        <f t="shared" si="143"/>
        <v>0.41888888888888887</v>
      </c>
      <c r="AK33" s="65">
        <f t="shared" si="143"/>
        <v>0.47666666666666657</v>
      </c>
      <c r="AL33" s="65">
        <f t="shared" si="143"/>
        <v>0.57444444444444442</v>
      </c>
      <c r="AM33" s="65">
        <f t="shared" si="143"/>
        <v>0.50555555555555554</v>
      </c>
      <c r="AN33" s="192">
        <f>AVERAGEIFS(AN$36:AN$167,$C$36:$C$167,"=4", $B$36:$B$167,"NO OFICIAL")</f>
        <v>47.875</v>
      </c>
      <c r="AO33" s="192">
        <f>AVERAGEIFS(AO$36:AO$167,$C$36:$C$167,"=4", $B$36:$B$167,"NO OFICIAL")</f>
        <v>10.125</v>
      </c>
      <c r="AP33" s="65">
        <f>AVERAGEIFS(AP$36:AP$167,$C$36:$C$167,"=4", $B$36:$B$167,"NO OFICIAL")</f>
        <v>0.27374999999999999</v>
      </c>
      <c r="AQ33" s="65">
        <f t="shared" ref="AQ33:AY33" si="144">AVERAGEIFS(AQ$36:AQ$167,$C$36:$C$167,"=4", $B$36:$B$167,"NO OFICIAL")</f>
        <v>0.45999999999999996</v>
      </c>
      <c r="AR33" s="65">
        <f t="shared" si="144"/>
        <v>0.25624999999999998</v>
      </c>
      <c r="AS33" s="65">
        <f t="shared" si="144"/>
        <v>7.4999999999999997E-3</v>
      </c>
      <c r="AT33" s="65">
        <f t="shared" si="144"/>
        <v>0.57499999999999996</v>
      </c>
      <c r="AU33" s="65">
        <f t="shared" si="144"/>
        <v>0.47625000000000001</v>
      </c>
      <c r="AV33" s="65">
        <f t="shared" si="144"/>
        <v>0.44</v>
      </c>
      <c r="AW33" s="65">
        <f t="shared" si="144"/>
        <v>0.47500000000000003</v>
      </c>
      <c r="AX33" s="65">
        <f t="shared" si="144"/>
        <v>0.5</v>
      </c>
      <c r="AY33" s="65">
        <f t="shared" si="144"/>
        <v>0.49375000000000008</v>
      </c>
      <c r="AZ33" s="192">
        <f>AVERAGEIFS(AZ$36:AZ$167,$C$36:$C$167,"=4", $B$36:$B$167,"NO OFICIAL")</f>
        <v>47.857142857142854</v>
      </c>
      <c r="BA33" s="192">
        <f>AVERAGEIFS(BA$36:BA$167,$C$36:$C$167,"=4", $B$36:$B$167,"NO OFICIAL")</f>
        <v>10.142857142857142</v>
      </c>
      <c r="BB33" s="65">
        <f>AVERAGEIFS(BB$36:BB$167,$C$36:$C$167,"=4", $B$36:$B$167,"NO OFICIAL")</f>
        <v>0.28428571428571431</v>
      </c>
      <c r="BC33" s="65">
        <f t="shared" ref="BC33:BK33" si="145">AVERAGEIFS(BC$36:BC$167,$C$36:$C$167,"=4", $B$36:$B$167,"NO OFICIAL")</f>
        <v>0.39857142857142858</v>
      </c>
      <c r="BD33" s="65">
        <f t="shared" si="145"/>
        <v>0.31571428571428573</v>
      </c>
      <c r="BE33" s="65">
        <f t="shared" si="145"/>
        <v>2.8571428571428571E-3</v>
      </c>
      <c r="BF33" s="65">
        <f t="shared" si="145"/>
        <v>0.60571428571428565</v>
      </c>
      <c r="BG33" s="65">
        <f t="shared" si="145"/>
        <v>0.49857142857142861</v>
      </c>
      <c r="BH33" s="65">
        <f t="shared" si="145"/>
        <v>0.49428571428571427</v>
      </c>
      <c r="BI33" s="65">
        <f t="shared" si="145"/>
        <v>0.59</v>
      </c>
      <c r="BJ33" s="65">
        <f t="shared" si="145"/>
        <v>0.47142857142857147</v>
      </c>
      <c r="BK33" s="65">
        <f t="shared" si="145"/>
        <v>0.43285714285714283</v>
      </c>
      <c r="BL33" s="192">
        <f>AVERAGEIFS(BL$36:BL$167,$C$36:$C$167,"=4", $B$36:$B$167,"NO OFICIAL")</f>
        <v>48.625</v>
      </c>
      <c r="BN33" s="192">
        <f>AVERAGEIFS(BN$36:BN$167,$C$36:$C$167,"=4", $B$36:$B$167,"NO OFICIAL")</f>
        <v>9.5</v>
      </c>
      <c r="BP33" s="65">
        <f>AVERAGEIFS(BP$36:BP$167,$C$36:$C$167,"=4", $B$36:$B$167,"NO OFICIAL")</f>
        <v>0.21000000000000002</v>
      </c>
      <c r="BQ33" s="65">
        <f t="shared" ref="BQ33:BY33" si="146">AVERAGEIFS(BQ$36:BQ$167,$C$36:$C$167,"=4", $B$36:$B$167,"NO OFICIAL")</f>
        <v>0.51124999999999998</v>
      </c>
      <c r="BR33" s="65">
        <f t="shared" si="146"/>
        <v>0.25624999999999998</v>
      </c>
      <c r="BS33" s="65">
        <f t="shared" si="146"/>
        <v>2.5000000000000001E-2</v>
      </c>
      <c r="BT33" s="65">
        <f t="shared" si="146"/>
        <v>0.44249999999999995</v>
      </c>
      <c r="BU33" s="65">
        <f t="shared" si="146"/>
        <v>0.48875000000000002</v>
      </c>
      <c r="BV33" s="65">
        <f t="shared" si="146"/>
        <v>0.52249999999999996</v>
      </c>
      <c r="BW33" s="65">
        <f t="shared" si="146"/>
        <v>0.45</v>
      </c>
      <c r="BX33" s="65">
        <f t="shared" si="146"/>
        <v>0.47125</v>
      </c>
      <c r="BY33" s="65">
        <f t="shared" si="146"/>
        <v>0.54874999999999996</v>
      </c>
      <c r="BZ33" s="192">
        <f>AVERAGEIFS(BZ$36:BZ$167,$C$36:$C$167,"=4", $B$36:$B$167,"NO OFICIAL")</f>
        <v>48.875</v>
      </c>
      <c r="CB33" s="192">
        <f>AVERAGEIFS(CB$36:CB$167,$C$36:$C$167,"=4", $B$36:$B$167,"NO OFICIAL")</f>
        <v>9.875</v>
      </c>
      <c r="CD33" s="521">
        <f>AVERAGEIFS(CD$36:CD$167,$C$36:$C$167,"=4", $B$36:$B$167,"NO OFICIAL")</f>
        <v>0.23374999999999999</v>
      </c>
      <c r="CE33" s="521">
        <f t="shared" ref="CE33:CM33" si="147">AVERAGEIFS(CE$36:CE$167,$C$36:$C$167,"=4", $B$36:$B$167,"NO OFICIAL")</f>
        <v>0.50124999999999997</v>
      </c>
      <c r="CF33" s="521">
        <f t="shared" si="147"/>
        <v>0.25124999999999997</v>
      </c>
      <c r="CG33" s="521">
        <f t="shared" si="147"/>
        <v>1.375E-2</v>
      </c>
      <c r="CH33" s="521">
        <f t="shared" si="147"/>
        <v>0.50250000000000006</v>
      </c>
      <c r="CI33" s="521">
        <f t="shared" si="147"/>
        <v>0.41375000000000001</v>
      </c>
      <c r="CJ33" s="521">
        <f t="shared" si="147"/>
        <v>0.56499999999999995</v>
      </c>
      <c r="CK33" s="521">
        <f t="shared" si="147"/>
        <v>0.5575</v>
      </c>
      <c r="CL33" s="521">
        <f t="shared" si="147"/>
        <v>0.45499999999999996</v>
      </c>
      <c r="CM33" s="521">
        <f t="shared" si="147"/>
        <v>0.57750000000000001</v>
      </c>
      <c r="CN33" s="192">
        <f>AVERAGEIFS(CN$36:CN$167,$C$36:$C$167,"=4", $B$36:$B$167,"NO OFICIAL")</f>
        <v>47.555555555555557</v>
      </c>
      <c r="CP33" s="192">
        <f>AVERAGEIFS(CP$36:CP$167,$C$36:$C$167,"=4", $B$36:$B$167,"NO OFICIAL")</f>
        <v>9.3333333333333339</v>
      </c>
      <c r="CR33" s="521">
        <f>AVERAGEIFS(CR$36:CR$167,$C$36:$C$167,"=4", $B$36:$B$167,"NO OFICIAL")</f>
        <v>0.22666666666666668</v>
      </c>
      <c r="CS33" s="521">
        <f t="shared" ref="CS33:DA33" si="148">AVERAGEIFS(CS$36:CS$167,$C$36:$C$167,"=4", $B$36:$B$167,"NO OFICIAL")</f>
        <v>0.56111111111111123</v>
      </c>
      <c r="CT33" s="521">
        <f t="shared" si="148"/>
        <v>0.20222222222222222</v>
      </c>
      <c r="CU33" s="521">
        <f t="shared" si="148"/>
        <v>8.8888888888888889E-3</v>
      </c>
      <c r="CV33" s="521">
        <f t="shared" si="148"/>
        <v>0.38666666666666671</v>
      </c>
      <c r="CW33" s="521">
        <f t="shared" si="148"/>
        <v>0.60222222222222233</v>
      </c>
      <c r="CX33" s="521">
        <f t="shared" si="148"/>
        <v>0.59777777777777785</v>
      </c>
      <c r="CY33" s="521">
        <f t="shared" si="148"/>
        <v>0.72111111111111115</v>
      </c>
      <c r="CZ33" s="521">
        <f t="shared" si="148"/>
        <v>0.58444444444444443</v>
      </c>
      <c r="DA33" s="521">
        <f t="shared" si="148"/>
        <v>0.62222222222222223</v>
      </c>
    </row>
    <row r="34" spans="1:105" s="434" customFormat="1" ht="24.9" customHeight="1" x14ac:dyDescent="0.25">
      <c r="A34" s="6" t="s">
        <v>941</v>
      </c>
      <c r="B34" s="447"/>
      <c r="C34" s="447"/>
      <c r="D34" s="192">
        <f>AVERAGEIFS(D$36:D$167,$C$36:$C$167,"=5", $B$36:$B$167,"NO OFICIAL")</f>
        <v>54.533333333333331</v>
      </c>
      <c r="E34" s="192">
        <f>AVERAGEIFS(E$36:E$167,$C$36:$C$167,"=5", $B$36:$B$167,"NO OFICIAL")</f>
        <v>8.6666666666666661</v>
      </c>
      <c r="F34" s="65">
        <f>AVERAGEIFS(F$36:F$167,$C$36:$C$167,"=5", $B$36:$B$167,"NO OFICIAL")</f>
        <v>6.3333333333333339E-2</v>
      </c>
      <c r="G34" s="65">
        <f t="shared" ref="G34:O34" si="149">AVERAGEIFS(G$36:G$167,$C$36:$C$167,"=5", $B$36:$B$167,"NO OFICIAL")</f>
        <v>0.49733333333333329</v>
      </c>
      <c r="H34" s="65">
        <f t="shared" si="149"/>
        <v>0.42666666666666675</v>
      </c>
      <c r="I34" s="65">
        <f t="shared" si="149"/>
        <v>1.4000000000000002E-2</v>
      </c>
      <c r="J34" s="65">
        <f t="shared" si="149"/>
        <v>0.5</v>
      </c>
      <c r="K34" s="65">
        <f t="shared" si="149"/>
        <v>0.43733333333333335</v>
      </c>
      <c r="L34" s="65">
        <f t="shared" si="149"/>
        <v>0.55666666666666675</v>
      </c>
      <c r="M34" s="65">
        <f t="shared" si="149"/>
        <v>0.36466666666666669</v>
      </c>
      <c r="N34" s="65">
        <f t="shared" si="149"/>
        <v>0.39266666666666672</v>
      </c>
      <c r="O34" s="65">
        <f t="shared" si="149"/>
        <v>0.45999999999999996</v>
      </c>
      <c r="P34" s="192">
        <f>AVERAGEIFS(P$36:P$167,$C$36:$C$167,"=5", $B$36:$B$167,"NO OFICIAL")</f>
        <v>54.666666666666664</v>
      </c>
      <c r="Q34" s="192">
        <f>AVERAGEIFS(Q$36:Q$167,$C$36:$C$167,"=5", $B$36:$B$167,"NO OFICIAL")</f>
        <v>8.8000000000000007</v>
      </c>
      <c r="R34" s="65">
        <f>AVERAGEIFS(R$36:R$167,$C$36:$C$167,"=5", $B$36:$B$167,"NO OFICIAL")</f>
        <v>8.0666666666666678E-2</v>
      </c>
      <c r="S34" s="65">
        <f t="shared" ref="S34:AA34" si="150">AVERAGEIFS(S$36:S$167,$C$36:$C$167,"=5", $B$36:$B$167,"NO OFICIAL")</f>
        <v>0.42933333333333329</v>
      </c>
      <c r="T34" s="65">
        <f t="shared" si="150"/>
        <v>0.46400000000000013</v>
      </c>
      <c r="U34" s="65">
        <f t="shared" si="150"/>
        <v>2.6000000000000002E-2</v>
      </c>
      <c r="V34" s="65">
        <f t="shared" si="150"/>
        <v>0.34933333333333322</v>
      </c>
      <c r="W34" s="65">
        <f t="shared" si="150"/>
        <v>0.41933333333333334</v>
      </c>
      <c r="X34" s="65">
        <f t="shared" si="150"/>
        <v>0.50466666666666671</v>
      </c>
      <c r="Y34" s="65">
        <f t="shared" si="150"/>
        <v>0.39200000000000002</v>
      </c>
      <c r="Z34" s="65">
        <f t="shared" si="150"/>
        <v>0.37866666666666671</v>
      </c>
      <c r="AA34" s="65">
        <f t="shared" si="150"/>
        <v>0.4373333333333333</v>
      </c>
      <c r="AB34" s="192">
        <f>AVERAGEIFS(AB$36:AB$167,$C$36:$C$167,"=5", $B$36:$B$167,"NO OFICIAL")</f>
        <v>53.125</v>
      </c>
      <c r="AC34" s="192">
        <f>AVERAGEIFS(AC$36:AC$167,$C$36:$C$167,"=5", $B$36:$B$167,"NO OFICIAL")</f>
        <v>9.3125</v>
      </c>
      <c r="AD34" s="65">
        <f>AVERAGEIFS(AD$36:AD$167,$C$36:$C$167,"=5", $B$36:$B$167,"NO OFICIAL")</f>
        <v>0.1</v>
      </c>
      <c r="AE34" s="65">
        <f t="shared" ref="AE34:AM34" si="151">AVERAGEIFS(AE$36:AE$167,$C$36:$C$167,"=5", $B$36:$B$167,"NO OFICIAL")</f>
        <v>0.45437500000000003</v>
      </c>
      <c r="AF34" s="65">
        <f t="shared" si="151"/>
        <v>0.41062500000000002</v>
      </c>
      <c r="AG34" s="65">
        <f t="shared" si="151"/>
        <v>3.6250000000000004E-2</v>
      </c>
      <c r="AH34" s="65">
        <f t="shared" si="151"/>
        <v>0.38624999999999998</v>
      </c>
      <c r="AI34" s="65">
        <f t="shared" si="151"/>
        <v>0.38375000000000004</v>
      </c>
      <c r="AJ34" s="65">
        <f t="shared" si="151"/>
        <v>0.33875000000000005</v>
      </c>
      <c r="AK34" s="65">
        <f t="shared" si="151"/>
        <v>0.43187499999999995</v>
      </c>
      <c r="AL34" s="65">
        <f t="shared" si="151"/>
        <v>0.49687500000000007</v>
      </c>
      <c r="AM34" s="65">
        <f t="shared" si="151"/>
        <v>0.47500000000000003</v>
      </c>
      <c r="AN34" s="192">
        <f>AVERAGEIFS(AN$36:AN$167,$C$36:$C$167,"=5", $B$36:$B$167,"NO OFICIAL")</f>
        <v>50.764705882352942</v>
      </c>
      <c r="AO34" s="192">
        <f>AVERAGEIFS(AO$36:AO$167,$C$36:$C$167,"=5", $B$36:$B$167,"NO OFICIAL")</f>
        <v>10.176470588235293</v>
      </c>
      <c r="AP34" s="65">
        <f>AVERAGEIFS(AP$36:AP$167,$C$36:$C$167,"=5", $B$36:$B$167,"NO OFICIAL")</f>
        <v>0.17823529411764708</v>
      </c>
      <c r="AQ34" s="65">
        <f t="shared" ref="AQ34:AY34" si="152">AVERAGEIFS(AQ$36:AQ$167,$C$36:$C$167,"=5", $B$36:$B$167,"NO OFICIAL")</f>
        <v>0.47176470588235292</v>
      </c>
      <c r="AR34" s="65">
        <f t="shared" si="152"/>
        <v>0.32411764705882351</v>
      </c>
      <c r="AS34" s="65">
        <f t="shared" si="152"/>
        <v>2.8235294117647056E-2</v>
      </c>
      <c r="AT34" s="65">
        <f t="shared" si="152"/>
        <v>0.48470588235294121</v>
      </c>
      <c r="AU34" s="65">
        <f t="shared" si="152"/>
        <v>0.43470588235294122</v>
      </c>
      <c r="AV34" s="65">
        <f t="shared" si="152"/>
        <v>0.41882352941176465</v>
      </c>
      <c r="AW34" s="65">
        <f t="shared" si="152"/>
        <v>0.43529411764705872</v>
      </c>
      <c r="AX34" s="65">
        <f t="shared" si="152"/>
        <v>0.42705882352941182</v>
      </c>
      <c r="AY34" s="65">
        <f t="shared" si="152"/>
        <v>0.43235294117647066</v>
      </c>
      <c r="AZ34" s="192">
        <f>AVERAGEIFS(AZ$36:AZ$167,$C$36:$C$167,"=5", $B$36:$B$167,"NO OFICIAL")</f>
        <v>54.3125</v>
      </c>
      <c r="BA34" s="192">
        <f>AVERAGEIFS(BA$36:BA$167,$C$36:$C$167,"=5", $B$36:$B$167,"NO OFICIAL")</f>
        <v>8.9375</v>
      </c>
      <c r="BB34" s="65">
        <f>AVERAGEIFS(BB$36:BB$167,$C$36:$C$167,"=5", $B$36:$B$167,"NO OFICIAL")</f>
        <v>8.500000000000002E-2</v>
      </c>
      <c r="BC34" s="65">
        <f t="shared" ref="BC34:BK34" si="153">AVERAGEIFS(BC$36:BC$167,$C$36:$C$167,"=5", $B$36:$B$167,"NO OFICIAL")</f>
        <v>0.43125000000000002</v>
      </c>
      <c r="BD34" s="65">
        <f t="shared" si="153"/>
        <v>0.458125</v>
      </c>
      <c r="BE34" s="65">
        <f t="shared" si="153"/>
        <v>2.6250000000000006E-2</v>
      </c>
      <c r="BF34" s="65">
        <f t="shared" si="153"/>
        <v>0.39374999999999993</v>
      </c>
      <c r="BG34" s="65">
        <f t="shared" si="153"/>
        <v>0.40375</v>
      </c>
      <c r="BH34" s="65">
        <f t="shared" si="153"/>
        <v>0.38750000000000007</v>
      </c>
      <c r="BI34" s="65">
        <f t="shared" si="153"/>
        <v>0.45250000000000001</v>
      </c>
      <c r="BJ34" s="65">
        <f t="shared" si="153"/>
        <v>0.35187499999999999</v>
      </c>
      <c r="BK34" s="65">
        <f t="shared" si="153"/>
        <v>0.34874999999999995</v>
      </c>
      <c r="BL34" s="192">
        <f>AVERAGEIFS(BL$36:BL$167,$C$36:$C$167,"=5", $B$36:$B$167,"NO OFICIAL")</f>
        <v>52.625</v>
      </c>
      <c r="BN34" s="192">
        <f>AVERAGEIFS(BN$36:BN$167,$C$36:$C$167,"=5", $B$36:$B$167,"NO OFICIAL")</f>
        <v>10.1875</v>
      </c>
      <c r="BP34" s="65">
        <f>AVERAGEIFS(BP$36:BP$167,$C$36:$C$167,"=5", $B$36:$B$167,"NO OFICIAL")</f>
        <v>0.14499999999999999</v>
      </c>
      <c r="BQ34" s="65">
        <f t="shared" ref="BQ34:BY34" si="154">AVERAGEIFS(BQ$36:BQ$167,$C$36:$C$167,"=5", $B$36:$B$167,"NO OFICIAL")</f>
        <v>0.43750000000000006</v>
      </c>
      <c r="BR34" s="65">
        <f t="shared" si="154"/>
        <v>0.37625000000000003</v>
      </c>
      <c r="BS34" s="65">
        <f t="shared" si="154"/>
        <v>4.0000000000000008E-2</v>
      </c>
      <c r="BT34" s="65">
        <f t="shared" si="154"/>
        <v>0.39062500000000006</v>
      </c>
      <c r="BU34" s="65">
        <f t="shared" si="154"/>
        <v>0.42500000000000004</v>
      </c>
      <c r="BV34" s="65">
        <f t="shared" si="154"/>
        <v>0.46250000000000002</v>
      </c>
      <c r="BW34" s="65">
        <f t="shared" si="154"/>
        <v>0.38437500000000013</v>
      </c>
      <c r="BX34" s="65">
        <f t="shared" si="154"/>
        <v>0.41875000000000007</v>
      </c>
      <c r="BY34" s="65">
        <f t="shared" si="154"/>
        <v>0.48062499999999991</v>
      </c>
      <c r="BZ34" s="192">
        <f>AVERAGEIFS(BZ$36:BZ$167,$C$36:$C$167,"=5", $B$36:$B$167,"NO OFICIAL")</f>
        <v>53.8</v>
      </c>
      <c r="CB34" s="192">
        <f>AVERAGEIFS(CB$36:CB$167,$C$36:$C$167,"=5", $B$36:$B$167,"NO OFICIAL")</f>
        <v>9.5333333333333332</v>
      </c>
      <c r="CD34" s="521">
        <f>AVERAGEIFS(CD$36:CD$167,$C$36:$C$167,"=5", $B$36:$B$167,"NO OFICIAL")</f>
        <v>0.12733333333333335</v>
      </c>
      <c r="CE34" s="521">
        <f t="shared" ref="CE34:CM34" si="155">AVERAGEIFS(CE$36:CE$167,$C$36:$C$167,"=5", $B$36:$B$167,"NO OFICIAL")</f>
        <v>0.41066666666666674</v>
      </c>
      <c r="CF34" s="521">
        <f t="shared" si="155"/>
        <v>0.438</v>
      </c>
      <c r="CG34" s="521">
        <f t="shared" si="155"/>
        <v>2.4666666666666674E-2</v>
      </c>
      <c r="CH34" s="521">
        <f t="shared" si="155"/>
        <v>0.46133333333333332</v>
      </c>
      <c r="CI34" s="521">
        <f t="shared" si="155"/>
        <v>0.32333333333333331</v>
      </c>
      <c r="CJ34" s="521">
        <f t="shared" si="155"/>
        <v>0.50600000000000001</v>
      </c>
      <c r="CK34" s="521">
        <f t="shared" si="155"/>
        <v>0.49533333333333346</v>
      </c>
      <c r="CL34" s="521">
        <f t="shared" si="155"/>
        <v>0.38400000000000006</v>
      </c>
      <c r="CM34" s="521">
        <f t="shared" si="155"/>
        <v>0.50666666666666671</v>
      </c>
      <c r="CN34" s="192">
        <f>AVERAGEIFS(CN$36:CN$167,$C$36:$C$167,"=5", $B$36:$B$167,"NO OFICIAL")</f>
        <v>54.2</v>
      </c>
      <c r="CP34" s="192">
        <f>AVERAGEIFS(CP$36:CP$167,$C$36:$C$167,"=5", $B$36:$B$167,"NO OFICIAL")</f>
        <v>9.7333333333333325</v>
      </c>
      <c r="CR34" s="521">
        <f>AVERAGEIFS(CR$36:CR$167,$C$36:$C$167,"=5", $B$36:$B$167,"NO OFICIAL")</f>
        <v>9.1333333333333336E-2</v>
      </c>
      <c r="CS34" s="521">
        <f t="shared" ref="CS34:DA34" si="156">AVERAGEIFS(CS$36:CS$167,$C$36:$C$167,"=5", $B$36:$B$167,"NO OFICIAL")</f>
        <v>0.45333333333333331</v>
      </c>
      <c r="CT34" s="521">
        <f t="shared" si="156"/>
        <v>0.40600000000000003</v>
      </c>
      <c r="CU34" s="521">
        <f t="shared" si="156"/>
        <v>5.2666666666666667E-2</v>
      </c>
      <c r="CV34" s="521">
        <f t="shared" si="156"/>
        <v>0.30199999999999999</v>
      </c>
      <c r="CW34" s="521">
        <f t="shared" si="156"/>
        <v>0.46466666666666667</v>
      </c>
      <c r="CX34" s="521">
        <f t="shared" si="156"/>
        <v>0.49866666666666665</v>
      </c>
      <c r="CY34" s="521">
        <f t="shared" si="156"/>
        <v>0.58599999999999997</v>
      </c>
      <c r="CZ34" s="521">
        <f t="shared" si="156"/>
        <v>0.45533333333333331</v>
      </c>
      <c r="DA34" s="521">
        <f t="shared" si="156"/>
        <v>0.5006666666666667</v>
      </c>
    </row>
    <row r="35" spans="1:105" s="434" customFormat="1" ht="24.9" customHeight="1" x14ac:dyDescent="0.25">
      <c r="A35" s="6" t="s">
        <v>942</v>
      </c>
      <c r="B35" s="447"/>
      <c r="C35" s="447"/>
      <c r="D35" s="192">
        <f>AVERAGEIFS(D$36:D$167,$C$36:$C$167,"=6", $B$36:$B$167,"NO OFICIAL")</f>
        <v>52.416666666666664</v>
      </c>
      <c r="E35" s="192">
        <f>AVERAGEIFS(E$36:E$167,$C$36:$C$167,"=6", $B$36:$B$167,"NO OFICIAL")</f>
        <v>7.25</v>
      </c>
      <c r="F35" s="65">
        <f>AVERAGEIFS(F$36:F$167,$C$36:$C$167,"=6", $B$36:$B$167,"NO OFICIAL")</f>
        <v>0.13916666666666669</v>
      </c>
      <c r="G35" s="65">
        <f t="shared" ref="G35:O35" si="157">AVERAGEIFS(G$36:G$167,$C$36:$C$167,"=6", $B$36:$B$167,"NO OFICIAL")</f>
        <v>0.4524999999999999</v>
      </c>
      <c r="H35" s="65">
        <f t="shared" si="157"/>
        <v>0.39416666666666661</v>
      </c>
      <c r="I35" s="65">
        <f t="shared" si="157"/>
        <v>1.4999999999999999E-2</v>
      </c>
      <c r="J35" s="65">
        <f t="shared" si="157"/>
        <v>0.50000000000000011</v>
      </c>
      <c r="K35" s="65">
        <f t="shared" si="157"/>
        <v>0.47583333333333339</v>
      </c>
      <c r="L35" s="65">
        <f t="shared" si="157"/>
        <v>0.51916666666666667</v>
      </c>
      <c r="M35" s="65">
        <f t="shared" si="157"/>
        <v>0.40833333333333344</v>
      </c>
      <c r="N35" s="65">
        <f t="shared" si="157"/>
        <v>0.42666666666666669</v>
      </c>
      <c r="O35" s="65">
        <f t="shared" si="157"/>
        <v>0.50750000000000006</v>
      </c>
      <c r="P35" s="192">
        <f>AVERAGEIFS(P$36:P$167,$C$36:$C$167,"=6", $B$36:$B$167,"NO OFICIAL")</f>
        <v>50.75</v>
      </c>
      <c r="Q35" s="192">
        <f>AVERAGEIFS(Q$36:Q$167,$C$36:$C$167,"=6", $B$36:$B$167,"NO OFICIAL")</f>
        <v>9.5833333333333339</v>
      </c>
      <c r="R35" s="65">
        <f>AVERAGEIFS(R$36:R$167,$C$36:$C$167,"=6", $B$36:$B$167,"NO OFICIAL")</f>
        <v>0.16166666666666665</v>
      </c>
      <c r="S35" s="65">
        <f t="shared" ref="S35:AA35" si="158">AVERAGEIFS(S$36:S$167,$C$36:$C$167,"=6", $B$36:$B$167,"NO OFICIAL")</f>
        <v>0.4908333333333334</v>
      </c>
      <c r="T35" s="65">
        <f t="shared" si="158"/>
        <v>0.33250000000000002</v>
      </c>
      <c r="U35" s="65">
        <f t="shared" si="158"/>
        <v>1.7499999999999998E-2</v>
      </c>
      <c r="V35" s="65">
        <f t="shared" si="158"/>
        <v>0.39250000000000007</v>
      </c>
      <c r="W35" s="65">
        <f t="shared" si="158"/>
        <v>0.49083333333333323</v>
      </c>
      <c r="X35" s="65">
        <f t="shared" si="158"/>
        <v>0.5525000000000001</v>
      </c>
      <c r="Y35" s="65">
        <f t="shared" si="158"/>
        <v>0.46583333333333332</v>
      </c>
      <c r="Z35" s="65">
        <f t="shared" si="158"/>
        <v>0.45250000000000007</v>
      </c>
      <c r="AA35" s="65">
        <f t="shared" si="158"/>
        <v>0.51749999999999996</v>
      </c>
      <c r="AB35" s="192">
        <f>AVERAGEIFS(AB$36:AB$167,$C$36:$C$167,"=6", $B$36:$B$167,"NO OFICIAL")</f>
        <v>51.363636363636367</v>
      </c>
      <c r="AC35" s="192">
        <f>AVERAGEIFS(AC$36:AC$167,$C$36:$C$167,"=6", $B$36:$B$167,"NO OFICIAL")</f>
        <v>10.272727272727273</v>
      </c>
      <c r="AD35" s="65">
        <f>AVERAGEIFS(AD$36:AD$167,$C$36:$C$167,"=6", $B$36:$B$167,"NO OFICIAL")</f>
        <v>0.16181818181818178</v>
      </c>
      <c r="AE35" s="65">
        <f t="shared" ref="AE35:AM35" si="159">AVERAGEIFS(AE$36:AE$167,$C$36:$C$167,"=6", $B$36:$B$167,"NO OFICIAL")</f>
        <v>0.51363636363636356</v>
      </c>
      <c r="AF35" s="65">
        <f t="shared" si="159"/>
        <v>0.2972727272727273</v>
      </c>
      <c r="AG35" s="65">
        <f t="shared" si="159"/>
        <v>2.8181818181818186E-2</v>
      </c>
      <c r="AH35" s="65">
        <f t="shared" si="159"/>
        <v>0.39090909090909087</v>
      </c>
      <c r="AI35" s="65">
        <f t="shared" si="159"/>
        <v>0.42636363636363633</v>
      </c>
      <c r="AJ35" s="65">
        <f t="shared" si="159"/>
        <v>0.35909090909090907</v>
      </c>
      <c r="AK35" s="65">
        <f t="shared" si="159"/>
        <v>0.46363636363636362</v>
      </c>
      <c r="AL35" s="65">
        <f t="shared" si="159"/>
        <v>0.53727272727272735</v>
      </c>
      <c r="AM35" s="65">
        <f t="shared" si="159"/>
        <v>0.5281818181818182</v>
      </c>
      <c r="AN35" s="192">
        <f>AVERAGEIFS(AN$36:AN$167,$C$36:$C$167,"=6", $B$36:$B$167,"NO OFICIAL")</f>
        <v>49.833333333333336</v>
      </c>
      <c r="AO35" s="192">
        <f>AVERAGEIFS(AO$36:AO$167,$C$36:$C$167,"=6", $B$36:$B$167,"NO OFICIAL")</f>
        <v>9.9166666666666661</v>
      </c>
      <c r="AP35" s="65">
        <f>AVERAGEIFS(AP$36:AP$167,$C$36:$C$167,"=6", $B$36:$B$167,"NO OFICIAL")</f>
        <v>0.20166666666666666</v>
      </c>
      <c r="AQ35" s="65">
        <f t="shared" ref="AQ35:AY35" si="160">AVERAGEIFS(AQ$36:AQ$167,$C$36:$C$167,"=6", $B$36:$B$167,"NO OFICIAL")</f>
        <v>0.51333333333333331</v>
      </c>
      <c r="AR35" s="65">
        <f t="shared" si="160"/>
        <v>0.27249999999999996</v>
      </c>
      <c r="AS35" s="65">
        <f t="shared" si="160"/>
        <v>1.3333333333333336E-2</v>
      </c>
      <c r="AT35" s="65">
        <f t="shared" si="160"/>
        <v>0.52833333333333332</v>
      </c>
      <c r="AU35" s="65">
        <f t="shared" si="160"/>
        <v>0.44083333333333335</v>
      </c>
      <c r="AV35" s="65">
        <f t="shared" si="160"/>
        <v>0.44</v>
      </c>
      <c r="AW35" s="65">
        <f t="shared" si="160"/>
        <v>0.4375</v>
      </c>
      <c r="AX35" s="65">
        <f t="shared" si="160"/>
        <v>0.45</v>
      </c>
      <c r="AY35" s="65">
        <f t="shared" si="160"/>
        <v>0.47083333333333338</v>
      </c>
      <c r="AZ35" s="192">
        <f>AVERAGEIFS(AZ$36:AZ$167,$C$36:$C$167,"=6", $B$36:$B$167,"NO OFICIAL")</f>
        <v>49.785714285714285</v>
      </c>
      <c r="BA35" s="192">
        <f>AVERAGEIFS(BA$36:BA$167,$C$36:$C$167,"=6", $B$36:$B$167,"NO OFICIAL")</f>
        <v>9.2142857142857135</v>
      </c>
      <c r="BB35" s="65">
        <f>AVERAGEIFS(BB$36:BB$167,$C$36:$C$167,"=6", $B$36:$B$167,"NO OFICIAL")</f>
        <v>0.23499999999999996</v>
      </c>
      <c r="BC35" s="65">
        <f t="shared" ref="BC35:BK35" si="161">AVERAGEIFS(BC$36:BC$167,$C$36:$C$167,"=6", $B$36:$B$167,"NO OFICIAL")</f>
        <v>0.47428571428571431</v>
      </c>
      <c r="BD35" s="65">
        <f t="shared" si="161"/>
        <v>0.26071428571428573</v>
      </c>
      <c r="BE35" s="65">
        <f t="shared" si="161"/>
        <v>3.0000000000000002E-2</v>
      </c>
      <c r="BF35" s="65">
        <f t="shared" si="161"/>
        <v>0.48071428571428571</v>
      </c>
      <c r="BG35" s="65">
        <f t="shared" si="161"/>
        <v>0.47499999999999998</v>
      </c>
      <c r="BH35" s="65">
        <f t="shared" si="161"/>
        <v>0.48214285714285721</v>
      </c>
      <c r="BI35" s="65">
        <f t="shared" si="161"/>
        <v>0.5585714285714285</v>
      </c>
      <c r="BJ35" s="65">
        <f t="shared" si="161"/>
        <v>0.41285714285714287</v>
      </c>
      <c r="BK35" s="65">
        <f t="shared" si="161"/>
        <v>0.42571428571428571</v>
      </c>
      <c r="BL35" s="192">
        <f>AVERAGEIFS(BL$36:BL$167,$C$36:$C$167,"=6", $B$36:$B$167,"NO OFICIAL")</f>
        <v>49.428571428571431</v>
      </c>
      <c r="BN35" s="192">
        <f>AVERAGEIFS(BN$36:BN$167,$C$36:$C$167,"=6", $B$36:$B$167,"NO OFICIAL")</f>
        <v>8.9285714285714288</v>
      </c>
      <c r="BP35" s="65">
        <f>AVERAGEIFS(BP$36:BP$167,$C$36:$C$167,"=6", $B$36:$B$167,"NO OFICIAL")</f>
        <v>0.19</v>
      </c>
      <c r="BQ35" s="65">
        <f t="shared" ref="BQ35:BY35" si="162">AVERAGEIFS(BQ$36:BQ$167,$C$36:$C$167,"=6", $B$36:$B$167,"NO OFICIAL")</f>
        <v>0.53357142857142859</v>
      </c>
      <c r="BR35" s="65">
        <f t="shared" si="162"/>
        <v>0.26714285714285713</v>
      </c>
      <c r="BS35" s="65">
        <f t="shared" si="162"/>
        <v>1.0714285714285714E-2</v>
      </c>
      <c r="BT35" s="65">
        <f t="shared" si="162"/>
        <v>0.40500000000000008</v>
      </c>
      <c r="BU35" s="65">
        <f t="shared" si="162"/>
        <v>0.48285714285714282</v>
      </c>
      <c r="BV35" s="65">
        <f t="shared" si="162"/>
        <v>0.53285714285714281</v>
      </c>
      <c r="BW35" s="65">
        <f t="shared" si="162"/>
        <v>0.43571428571428578</v>
      </c>
      <c r="BX35" s="65">
        <f t="shared" si="162"/>
        <v>0.47642857142857142</v>
      </c>
      <c r="BY35" s="65">
        <f t="shared" si="162"/>
        <v>0.5535714285714286</v>
      </c>
      <c r="BZ35" s="192">
        <f>AVERAGEIFS(BZ$36:BZ$167,$C$36:$C$167,"=6", $B$36:$B$167,"NO OFICIAL")</f>
        <v>50.25</v>
      </c>
      <c r="CB35" s="192">
        <f>AVERAGEIFS(CB$36:CB$167,$C$36:$C$167,"=6", $B$36:$B$167,"NO OFICIAL")</f>
        <v>10.9375</v>
      </c>
      <c r="CD35" s="521">
        <f>AVERAGEIFS(CD$36:CD$167,$C$36:$C$167,"=6", $B$36:$B$167,"NO OFICIAL")</f>
        <v>0.24437499999999998</v>
      </c>
      <c r="CE35" s="521">
        <f t="shared" ref="CE35:CM35" si="163">AVERAGEIFS(CE$36:CE$167,$C$36:$C$167,"=6", $B$36:$B$167,"NO OFICIAL")</f>
        <v>0.37937500000000002</v>
      </c>
      <c r="CF35" s="521">
        <f t="shared" si="163"/>
        <v>0.33812500000000001</v>
      </c>
      <c r="CG35" s="521">
        <f t="shared" si="163"/>
        <v>3.8750000000000007E-2</v>
      </c>
      <c r="CH35" s="521">
        <f t="shared" si="163"/>
        <v>0.47875000000000006</v>
      </c>
      <c r="CI35" s="521">
        <f t="shared" si="163"/>
        <v>0.37125000000000002</v>
      </c>
      <c r="CJ35" s="521">
        <f t="shared" si="163"/>
        <v>0.56999999999999995</v>
      </c>
      <c r="CK35" s="521">
        <f t="shared" si="163"/>
        <v>0.53562500000000013</v>
      </c>
      <c r="CL35" s="521">
        <f t="shared" si="163"/>
        <v>0.46250000000000008</v>
      </c>
      <c r="CM35" s="521">
        <f t="shared" si="163"/>
        <v>0.5462499999999999</v>
      </c>
      <c r="CN35" s="192">
        <f>AVERAGEIFS(CN$36:CN$167,$C$36:$C$167,"=6", $B$36:$B$167,"NO OFICIAL")</f>
        <v>51.823529411764703</v>
      </c>
      <c r="CP35" s="192">
        <f>AVERAGEIFS(CP$36:CP$167,$C$36:$C$167,"=6", $B$36:$B$167,"NO OFICIAL")</f>
        <v>8.3529411764705888</v>
      </c>
      <c r="CR35" s="521">
        <f>AVERAGEIFS(CR$36:CR$167,$C$36:$C$167,"=6", $B$36:$B$167,"NO OFICIAL")</f>
        <v>0.14294117647058824</v>
      </c>
      <c r="CS35" s="521">
        <f t="shared" ref="CS35:DA35" si="164">AVERAGEIFS(CS$36:CS$167,$C$36:$C$167,"=6", $B$36:$B$167,"NO OFICIAL")</f>
        <v>0.49411764705882355</v>
      </c>
      <c r="CT35" s="521">
        <f t="shared" si="164"/>
        <v>0.3447058823529412</v>
      </c>
      <c r="CU35" s="521">
        <f t="shared" si="164"/>
        <v>1.7058823529411765E-2</v>
      </c>
      <c r="CV35" s="521">
        <f t="shared" si="164"/>
        <v>0.34764705882352942</v>
      </c>
      <c r="CW35" s="521">
        <f t="shared" si="164"/>
        <v>0.49764705882352933</v>
      </c>
      <c r="CX35" s="521">
        <f t="shared" si="164"/>
        <v>0.50705882352941167</v>
      </c>
      <c r="CY35" s="521">
        <f t="shared" si="164"/>
        <v>0.67705882352941182</v>
      </c>
      <c r="CZ35" s="521">
        <f t="shared" si="164"/>
        <v>0.56882352941176462</v>
      </c>
      <c r="DA35" s="521">
        <f t="shared" si="164"/>
        <v>0.50941176470588234</v>
      </c>
    </row>
    <row r="36" spans="1:105" ht="24.9" customHeight="1" x14ac:dyDescent="0.25">
      <c r="A36" s="188" t="s">
        <v>29</v>
      </c>
      <c r="B36" s="1" t="s">
        <v>222</v>
      </c>
      <c r="C36" s="2">
        <v>2</v>
      </c>
      <c r="D36" s="16">
        <v>51</v>
      </c>
      <c r="E36" s="16">
        <v>9</v>
      </c>
      <c r="F36" s="96">
        <v>0.14000000000000001</v>
      </c>
      <c r="G36" s="96">
        <v>0.54</v>
      </c>
      <c r="H36" s="96">
        <v>0.32</v>
      </c>
      <c r="I36" s="96">
        <v>0</v>
      </c>
      <c r="J36" s="96">
        <v>0.53</v>
      </c>
      <c r="K36" s="96">
        <v>0.47</v>
      </c>
      <c r="L36" s="96">
        <v>0.53</v>
      </c>
      <c r="M36" s="96">
        <v>0.4</v>
      </c>
      <c r="N36" s="96">
        <v>0.49</v>
      </c>
      <c r="O36" s="96">
        <v>0.46</v>
      </c>
      <c r="P36" s="16">
        <v>53</v>
      </c>
      <c r="Q36" s="16">
        <v>9</v>
      </c>
      <c r="R36" s="92">
        <v>0.1</v>
      </c>
      <c r="S36" s="92">
        <v>0.52</v>
      </c>
      <c r="T36" s="92">
        <v>0.37</v>
      </c>
      <c r="U36" s="92">
        <v>0.01</v>
      </c>
      <c r="V36" s="92">
        <v>0.39</v>
      </c>
      <c r="W36" s="92">
        <v>0.47</v>
      </c>
      <c r="X36" s="92">
        <v>0.54</v>
      </c>
      <c r="Y36" s="92">
        <v>0.41</v>
      </c>
      <c r="Z36" s="92">
        <v>0.41</v>
      </c>
      <c r="AA36" s="92">
        <v>0.49</v>
      </c>
      <c r="AB36" s="16">
        <v>50</v>
      </c>
      <c r="AC36" s="16">
        <v>10</v>
      </c>
      <c r="AD36" s="96">
        <v>0.22</v>
      </c>
      <c r="AE36" s="96">
        <v>0.48</v>
      </c>
      <c r="AF36" s="96">
        <v>0.31</v>
      </c>
      <c r="AG36" s="96">
        <v>0</v>
      </c>
      <c r="AH36" s="96">
        <v>0.43</v>
      </c>
      <c r="AI36" s="96">
        <v>0.44</v>
      </c>
      <c r="AJ36" s="96">
        <v>0.4</v>
      </c>
      <c r="AK36" s="96">
        <v>0.49</v>
      </c>
      <c r="AL36" s="96">
        <v>0.55000000000000004</v>
      </c>
      <c r="AM36" s="96">
        <v>0.54</v>
      </c>
      <c r="AN36" s="16">
        <v>49</v>
      </c>
      <c r="AO36" s="16">
        <v>11</v>
      </c>
      <c r="AP36" s="96">
        <v>0.25</v>
      </c>
      <c r="AQ36" s="96">
        <v>0.44</v>
      </c>
      <c r="AR36" s="96">
        <v>0.3</v>
      </c>
      <c r="AS36" s="96">
        <v>0.01</v>
      </c>
      <c r="AT36" s="96">
        <v>0.49</v>
      </c>
      <c r="AU36" s="96">
        <v>0.46</v>
      </c>
      <c r="AV36" s="96">
        <v>0.47</v>
      </c>
      <c r="AW36" s="96">
        <v>0.46</v>
      </c>
      <c r="AX36" s="96">
        <v>0.46</v>
      </c>
      <c r="AY36" s="96">
        <v>0.45</v>
      </c>
      <c r="AZ36" s="61">
        <v>50</v>
      </c>
      <c r="BA36" s="61">
        <v>11</v>
      </c>
      <c r="BB36" s="66">
        <v>0.19</v>
      </c>
      <c r="BC36" s="66">
        <v>0.53</v>
      </c>
      <c r="BD36" s="66">
        <v>0.25</v>
      </c>
      <c r="BE36" s="66">
        <v>0.03</v>
      </c>
      <c r="BF36" s="66">
        <v>0.53</v>
      </c>
      <c r="BG36" s="66">
        <v>0.45</v>
      </c>
      <c r="BH36" s="66">
        <v>0.48</v>
      </c>
      <c r="BI36" s="66">
        <v>0.56000000000000005</v>
      </c>
      <c r="BJ36" s="66">
        <v>0.4</v>
      </c>
      <c r="BK36" s="66">
        <v>0.42</v>
      </c>
      <c r="BL36" s="349">
        <v>50</v>
      </c>
      <c r="BM36" s="348" t="s">
        <v>910</v>
      </c>
      <c r="BN36" s="349">
        <v>10</v>
      </c>
      <c r="BO36" s="348" t="s">
        <v>910</v>
      </c>
      <c r="BP36" s="371">
        <v>0.14000000000000001</v>
      </c>
      <c r="BQ36" s="371">
        <v>0.65</v>
      </c>
      <c r="BR36" s="371">
        <v>0.17</v>
      </c>
      <c r="BS36" s="371">
        <v>0.04</v>
      </c>
      <c r="BT36" s="371">
        <v>0.42</v>
      </c>
      <c r="BU36" s="371">
        <v>0.48</v>
      </c>
      <c r="BV36" s="371">
        <v>0.55000000000000004</v>
      </c>
      <c r="BW36" s="371">
        <v>0.42</v>
      </c>
      <c r="BX36" s="371">
        <v>0.49</v>
      </c>
      <c r="BY36" s="371">
        <v>0.54</v>
      </c>
    </row>
    <row r="37" spans="1:105" s="53" customFormat="1" ht="24.9" customHeight="1" x14ac:dyDescent="0.25">
      <c r="A37" s="189" t="s">
        <v>272</v>
      </c>
      <c r="B37" s="15" t="s">
        <v>222</v>
      </c>
      <c r="C37" s="2">
        <v>2</v>
      </c>
      <c r="D37" s="13" t="s">
        <v>226</v>
      </c>
      <c r="E37" s="13" t="s">
        <v>226</v>
      </c>
      <c r="F37" s="13"/>
      <c r="G37" s="13"/>
      <c r="H37" s="13"/>
      <c r="I37" s="13"/>
      <c r="J37" s="13"/>
      <c r="K37" s="13"/>
      <c r="L37" s="13"/>
      <c r="M37" s="13"/>
      <c r="N37" s="13"/>
      <c r="O37" s="13"/>
      <c r="P37" s="13" t="s">
        <v>226</v>
      </c>
      <c r="Q37" s="13" t="s">
        <v>226</v>
      </c>
      <c r="R37" s="92"/>
      <c r="S37" s="92"/>
      <c r="T37" s="92"/>
      <c r="U37" s="92"/>
      <c r="V37" s="92"/>
      <c r="W37" s="92"/>
      <c r="X37" s="92"/>
      <c r="Y37" s="92"/>
      <c r="Z37" s="92"/>
      <c r="AA37" s="92"/>
      <c r="AB37" s="13" t="s">
        <v>226</v>
      </c>
      <c r="AC37" s="13" t="s">
        <v>226</v>
      </c>
      <c r="AD37" s="2"/>
      <c r="AE37" s="2"/>
      <c r="AF37" s="2"/>
      <c r="AG37" s="2"/>
      <c r="AH37" s="2"/>
      <c r="AI37" s="2"/>
      <c r="AJ37" s="2"/>
      <c r="AK37" s="2"/>
      <c r="AL37" s="2"/>
      <c r="AM37" s="2"/>
      <c r="AN37" s="13" t="s">
        <v>226</v>
      </c>
      <c r="AO37" s="13" t="s">
        <v>226</v>
      </c>
      <c r="AP37" s="2"/>
      <c r="AQ37" s="2"/>
      <c r="AR37" s="2"/>
      <c r="AS37" s="2"/>
      <c r="AT37" s="2"/>
      <c r="AU37" s="2"/>
      <c r="AV37" s="2"/>
      <c r="AW37" s="2"/>
      <c r="AX37" s="2"/>
      <c r="AY37" s="2"/>
      <c r="AZ37" s="61">
        <v>46</v>
      </c>
      <c r="BA37" s="61">
        <v>13</v>
      </c>
      <c r="BB37" s="66">
        <v>0.5</v>
      </c>
      <c r="BC37" s="66">
        <v>0.5</v>
      </c>
      <c r="BD37" s="66">
        <v>0</v>
      </c>
      <c r="BE37" s="66">
        <v>0</v>
      </c>
      <c r="BF37" s="66">
        <v>1</v>
      </c>
      <c r="BG37" s="66">
        <v>0.42</v>
      </c>
      <c r="BH37" s="66">
        <v>0.5</v>
      </c>
      <c r="BI37" s="66">
        <v>0.5</v>
      </c>
      <c r="BJ37" s="66">
        <v>0.31</v>
      </c>
      <c r="BK37" s="66">
        <v>0.56000000000000005</v>
      </c>
      <c r="BL37" s="349">
        <v>28</v>
      </c>
      <c r="BM37" s="348" t="s">
        <v>912</v>
      </c>
      <c r="BN37" s="349">
        <v>0</v>
      </c>
      <c r="BO37" s="348" t="s">
        <v>912</v>
      </c>
      <c r="BP37" s="371">
        <v>1</v>
      </c>
      <c r="BQ37" s="371">
        <v>0</v>
      </c>
      <c r="BR37" s="371">
        <v>0</v>
      </c>
      <c r="BS37" s="371">
        <v>0</v>
      </c>
      <c r="BT37" s="371">
        <v>0.75</v>
      </c>
      <c r="BU37" s="371">
        <v>0.67</v>
      </c>
      <c r="BV37" s="371">
        <v>0.5</v>
      </c>
      <c r="BW37" s="371">
        <v>0.73</v>
      </c>
      <c r="BX37" s="371">
        <v>0.89</v>
      </c>
      <c r="BY37" s="371">
        <v>0.82</v>
      </c>
      <c r="BZ37" s="469">
        <v>40</v>
      </c>
      <c r="CA37" s="471" t="s">
        <v>912</v>
      </c>
      <c r="CB37" s="469">
        <v>16</v>
      </c>
      <c r="CC37" s="471" t="s">
        <v>911</v>
      </c>
      <c r="CD37" s="501">
        <v>0.67</v>
      </c>
      <c r="CE37" s="501">
        <v>0</v>
      </c>
      <c r="CF37" s="501">
        <v>0.33</v>
      </c>
      <c r="CG37" s="501">
        <v>0</v>
      </c>
      <c r="CH37" s="501">
        <v>0.67</v>
      </c>
      <c r="CI37" s="501">
        <v>0.71</v>
      </c>
      <c r="CJ37" s="501">
        <v>0.64</v>
      </c>
      <c r="CK37" s="501">
        <v>0.74</v>
      </c>
      <c r="CL37" s="501">
        <v>0.67</v>
      </c>
      <c r="CM37" s="501">
        <v>0.7</v>
      </c>
      <c r="CN37" s="630">
        <v>51</v>
      </c>
      <c r="CO37" s="640" t="s">
        <v>910</v>
      </c>
      <c r="CP37" s="630">
        <v>0</v>
      </c>
      <c r="CQ37" s="640" t="s">
        <v>912</v>
      </c>
      <c r="CR37" s="644">
        <v>0</v>
      </c>
      <c r="CS37" s="644">
        <v>1</v>
      </c>
      <c r="CT37" s="644">
        <v>0</v>
      </c>
      <c r="CU37" s="644">
        <v>0</v>
      </c>
      <c r="CV37" s="644">
        <v>0.33</v>
      </c>
      <c r="CW37" s="644">
        <v>0.25</v>
      </c>
      <c r="CX37" s="644">
        <v>0.6</v>
      </c>
      <c r="CY37" s="640" t="s">
        <v>287</v>
      </c>
      <c r="CZ37" s="644">
        <v>0.67</v>
      </c>
      <c r="DA37" s="644">
        <v>0</v>
      </c>
    </row>
    <row r="38" spans="1:105" s="461" customFormat="1" ht="24.9" customHeight="1" x14ac:dyDescent="0.25">
      <c r="A38" s="470" t="s">
        <v>952</v>
      </c>
      <c r="B38" s="15" t="s">
        <v>222</v>
      </c>
      <c r="C38" s="471">
        <v>2</v>
      </c>
      <c r="D38" s="505"/>
      <c r="E38" s="505"/>
      <c r="F38" s="505"/>
      <c r="G38" s="505"/>
      <c r="H38" s="505"/>
      <c r="I38" s="505"/>
      <c r="J38" s="505"/>
      <c r="K38" s="505"/>
      <c r="L38" s="505"/>
      <c r="M38" s="505"/>
      <c r="N38" s="505"/>
      <c r="O38" s="505"/>
      <c r="P38" s="505"/>
      <c r="Q38" s="505"/>
      <c r="R38" s="504"/>
      <c r="S38" s="504"/>
      <c r="T38" s="504"/>
      <c r="U38" s="504"/>
      <c r="V38" s="504"/>
      <c r="W38" s="504"/>
      <c r="X38" s="504"/>
      <c r="Y38" s="504"/>
      <c r="Z38" s="504"/>
      <c r="AA38" s="504"/>
      <c r="AB38" s="505"/>
      <c r="AC38" s="505"/>
      <c r="AD38" s="471"/>
      <c r="AE38" s="471"/>
      <c r="AF38" s="471"/>
      <c r="AG38" s="471"/>
      <c r="AH38" s="471"/>
      <c r="AI38" s="471"/>
      <c r="AJ38" s="471"/>
      <c r="AK38" s="471"/>
      <c r="AL38" s="471"/>
      <c r="AM38" s="471"/>
      <c r="AN38" s="505"/>
      <c r="AO38" s="505"/>
      <c r="AP38" s="471"/>
      <c r="AQ38" s="471"/>
      <c r="AR38" s="471"/>
      <c r="AS38" s="471"/>
      <c r="AT38" s="471"/>
      <c r="AU38" s="471"/>
      <c r="AV38" s="471"/>
      <c r="AW38" s="471"/>
      <c r="AX38" s="471"/>
      <c r="AY38" s="471"/>
      <c r="AZ38" s="472"/>
      <c r="BA38" s="472"/>
      <c r="BB38" s="506"/>
      <c r="BC38" s="506"/>
      <c r="BD38" s="506"/>
      <c r="BE38" s="506"/>
      <c r="BF38" s="506"/>
      <c r="BG38" s="506"/>
      <c r="BH38" s="506"/>
      <c r="BI38" s="506"/>
      <c r="BJ38" s="506"/>
      <c r="BK38" s="506"/>
      <c r="BL38" s="475"/>
      <c r="BM38" s="493"/>
      <c r="BN38" s="475"/>
      <c r="BO38" s="493"/>
      <c r="BP38" s="507"/>
      <c r="BQ38" s="507"/>
      <c r="BR38" s="507"/>
      <c r="BS38" s="507"/>
      <c r="BT38" s="507"/>
      <c r="BU38" s="507"/>
      <c r="BV38" s="507"/>
      <c r="BW38" s="507"/>
      <c r="BX38" s="507"/>
      <c r="BY38" s="507"/>
      <c r="BZ38" s="469">
        <v>42</v>
      </c>
      <c r="CA38" s="471" t="s">
        <v>912</v>
      </c>
      <c r="CB38" s="469">
        <v>9</v>
      </c>
      <c r="CC38" s="471" t="s">
        <v>910</v>
      </c>
      <c r="CD38" s="501">
        <v>0.25</v>
      </c>
      <c r="CE38" s="501">
        <v>0.63</v>
      </c>
      <c r="CF38" s="501">
        <v>0.13</v>
      </c>
      <c r="CG38" s="501">
        <v>0</v>
      </c>
      <c r="CH38" s="501">
        <v>0.33</v>
      </c>
      <c r="CI38" s="501">
        <v>0.7</v>
      </c>
      <c r="CJ38" s="501">
        <v>0.71</v>
      </c>
      <c r="CK38" s="501">
        <v>0.69</v>
      </c>
      <c r="CL38" s="501">
        <v>0.45</v>
      </c>
      <c r="CM38" s="501">
        <v>0.63</v>
      </c>
      <c r="CN38" s="630">
        <v>43</v>
      </c>
      <c r="CO38" s="640" t="s">
        <v>910</v>
      </c>
      <c r="CP38" s="630">
        <v>9</v>
      </c>
      <c r="CQ38" s="640" t="s">
        <v>910</v>
      </c>
      <c r="CR38" s="644">
        <v>0.25</v>
      </c>
      <c r="CS38" s="644">
        <v>0.75</v>
      </c>
      <c r="CT38" s="644">
        <v>0</v>
      </c>
      <c r="CU38" s="644">
        <v>0</v>
      </c>
      <c r="CV38" s="644">
        <v>0.5</v>
      </c>
      <c r="CW38" s="644">
        <v>0.68</v>
      </c>
      <c r="CX38" s="644">
        <v>0.86</v>
      </c>
      <c r="CY38" s="644">
        <v>1</v>
      </c>
      <c r="CZ38" s="644">
        <v>0.67</v>
      </c>
      <c r="DA38" s="644">
        <v>0.8</v>
      </c>
    </row>
    <row r="39" spans="1:105" ht="24.9" customHeight="1" x14ac:dyDescent="0.25">
      <c r="A39" s="188" t="s">
        <v>34</v>
      </c>
      <c r="B39" s="1" t="s">
        <v>222</v>
      </c>
      <c r="C39" s="2">
        <v>3</v>
      </c>
      <c r="D39" s="16">
        <v>52</v>
      </c>
      <c r="E39" s="16">
        <v>7</v>
      </c>
      <c r="F39" s="96">
        <v>0.09</v>
      </c>
      <c r="G39" s="96">
        <v>0.62</v>
      </c>
      <c r="H39" s="96">
        <v>0.28999999999999998</v>
      </c>
      <c r="I39" s="96">
        <v>0</v>
      </c>
      <c r="J39" s="96">
        <v>0.53</v>
      </c>
      <c r="K39" s="96">
        <v>0.49</v>
      </c>
      <c r="L39" s="96">
        <v>0.56000000000000005</v>
      </c>
      <c r="M39" s="96">
        <v>0.44</v>
      </c>
      <c r="N39" s="96">
        <v>0.39</v>
      </c>
      <c r="O39" s="96">
        <v>0.56999999999999995</v>
      </c>
      <c r="P39" s="16">
        <v>50</v>
      </c>
      <c r="Q39" s="16">
        <v>11</v>
      </c>
      <c r="R39" s="92">
        <v>0.22</v>
      </c>
      <c r="S39" s="92">
        <v>0.47</v>
      </c>
      <c r="T39" s="92">
        <v>0.28000000000000003</v>
      </c>
      <c r="U39" s="92">
        <v>0.03</v>
      </c>
      <c r="V39" s="92">
        <v>0.42</v>
      </c>
      <c r="W39" s="92">
        <v>0.49</v>
      </c>
      <c r="X39" s="92">
        <v>0.59</v>
      </c>
      <c r="Y39" s="92">
        <v>0.47</v>
      </c>
      <c r="Z39" s="92">
        <v>0.44</v>
      </c>
      <c r="AA39" s="92">
        <v>0.49</v>
      </c>
      <c r="AB39" s="16">
        <v>45</v>
      </c>
      <c r="AC39" s="16">
        <v>8</v>
      </c>
      <c r="AD39" s="96">
        <v>0.35</v>
      </c>
      <c r="AE39" s="96">
        <v>0.48</v>
      </c>
      <c r="AF39" s="96">
        <v>0.17</v>
      </c>
      <c r="AG39" s="96">
        <v>0</v>
      </c>
      <c r="AH39" s="96">
        <v>0.53</v>
      </c>
      <c r="AI39" s="96">
        <v>0.51</v>
      </c>
      <c r="AJ39" s="96">
        <v>0.49</v>
      </c>
      <c r="AK39" s="96">
        <v>0.55000000000000004</v>
      </c>
      <c r="AL39" s="96">
        <v>0.61</v>
      </c>
      <c r="AM39" s="96">
        <v>0.63</v>
      </c>
      <c r="AN39" s="16">
        <v>45</v>
      </c>
      <c r="AO39" s="16">
        <v>10</v>
      </c>
      <c r="AP39" s="96">
        <v>0.35</v>
      </c>
      <c r="AQ39" s="96">
        <v>0.54</v>
      </c>
      <c r="AR39" s="96">
        <v>0.1</v>
      </c>
      <c r="AS39" s="96">
        <v>0</v>
      </c>
      <c r="AT39" s="96">
        <v>0.68</v>
      </c>
      <c r="AU39" s="96">
        <v>0.53</v>
      </c>
      <c r="AV39" s="96">
        <v>0.51</v>
      </c>
      <c r="AW39" s="96">
        <v>0.52</v>
      </c>
      <c r="AX39" s="96">
        <v>0.53</v>
      </c>
      <c r="AY39" s="96">
        <v>0.52</v>
      </c>
      <c r="AZ39" s="61">
        <v>47</v>
      </c>
      <c r="BA39" s="61">
        <v>9</v>
      </c>
      <c r="BB39" s="66">
        <v>0.26</v>
      </c>
      <c r="BC39" s="66">
        <v>0.52</v>
      </c>
      <c r="BD39" s="66">
        <v>0.21</v>
      </c>
      <c r="BE39" s="66">
        <v>0</v>
      </c>
      <c r="BF39" s="66">
        <v>0.56000000000000005</v>
      </c>
      <c r="BG39" s="66">
        <v>0.5</v>
      </c>
      <c r="BH39" s="66">
        <v>0.54</v>
      </c>
      <c r="BI39" s="66">
        <v>0.6</v>
      </c>
      <c r="BJ39" s="66">
        <v>0.48</v>
      </c>
      <c r="BK39" s="66">
        <v>0.52</v>
      </c>
      <c r="BL39" s="349">
        <v>50</v>
      </c>
      <c r="BM39" s="348" t="s">
        <v>910</v>
      </c>
      <c r="BN39" s="349">
        <v>12</v>
      </c>
      <c r="BO39" s="348" t="s">
        <v>910</v>
      </c>
      <c r="BP39" s="371">
        <v>0.23</v>
      </c>
      <c r="BQ39" s="371">
        <v>0.41</v>
      </c>
      <c r="BR39" s="371">
        <v>0.36</v>
      </c>
      <c r="BS39" s="371">
        <v>0</v>
      </c>
      <c r="BT39" s="371">
        <v>0.48</v>
      </c>
      <c r="BU39" s="371">
        <v>0.44</v>
      </c>
      <c r="BV39" s="371">
        <v>0.6</v>
      </c>
      <c r="BW39" s="371">
        <v>0.41</v>
      </c>
      <c r="BX39" s="371">
        <v>0.44</v>
      </c>
      <c r="BY39" s="371">
        <v>0.56000000000000005</v>
      </c>
      <c r="BZ39" s="469">
        <v>49</v>
      </c>
      <c r="CA39" s="471" t="s">
        <v>910</v>
      </c>
      <c r="CB39" s="469">
        <v>11</v>
      </c>
      <c r="CC39" s="471" t="s">
        <v>910</v>
      </c>
      <c r="CD39" s="501">
        <v>0.27</v>
      </c>
      <c r="CE39" s="501">
        <v>0.39</v>
      </c>
      <c r="CF39" s="501">
        <v>0.33</v>
      </c>
      <c r="CG39" s="501">
        <v>0</v>
      </c>
      <c r="CH39" s="501">
        <v>0.52</v>
      </c>
      <c r="CI39" s="501">
        <v>0.26</v>
      </c>
      <c r="CJ39" s="501">
        <v>0.56999999999999995</v>
      </c>
      <c r="CK39" s="501">
        <v>0.51</v>
      </c>
      <c r="CL39" s="501">
        <v>0.33</v>
      </c>
      <c r="CM39" s="501">
        <v>0.54</v>
      </c>
      <c r="CN39" s="630">
        <v>49</v>
      </c>
      <c r="CO39" s="640" t="s">
        <v>910</v>
      </c>
      <c r="CP39" s="630">
        <v>11</v>
      </c>
      <c r="CQ39" s="640" t="s">
        <v>910</v>
      </c>
      <c r="CR39" s="644">
        <v>0.25</v>
      </c>
      <c r="CS39" s="644">
        <v>0.46</v>
      </c>
      <c r="CT39" s="644">
        <v>0.28999999999999998</v>
      </c>
      <c r="CU39" s="644">
        <v>0</v>
      </c>
      <c r="CV39" s="644">
        <v>0.39</v>
      </c>
      <c r="CW39" s="644">
        <v>0.57999999999999996</v>
      </c>
      <c r="CX39" s="644">
        <v>0.51</v>
      </c>
      <c r="CY39" s="644">
        <v>0.71</v>
      </c>
      <c r="CZ39" s="644">
        <v>0.52</v>
      </c>
      <c r="DA39" s="644">
        <v>0.71</v>
      </c>
    </row>
    <row r="40" spans="1:105" ht="24.9" customHeight="1" x14ac:dyDescent="0.25">
      <c r="A40" s="189" t="s">
        <v>273</v>
      </c>
      <c r="B40" s="1" t="s">
        <v>222</v>
      </c>
      <c r="C40" s="2">
        <v>4</v>
      </c>
      <c r="D40" s="16">
        <v>47</v>
      </c>
      <c r="E40" s="16">
        <v>8</v>
      </c>
      <c r="F40" s="96">
        <v>0.24</v>
      </c>
      <c r="G40" s="96">
        <v>0.63</v>
      </c>
      <c r="H40" s="96">
        <v>0.13</v>
      </c>
      <c r="I40" s="96">
        <v>0</v>
      </c>
      <c r="J40" s="96">
        <v>0.62</v>
      </c>
      <c r="K40" s="96">
        <v>0.5</v>
      </c>
      <c r="L40" s="96">
        <v>0.69</v>
      </c>
      <c r="M40" s="96">
        <v>0.45</v>
      </c>
      <c r="N40" s="96">
        <v>0.41</v>
      </c>
      <c r="O40" s="96">
        <v>0.6</v>
      </c>
      <c r="P40" s="16">
        <v>49</v>
      </c>
      <c r="Q40" s="16">
        <v>10</v>
      </c>
      <c r="R40" s="92">
        <v>0.2</v>
      </c>
      <c r="S40" s="92">
        <v>0.5</v>
      </c>
      <c r="T40" s="92">
        <v>0.27</v>
      </c>
      <c r="U40" s="92">
        <v>0.02</v>
      </c>
      <c r="V40" s="92">
        <v>0.45</v>
      </c>
      <c r="W40" s="92">
        <v>0.51</v>
      </c>
      <c r="X40" s="92">
        <v>0.62</v>
      </c>
      <c r="Y40" s="92">
        <v>0.45</v>
      </c>
      <c r="Z40" s="92">
        <v>0.49</v>
      </c>
      <c r="AA40" s="92">
        <v>0.53</v>
      </c>
      <c r="AB40" s="16">
        <v>44</v>
      </c>
      <c r="AC40" s="16">
        <v>9</v>
      </c>
      <c r="AD40" s="96">
        <v>0.46</v>
      </c>
      <c r="AE40" s="96">
        <v>0.43</v>
      </c>
      <c r="AF40" s="96">
        <v>0.11</v>
      </c>
      <c r="AG40" s="96">
        <v>0</v>
      </c>
      <c r="AH40" s="96">
        <v>0.53</v>
      </c>
      <c r="AI40" s="96">
        <v>0.56000000000000005</v>
      </c>
      <c r="AJ40" s="96">
        <v>0.55000000000000004</v>
      </c>
      <c r="AK40" s="96">
        <v>0.56000000000000005</v>
      </c>
      <c r="AL40" s="96">
        <v>0.67</v>
      </c>
      <c r="AM40" s="96">
        <v>0.6</v>
      </c>
      <c r="AN40" s="16">
        <v>45</v>
      </c>
      <c r="AO40" s="16">
        <v>10</v>
      </c>
      <c r="AP40" s="96">
        <v>0.36</v>
      </c>
      <c r="AQ40" s="96">
        <v>0.45</v>
      </c>
      <c r="AR40" s="96">
        <v>0.19</v>
      </c>
      <c r="AS40" s="96">
        <v>0</v>
      </c>
      <c r="AT40" s="96">
        <v>0.59</v>
      </c>
      <c r="AU40" s="96">
        <v>0.54</v>
      </c>
      <c r="AV40" s="96">
        <v>0.48</v>
      </c>
      <c r="AW40" s="96">
        <v>0.52</v>
      </c>
      <c r="AX40" s="96">
        <v>0.53</v>
      </c>
      <c r="AY40" s="96">
        <v>0.54</v>
      </c>
      <c r="AZ40" s="61">
        <v>45</v>
      </c>
      <c r="BA40" s="61">
        <v>9</v>
      </c>
      <c r="BB40" s="66">
        <v>0.38</v>
      </c>
      <c r="BC40" s="66">
        <v>0.48</v>
      </c>
      <c r="BD40" s="66">
        <v>0.15</v>
      </c>
      <c r="BE40" s="66">
        <v>0</v>
      </c>
      <c r="BF40" s="66">
        <v>0.61</v>
      </c>
      <c r="BG40" s="66">
        <v>0.55000000000000004</v>
      </c>
      <c r="BH40" s="66">
        <v>0.56000000000000005</v>
      </c>
      <c r="BI40" s="66">
        <v>0.65</v>
      </c>
      <c r="BJ40" s="66">
        <v>0.5</v>
      </c>
      <c r="BK40" s="66">
        <v>0.51</v>
      </c>
      <c r="BL40" s="349">
        <v>45</v>
      </c>
      <c r="BM40" s="348" t="s">
        <v>910</v>
      </c>
      <c r="BN40" s="349">
        <v>11</v>
      </c>
      <c r="BO40" s="348" t="s">
        <v>910</v>
      </c>
      <c r="BP40" s="371">
        <v>0.34</v>
      </c>
      <c r="BQ40" s="371">
        <v>0.49</v>
      </c>
      <c r="BR40" s="371">
        <v>0.15</v>
      </c>
      <c r="BS40" s="371">
        <v>0.02</v>
      </c>
      <c r="BT40" s="371">
        <v>0.48</v>
      </c>
      <c r="BU40" s="371">
        <v>0.52</v>
      </c>
      <c r="BV40" s="371">
        <v>0.65</v>
      </c>
      <c r="BW40" s="371">
        <v>0.47</v>
      </c>
      <c r="BX40" s="371">
        <v>0.55000000000000004</v>
      </c>
      <c r="BY40" s="371">
        <v>0.57999999999999996</v>
      </c>
      <c r="BZ40" s="469">
        <v>45</v>
      </c>
      <c r="CA40" s="471" t="s">
        <v>910</v>
      </c>
      <c r="CB40" s="469">
        <v>9</v>
      </c>
      <c r="CC40" s="471" t="s">
        <v>910</v>
      </c>
      <c r="CD40" s="501">
        <v>0.37</v>
      </c>
      <c r="CE40" s="501">
        <v>0.5</v>
      </c>
      <c r="CF40" s="501">
        <v>0.13</v>
      </c>
      <c r="CG40" s="501">
        <v>0</v>
      </c>
      <c r="CH40" s="501">
        <v>0.59</v>
      </c>
      <c r="CI40" s="501">
        <v>0.52</v>
      </c>
      <c r="CJ40" s="501">
        <v>0.62</v>
      </c>
      <c r="CK40" s="501">
        <v>0.59</v>
      </c>
      <c r="CL40" s="501">
        <v>0.49</v>
      </c>
      <c r="CM40" s="501">
        <v>0.64</v>
      </c>
      <c r="CN40" s="630">
        <v>48</v>
      </c>
      <c r="CO40" s="640" t="s">
        <v>910</v>
      </c>
      <c r="CP40" s="630">
        <v>9</v>
      </c>
      <c r="CQ40" s="640" t="s">
        <v>910</v>
      </c>
      <c r="CR40" s="644">
        <v>0.22</v>
      </c>
      <c r="CS40" s="644">
        <v>0.62</v>
      </c>
      <c r="CT40" s="644">
        <v>0.16</v>
      </c>
      <c r="CU40" s="644">
        <v>0</v>
      </c>
      <c r="CV40" s="644">
        <v>0.38</v>
      </c>
      <c r="CW40" s="644">
        <v>0.62</v>
      </c>
      <c r="CX40" s="644">
        <v>0.64</v>
      </c>
      <c r="CY40" s="644">
        <v>0.81</v>
      </c>
      <c r="CZ40" s="644">
        <v>0.59</v>
      </c>
      <c r="DA40" s="644">
        <v>0.57999999999999996</v>
      </c>
    </row>
    <row r="41" spans="1:105" s="53" customFormat="1" ht="24.9" customHeight="1" x14ac:dyDescent="0.25">
      <c r="A41" s="188" t="s">
        <v>296</v>
      </c>
      <c r="B41" s="1" t="s">
        <v>222</v>
      </c>
      <c r="C41" s="2">
        <v>5</v>
      </c>
      <c r="D41" s="13" t="s">
        <v>226</v>
      </c>
      <c r="E41" s="13" t="s">
        <v>226</v>
      </c>
      <c r="F41" s="13"/>
      <c r="G41" s="13"/>
      <c r="H41" s="13"/>
      <c r="I41" s="13"/>
      <c r="J41" s="13"/>
      <c r="K41" s="13"/>
      <c r="L41" s="13"/>
      <c r="M41" s="13"/>
      <c r="N41" s="13"/>
      <c r="O41" s="13"/>
      <c r="P41" s="13" t="s">
        <v>226</v>
      </c>
      <c r="Q41" s="13" t="s">
        <v>226</v>
      </c>
      <c r="R41" s="92"/>
      <c r="S41" s="92"/>
      <c r="T41" s="92"/>
      <c r="U41" s="92"/>
      <c r="V41" s="92"/>
      <c r="W41" s="92"/>
      <c r="X41" s="92"/>
      <c r="Y41" s="92"/>
      <c r="Z41" s="92"/>
      <c r="AA41" s="92"/>
      <c r="AB41" s="16">
        <v>50</v>
      </c>
      <c r="AC41" s="16">
        <v>7</v>
      </c>
      <c r="AD41" s="96">
        <v>0.11</v>
      </c>
      <c r="AE41" s="96">
        <v>0.67</v>
      </c>
      <c r="AF41" s="96">
        <v>0.22</v>
      </c>
      <c r="AG41" s="96">
        <v>0</v>
      </c>
      <c r="AH41" s="96">
        <v>0.48</v>
      </c>
      <c r="AI41" s="96">
        <v>0.39</v>
      </c>
      <c r="AJ41" s="96">
        <v>0.39</v>
      </c>
      <c r="AK41" s="96">
        <v>0.49</v>
      </c>
      <c r="AL41" s="96">
        <v>0.64</v>
      </c>
      <c r="AM41" s="96">
        <v>0.43</v>
      </c>
      <c r="AN41" s="16">
        <v>46</v>
      </c>
      <c r="AO41" s="16">
        <v>12</v>
      </c>
      <c r="AP41" s="96">
        <v>0.33</v>
      </c>
      <c r="AQ41" s="96">
        <v>0.47</v>
      </c>
      <c r="AR41" s="96">
        <v>0.2</v>
      </c>
      <c r="AS41" s="96">
        <v>0</v>
      </c>
      <c r="AT41" s="96">
        <v>0.43</v>
      </c>
      <c r="AU41" s="96">
        <v>0.49</v>
      </c>
      <c r="AV41" s="96">
        <v>0.51</v>
      </c>
      <c r="AW41" s="96">
        <v>0.49</v>
      </c>
      <c r="AX41" s="96">
        <v>0.5</v>
      </c>
      <c r="AY41" s="96">
        <v>0.47</v>
      </c>
      <c r="AZ41" s="61">
        <v>47</v>
      </c>
      <c r="BA41" s="61">
        <v>12</v>
      </c>
      <c r="BB41" s="66">
        <v>0.32</v>
      </c>
      <c r="BC41" s="66">
        <v>0.41</v>
      </c>
      <c r="BD41" s="66">
        <v>0.27</v>
      </c>
      <c r="BE41" s="66">
        <v>0</v>
      </c>
      <c r="BF41" s="66">
        <v>0.47</v>
      </c>
      <c r="BG41" s="66">
        <v>0.5</v>
      </c>
      <c r="BH41" s="66">
        <v>0.55000000000000004</v>
      </c>
      <c r="BI41" s="66">
        <v>0.59</v>
      </c>
      <c r="BJ41" s="66">
        <v>0.52</v>
      </c>
      <c r="BK41" s="66">
        <v>0.48</v>
      </c>
      <c r="BL41" s="349">
        <v>49</v>
      </c>
      <c r="BM41" s="348" t="s">
        <v>910</v>
      </c>
      <c r="BN41" s="349">
        <v>10</v>
      </c>
      <c r="BO41" s="348" t="s">
        <v>910</v>
      </c>
      <c r="BP41" s="371">
        <v>0.19</v>
      </c>
      <c r="BQ41" s="371">
        <v>0.57999999999999996</v>
      </c>
      <c r="BR41" s="371">
        <v>0.23</v>
      </c>
      <c r="BS41" s="371">
        <v>0</v>
      </c>
      <c r="BT41" s="371">
        <v>0.45</v>
      </c>
      <c r="BU41" s="371">
        <v>0.46</v>
      </c>
      <c r="BV41" s="371">
        <v>0.67</v>
      </c>
      <c r="BW41" s="371">
        <v>0.43</v>
      </c>
      <c r="BX41" s="371">
        <v>0.51</v>
      </c>
      <c r="BY41" s="371">
        <v>0.53</v>
      </c>
      <c r="BZ41" s="469">
        <v>52</v>
      </c>
      <c r="CA41" s="471" t="s">
        <v>910</v>
      </c>
      <c r="CB41" s="469">
        <v>12</v>
      </c>
      <c r="CC41" s="471" t="s">
        <v>910</v>
      </c>
      <c r="CD41" s="501">
        <v>0.23</v>
      </c>
      <c r="CE41" s="501">
        <v>0.23</v>
      </c>
      <c r="CF41" s="501">
        <v>0.54</v>
      </c>
      <c r="CG41" s="501">
        <v>0</v>
      </c>
      <c r="CH41" s="501">
        <v>0.5</v>
      </c>
      <c r="CI41" s="501">
        <v>0.3</v>
      </c>
      <c r="CJ41" s="501">
        <v>0.56000000000000005</v>
      </c>
      <c r="CK41" s="501">
        <v>0.6</v>
      </c>
      <c r="CL41" s="501">
        <v>0.53</v>
      </c>
      <c r="CM41" s="501">
        <v>0.48</v>
      </c>
      <c r="CN41" s="630">
        <v>53</v>
      </c>
      <c r="CO41" s="640" t="s">
        <v>910</v>
      </c>
      <c r="CP41" s="630">
        <v>9</v>
      </c>
      <c r="CQ41" s="640" t="s">
        <v>910</v>
      </c>
      <c r="CR41" s="644">
        <v>0.05</v>
      </c>
      <c r="CS41" s="644">
        <v>0.64</v>
      </c>
      <c r="CT41" s="644">
        <v>0.27</v>
      </c>
      <c r="CU41" s="644">
        <v>0.05</v>
      </c>
      <c r="CV41" s="644">
        <v>0.28000000000000003</v>
      </c>
      <c r="CW41" s="644">
        <v>0.53</v>
      </c>
      <c r="CX41" s="644">
        <v>0.5</v>
      </c>
      <c r="CY41" s="644">
        <v>0.69</v>
      </c>
      <c r="CZ41" s="644">
        <v>0.32</v>
      </c>
      <c r="DA41" s="644">
        <v>0.38</v>
      </c>
    </row>
    <row r="42" spans="1:105" ht="24.9" customHeight="1" x14ac:dyDescent="0.25">
      <c r="A42" s="189" t="s">
        <v>269</v>
      </c>
      <c r="B42" s="15" t="s">
        <v>222</v>
      </c>
      <c r="C42" s="2">
        <v>6</v>
      </c>
      <c r="D42" s="13" t="s">
        <v>226</v>
      </c>
      <c r="E42" s="13" t="s">
        <v>226</v>
      </c>
      <c r="F42" s="13"/>
      <c r="G42" s="13"/>
      <c r="H42" s="13"/>
      <c r="I42" s="13"/>
      <c r="J42" s="13"/>
      <c r="K42" s="13"/>
      <c r="L42" s="13"/>
      <c r="M42" s="13"/>
      <c r="N42" s="13"/>
      <c r="O42" s="13"/>
      <c r="P42" s="13" t="s">
        <v>226</v>
      </c>
      <c r="Q42" s="13" t="s">
        <v>226</v>
      </c>
      <c r="R42" s="92"/>
      <c r="S42" s="92"/>
      <c r="T42" s="92"/>
      <c r="U42" s="92"/>
      <c r="V42" s="92"/>
      <c r="W42" s="92"/>
      <c r="X42" s="92"/>
      <c r="Y42" s="92"/>
      <c r="Z42" s="92"/>
      <c r="AA42" s="92"/>
      <c r="AB42" s="13" t="s">
        <v>226</v>
      </c>
      <c r="AC42" s="13" t="s">
        <v>226</v>
      </c>
      <c r="AD42" s="2"/>
      <c r="AE42" s="2"/>
      <c r="AF42" s="2"/>
      <c r="AG42" s="2"/>
      <c r="AH42" s="2"/>
      <c r="AI42" s="2"/>
      <c r="AJ42" s="2"/>
      <c r="AK42" s="2"/>
      <c r="AL42" s="2"/>
      <c r="AM42" s="2"/>
      <c r="AN42" s="13" t="s">
        <v>226</v>
      </c>
      <c r="AO42" s="13" t="s">
        <v>226</v>
      </c>
      <c r="AP42" s="2"/>
      <c r="AQ42" s="2"/>
      <c r="AR42" s="2"/>
      <c r="AS42" s="2"/>
      <c r="AT42" s="2"/>
      <c r="AU42" s="2"/>
      <c r="AV42" s="2"/>
      <c r="AW42" s="2"/>
      <c r="AX42" s="2"/>
      <c r="AY42" s="2"/>
      <c r="AZ42" s="61">
        <v>58</v>
      </c>
      <c r="BA42" s="61">
        <v>8</v>
      </c>
      <c r="BB42" s="66">
        <v>0</v>
      </c>
      <c r="BC42" s="66">
        <v>0.5</v>
      </c>
      <c r="BD42" s="66">
        <v>0.5</v>
      </c>
      <c r="BE42" s="66">
        <v>0</v>
      </c>
      <c r="BF42" s="66">
        <v>0.25</v>
      </c>
      <c r="BG42" s="66">
        <v>0.5</v>
      </c>
      <c r="BH42" s="66">
        <v>0.35</v>
      </c>
      <c r="BI42" s="66">
        <v>0.5</v>
      </c>
      <c r="BJ42" s="66">
        <v>0.13</v>
      </c>
      <c r="BK42" s="66">
        <v>0.11</v>
      </c>
      <c r="BL42" s="349">
        <v>45</v>
      </c>
      <c r="BM42" s="348" t="s">
        <v>910</v>
      </c>
      <c r="BN42" s="349">
        <v>0</v>
      </c>
      <c r="BO42" s="348" t="s">
        <v>912</v>
      </c>
      <c r="BP42" s="371">
        <v>0</v>
      </c>
      <c r="BQ42" s="371">
        <v>1</v>
      </c>
      <c r="BR42" s="371">
        <v>0</v>
      </c>
      <c r="BS42" s="371">
        <v>0</v>
      </c>
      <c r="BT42" s="371">
        <v>0.2</v>
      </c>
      <c r="BU42" s="371">
        <v>0.63</v>
      </c>
      <c r="BV42" s="371">
        <v>1</v>
      </c>
      <c r="BW42" s="371">
        <v>0.5</v>
      </c>
      <c r="BX42" s="371">
        <v>0.5</v>
      </c>
      <c r="BY42" s="371">
        <v>0.9</v>
      </c>
      <c r="BZ42" s="469">
        <v>55</v>
      </c>
      <c r="CA42" s="471" t="s">
        <v>910</v>
      </c>
      <c r="CB42" s="469">
        <v>19</v>
      </c>
      <c r="CC42" s="471" t="s">
        <v>911</v>
      </c>
      <c r="CD42" s="501">
        <v>0.33</v>
      </c>
      <c r="CE42" s="501">
        <v>0</v>
      </c>
      <c r="CF42" s="501">
        <v>0.33</v>
      </c>
      <c r="CG42" s="501">
        <v>0.33</v>
      </c>
      <c r="CH42" s="501">
        <v>0.28999999999999998</v>
      </c>
      <c r="CI42" s="501">
        <v>0.4</v>
      </c>
      <c r="CJ42" s="501">
        <v>0.5</v>
      </c>
      <c r="CK42" s="501">
        <v>0.54</v>
      </c>
      <c r="CL42" s="501">
        <v>0.63</v>
      </c>
      <c r="CM42" s="501">
        <v>0.5</v>
      </c>
      <c r="CN42" s="630">
        <v>50</v>
      </c>
      <c r="CO42" s="640" t="s">
        <v>910</v>
      </c>
      <c r="CP42" s="630">
        <v>10</v>
      </c>
      <c r="CQ42" s="640" t="s">
        <v>910</v>
      </c>
      <c r="CR42" s="644">
        <v>0.08</v>
      </c>
      <c r="CS42" s="644">
        <v>0.57999999999999996</v>
      </c>
      <c r="CT42" s="644">
        <v>0.33</v>
      </c>
      <c r="CU42" s="644">
        <v>0</v>
      </c>
      <c r="CV42" s="644">
        <v>0.48</v>
      </c>
      <c r="CW42" s="644">
        <v>0.57999999999999996</v>
      </c>
      <c r="CX42" s="644">
        <v>0.46</v>
      </c>
      <c r="CY42" s="644">
        <v>0.43</v>
      </c>
      <c r="CZ42" s="644">
        <v>0.49</v>
      </c>
      <c r="DA42" s="644">
        <v>0.38</v>
      </c>
    </row>
    <row r="43" spans="1:105" ht="24.9" customHeight="1" x14ac:dyDescent="0.25">
      <c r="A43" s="188" t="s">
        <v>190</v>
      </c>
      <c r="B43" s="1" t="s">
        <v>222</v>
      </c>
      <c r="C43" s="2">
        <v>2</v>
      </c>
      <c r="D43" s="16">
        <v>66</v>
      </c>
      <c r="E43" s="16">
        <v>0</v>
      </c>
      <c r="F43" s="96">
        <v>0</v>
      </c>
      <c r="G43" s="96">
        <v>0</v>
      </c>
      <c r="H43" s="96">
        <v>1</v>
      </c>
      <c r="I43" s="96">
        <v>0</v>
      </c>
      <c r="J43" s="96">
        <v>0.11</v>
      </c>
      <c r="K43" s="96">
        <v>0.44</v>
      </c>
      <c r="L43" s="96">
        <v>0.25</v>
      </c>
      <c r="M43" s="96">
        <v>0.28999999999999998</v>
      </c>
      <c r="N43" s="96">
        <v>0.22</v>
      </c>
      <c r="O43" s="96">
        <v>0</v>
      </c>
      <c r="P43" s="13" t="s">
        <v>226</v>
      </c>
      <c r="Q43" s="13" t="s">
        <v>226</v>
      </c>
      <c r="R43" s="92"/>
      <c r="S43" s="92"/>
      <c r="T43" s="92"/>
      <c r="U43" s="92"/>
      <c r="V43" s="92"/>
      <c r="W43" s="92"/>
      <c r="X43" s="92"/>
      <c r="Y43" s="92"/>
      <c r="Z43" s="92"/>
      <c r="AA43" s="92"/>
      <c r="AB43" s="13" t="s">
        <v>226</v>
      </c>
      <c r="AC43" s="13" t="s">
        <v>226</v>
      </c>
      <c r="AD43" s="2"/>
      <c r="AE43" s="2"/>
      <c r="AF43" s="2"/>
      <c r="AG43" s="2"/>
      <c r="AH43" s="2"/>
      <c r="AI43" s="2"/>
      <c r="AJ43" s="2"/>
      <c r="AK43" s="2"/>
      <c r="AL43" s="2"/>
      <c r="AM43" s="2"/>
      <c r="AN43" s="13" t="s">
        <v>226</v>
      </c>
      <c r="AO43" s="13" t="s">
        <v>226</v>
      </c>
      <c r="AP43" s="2"/>
      <c r="AQ43" s="2"/>
      <c r="AR43" s="2"/>
      <c r="AS43" s="2"/>
      <c r="AT43" s="2"/>
      <c r="AU43" s="2"/>
      <c r="AV43" s="2"/>
      <c r="AW43" s="2"/>
      <c r="AX43" s="2"/>
      <c r="AY43" s="2"/>
      <c r="AZ43" s="61">
        <v>38</v>
      </c>
      <c r="BA43" s="61">
        <v>0</v>
      </c>
      <c r="BB43" s="66">
        <v>1</v>
      </c>
      <c r="BC43" s="66">
        <v>0</v>
      </c>
      <c r="BD43" s="66">
        <v>0</v>
      </c>
      <c r="BE43" s="66">
        <v>0</v>
      </c>
      <c r="BF43" s="66">
        <v>1</v>
      </c>
      <c r="BG43" s="66">
        <v>0.83</v>
      </c>
      <c r="BH43" s="66">
        <v>0.55000000000000004</v>
      </c>
      <c r="BI43" s="66">
        <v>0.67</v>
      </c>
      <c r="BJ43" s="66">
        <v>0.63</v>
      </c>
      <c r="BK43" s="66">
        <v>0.5</v>
      </c>
    </row>
    <row r="44" spans="1:105" s="461" customFormat="1" ht="24.9" customHeight="1" x14ac:dyDescent="0.25">
      <c r="A44" s="470" t="s">
        <v>954</v>
      </c>
      <c r="B44" s="15" t="s">
        <v>222</v>
      </c>
      <c r="C44" s="471">
        <v>2</v>
      </c>
      <c r="D44" s="502"/>
      <c r="E44" s="502"/>
      <c r="F44" s="501"/>
      <c r="G44" s="501"/>
      <c r="H44" s="501"/>
      <c r="I44" s="501"/>
      <c r="J44" s="501"/>
      <c r="K44" s="501"/>
      <c r="L44" s="501"/>
      <c r="M44" s="501"/>
      <c r="N44" s="501"/>
      <c r="O44" s="501"/>
      <c r="P44" s="505"/>
      <c r="Q44" s="505"/>
      <c r="R44" s="504"/>
      <c r="S44" s="504"/>
      <c r="T44" s="504"/>
      <c r="U44" s="504"/>
      <c r="V44" s="504"/>
      <c r="W44" s="504"/>
      <c r="X44" s="504"/>
      <c r="Y44" s="504"/>
      <c r="Z44" s="504"/>
      <c r="AA44" s="504"/>
      <c r="AB44" s="505"/>
      <c r="AC44" s="505"/>
      <c r="AD44" s="471"/>
      <c r="AE44" s="471"/>
      <c r="AF44" s="471"/>
      <c r="AG44" s="471"/>
      <c r="AH44" s="471"/>
      <c r="AI44" s="471"/>
      <c r="AJ44" s="471"/>
      <c r="AK44" s="471"/>
      <c r="AL44" s="471"/>
      <c r="AM44" s="471"/>
      <c r="AN44" s="505"/>
      <c r="AO44" s="505"/>
      <c r="AP44" s="471"/>
      <c r="AQ44" s="471"/>
      <c r="AR44" s="471"/>
      <c r="AS44" s="471"/>
      <c r="AT44" s="471"/>
      <c r="AU44" s="471"/>
      <c r="AV44" s="471"/>
      <c r="AW44" s="471"/>
      <c r="AX44" s="471"/>
      <c r="AY44" s="471"/>
      <c r="AZ44" s="472"/>
      <c r="BA44" s="472"/>
      <c r="BB44" s="506"/>
      <c r="BC44" s="506"/>
      <c r="BD44" s="506"/>
      <c r="BE44" s="506"/>
      <c r="BF44" s="506"/>
      <c r="BG44" s="506"/>
      <c r="BH44" s="506"/>
      <c r="BI44" s="506"/>
      <c r="BJ44" s="506"/>
      <c r="BK44" s="506"/>
      <c r="BZ44" s="469">
        <v>61</v>
      </c>
      <c r="CA44" s="471" t="s">
        <v>911</v>
      </c>
      <c r="CB44" s="469">
        <v>10</v>
      </c>
      <c r="CC44" s="471" t="s">
        <v>910</v>
      </c>
      <c r="CD44" s="501">
        <v>0</v>
      </c>
      <c r="CE44" s="501">
        <v>0.33</v>
      </c>
      <c r="CF44" s="501">
        <v>0.33</v>
      </c>
      <c r="CG44" s="501">
        <v>0.33</v>
      </c>
      <c r="CH44" s="501">
        <v>0.33</v>
      </c>
      <c r="CI44" s="501">
        <v>0.17</v>
      </c>
      <c r="CJ44" s="501">
        <v>0.23</v>
      </c>
      <c r="CK44" s="501">
        <v>0.27</v>
      </c>
      <c r="CL44" s="501">
        <v>0.33</v>
      </c>
      <c r="CM44" s="501">
        <v>0.2</v>
      </c>
      <c r="CN44" s="630">
        <v>50</v>
      </c>
      <c r="CO44" s="640" t="s">
        <v>910</v>
      </c>
      <c r="CP44" s="630">
        <v>12</v>
      </c>
      <c r="CQ44" s="640" t="s">
        <v>910</v>
      </c>
      <c r="CR44" s="644">
        <v>0.14000000000000001</v>
      </c>
      <c r="CS44" s="644">
        <v>0.56999999999999995</v>
      </c>
      <c r="CT44" s="644">
        <v>0.28999999999999998</v>
      </c>
      <c r="CU44" s="644">
        <v>0</v>
      </c>
      <c r="CV44" s="644">
        <v>0.42</v>
      </c>
      <c r="CW44" s="644">
        <v>0.53</v>
      </c>
      <c r="CX44" s="644">
        <v>0.61</v>
      </c>
      <c r="CY44" s="644">
        <v>1</v>
      </c>
      <c r="CZ44" s="644">
        <v>0.54</v>
      </c>
      <c r="DA44" s="644">
        <v>0.67</v>
      </c>
    </row>
    <row r="45" spans="1:105" ht="24.9" customHeight="1" x14ac:dyDescent="0.25">
      <c r="A45" s="188" t="s">
        <v>63</v>
      </c>
      <c r="B45" s="1" t="s">
        <v>222</v>
      </c>
      <c r="C45" s="2">
        <v>4</v>
      </c>
      <c r="D45" s="16">
        <v>48</v>
      </c>
      <c r="E45" s="16">
        <v>11</v>
      </c>
      <c r="F45" s="96">
        <v>0.3</v>
      </c>
      <c r="G45" s="96">
        <v>0.4</v>
      </c>
      <c r="H45" s="96">
        <v>0.3</v>
      </c>
      <c r="I45" s="96">
        <v>0</v>
      </c>
      <c r="J45" s="96">
        <v>0.57999999999999996</v>
      </c>
      <c r="K45" s="96">
        <v>0.57999999999999996</v>
      </c>
      <c r="L45" s="96">
        <v>0.61</v>
      </c>
      <c r="M45" s="96">
        <v>0.39</v>
      </c>
      <c r="N45" s="96">
        <v>0.53</v>
      </c>
      <c r="O45" s="96">
        <v>0.6</v>
      </c>
      <c r="P45" s="13">
        <v>53</v>
      </c>
      <c r="Q45" s="13">
        <v>11</v>
      </c>
      <c r="R45" s="92">
        <v>0.2</v>
      </c>
      <c r="S45" s="92">
        <v>0.2</v>
      </c>
      <c r="T45" s="92">
        <v>0.6</v>
      </c>
      <c r="U45" s="92">
        <v>0</v>
      </c>
      <c r="V45" s="92">
        <v>0.38</v>
      </c>
      <c r="W45" s="92">
        <v>0.34</v>
      </c>
      <c r="X45" s="92">
        <v>0.6</v>
      </c>
      <c r="Y45" s="92">
        <v>0.4</v>
      </c>
      <c r="Z45" s="92">
        <v>0.48</v>
      </c>
      <c r="AA45" s="92">
        <v>0.5</v>
      </c>
      <c r="AB45" s="13">
        <v>51</v>
      </c>
      <c r="AC45" s="13">
        <v>11</v>
      </c>
      <c r="AD45" s="96">
        <v>0.09</v>
      </c>
      <c r="AE45" s="96">
        <v>0.73</v>
      </c>
      <c r="AF45" s="96">
        <v>0.09</v>
      </c>
      <c r="AG45" s="96">
        <v>0.09</v>
      </c>
      <c r="AH45" s="96">
        <v>0.42</v>
      </c>
      <c r="AI45" s="96">
        <v>0.42</v>
      </c>
      <c r="AJ45" s="96">
        <v>0.34</v>
      </c>
      <c r="AK45" s="96">
        <v>0.49</v>
      </c>
      <c r="AL45" s="96">
        <v>0.57999999999999996</v>
      </c>
      <c r="AM45" s="96">
        <v>0.47</v>
      </c>
      <c r="AN45" s="13">
        <v>55</v>
      </c>
      <c r="AO45" s="13">
        <v>10</v>
      </c>
      <c r="AP45" s="96">
        <v>0</v>
      </c>
      <c r="AQ45" s="96">
        <v>0.5</v>
      </c>
      <c r="AR45" s="96">
        <v>0.5</v>
      </c>
      <c r="AS45" s="96">
        <v>0</v>
      </c>
      <c r="AT45" s="96">
        <v>0.53</v>
      </c>
      <c r="AU45" s="96">
        <v>0.39</v>
      </c>
      <c r="AV45" s="96">
        <v>0.31</v>
      </c>
      <c r="AW45" s="96">
        <v>0.38</v>
      </c>
      <c r="AX45" s="96">
        <v>0.34</v>
      </c>
      <c r="AY45" s="96">
        <v>0.33</v>
      </c>
      <c r="AZ45" s="61">
        <v>46</v>
      </c>
      <c r="BA45" s="61">
        <v>10</v>
      </c>
      <c r="BB45" s="66">
        <v>0.31</v>
      </c>
      <c r="BC45" s="66">
        <v>0.46</v>
      </c>
      <c r="BD45" s="66">
        <v>0.23</v>
      </c>
      <c r="BE45" s="66">
        <v>0</v>
      </c>
      <c r="BF45" s="66">
        <v>0.6</v>
      </c>
      <c r="BG45" s="66">
        <v>0.53</v>
      </c>
      <c r="BH45" s="66">
        <v>0.53</v>
      </c>
      <c r="BI45" s="66">
        <v>0.62</v>
      </c>
      <c r="BJ45" s="66">
        <v>0.46</v>
      </c>
      <c r="BK45" s="66">
        <v>0.4</v>
      </c>
      <c r="BL45" s="349">
        <v>54</v>
      </c>
      <c r="BM45" s="348" t="s">
        <v>910</v>
      </c>
      <c r="BN45" s="349">
        <v>10</v>
      </c>
      <c r="BO45" s="348" t="s">
        <v>910</v>
      </c>
      <c r="BP45" s="371">
        <v>0.1</v>
      </c>
      <c r="BQ45" s="371">
        <v>0.38</v>
      </c>
      <c r="BR45" s="371">
        <v>0.48</v>
      </c>
      <c r="BS45" s="371">
        <v>0.05</v>
      </c>
      <c r="BT45" s="371">
        <v>0.44</v>
      </c>
      <c r="BU45" s="371">
        <v>0.46</v>
      </c>
      <c r="BV45" s="371">
        <v>0.56999999999999995</v>
      </c>
      <c r="BW45" s="371">
        <v>0.37</v>
      </c>
      <c r="BX45" s="371">
        <v>0.35</v>
      </c>
      <c r="BY45" s="371">
        <v>0.45</v>
      </c>
      <c r="BZ45" s="469">
        <v>47</v>
      </c>
      <c r="CA45" s="471" t="s">
        <v>910</v>
      </c>
      <c r="CB45" s="469">
        <v>10</v>
      </c>
      <c r="CC45" s="471" t="s">
        <v>910</v>
      </c>
      <c r="CD45" s="501">
        <v>0.2</v>
      </c>
      <c r="CE45" s="501">
        <v>0.56000000000000005</v>
      </c>
      <c r="CF45" s="501">
        <v>0.24</v>
      </c>
      <c r="CG45" s="501">
        <v>0</v>
      </c>
      <c r="CH45" s="501">
        <v>0.67</v>
      </c>
      <c r="CI45" s="501">
        <v>0.44</v>
      </c>
      <c r="CJ45" s="501">
        <v>0.66</v>
      </c>
      <c r="CK45" s="501">
        <v>0.53</v>
      </c>
      <c r="CL45" s="501">
        <v>0.5</v>
      </c>
      <c r="CM45" s="501">
        <v>0.56999999999999995</v>
      </c>
      <c r="CN45" s="630">
        <v>48</v>
      </c>
      <c r="CO45" s="640" t="s">
        <v>910</v>
      </c>
      <c r="CP45" s="630">
        <v>9</v>
      </c>
      <c r="CQ45" s="640" t="s">
        <v>910</v>
      </c>
      <c r="CR45" s="644">
        <v>0.22</v>
      </c>
      <c r="CS45" s="644">
        <v>0.61</v>
      </c>
      <c r="CT45" s="644">
        <v>0.17</v>
      </c>
      <c r="CU45" s="644">
        <v>0</v>
      </c>
      <c r="CV45" s="644">
        <v>0.42</v>
      </c>
      <c r="CW45" s="644">
        <v>0.59</v>
      </c>
      <c r="CX45" s="644">
        <v>0.55000000000000004</v>
      </c>
      <c r="CY45" s="644">
        <v>0.73</v>
      </c>
      <c r="CZ45" s="644">
        <v>0.57999999999999996</v>
      </c>
      <c r="DA45" s="644">
        <v>0.53</v>
      </c>
    </row>
    <row r="46" spans="1:105" ht="24.9" customHeight="1" x14ac:dyDescent="0.25">
      <c r="A46" s="188" t="s">
        <v>44</v>
      </c>
      <c r="B46" s="1" t="s">
        <v>222</v>
      </c>
      <c r="C46" s="2">
        <v>1</v>
      </c>
      <c r="D46" s="16">
        <v>48</v>
      </c>
      <c r="E46" s="16">
        <v>8</v>
      </c>
      <c r="F46" s="96">
        <v>0.33</v>
      </c>
      <c r="G46" s="96">
        <v>0.6</v>
      </c>
      <c r="H46" s="96">
        <v>7.0000000000000007E-2</v>
      </c>
      <c r="I46" s="96">
        <v>0</v>
      </c>
      <c r="J46" s="96">
        <v>0.57999999999999996</v>
      </c>
      <c r="K46" s="96">
        <v>0.57999999999999996</v>
      </c>
      <c r="L46" s="96">
        <v>0.71</v>
      </c>
      <c r="M46" s="96">
        <v>0.39</v>
      </c>
      <c r="N46" s="96">
        <v>0.5</v>
      </c>
      <c r="O46" s="96">
        <v>0.5</v>
      </c>
      <c r="P46" s="13" t="s">
        <v>226</v>
      </c>
      <c r="Q46" s="13" t="s">
        <v>226</v>
      </c>
      <c r="R46" s="92"/>
      <c r="S46" s="92"/>
      <c r="T46" s="92"/>
      <c r="U46" s="92"/>
      <c r="V46" s="92"/>
      <c r="W46" s="92"/>
      <c r="X46" s="92"/>
      <c r="Y46" s="92"/>
      <c r="Z46" s="92"/>
      <c r="AA46" s="92"/>
      <c r="AB46" s="13" t="s">
        <v>226</v>
      </c>
      <c r="AC46" s="13" t="s">
        <v>226</v>
      </c>
      <c r="AD46" s="2"/>
      <c r="AE46" s="2"/>
      <c r="AF46" s="2"/>
      <c r="AG46" s="2"/>
      <c r="AH46" s="2"/>
      <c r="AI46" s="2"/>
      <c r="AJ46" s="2"/>
      <c r="AK46" s="2"/>
      <c r="AL46" s="2"/>
      <c r="AM46" s="2"/>
      <c r="AN46" s="13" t="s">
        <v>226</v>
      </c>
      <c r="AO46" s="13" t="s">
        <v>226</v>
      </c>
      <c r="AP46" s="2"/>
      <c r="AQ46" s="2"/>
      <c r="AR46" s="2"/>
      <c r="AS46" s="2"/>
      <c r="AT46" s="2"/>
      <c r="AU46" s="2"/>
      <c r="AV46" s="2"/>
      <c r="AW46" s="2"/>
      <c r="AX46" s="2"/>
      <c r="AY46" s="2"/>
      <c r="AZ46" s="61"/>
      <c r="BA46" s="61"/>
      <c r="BB46" s="66"/>
      <c r="BC46" s="66"/>
      <c r="BD46" s="66"/>
      <c r="BE46" s="66"/>
      <c r="BF46" s="66"/>
      <c r="BG46" s="66"/>
      <c r="BH46" s="66"/>
      <c r="BI46" s="66"/>
      <c r="BJ46" s="66"/>
      <c r="BK46" s="66"/>
    </row>
    <row r="47" spans="1:105" s="53" customFormat="1" ht="24.9" customHeight="1" x14ac:dyDescent="0.25">
      <c r="A47" s="188" t="s">
        <v>69</v>
      </c>
      <c r="B47" s="1" t="s">
        <v>222</v>
      </c>
      <c r="C47" s="2">
        <v>2</v>
      </c>
      <c r="D47" s="16">
        <v>44</v>
      </c>
      <c r="E47" s="16">
        <v>7</v>
      </c>
      <c r="F47" s="96">
        <v>0.33</v>
      </c>
      <c r="G47" s="96">
        <v>0.67</v>
      </c>
      <c r="H47" s="96">
        <v>0</v>
      </c>
      <c r="I47" s="96">
        <v>0</v>
      </c>
      <c r="J47" s="96">
        <v>0.71</v>
      </c>
      <c r="K47" s="96">
        <v>0.57999999999999996</v>
      </c>
      <c r="L47" s="96">
        <v>0.71</v>
      </c>
      <c r="M47" s="96">
        <v>0.5</v>
      </c>
      <c r="N47" s="96">
        <v>0.56000000000000005</v>
      </c>
      <c r="O47" s="96">
        <v>0.56000000000000005</v>
      </c>
      <c r="P47" s="13" t="s">
        <v>226</v>
      </c>
      <c r="Q47" s="13" t="s">
        <v>226</v>
      </c>
      <c r="R47" s="92"/>
      <c r="S47" s="92"/>
      <c r="T47" s="92"/>
      <c r="U47" s="92"/>
      <c r="V47" s="92"/>
      <c r="W47" s="92"/>
      <c r="X47" s="92"/>
      <c r="Y47" s="92"/>
      <c r="Z47" s="92"/>
      <c r="AA47" s="92"/>
      <c r="AB47" s="16">
        <v>38</v>
      </c>
      <c r="AC47" s="16">
        <v>6</v>
      </c>
      <c r="AD47" s="96">
        <v>0.71</v>
      </c>
      <c r="AE47" s="96">
        <v>0.28999999999999998</v>
      </c>
      <c r="AF47" s="96">
        <v>0</v>
      </c>
      <c r="AG47" s="96">
        <v>0</v>
      </c>
      <c r="AH47" s="96">
        <v>0.59</v>
      </c>
      <c r="AI47" s="96">
        <v>0.75</v>
      </c>
      <c r="AJ47" s="96">
        <v>0.64</v>
      </c>
      <c r="AK47" s="96">
        <v>0.69</v>
      </c>
      <c r="AL47" s="96">
        <v>0.72</v>
      </c>
      <c r="AM47" s="96">
        <v>0.69</v>
      </c>
      <c r="AN47" s="16">
        <v>45</v>
      </c>
      <c r="AO47" s="16">
        <v>10</v>
      </c>
      <c r="AP47" s="96">
        <v>0.31</v>
      </c>
      <c r="AQ47" s="96">
        <v>0.54</v>
      </c>
      <c r="AR47" s="96">
        <v>0.15</v>
      </c>
      <c r="AS47" s="96">
        <v>0</v>
      </c>
      <c r="AT47" s="96">
        <v>0.49</v>
      </c>
      <c r="AU47" s="96">
        <v>0.62</v>
      </c>
      <c r="AV47" s="96">
        <v>0.53</v>
      </c>
      <c r="AW47" s="96">
        <v>0.48</v>
      </c>
      <c r="AX47" s="96">
        <v>0.52</v>
      </c>
      <c r="AY47" s="96">
        <v>0.64</v>
      </c>
      <c r="AZ47" s="61">
        <v>57</v>
      </c>
      <c r="BA47" s="61">
        <v>10</v>
      </c>
      <c r="BB47" s="66">
        <v>0.17</v>
      </c>
      <c r="BC47" s="66">
        <v>0.17</v>
      </c>
      <c r="BD47" s="66">
        <v>0.67</v>
      </c>
      <c r="BE47" s="66">
        <v>0</v>
      </c>
      <c r="BF47" s="66">
        <v>0.27</v>
      </c>
      <c r="BG47" s="66">
        <v>0.42</v>
      </c>
      <c r="BH47" s="66">
        <v>0.28999999999999998</v>
      </c>
      <c r="BI47" s="66">
        <v>0.28000000000000003</v>
      </c>
      <c r="BJ47" s="66">
        <v>0.36</v>
      </c>
      <c r="BK47" s="66">
        <v>0.27</v>
      </c>
      <c r="BL47" s="349">
        <v>46</v>
      </c>
      <c r="BM47" s="348" t="s">
        <v>910</v>
      </c>
      <c r="BN47" s="349">
        <v>12</v>
      </c>
      <c r="BO47" s="348" t="s">
        <v>910</v>
      </c>
      <c r="BP47" s="371">
        <v>0.33</v>
      </c>
      <c r="BQ47" s="371">
        <v>0.42</v>
      </c>
      <c r="BR47" s="371">
        <v>0.25</v>
      </c>
      <c r="BS47" s="371">
        <v>0</v>
      </c>
      <c r="BT47" s="371">
        <v>0.52</v>
      </c>
      <c r="BU47" s="371">
        <v>0.44</v>
      </c>
      <c r="BV47" s="371">
        <v>0.18</v>
      </c>
      <c r="BW47" s="371">
        <v>0.49</v>
      </c>
      <c r="BX47" s="371">
        <v>0.57999999999999996</v>
      </c>
      <c r="BY47" s="371">
        <v>0.62</v>
      </c>
      <c r="CN47" s="630">
        <v>52</v>
      </c>
      <c r="CO47" s="640" t="s">
        <v>910</v>
      </c>
      <c r="CP47" s="630">
        <v>8</v>
      </c>
      <c r="CQ47" s="640" t="s">
        <v>910</v>
      </c>
      <c r="CR47" s="644">
        <v>0</v>
      </c>
      <c r="CS47" s="644">
        <v>0.71</v>
      </c>
      <c r="CT47" s="644">
        <v>0.28999999999999998</v>
      </c>
      <c r="CU47" s="644">
        <v>0</v>
      </c>
      <c r="CV47" s="644">
        <v>0.36</v>
      </c>
      <c r="CW47" s="644">
        <v>0.45</v>
      </c>
      <c r="CX47" s="644">
        <v>0.6</v>
      </c>
      <c r="CY47" s="644">
        <v>0.8</v>
      </c>
      <c r="CZ47" s="644">
        <v>0.33</v>
      </c>
      <c r="DA47" s="644">
        <v>0.28999999999999998</v>
      </c>
    </row>
    <row r="48" spans="1:105" ht="25.5" customHeight="1" x14ac:dyDescent="0.25">
      <c r="A48" s="189" t="s">
        <v>270</v>
      </c>
      <c r="B48" s="1" t="s">
        <v>222</v>
      </c>
      <c r="C48" s="2">
        <v>6</v>
      </c>
      <c r="D48" s="13" t="s">
        <v>226</v>
      </c>
      <c r="E48" s="13" t="s">
        <v>226</v>
      </c>
      <c r="F48" s="13"/>
      <c r="G48" s="13"/>
      <c r="H48" s="13"/>
      <c r="I48" s="13"/>
      <c r="J48" s="13"/>
      <c r="K48" s="13"/>
      <c r="L48" s="13"/>
      <c r="M48" s="13"/>
      <c r="N48" s="13"/>
      <c r="O48" s="13"/>
      <c r="P48" s="13" t="s">
        <v>226</v>
      </c>
      <c r="Q48" s="13" t="s">
        <v>226</v>
      </c>
      <c r="R48" s="92"/>
      <c r="S48" s="92"/>
      <c r="T48" s="92"/>
      <c r="U48" s="92"/>
      <c r="V48" s="92"/>
      <c r="W48" s="92"/>
      <c r="X48" s="92"/>
      <c r="Y48" s="92"/>
      <c r="Z48" s="92"/>
      <c r="AA48" s="92"/>
      <c r="AB48" s="13" t="s">
        <v>226</v>
      </c>
      <c r="AC48" s="13" t="s">
        <v>226</v>
      </c>
      <c r="AD48" s="2"/>
      <c r="AE48" s="2"/>
      <c r="AF48" s="2"/>
      <c r="AG48" s="2"/>
      <c r="AH48" s="2"/>
      <c r="AI48" s="2"/>
      <c r="AJ48" s="2"/>
      <c r="AK48" s="2"/>
      <c r="AL48" s="2"/>
      <c r="AM48" s="2"/>
      <c r="AN48" s="13" t="s">
        <v>226</v>
      </c>
      <c r="AO48" s="13" t="s">
        <v>226</v>
      </c>
      <c r="AP48" s="2"/>
      <c r="AQ48" s="2"/>
      <c r="AR48" s="2"/>
      <c r="AS48" s="2"/>
      <c r="AT48" s="2"/>
      <c r="AU48" s="2"/>
      <c r="AV48" s="2"/>
      <c r="AW48" s="2"/>
      <c r="AX48" s="2"/>
      <c r="AY48" s="2"/>
      <c r="AZ48" s="61">
        <v>48</v>
      </c>
      <c r="BA48" s="61">
        <v>8</v>
      </c>
      <c r="BB48" s="66">
        <v>0.16</v>
      </c>
      <c r="BC48" s="66">
        <v>0.68</v>
      </c>
      <c r="BD48" s="66">
        <v>0.16</v>
      </c>
      <c r="BE48" s="66">
        <v>0</v>
      </c>
      <c r="BF48" s="66">
        <v>0.47</v>
      </c>
      <c r="BG48" s="66">
        <v>0.5</v>
      </c>
      <c r="BH48" s="66">
        <v>0.52</v>
      </c>
      <c r="BI48" s="66">
        <v>0.61</v>
      </c>
      <c r="BJ48" s="66">
        <v>0.51</v>
      </c>
      <c r="BK48" s="66">
        <v>0.4</v>
      </c>
      <c r="BL48" s="349">
        <v>51</v>
      </c>
      <c r="BM48" s="348" t="s">
        <v>910</v>
      </c>
      <c r="BN48" s="349">
        <v>12</v>
      </c>
      <c r="BO48" s="348" t="s">
        <v>910</v>
      </c>
      <c r="BP48" s="371">
        <v>0.23</v>
      </c>
      <c r="BQ48" s="371">
        <v>0.27</v>
      </c>
      <c r="BR48" s="371">
        <v>0.5</v>
      </c>
      <c r="BS48" s="371">
        <v>0</v>
      </c>
      <c r="BT48" s="371">
        <v>0.47</v>
      </c>
      <c r="BU48" s="371">
        <v>0.45</v>
      </c>
      <c r="BV48" s="371">
        <v>0.45</v>
      </c>
      <c r="BW48" s="371">
        <v>0.39</v>
      </c>
      <c r="BX48" s="371">
        <v>0.4</v>
      </c>
      <c r="BY48" s="371">
        <v>0.48</v>
      </c>
      <c r="BZ48" s="469">
        <v>46</v>
      </c>
      <c r="CA48" s="471" t="s">
        <v>910</v>
      </c>
      <c r="CB48" s="469">
        <v>11</v>
      </c>
      <c r="CC48" s="471" t="s">
        <v>910</v>
      </c>
      <c r="CD48" s="501">
        <v>0.31</v>
      </c>
      <c r="CE48" s="501">
        <v>0.44</v>
      </c>
      <c r="CF48" s="501">
        <v>0.25</v>
      </c>
      <c r="CG48" s="501">
        <v>0</v>
      </c>
      <c r="CH48" s="501">
        <v>0.51</v>
      </c>
      <c r="CI48" s="501">
        <v>0.38</v>
      </c>
      <c r="CJ48" s="501">
        <v>0.64</v>
      </c>
      <c r="CK48" s="501">
        <v>0.6</v>
      </c>
      <c r="CL48" s="501">
        <v>0.42</v>
      </c>
      <c r="CM48" s="501">
        <v>0.57999999999999996</v>
      </c>
      <c r="CN48" s="630">
        <v>50</v>
      </c>
      <c r="CO48" s="640" t="s">
        <v>910</v>
      </c>
      <c r="CP48" s="630">
        <v>11</v>
      </c>
      <c r="CQ48" s="640" t="s">
        <v>910</v>
      </c>
      <c r="CR48" s="644">
        <v>0.25</v>
      </c>
      <c r="CS48" s="644">
        <v>0.46</v>
      </c>
      <c r="CT48" s="644">
        <v>0.28999999999999998</v>
      </c>
      <c r="CU48" s="644">
        <v>0</v>
      </c>
      <c r="CV48" s="644">
        <v>0.45</v>
      </c>
      <c r="CW48" s="644">
        <v>0.59</v>
      </c>
      <c r="CX48" s="644">
        <v>0.57999999999999996</v>
      </c>
      <c r="CY48" s="644">
        <v>0.69</v>
      </c>
      <c r="CZ48" s="644">
        <v>0.44</v>
      </c>
      <c r="DA48" s="644">
        <v>0.59</v>
      </c>
    </row>
    <row r="49" spans="1:105" ht="24.9" customHeight="1" x14ac:dyDescent="0.25">
      <c r="A49" s="188" t="s">
        <v>225</v>
      </c>
      <c r="B49" s="1" t="s">
        <v>222</v>
      </c>
      <c r="C49" s="2">
        <v>3</v>
      </c>
      <c r="D49" s="13" t="s">
        <v>226</v>
      </c>
      <c r="E49" s="13" t="s">
        <v>226</v>
      </c>
      <c r="F49" s="13"/>
      <c r="G49" s="13"/>
      <c r="H49" s="13"/>
      <c r="I49" s="13"/>
      <c r="J49" s="13"/>
      <c r="K49" s="13"/>
      <c r="L49" s="13"/>
      <c r="M49" s="13"/>
      <c r="N49" s="13"/>
      <c r="O49" s="13"/>
      <c r="P49" s="16">
        <v>51</v>
      </c>
      <c r="Q49" s="16">
        <v>9</v>
      </c>
      <c r="R49" s="92">
        <v>0.1</v>
      </c>
      <c r="S49" s="92">
        <v>0.59</v>
      </c>
      <c r="T49" s="92">
        <v>0.3</v>
      </c>
      <c r="U49" s="92">
        <v>0.01</v>
      </c>
      <c r="V49" s="92">
        <v>0.44</v>
      </c>
      <c r="W49" s="92">
        <v>0.46</v>
      </c>
      <c r="X49" s="92">
        <v>0.61</v>
      </c>
      <c r="Y49" s="92">
        <v>0.44</v>
      </c>
      <c r="Z49" s="92">
        <v>0.42</v>
      </c>
      <c r="AA49" s="92">
        <v>0.48</v>
      </c>
      <c r="AB49" s="16">
        <v>47</v>
      </c>
      <c r="AC49" s="16">
        <v>10</v>
      </c>
      <c r="AD49" s="96">
        <v>0.3</v>
      </c>
      <c r="AE49" s="96">
        <v>0.5</v>
      </c>
      <c r="AF49" s="96">
        <v>0.2</v>
      </c>
      <c r="AG49" s="96">
        <v>0</v>
      </c>
      <c r="AH49" s="96">
        <v>0.47</v>
      </c>
      <c r="AI49" s="96">
        <v>0.48</v>
      </c>
      <c r="AJ49" s="96">
        <v>0.46</v>
      </c>
      <c r="AK49" s="96">
        <v>0.56000000000000005</v>
      </c>
      <c r="AL49" s="96">
        <v>0.56999999999999995</v>
      </c>
      <c r="AM49" s="96">
        <v>0.56999999999999995</v>
      </c>
      <c r="AN49" s="16">
        <v>45</v>
      </c>
      <c r="AO49" s="16">
        <v>10</v>
      </c>
      <c r="AP49" s="96">
        <v>0.32</v>
      </c>
      <c r="AQ49" s="96">
        <v>0.5</v>
      </c>
      <c r="AR49" s="96">
        <v>0.17</v>
      </c>
      <c r="AS49" s="96">
        <v>0.01</v>
      </c>
      <c r="AT49" s="96">
        <v>0.6</v>
      </c>
      <c r="AU49" s="96">
        <v>0.48</v>
      </c>
      <c r="AV49" s="96">
        <v>0.52</v>
      </c>
      <c r="AW49" s="96">
        <v>0.5</v>
      </c>
      <c r="AX49" s="96">
        <v>0.53</v>
      </c>
      <c r="AY49" s="96">
        <v>0.54</v>
      </c>
      <c r="AZ49" s="61">
        <v>46</v>
      </c>
      <c r="BA49" s="61">
        <v>11</v>
      </c>
      <c r="BB49" s="66">
        <v>0.38</v>
      </c>
      <c r="BC49" s="66">
        <v>0.43</v>
      </c>
      <c r="BD49" s="66">
        <v>0.18</v>
      </c>
      <c r="BE49" s="66">
        <v>0.01</v>
      </c>
      <c r="BF49" s="66">
        <v>0.54</v>
      </c>
      <c r="BG49" s="66">
        <v>0.51</v>
      </c>
      <c r="BH49" s="66">
        <v>0.55000000000000004</v>
      </c>
      <c r="BI49" s="66">
        <v>0.64</v>
      </c>
      <c r="BJ49" s="66">
        <v>0.47</v>
      </c>
      <c r="BK49" s="66">
        <v>0.55000000000000004</v>
      </c>
      <c r="BL49" s="349">
        <v>46</v>
      </c>
      <c r="BM49" s="348" t="s">
        <v>910</v>
      </c>
      <c r="BN49" s="349">
        <v>10</v>
      </c>
      <c r="BO49" s="348" t="s">
        <v>910</v>
      </c>
      <c r="BP49" s="371">
        <v>0.33</v>
      </c>
      <c r="BQ49" s="371">
        <v>0.48</v>
      </c>
      <c r="BR49" s="371">
        <v>0.18</v>
      </c>
      <c r="BS49" s="371">
        <v>0.01</v>
      </c>
      <c r="BT49" s="371">
        <v>0.48</v>
      </c>
      <c r="BU49" s="371">
        <v>0.55000000000000004</v>
      </c>
      <c r="BV49" s="371">
        <v>0.62</v>
      </c>
      <c r="BW49" s="371">
        <v>0.47</v>
      </c>
      <c r="BX49" s="371">
        <v>0.52</v>
      </c>
      <c r="BY49" s="371">
        <v>0.6</v>
      </c>
      <c r="BZ49" s="469">
        <v>47</v>
      </c>
      <c r="CA49" s="471" t="s">
        <v>910</v>
      </c>
      <c r="CB49" s="469">
        <v>9</v>
      </c>
      <c r="CC49" s="471" t="s">
        <v>910</v>
      </c>
      <c r="CD49" s="501">
        <v>0.26</v>
      </c>
      <c r="CE49" s="501">
        <v>0.56000000000000005</v>
      </c>
      <c r="CF49" s="501">
        <v>0.18</v>
      </c>
      <c r="CG49" s="501">
        <v>0</v>
      </c>
      <c r="CH49" s="501">
        <v>0.53</v>
      </c>
      <c r="CI49" s="501">
        <v>0.51</v>
      </c>
      <c r="CJ49" s="501">
        <v>0.59</v>
      </c>
      <c r="CK49" s="501">
        <v>0.59</v>
      </c>
      <c r="CL49" s="501">
        <v>0.49</v>
      </c>
      <c r="CM49" s="501">
        <v>0.62</v>
      </c>
      <c r="CN49" s="630">
        <v>49</v>
      </c>
      <c r="CO49" s="640" t="s">
        <v>910</v>
      </c>
      <c r="CP49" s="630">
        <v>9</v>
      </c>
      <c r="CQ49" s="640" t="s">
        <v>910</v>
      </c>
      <c r="CR49" s="644">
        <v>0.23</v>
      </c>
      <c r="CS49" s="644">
        <v>0.52</v>
      </c>
      <c r="CT49" s="644">
        <v>0.25</v>
      </c>
      <c r="CU49" s="644">
        <v>0</v>
      </c>
      <c r="CV49" s="644">
        <v>0.35</v>
      </c>
      <c r="CW49" s="644">
        <v>0.56999999999999995</v>
      </c>
      <c r="CX49" s="644">
        <v>0.56999999999999995</v>
      </c>
      <c r="CY49" s="644">
        <v>0.68</v>
      </c>
      <c r="CZ49" s="644">
        <v>0.59</v>
      </c>
      <c r="DA49" s="644">
        <v>0.6</v>
      </c>
    </row>
    <row r="50" spans="1:105" s="53" customFormat="1" ht="24.9" customHeight="1" x14ac:dyDescent="0.25">
      <c r="A50" s="188" t="s">
        <v>126</v>
      </c>
      <c r="B50" s="1" t="s">
        <v>222</v>
      </c>
      <c r="C50" s="2">
        <v>2</v>
      </c>
      <c r="D50" s="16">
        <v>60</v>
      </c>
      <c r="E50" s="16">
        <v>8</v>
      </c>
      <c r="F50" s="96">
        <v>0.01</v>
      </c>
      <c r="G50" s="96">
        <v>0.28999999999999998</v>
      </c>
      <c r="H50" s="96">
        <v>0.63</v>
      </c>
      <c r="I50" s="96">
        <v>7.0000000000000007E-2</v>
      </c>
      <c r="J50" s="96">
        <v>0.4</v>
      </c>
      <c r="K50" s="96">
        <v>0.37</v>
      </c>
      <c r="L50" s="96">
        <v>0.46</v>
      </c>
      <c r="M50" s="96">
        <v>0.25</v>
      </c>
      <c r="N50" s="96">
        <v>0.28000000000000003</v>
      </c>
      <c r="O50" s="96">
        <v>0.35</v>
      </c>
      <c r="P50" s="16">
        <v>58</v>
      </c>
      <c r="Q50" s="16">
        <v>9</v>
      </c>
      <c r="R50" s="92">
        <v>0.03</v>
      </c>
      <c r="S50" s="92">
        <v>0.4</v>
      </c>
      <c r="T50" s="92">
        <v>0.51</v>
      </c>
      <c r="U50" s="92">
        <v>0.06</v>
      </c>
      <c r="V50" s="92">
        <v>0.28999999999999998</v>
      </c>
      <c r="W50" s="92">
        <v>0.39</v>
      </c>
      <c r="X50" s="92">
        <v>0.45</v>
      </c>
      <c r="Y50" s="92">
        <v>0.37</v>
      </c>
      <c r="Z50" s="92">
        <v>0.32</v>
      </c>
      <c r="AA50" s="92">
        <v>0.4</v>
      </c>
      <c r="AB50" s="16">
        <v>58</v>
      </c>
      <c r="AC50" s="16">
        <v>9</v>
      </c>
      <c r="AD50" s="96">
        <v>0.03</v>
      </c>
      <c r="AE50" s="96">
        <v>0.38</v>
      </c>
      <c r="AF50" s="96">
        <v>0.52</v>
      </c>
      <c r="AG50" s="96">
        <v>7.0000000000000007E-2</v>
      </c>
      <c r="AH50" s="96">
        <v>0.28999999999999998</v>
      </c>
      <c r="AI50" s="96">
        <v>0.28999999999999998</v>
      </c>
      <c r="AJ50" s="96">
        <v>0.26</v>
      </c>
      <c r="AK50" s="96">
        <v>0.36</v>
      </c>
      <c r="AL50" s="96">
        <v>0.42</v>
      </c>
      <c r="AM50" s="96">
        <v>0.38</v>
      </c>
      <c r="AN50" s="16">
        <v>55</v>
      </c>
      <c r="AO50" s="16">
        <v>9</v>
      </c>
      <c r="AP50" s="96">
        <v>0.08</v>
      </c>
      <c r="AQ50" s="96">
        <v>0.43</v>
      </c>
      <c r="AR50" s="96">
        <v>0.45</v>
      </c>
      <c r="AS50" s="96">
        <v>0.04</v>
      </c>
      <c r="AT50" s="96">
        <v>0.44</v>
      </c>
      <c r="AU50" s="96">
        <v>0.39</v>
      </c>
      <c r="AV50" s="96">
        <v>0.32</v>
      </c>
      <c r="AW50" s="96">
        <v>0.39</v>
      </c>
      <c r="AX50" s="96">
        <v>0.34</v>
      </c>
      <c r="AY50" s="96">
        <v>0.35</v>
      </c>
      <c r="AZ50" s="61">
        <v>60</v>
      </c>
      <c r="BA50" s="61">
        <v>11</v>
      </c>
      <c r="BB50" s="66">
        <v>0.02</v>
      </c>
      <c r="BC50" s="66">
        <v>0.33</v>
      </c>
      <c r="BD50" s="66">
        <v>0.56000000000000005</v>
      </c>
      <c r="BE50" s="66">
        <v>0.09</v>
      </c>
      <c r="BF50" s="66">
        <v>0.33</v>
      </c>
      <c r="BG50" s="66">
        <v>0.3</v>
      </c>
      <c r="BH50" s="66">
        <v>0.32</v>
      </c>
      <c r="BI50" s="66">
        <v>0.37</v>
      </c>
      <c r="BJ50" s="66">
        <v>0.26</v>
      </c>
      <c r="BK50" s="66">
        <v>0.23</v>
      </c>
      <c r="BL50" s="349">
        <v>55</v>
      </c>
      <c r="BM50" s="348" t="s">
        <v>910</v>
      </c>
      <c r="BN50" s="349">
        <v>10</v>
      </c>
      <c r="BO50" s="348" t="s">
        <v>910</v>
      </c>
      <c r="BP50" s="371">
        <v>0.06</v>
      </c>
      <c r="BQ50" s="371">
        <v>0.43</v>
      </c>
      <c r="BR50" s="371">
        <v>0.46</v>
      </c>
      <c r="BS50" s="371">
        <v>0.06</v>
      </c>
      <c r="BT50" s="371">
        <v>0.34</v>
      </c>
      <c r="BU50" s="371">
        <v>0.4</v>
      </c>
      <c r="BV50" s="371">
        <v>0.39</v>
      </c>
      <c r="BW50" s="371">
        <v>0.34</v>
      </c>
      <c r="BX50" s="371">
        <v>0.39</v>
      </c>
      <c r="BY50" s="371">
        <v>0.42</v>
      </c>
      <c r="BZ50" s="469">
        <v>58</v>
      </c>
      <c r="CA50" s="471" t="s">
        <v>911</v>
      </c>
      <c r="CB50" s="469">
        <v>9</v>
      </c>
      <c r="CC50" s="471" t="s">
        <v>910</v>
      </c>
      <c r="CD50" s="501">
        <v>0.05</v>
      </c>
      <c r="CE50" s="501">
        <v>0.36</v>
      </c>
      <c r="CF50" s="501">
        <v>0.5</v>
      </c>
      <c r="CG50" s="501">
        <v>0.09</v>
      </c>
      <c r="CH50" s="501">
        <v>0.38</v>
      </c>
      <c r="CI50" s="501">
        <v>0.27</v>
      </c>
      <c r="CJ50" s="501">
        <v>0.49</v>
      </c>
      <c r="CK50" s="501">
        <v>0.46</v>
      </c>
      <c r="CL50" s="501">
        <v>0.38</v>
      </c>
      <c r="CM50" s="501">
        <v>0.49</v>
      </c>
      <c r="CN50" s="630">
        <v>56</v>
      </c>
      <c r="CO50" s="640" t="s">
        <v>910</v>
      </c>
      <c r="CP50" s="630">
        <v>10</v>
      </c>
      <c r="CQ50" s="640" t="s">
        <v>910</v>
      </c>
      <c r="CR50" s="644">
        <v>0.06</v>
      </c>
      <c r="CS50" s="644">
        <v>0.41</v>
      </c>
      <c r="CT50" s="644">
        <v>0.47</v>
      </c>
      <c r="CU50" s="644">
        <v>0.06</v>
      </c>
      <c r="CV50" s="644">
        <v>0.26</v>
      </c>
      <c r="CW50" s="644">
        <v>0.41</v>
      </c>
      <c r="CX50" s="644">
        <v>0.53</v>
      </c>
      <c r="CY50" s="644">
        <v>0.64</v>
      </c>
      <c r="CZ50" s="644">
        <v>0.44</v>
      </c>
      <c r="DA50" s="644">
        <v>0.38</v>
      </c>
    </row>
    <row r="51" spans="1:105" ht="24.9" customHeight="1" x14ac:dyDescent="0.25">
      <c r="A51" s="189" t="s">
        <v>271</v>
      </c>
      <c r="B51" s="1" t="s">
        <v>222</v>
      </c>
      <c r="C51" s="2">
        <v>2</v>
      </c>
      <c r="D51" s="13" t="s">
        <v>226</v>
      </c>
      <c r="E51" s="13" t="s">
        <v>226</v>
      </c>
      <c r="F51" s="13"/>
      <c r="G51" s="13"/>
      <c r="H51" s="13"/>
      <c r="I51" s="13"/>
      <c r="J51" s="13"/>
      <c r="K51" s="13"/>
      <c r="L51" s="13"/>
      <c r="M51" s="13"/>
      <c r="N51" s="13"/>
      <c r="O51" s="13"/>
      <c r="P51" s="13" t="s">
        <v>226</v>
      </c>
      <c r="Q51" s="13" t="s">
        <v>226</v>
      </c>
      <c r="R51" s="92"/>
      <c r="S51" s="92"/>
      <c r="T51" s="92"/>
      <c r="U51" s="92"/>
      <c r="V51" s="92"/>
      <c r="W51" s="92"/>
      <c r="X51" s="92"/>
      <c r="Y51" s="92"/>
      <c r="Z51" s="92"/>
      <c r="AA51" s="92"/>
      <c r="AB51" s="13" t="s">
        <v>226</v>
      </c>
      <c r="AC51" s="13" t="s">
        <v>226</v>
      </c>
      <c r="AD51" s="2"/>
      <c r="AE51" s="2"/>
      <c r="AF51" s="2"/>
      <c r="AG51" s="2"/>
      <c r="AH51" s="2"/>
      <c r="AI51" s="2"/>
      <c r="AJ51" s="2"/>
      <c r="AK51" s="2"/>
      <c r="AL51" s="2"/>
      <c r="AM51" s="2"/>
      <c r="AN51" s="13" t="s">
        <v>226</v>
      </c>
      <c r="AO51" s="13" t="s">
        <v>226</v>
      </c>
      <c r="AP51" s="2"/>
      <c r="AQ51" s="2"/>
      <c r="AR51" s="2"/>
      <c r="AS51" s="2"/>
      <c r="AT51" s="2"/>
      <c r="AU51" s="2"/>
      <c r="AV51" s="2"/>
      <c r="AW51" s="2"/>
      <c r="AX51" s="2"/>
      <c r="AY51" s="2"/>
      <c r="AZ51" s="61">
        <v>52</v>
      </c>
      <c r="BA51" s="61">
        <v>0</v>
      </c>
      <c r="BB51" s="66">
        <v>0</v>
      </c>
      <c r="BC51" s="66">
        <v>1</v>
      </c>
      <c r="BD51" s="66">
        <v>0</v>
      </c>
      <c r="BE51" s="66">
        <v>0</v>
      </c>
      <c r="BF51" s="66">
        <v>0</v>
      </c>
      <c r="BG51" s="66">
        <v>0.33</v>
      </c>
      <c r="BH51" s="66">
        <v>0.5</v>
      </c>
      <c r="BI51" s="66">
        <v>1</v>
      </c>
      <c r="BJ51" s="66">
        <v>0.5</v>
      </c>
      <c r="BK51" s="66">
        <v>0.28999999999999998</v>
      </c>
    </row>
    <row r="52" spans="1:105" ht="24.9" customHeight="1" x14ac:dyDescent="0.25">
      <c r="A52" s="188" t="s">
        <v>134</v>
      </c>
      <c r="B52" s="1" t="s">
        <v>222</v>
      </c>
      <c r="C52" s="2">
        <v>5</v>
      </c>
      <c r="D52" s="16">
        <v>54</v>
      </c>
      <c r="E52" s="16">
        <v>7</v>
      </c>
      <c r="F52" s="96">
        <v>0</v>
      </c>
      <c r="G52" s="96">
        <v>0.63</v>
      </c>
      <c r="H52" s="96">
        <v>0.38</v>
      </c>
      <c r="I52" s="96">
        <v>0</v>
      </c>
      <c r="J52" s="96">
        <v>0.51</v>
      </c>
      <c r="K52" s="96">
        <v>0.4</v>
      </c>
      <c r="L52" s="96">
        <v>0.6</v>
      </c>
      <c r="M52" s="96">
        <v>0.37</v>
      </c>
      <c r="N52" s="96">
        <v>0.37</v>
      </c>
      <c r="O52" s="96">
        <v>0.5</v>
      </c>
      <c r="P52" s="16">
        <v>55</v>
      </c>
      <c r="Q52" s="16">
        <v>7</v>
      </c>
      <c r="R52" s="92">
        <v>0</v>
      </c>
      <c r="S52" s="92">
        <v>0.5</v>
      </c>
      <c r="T52" s="92">
        <v>0.5</v>
      </c>
      <c r="U52" s="92">
        <v>0</v>
      </c>
      <c r="V52" s="92">
        <v>0.33</v>
      </c>
      <c r="W52" s="92">
        <v>0.43</v>
      </c>
      <c r="X52" s="92">
        <v>0.49</v>
      </c>
      <c r="Y52" s="92">
        <v>0.35</v>
      </c>
      <c r="Z52" s="92">
        <v>0.33</v>
      </c>
      <c r="AA52" s="92">
        <v>0.42</v>
      </c>
      <c r="AB52" s="16">
        <v>52</v>
      </c>
      <c r="AC52" s="16">
        <v>8</v>
      </c>
      <c r="AD52" s="96">
        <v>0.06</v>
      </c>
      <c r="AE52" s="96">
        <v>0.56000000000000005</v>
      </c>
      <c r="AF52" s="96">
        <v>0.39</v>
      </c>
      <c r="AG52" s="96">
        <v>0</v>
      </c>
      <c r="AH52" s="96">
        <v>0.38</v>
      </c>
      <c r="AI52" s="96">
        <v>0.37</v>
      </c>
      <c r="AJ52" s="96">
        <v>0.25</v>
      </c>
      <c r="AK52" s="96">
        <v>0.5</v>
      </c>
      <c r="AL52" s="96">
        <v>0.49</v>
      </c>
      <c r="AM52" s="96">
        <v>0.5</v>
      </c>
      <c r="AN52" s="16">
        <v>54</v>
      </c>
      <c r="AO52" s="16">
        <v>10</v>
      </c>
      <c r="AP52" s="96">
        <v>0.11</v>
      </c>
      <c r="AQ52" s="96">
        <v>0.37</v>
      </c>
      <c r="AR52" s="96">
        <v>0.47</v>
      </c>
      <c r="AS52" s="96">
        <v>0.05</v>
      </c>
      <c r="AT52" s="96">
        <v>0.49</v>
      </c>
      <c r="AU52" s="96">
        <v>0.44</v>
      </c>
      <c r="AV52" s="96">
        <v>0.36</v>
      </c>
      <c r="AW52" s="96">
        <v>0.31</v>
      </c>
      <c r="AX52" s="96">
        <v>0.36</v>
      </c>
      <c r="AY52" s="96">
        <v>0.42</v>
      </c>
      <c r="AZ52" s="61">
        <v>58</v>
      </c>
      <c r="BA52" s="61">
        <v>9</v>
      </c>
      <c r="BB52" s="66">
        <v>0</v>
      </c>
      <c r="BC52" s="66">
        <v>0.43</v>
      </c>
      <c r="BD52" s="66">
        <v>0.52</v>
      </c>
      <c r="BE52" s="66">
        <v>0.05</v>
      </c>
      <c r="BF52" s="66">
        <v>0.49</v>
      </c>
      <c r="BG52" s="66">
        <v>0.31</v>
      </c>
      <c r="BH52" s="66">
        <v>0.35</v>
      </c>
      <c r="BI52" s="66">
        <v>0.41</v>
      </c>
      <c r="BJ52" s="66">
        <v>0.27</v>
      </c>
      <c r="BK52" s="66">
        <v>0.26</v>
      </c>
      <c r="BL52" s="349">
        <v>59</v>
      </c>
      <c r="BM52" s="348" t="s">
        <v>911</v>
      </c>
      <c r="BN52" s="349">
        <v>10</v>
      </c>
      <c r="BO52" s="348" t="s">
        <v>910</v>
      </c>
      <c r="BP52" s="371">
        <v>0.05</v>
      </c>
      <c r="BQ52" s="371">
        <v>0.28999999999999998</v>
      </c>
      <c r="BR52" s="371">
        <v>0.52</v>
      </c>
      <c r="BS52" s="371">
        <v>0.14000000000000001</v>
      </c>
      <c r="BT52" s="371">
        <v>0.34</v>
      </c>
      <c r="BU52" s="371">
        <v>0.36</v>
      </c>
      <c r="BV52" s="371">
        <v>0.28999999999999998</v>
      </c>
      <c r="BW52" s="371">
        <v>0.28999999999999998</v>
      </c>
      <c r="BX52" s="371">
        <v>0.28999999999999998</v>
      </c>
      <c r="BY52" s="371">
        <v>0.34</v>
      </c>
      <c r="BZ52" s="469">
        <v>56</v>
      </c>
      <c r="CA52" s="471" t="s">
        <v>910</v>
      </c>
      <c r="CB52" s="469">
        <v>7</v>
      </c>
      <c r="CC52" s="471" t="s">
        <v>912</v>
      </c>
      <c r="CD52" s="501">
        <v>0.06</v>
      </c>
      <c r="CE52" s="501">
        <v>0.39</v>
      </c>
      <c r="CF52" s="501">
        <v>0.56000000000000005</v>
      </c>
      <c r="CG52" s="501">
        <v>0</v>
      </c>
      <c r="CH52" s="501">
        <v>0.48</v>
      </c>
      <c r="CI52" s="501">
        <v>0.28999999999999998</v>
      </c>
      <c r="CJ52" s="501">
        <v>0.52</v>
      </c>
      <c r="CK52" s="501">
        <v>0.44</v>
      </c>
      <c r="CL52" s="501">
        <v>0.28999999999999998</v>
      </c>
      <c r="CM52" s="501">
        <v>0.53</v>
      </c>
      <c r="CN52" s="630">
        <v>55</v>
      </c>
      <c r="CO52" s="640" t="s">
        <v>910</v>
      </c>
      <c r="CP52" s="630">
        <v>8</v>
      </c>
      <c r="CQ52" s="640" t="s">
        <v>910</v>
      </c>
      <c r="CR52" s="644">
        <v>0</v>
      </c>
      <c r="CS52" s="644">
        <v>0.56999999999999995</v>
      </c>
      <c r="CT52" s="644">
        <v>0.38</v>
      </c>
      <c r="CU52" s="644">
        <v>0.05</v>
      </c>
      <c r="CV52" s="644">
        <v>0.18</v>
      </c>
      <c r="CW52" s="644">
        <v>0.52</v>
      </c>
      <c r="CX52" s="644">
        <v>0.52</v>
      </c>
      <c r="CY52" s="644">
        <v>0.78</v>
      </c>
      <c r="CZ52" s="644">
        <v>0.47</v>
      </c>
      <c r="DA52" s="644">
        <v>0.55000000000000004</v>
      </c>
    </row>
    <row r="53" spans="1:105" s="461" customFormat="1" ht="24.9" customHeight="1" x14ac:dyDescent="0.25">
      <c r="A53" s="470" t="s">
        <v>956</v>
      </c>
      <c r="B53" s="15" t="s">
        <v>222</v>
      </c>
      <c r="C53" s="471">
        <v>6</v>
      </c>
      <c r="D53" s="502"/>
      <c r="E53" s="502"/>
      <c r="F53" s="501"/>
      <c r="G53" s="501"/>
      <c r="H53" s="501"/>
      <c r="I53" s="501"/>
      <c r="J53" s="501"/>
      <c r="K53" s="501"/>
      <c r="L53" s="501"/>
      <c r="M53" s="501"/>
      <c r="N53" s="501"/>
      <c r="O53" s="501"/>
      <c r="P53" s="502"/>
      <c r="Q53" s="502"/>
      <c r="R53" s="504"/>
      <c r="S53" s="504"/>
      <c r="T53" s="504"/>
      <c r="U53" s="504"/>
      <c r="V53" s="504"/>
      <c r="W53" s="504"/>
      <c r="X53" s="504"/>
      <c r="Y53" s="504"/>
      <c r="Z53" s="504"/>
      <c r="AA53" s="504"/>
      <c r="AB53" s="502"/>
      <c r="AC53" s="502"/>
      <c r="AD53" s="501"/>
      <c r="AE53" s="501"/>
      <c r="AF53" s="501"/>
      <c r="AG53" s="501"/>
      <c r="AH53" s="501"/>
      <c r="AI53" s="501"/>
      <c r="AJ53" s="501"/>
      <c r="AK53" s="501"/>
      <c r="AL53" s="501"/>
      <c r="AM53" s="501"/>
      <c r="AN53" s="502"/>
      <c r="AO53" s="502"/>
      <c r="AP53" s="501"/>
      <c r="AQ53" s="501"/>
      <c r="AR53" s="501"/>
      <c r="AS53" s="501"/>
      <c r="AT53" s="501"/>
      <c r="AU53" s="501"/>
      <c r="AV53" s="501"/>
      <c r="AW53" s="501"/>
      <c r="AX53" s="501"/>
      <c r="AY53" s="501"/>
      <c r="AZ53" s="472"/>
      <c r="BA53" s="472"/>
      <c r="BB53" s="506"/>
      <c r="BC53" s="506"/>
      <c r="BD53" s="506"/>
      <c r="BE53" s="506"/>
      <c r="BF53" s="506"/>
      <c r="BG53" s="506"/>
      <c r="BH53" s="506"/>
      <c r="BI53" s="506"/>
      <c r="BJ53" s="506"/>
      <c r="BK53" s="506"/>
      <c r="BL53" s="475"/>
      <c r="BM53" s="493"/>
      <c r="BN53" s="475"/>
      <c r="BO53" s="493"/>
      <c r="BP53" s="507"/>
      <c r="BQ53" s="507"/>
      <c r="BR53" s="507"/>
      <c r="BS53" s="507"/>
      <c r="BT53" s="507"/>
      <c r="BU53" s="507"/>
      <c r="BV53" s="507"/>
      <c r="BW53" s="507"/>
      <c r="BX53" s="507"/>
      <c r="BY53" s="507"/>
      <c r="BZ53" s="469">
        <v>59</v>
      </c>
      <c r="CA53" s="471" t="s">
        <v>911</v>
      </c>
      <c r="CB53" s="469">
        <v>11</v>
      </c>
      <c r="CC53" s="471" t="s">
        <v>910</v>
      </c>
      <c r="CD53" s="501">
        <v>0.06</v>
      </c>
      <c r="CE53" s="501">
        <v>0.19</v>
      </c>
      <c r="CF53" s="501">
        <v>0.69</v>
      </c>
      <c r="CG53" s="501">
        <v>0.06</v>
      </c>
      <c r="CH53" s="501">
        <v>0.36</v>
      </c>
      <c r="CI53" s="501">
        <v>0.27</v>
      </c>
      <c r="CJ53" s="501">
        <v>0.4</v>
      </c>
      <c r="CK53" s="501">
        <v>0.46</v>
      </c>
      <c r="CL53" s="501">
        <v>0.38</v>
      </c>
      <c r="CM53" s="501">
        <v>0.44</v>
      </c>
      <c r="CN53" s="630">
        <v>60</v>
      </c>
      <c r="CO53" s="640" t="s">
        <v>911</v>
      </c>
      <c r="CP53" s="630">
        <v>9</v>
      </c>
      <c r="CQ53" s="640" t="s">
        <v>910</v>
      </c>
      <c r="CR53" s="644">
        <v>0</v>
      </c>
      <c r="CS53" s="644">
        <v>0.22</v>
      </c>
      <c r="CT53" s="644">
        <v>0.67</v>
      </c>
      <c r="CU53" s="644">
        <v>0.11</v>
      </c>
      <c r="CV53" s="644">
        <v>0.27</v>
      </c>
      <c r="CW53" s="644">
        <v>0.3</v>
      </c>
      <c r="CX53" s="644">
        <v>0.41</v>
      </c>
      <c r="CY53" s="644">
        <v>0.44</v>
      </c>
      <c r="CZ53" s="644">
        <v>0.43</v>
      </c>
      <c r="DA53" s="644">
        <v>0.35</v>
      </c>
    </row>
    <row r="54" spans="1:105" ht="24.9" customHeight="1" x14ac:dyDescent="0.25">
      <c r="A54" s="188" t="s">
        <v>101</v>
      </c>
      <c r="B54" s="1" t="s">
        <v>222</v>
      </c>
      <c r="C54" s="2">
        <v>1</v>
      </c>
      <c r="D54" s="16">
        <v>52</v>
      </c>
      <c r="E54" s="16">
        <v>9</v>
      </c>
      <c r="F54" s="96">
        <v>0.15</v>
      </c>
      <c r="G54" s="96">
        <v>0.4</v>
      </c>
      <c r="H54" s="96">
        <v>0.45</v>
      </c>
      <c r="I54" s="96">
        <v>0</v>
      </c>
      <c r="J54" s="96">
        <v>0.54</v>
      </c>
      <c r="K54" s="96">
        <v>0.48</v>
      </c>
      <c r="L54" s="96">
        <v>0.6</v>
      </c>
      <c r="M54" s="96">
        <v>0.38</v>
      </c>
      <c r="N54" s="96">
        <v>0.4</v>
      </c>
      <c r="O54" s="96">
        <v>0.54</v>
      </c>
      <c r="P54" s="16">
        <v>52</v>
      </c>
      <c r="Q54" s="16">
        <v>10</v>
      </c>
      <c r="R54" s="92">
        <v>0.1</v>
      </c>
      <c r="S54" s="92">
        <v>0.56000000000000005</v>
      </c>
      <c r="T54" s="92">
        <v>0.28999999999999998</v>
      </c>
      <c r="U54" s="92">
        <v>0.04</v>
      </c>
      <c r="V54" s="92">
        <v>0.41</v>
      </c>
      <c r="W54" s="92">
        <v>0.47</v>
      </c>
      <c r="X54" s="92">
        <v>0.55000000000000004</v>
      </c>
      <c r="Y54" s="92">
        <v>0.4</v>
      </c>
      <c r="Z54" s="92">
        <v>0.41</v>
      </c>
      <c r="AA54" s="92">
        <v>0.48</v>
      </c>
      <c r="AB54" s="16">
        <v>53</v>
      </c>
      <c r="AC54" s="16">
        <v>9</v>
      </c>
      <c r="AD54" s="96">
        <v>0.09</v>
      </c>
      <c r="AE54" s="96">
        <v>0.51</v>
      </c>
      <c r="AF54" s="96">
        <v>0.4</v>
      </c>
      <c r="AG54" s="96">
        <v>0</v>
      </c>
      <c r="AH54" s="96">
        <v>0.37</v>
      </c>
      <c r="AI54" s="96">
        <v>0.37</v>
      </c>
      <c r="AJ54" s="96">
        <v>0.34</v>
      </c>
      <c r="AK54" s="96">
        <v>0.46</v>
      </c>
      <c r="AL54" s="96">
        <v>0.52</v>
      </c>
      <c r="AM54" s="96">
        <v>0.46</v>
      </c>
      <c r="AN54" s="16">
        <v>50</v>
      </c>
      <c r="AO54" s="16">
        <v>11</v>
      </c>
      <c r="AP54" s="96">
        <v>0.21</v>
      </c>
      <c r="AQ54" s="96">
        <v>0.47</v>
      </c>
      <c r="AR54" s="96">
        <v>0.3</v>
      </c>
      <c r="AS54" s="96">
        <v>0.02</v>
      </c>
      <c r="AT54" s="96">
        <v>0.49</v>
      </c>
      <c r="AU54" s="96">
        <v>0.43</v>
      </c>
      <c r="AV54" s="96">
        <v>0.43</v>
      </c>
      <c r="AW54" s="96">
        <v>0.41</v>
      </c>
      <c r="AX54" s="96">
        <v>0.44</v>
      </c>
      <c r="AY54" s="96">
        <v>0.48</v>
      </c>
      <c r="AZ54" s="61">
        <v>52</v>
      </c>
      <c r="BA54" s="61">
        <v>11</v>
      </c>
      <c r="BB54" s="66">
        <v>0.18</v>
      </c>
      <c r="BC54" s="66">
        <v>0.4</v>
      </c>
      <c r="BD54" s="66">
        <v>0.4</v>
      </c>
      <c r="BE54" s="66">
        <v>0.02</v>
      </c>
      <c r="BF54" s="66">
        <v>0.46</v>
      </c>
      <c r="BG54" s="66">
        <v>0.45</v>
      </c>
      <c r="BH54" s="66">
        <v>0.45</v>
      </c>
      <c r="BI54" s="66">
        <v>0.48</v>
      </c>
      <c r="BJ54" s="66">
        <v>0.4</v>
      </c>
      <c r="BK54" s="66">
        <v>0.41</v>
      </c>
      <c r="BL54" s="349">
        <v>51</v>
      </c>
      <c r="BM54" s="348" t="s">
        <v>910</v>
      </c>
      <c r="BN54" s="349">
        <v>9</v>
      </c>
      <c r="BO54" s="348" t="s">
        <v>910</v>
      </c>
      <c r="BP54" s="371">
        <v>0.18</v>
      </c>
      <c r="BQ54" s="371">
        <v>0.52</v>
      </c>
      <c r="BR54" s="371">
        <v>0.3</v>
      </c>
      <c r="BS54" s="371">
        <v>0</v>
      </c>
      <c r="BT54" s="371">
        <v>0.46</v>
      </c>
      <c r="BU54" s="371">
        <v>0.47</v>
      </c>
      <c r="BV54" s="371">
        <v>0.48</v>
      </c>
      <c r="BW54" s="371">
        <v>0.41</v>
      </c>
      <c r="BX54" s="371">
        <v>0.43</v>
      </c>
      <c r="BY54" s="371">
        <v>0.53</v>
      </c>
      <c r="BZ54" s="469">
        <v>52</v>
      </c>
      <c r="CA54" s="471" t="s">
        <v>910</v>
      </c>
      <c r="CB54" s="469">
        <v>9</v>
      </c>
      <c r="CC54" s="471" t="s">
        <v>910</v>
      </c>
      <c r="CD54" s="501">
        <v>0.11</v>
      </c>
      <c r="CE54" s="501">
        <v>0.51</v>
      </c>
      <c r="CF54" s="501">
        <v>0.36</v>
      </c>
      <c r="CG54" s="501">
        <v>0.02</v>
      </c>
      <c r="CH54" s="501">
        <v>0.51</v>
      </c>
      <c r="CI54" s="501">
        <v>0.3</v>
      </c>
      <c r="CJ54" s="501">
        <v>0.56000000000000005</v>
      </c>
      <c r="CK54" s="501">
        <v>0.52</v>
      </c>
      <c r="CL54" s="501">
        <v>0.37</v>
      </c>
      <c r="CM54" s="501">
        <v>0.56999999999999995</v>
      </c>
      <c r="CN54" s="630">
        <v>51</v>
      </c>
      <c r="CO54" s="640" t="s">
        <v>910</v>
      </c>
      <c r="CP54" s="630">
        <v>11</v>
      </c>
      <c r="CQ54" s="640" t="s">
        <v>910</v>
      </c>
      <c r="CR54" s="644">
        <v>0.18</v>
      </c>
      <c r="CS54" s="644">
        <v>0.39</v>
      </c>
      <c r="CT54" s="644">
        <v>0.44</v>
      </c>
      <c r="CU54" s="644">
        <v>0</v>
      </c>
      <c r="CV54" s="644">
        <v>0.33</v>
      </c>
      <c r="CW54" s="644">
        <v>0.56000000000000005</v>
      </c>
      <c r="CX54" s="644">
        <v>0.52</v>
      </c>
      <c r="CY54" s="644">
        <v>0.63</v>
      </c>
      <c r="CZ54" s="644">
        <v>0.57999999999999996</v>
      </c>
      <c r="DA54" s="644">
        <v>0.64</v>
      </c>
    </row>
    <row r="55" spans="1:105" ht="24.9" customHeight="1" x14ac:dyDescent="0.25">
      <c r="A55" s="188" t="s">
        <v>231</v>
      </c>
      <c r="B55" s="1" t="s">
        <v>222</v>
      </c>
      <c r="C55" s="2">
        <v>1</v>
      </c>
      <c r="D55" s="13" t="s">
        <v>226</v>
      </c>
      <c r="E55" s="13" t="s">
        <v>226</v>
      </c>
      <c r="F55" s="13"/>
      <c r="G55" s="13"/>
      <c r="H55" s="13"/>
      <c r="I55" s="13"/>
      <c r="J55" s="13"/>
      <c r="K55" s="13"/>
      <c r="L55" s="13"/>
      <c r="M55" s="13"/>
      <c r="N55" s="13"/>
      <c r="O55" s="13"/>
      <c r="P55" s="13" t="s">
        <v>226</v>
      </c>
      <c r="Q55" s="13" t="s">
        <v>226</v>
      </c>
      <c r="R55" s="92"/>
      <c r="S55" s="92"/>
      <c r="T55" s="92"/>
      <c r="U55" s="92"/>
      <c r="V55" s="92"/>
      <c r="W55" s="92"/>
      <c r="X55" s="92"/>
      <c r="Y55" s="92"/>
      <c r="Z55" s="92"/>
      <c r="AA55" s="92"/>
      <c r="AB55" s="16">
        <v>53</v>
      </c>
      <c r="AC55" s="16">
        <v>11</v>
      </c>
      <c r="AD55" s="96">
        <v>0</v>
      </c>
      <c r="AE55" s="96">
        <v>0.5</v>
      </c>
      <c r="AF55" s="96">
        <v>0.33</v>
      </c>
      <c r="AG55" s="96">
        <v>0.17</v>
      </c>
      <c r="AH55" s="96">
        <v>0.46</v>
      </c>
      <c r="AI55" s="96">
        <v>0.27</v>
      </c>
      <c r="AJ55" s="96">
        <v>0.25</v>
      </c>
      <c r="AK55" s="96">
        <v>0.42</v>
      </c>
      <c r="AL55" s="96">
        <v>0.35</v>
      </c>
      <c r="AM55" s="96">
        <v>0.57999999999999996</v>
      </c>
      <c r="AN55" s="16">
        <v>48</v>
      </c>
      <c r="AO55" s="16">
        <v>13</v>
      </c>
      <c r="AP55" s="96">
        <v>0.3</v>
      </c>
      <c r="AQ55" s="96">
        <v>0.3</v>
      </c>
      <c r="AR55" s="96">
        <v>0.4</v>
      </c>
      <c r="AS55" s="96">
        <v>0</v>
      </c>
      <c r="AT55" s="96">
        <v>0.5</v>
      </c>
      <c r="AU55" s="96">
        <v>0.41</v>
      </c>
      <c r="AV55" s="96">
        <v>0.45</v>
      </c>
      <c r="AW55" s="96">
        <v>0.42</v>
      </c>
      <c r="AX55" s="96">
        <v>0.59</v>
      </c>
      <c r="AY55" s="96">
        <v>0.51</v>
      </c>
      <c r="AZ55" s="61">
        <v>51</v>
      </c>
      <c r="BA55" s="61">
        <v>7</v>
      </c>
      <c r="BB55" s="66">
        <v>0.1</v>
      </c>
      <c r="BC55" s="66">
        <v>0.6</v>
      </c>
      <c r="BD55" s="66">
        <v>0.3</v>
      </c>
      <c r="BE55" s="66">
        <v>0</v>
      </c>
      <c r="BF55" s="66">
        <v>0.59</v>
      </c>
      <c r="BG55" s="66">
        <v>0.45</v>
      </c>
      <c r="BH55" s="66">
        <v>0.45</v>
      </c>
      <c r="BI55" s="66">
        <v>0.33</v>
      </c>
      <c r="BJ55" s="66">
        <v>0.36</v>
      </c>
      <c r="BK55" s="66">
        <v>0.44</v>
      </c>
      <c r="BL55" s="349">
        <v>51</v>
      </c>
      <c r="BM55" s="348" t="s">
        <v>910</v>
      </c>
      <c r="BN55" s="349">
        <v>4</v>
      </c>
      <c r="BO55" s="348" t="s">
        <v>912</v>
      </c>
      <c r="BP55" s="371">
        <v>0</v>
      </c>
      <c r="BQ55" s="371">
        <v>1</v>
      </c>
      <c r="BR55" s="371">
        <v>0</v>
      </c>
      <c r="BS55" s="371">
        <v>0</v>
      </c>
      <c r="BT55" s="371">
        <v>0.83</v>
      </c>
      <c r="BU55" s="371">
        <v>0.36</v>
      </c>
      <c r="BV55" s="371">
        <v>1</v>
      </c>
      <c r="BW55" s="371">
        <v>0.26</v>
      </c>
      <c r="BX55" s="371">
        <v>0.47</v>
      </c>
      <c r="BY55" s="371">
        <v>0.55000000000000004</v>
      </c>
      <c r="BZ55" s="469">
        <v>52</v>
      </c>
      <c r="CA55" s="471" t="s">
        <v>910</v>
      </c>
      <c r="CB55" s="469">
        <v>10</v>
      </c>
      <c r="CC55" s="471" t="s">
        <v>910</v>
      </c>
      <c r="CD55" s="501">
        <v>0.2</v>
      </c>
      <c r="CE55" s="501">
        <v>0.3</v>
      </c>
      <c r="CF55" s="501">
        <v>0.5</v>
      </c>
      <c r="CG55" s="501">
        <v>0</v>
      </c>
      <c r="CH55" s="501">
        <v>0.47</v>
      </c>
      <c r="CI55" s="501">
        <v>0.47</v>
      </c>
      <c r="CJ55" s="501">
        <v>0.55000000000000004</v>
      </c>
      <c r="CK55" s="501">
        <v>0.5</v>
      </c>
      <c r="CL55" s="501">
        <v>0.5</v>
      </c>
      <c r="CM55" s="501">
        <v>0.42</v>
      </c>
      <c r="CN55" s="630">
        <v>54</v>
      </c>
      <c r="CO55" s="640" t="s">
        <v>910</v>
      </c>
      <c r="CP55" s="630">
        <v>10</v>
      </c>
      <c r="CQ55" s="640" t="s">
        <v>910</v>
      </c>
      <c r="CR55" s="644">
        <v>0.05</v>
      </c>
      <c r="CS55" s="644">
        <v>0.6</v>
      </c>
      <c r="CT55" s="644">
        <v>0.35</v>
      </c>
      <c r="CU55" s="644">
        <v>0</v>
      </c>
      <c r="CV55" s="644">
        <v>0.27</v>
      </c>
      <c r="CW55" s="644">
        <v>0.49</v>
      </c>
      <c r="CX55" s="644">
        <v>0.43</v>
      </c>
      <c r="CY55" s="644">
        <v>0.6</v>
      </c>
      <c r="CZ55" s="644">
        <v>0.5</v>
      </c>
      <c r="DA55" s="644">
        <v>0.46</v>
      </c>
    </row>
    <row r="56" spans="1:105" ht="24.9" customHeight="1" x14ac:dyDescent="0.25">
      <c r="A56" s="188" t="s">
        <v>116</v>
      </c>
      <c r="B56" s="1" t="s">
        <v>222</v>
      </c>
      <c r="C56" s="2">
        <v>2</v>
      </c>
      <c r="D56" s="16">
        <v>53</v>
      </c>
      <c r="E56" s="16">
        <v>8</v>
      </c>
      <c r="F56" s="96">
        <v>7.0000000000000007E-2</v>
      </c>
      <c r="G56" s="96">
        <v>0.59</v>
      </c>
      <c r="H56" s="96">
        <v>0.32</v>
      </c>
      <c r="I56" s="96">
        <v>0.01</v>
      </c>
      <c r="J56" s="96">
        <v>0.52</v>
      </c>
      <c r="K56" s="96">
        <v>0.49</v>
      </c>
      <c r="L56" s="96">
        <v>0.59</v>
      </c>
      <c r="M56" s="96">
        <v>0.37</v>
      </c>
      <c r="N56" s="96">
        <v>0.43</v>
      </c>
      <c r="O56" s="96">
        <v>0.44</v>
      </c>
      <c r="P56" s="16">
        <v>52</v>
      </c>
      <c r="Q56" s="16">
        <v>10</v>
      </c>
      <c r="R56" s="92">
        <v>0.11</v>
      </c>
      <c r="S56" s="92">
        <v>0.54</v>
      </c>
      <c r="T56" s="92">
        <v>0.31</v>
      </c>
      <c r="U56" s="92">
        <v>0.04</v>
      </c>
      <c r="V56" s="92">
        <v>0.42</v>
      </c>
      <c r="W56" s="92">
        <v>0.45</v>
      </c>
      <c r="X56" s="92">
        <v>0.56999999999999995</v>
      </c>
      <c r="Y56" s="92">
        <v>0.43</v>
      </c>
      <c r="Z56" s="92">
        <v>0.41</v>
      </c>
      <c r="AA56" s="92">
        <v>0.48</v>
      </c>
      <c r="AB56" s="16">
        <v>50</v>
      </c>
      <c r="AC56" s="16">
        <v>11</v>
      </c>
      <c r="AD56" s="96">
        <v>0.18</v>
      </c>
      <c r="AE56" s="96">
        <v>0.48</v>
      </c>
      <c r="AF56" s="96">
        <v>0.28999999999999998</v>
      </c>
      <c r="AG56" s="96">
        <v>0.05</v>
      </c>
      <c r="AH56" s="96">
        <v>0.44</v>
      </c>
      <c r="AI56" s="96">
        <v>0.46</v>
      </c>
      <c r="AJ56" s="96">
        <v>0.4</v>
      </c>
      <c r="AK56" s="96">
        <v>0.5</v>
      </c>
      <c r="AL56" s="96">
        <v>0.55000000000000004</v>
      </c>
      <c r="AM56" s="96">
        <v>0.47</v>
      </c>
      <c r="AN56" s="16">
        <v>51</v>
      </c>
      <c r="AO56" s="16">
        <v>11</v>
      </c>
      <c r="AP56" s="96">
        <v>0.19</v>
      </c>
      <c r="AQ56" s="96">
        <v>0.36</v>
      </c>
      <c r="AR56" s="96">
        <v>0.44</v>
      </c>
      <c r="AS56" s="96">
        <v>0.02</v>
      </c>
      <c r="AT56" s="96">
        <v>0.49</v>
      </c>
      <c r="AU56" s="96">
        <v>0.42</v>
      </c>
      <c r="AV56" s="96">
        <v>0.38</v>
      </c>
      <c r="AW56" s="96">
        <v>0.43</v>
      </c>
      <c r="AX56" s="96">
        <v>0.4</v>
      </c>
      <c r="AY56" s="96">
        <v>0.44</v>
      </c>
      <c r="AZ56" s="61">
        <v>50</v>
      </c>
      <c r="BA56" s="61">
        <v>9</v>
      </c>
      <c r="BB56" s="66">
        <v>0.2</v>
      </c>
      <c r="BC56" s="66">
        <v>0.53</v>
      </c>
      <c r="BD56" s="66">
        <v>0.26</v>
      </c>
      <c r="BE56" s="66">
        <v>0.01</v>
      </c>
      <c r="BF56" s="66">
        <v>0.45</v>
      </c>
      <c r="BG56" s="66">
        <v>0.5</v>
      </c>
      <c r="BH56" s="66">
        <v>0.48</v>
      </c>
      <c r="BI56" s="66">
        <v>0.57999999999999996</v>
      </c>
      <c r="BJ56" s="66">
        <v>0.42</v>
      </c>
      <c r="BK56" s="66">
        <v>0.41</v>
      </c>
      <c r="BL56" s="349">
        <v>53</v>
      </c>
      <c r="BM56" s="348" t="s">
        <v>910</v>
      </c>
      <c r="BN56" s="349">
        <v>10</v>
      </c>
      <c r="BO56" s="348" t="s">
        <v>910</v>
      </c>
      <c r="BP56" s="371">
        <v>0.1</v>
      </c>
      <c r="BQ56" s="371">
        <v>0.47</v>
      </c>
      <c r="BR56" s="371">
        <v>0.42</v>
      </c>
      <c r="BS56" s="371">
        <v>0.02</v>
      </c>
      <c r="BT56" s="371">
        <v>0.39</v>
      </c>
      <c r="BU56" s="371">
        <v>0.37</v>
      </c>
      <c r="BV56" s="371">
        <v>0.51</v>
      </c>
      <c r="BW56" s="371">
        <v>0.4</v>
      </c>
      <c r="BX56" s="371">
        <v>0.4</v>
      </c>
      <c r="BY56" s="371">
        <v>0.48</v>
      </c>
      <c r="BZ56" s="469">
        <v>54</v>
      </c>
      <c r="CA56" s="471" t="s">
        <v>910</v>
      </c>
      <c r="CB56" s="469">
        <v>11</v>
      </c>
      <c r="CC56" s="471" t="s">
        <v>910</v>
      </c>
      <c r="CD56" s="501">
        <v>0.14000000000000001</v>
      </c>
      <c r="CE56" s="501">
        <v>0.37</v>
      </c>
      <c r="CF56" s="501">
        <v>0.47</v>
      </c>
      <c r="CG56" s="501">
        <v>0.03</v>
      </c>
      <c r="CH56" s="501">
        <v>0.46</v>
      </c>
      <c r="CI56" s="501">
        <v>0.32</v>
      </c>
      <c r="CJ56" s="501">
        <v>0.51</v>
      </c>
      <c r="CK56" s="501">
        <v>0.46</v>
      </c>
      <c r="CL56" s="501">
        <v>0.4</v>
      </c>
      <c r="CM56" s="501">
        <v>0.5</v>
      </c>
      <c r="CN56" s="630">
        <v>53</v>
      </c>
      <c r="CO56" s="640" t="s">
        <v>910</v>
      </c>
      <c r="CP56" s="630">
        <v>10</v>
      </c>
      <c r="CQ56" s="640" t="s">
        <v>910</v>
      </c>
      <c r="CR56" s="644">
        <v>0.14000000000000001</v>
      </c>
      <c r="CS56" s="644">
        <v>0.46</v>
      </c>
      <c r="CT56" s="644">
        <v>0.39</v>
      </c>
      <c r="CU56" s="644">
        <v>0.01</v>
      </c>
      <c r="CV56" s="644">
        <v>0.33</v>
      </c>
      <c r="CW56" s="644">
        <v>0.44</v>
      </c>
      <c r="CX56" s="644">
        <v>0.55000000000000004</v>
      </c>
      <c r="CY56" s="644">
        <v>0.65</v>
      </c>
      <c r="CZ56" s="644">
        <v>0.61</v>
      </c>
      <c r="DA56" s="644">
        <v>0.47</v>
      </c>
    </row>
    <row r="57" spans="1:105" ht="24.9" customHeight="1" x14ac:dyDescent="0.25">
      <c r="A57" s="188" t="s">
        <v>151</v>
      </c>
      <c r="B57" s="1" t="s">
        <v>222</v>
      </c>
      <c r="C57" s="2">
        <v>3</v>
      </c>
      <c r="D57" s="16">
        <v>55</v>
      </c>
      <c r="E57" s="16">
        <v>8</v>
      </c>
      <c r="F57" s="96">
        <v>0.11</v>
      </c>
      <c r="G57" s="96">
        <v>0.37</v>
      </c>
      <c r="H57" s="96">
        <v>0.52</v>
      </c>
      <c r="I57" s="96">
        <v>0</v>
      </c>
      <c r="J57" s="96">
        <v>0.45</v>
      </c>
      <c r="K57" s="96">
        <v>0.45</v>
      </c>
      <c r="L57" s="96">
        <v>0.61</v>
      </c>
      <c r="M57" s="96">
        <v>0.3</v>
      </c>
      <c r="N57" s="96">
        <v>0.44</v>
      </c>
      <c r="O57" s="96">
        <v>0.45</v>
      </c>
      <c r="P57" s="16">
        <v>52</v>
      </c>
      <c r="Q57" s="16">
        <v>12</v>
      </c>
      <c r="R57" s="92">
        <v>0.14000000000000001</v>
      </c>
      <c r="S57" s="92">
        <v>0.43</v>
      </c>
      <c r="T57" s="92">
        <v>0.43</v>
      </c>
      <c r="U57" s="92">
        <v>0</v>
      </c>
      <c r="V57" s="92">
        <v>0.44</v>
      </c>
      <c r="W57" s="92">
        <v>0.5</v>
      </c>
      <c r="X57" s="92">
        <v>0.47</v>
      </c>
      <c r="Y57" s="92">
        <v>0.43</v>
      </c>
      <c r="Z57" s="92">
        <v>0.48</v>
      </c>
      <c r="AA57" s="92">
        <v>0.55000000000000004</v>
      </c>
      <c r="AB57" s="16">
        <v>51</v>
      </c>
      <c r="AC57" s="16">
        <v>7</v>
      </c>
      <c r="AD57" s="96">
        <v>0.04</v>
      </c>
      <c r="AE57" s="96">
        <v>0.65</v>
      </c>
      <c r="AF57" s="96">
        <v>0.3</v>
      </c>
      <c r="AG57" s="96">
        <v>0</v>
      </c>
      <c r="AH57" s="96">
        <v>0.39</v>
      </c>
      <c r="AI57" s="96">
        <v>0.35</v>
      </c>
      <c r="AJ57" s="96">
        <v>0.4</v>
      </c>
      <c r="AK57" s="96">
        <v>0.49</v>
      </c>
      <c r="AL57" s="96">
        <v>0.52</v>
      </c>
      <c r="AM57" s="96">
        <v>0.53</v>
      </c>
      <c r="AN57" s="16">
        <v>47</v>
      </c>
      <c r="AO57" s="16">
        <v>11</v>
      </c>
      <c r="AP57" s="96">
        <v>0.32</v>
      </c>
      <c r="AQ57" s="96">
        <v>0.45</v>
      </c>
      <c r="AR57" s="96">
        <v>0.23</v>
      </c>
      <c r="AS57" s="96">
        <v>0</v>
      </c>
      <c r="AT57" s="96">
        <v>0.67</v>
      </c>
      <c r="AU57" s="96">
        <v>0.54</v>
      </c>
      <c r="AV57" s="96">
        <v>0.48</v>
      </c>
      <c r="AW57" s="96">
        <v>0.5</v>
      </c>
      <c r="AX57" s="96">
        <v>0.47</v>
      </c>
      <c r="AY57" s="96">
        <v>0.48</v>
      </c>
      <c r="AZ57" s="61">
        <v>53</v>
      </c>
      <c r="BA57" s="61">
        <v>9</v>
      </c>
      <c r="BB57" s="66">
        <v>0.03</v>
      </c>
      <c r="BC57" s="66">
        <v>0.62</v>
      </c>
      <c r="BD57" s="66">
        <v>0.31</v>
      </c>
      <c r="BE57" s="66">
        <v>0.03</v>
      </c>
      <c r="BF57" s="66">
        <v>0.46</v>
      </c>
      <c r="BG57" s="66">
        <v>0.43</v>
      </c>
      <c r="BH57" s="66">
        <v>0.42</v>
      </c>
      <c r="BI57" s="66">
        <v>0.64</v>
      </c>
      <c r="BJ57" s="66">
        <v>0.37</v>
      </c>
      <c r="BK57" s="66">
        <v>0.31</v>
      </c>
      <c r="BL57" s="349">
        <v>49</v>
      </c>
      <c r="BM57" s="348" t="s">
        <v>910</v>
      </c>
      <c r="BN57" s="349">
        <v>11</v>
      </c>
      <c r="BO57" s="348" t="s">
        <v>910</v>
      </c>
      <c r="BP57" s="371">
        <v>0.24</v>
      </c>
      <c r="BQ57" s="371">
        <v>0.43</v>
      </c>
      <c r="BR57" s="371">
        <v>0.3</v>
      </c>
      <c r="BS57" s="371">
        <v>0.02</v>
      </c>
      <c r="BT57" s="371">
        <v>0.43</v>
      </c>
      <c r="BU57" s="371">
        <v>0.44</v>
      </c>
      <c r="BV57" s="371">
        <v>0.56000000000000005</v>
      </c>
      <c r="BW57" s="371">
        <v>0.44</v>
      </c>
      <c r="BX57" s="371">
        <v>0.49</v>
      </c>
      <c r="BY57" s="371">
        <v>0.52</v>
      </c>
      <c r="BZ57" s="469">
        <v>47</v>
      </c>
      <c r="CA57" s="471" t="s">
        <v>910</v>
      </c>
      <c r="CB57" s="469">
        <v>11</v>
      </c>
      <c r="CC57" s="471" t="s">
        <v>910</v>
      </c>
      <c r="CD57" s="501">
        <v>0.31</v>
      </c>
      <c r="CE57" s="501">
        <v>0.46</v>
      </c>
      <c r="CF57" s="501">
        <v>0.23</v>
      </c>
      <c r="CG57" s="501">
        <v>0</v>
      </c>
      <c r="CH57" s="501">
        <v>0.46</v>
      </c>
      <c r="CI57" s="501">
        <v>0.45</v>
      </c>
      <c r="CJ57" s="501">
        <v>0.55000000000000004</v>
      </c>
      <c r="CK57" s="501">
        <v>0.55000000000000004</v>
      </c>
      <c r="CL57" s="501">
        <v>0.41</v>
      </c>
      <c r="CM57" s="501">
        <v>0.55000000000000004</v>
      </c>
      <c r="CN57" s="630">
        <v>48</v>
      </c>
      <c r="CO57" s="640" t="s">
        <v>910</v>
      </c>
      <c r="CP57" s="630">
        <v>11</v>
      </c>
      <c r="CQ57" s="640" t="s">
        <v>910</v>
      </c>
      <c r="CR57" s="644">
        <v>0.26</v>
      </c>
      <c r="CS57" s="644">
        <v>0.53</v>
      </c>
      <c r="CT57" s="644">
        <v>0.16</v>
      </c>
      <c r="CU57" s="644">
        <v>0.05</v>
      </c>
      <c r="CV57" s="644">
        <v>0.38</v>
      </c>
      <c r="CW57" s="644">
        <v>0.55000000000000004</v>
      </c>
      <c r="CX57" s="644">
        <v>0.57999999999999996</v>
      </c>
      <c r="CY57" s="644">
        <v>0.56999999999999995</v>
      </c>
      <c r="CZ57" s="644">
        <v>0.62</v>
      </c>
      <c r="DA57" s="644">
        <v>0.43</v>
      </c>
    </row>
    <row r="58" spans="1:105" s="219" customFormat="1" ht="24.9" customHeight="1" x14ac:dyDescent="0.25">
      <c r="A58" s="188" t="s">
        <v>877</v>
      </c>
      <c r="B58" s="1" t="s">
        <v>222</v>
      </c>
      <c r="C58" s="2">
        <v>4</v>
      </c>
      <c r="D58" s="16"/>
      <c r="E58" s="16"/>
      <c r="F58" s="96"/>
      <c r="G58" s="96"/>
      <c r="H58" s="96"/>
      <c r="I58" s="96"/>
      <c r="J58" s="96"/>
      <c r="K58" s="96"/>
      <c r="L58" s="96"/>
      <c r="M58" s="96"/>
      <c r="N58" s="96"/>
      <c r="O58" s="96"/>
      <c r="P58" s="16"/>
      <c r="Q58" s="16"/>
      <c r="R58" s="92"/>
      <c r="S58" s="92"/>
      <c r="T58" s="92"/>
      <c r="U58" s="92"/>
      <c r="V58" s="92"/>
      <c r="W58" s="92"/>
      <c r="X58" s="92"/>
      <c r="Y58" s="92"/>
      <c r="Z58" s="92"/>
      <c r="AA58" s="92"/>
      <c r="AB58" s="16"/>
      <c r="AC58" s="16"/>
      <c r="AD58" s="96"/>
      <c r="AE58" s="96"/>
      <c r="AF58" s="96"/>
      <c r="AG58" s="96"/>
      <c r="AH58" s="96"/>
      <c r="AI58" s="96"/>
      <c r="AJ58" s="96"/>
      <c r="AK58" s="96"/>
      <c r="AL58" s="96"/>
      <c r="AM58" s="96"/>
      <c r="AN58" s="16"/>
      <c r="AO58" s="16"/>
      <c r="AP58" s="96"/>
      <c r="AQ58" s="96"/>
      <c r="AR58" s="96"/>
      <c r="AS58" s="96"/>
      <c r="AT58" s="96"/>
      <c r="AU58" s="96"/>
      <c r="AV58" s="96"/>
      <c r="AW58" s="96"/>
      <c r="AX58" s="96"/>
      <c r="AY58" s="96"/>
      <c r="AZ58" s="61"/>
      <c r="BA58" s="61"/>
      <c r="BB58" s="66"/>
      <c r="BC58" s="66"/>
      <c r="BD58" s="66"/>
      <c r="BE58" s="66"/>
      <c r="BF58" s="66"/>
      <c r="BG58" s="66"/>
      <c r="BH58" s="66"/>
      <c r="BI58" s="66"/>
      <c r="BJ58" s="66"/>
      <c r="BK58" s="66"/>
      <c r="BM58" s="336"/>
      <c r="BO58" s="336"/>
    </row>
    <row r="59" spans="1:105" ht="24.9" customHeight="1" x14ac:dyDescent="0.25">
      <c r="A59" s="188" t="s">
        <v>200</v>
      </c>
      <c r="B59" s="1" t="s">
        <v>222</v>
      </c>
      <c r="C59" s="2">
        <v>3</v>
      </c>
      <c r="D59" s="16">
        <v>54</v>
      </c>
      <c r="E59" s="16">
        <v>10</v>
      </c>
      <c r="F59" s="96">
        <v>0.1</v>
      </c>
      <c r="G59" s="96">
        <v>0.47</v>
      </c>
      <c r="H59" s="96">
        <v>0.4</v>
      </c>
      <c r="I59" s="96">
        <v>0.04</v>
      </c>
      <c r="J59" s="96">
        <v>0.49</v>
      </c>
      <c r="K59" s="96">
        <v>0.49</v>
      </c>
      <c r="L59" s="96">
        <v>0.43</v>
      </c>
      <c r="M59" s="96">
        <v>0.37</v>
      </c>
      <c r="N59" s="96">
        <v>0.37</v>
      </c>
      <c r="O59" s="96">
        <v>0.44</v>
      </c>
      <c r="P59" s="16">
        <v>56</v>
      </c>
      <c r="Q59" s="16">
        <v>9</v>
      </c>
      <c r="R59" s="92">
        <v>0.05</v>
      </c>
      <c r="S59" s="92">
        <v>0.43</v>
      </c>
      <c r="T59" s="92">
        <v>0.5</v>
      </c>
      <c r="U59" s="92">
        <v>0.02</v>
      </c>
      <c r="V59" s="92">
        <v>0.32</v>
      </c>
      <c r="W59" s="92">
        <v>0.4</v>
      </c>
      <c r="X59" s="92">
        <v>0.49</v>
      </c>
      <c r="Y59" s="92">
        <v>0.35</v>
      </c>
      <c r="Z59" s="92">
        <v>0.35</v>
      </c>
      <c r="AA59" s="92">
        <v>0.45</v>
      </c>
      <c r="AB59" s="16">
        <v>53</v>
      </c>
      <c r="AC59" s="16">
        <v>10</v>
      </c>
      <c r="AD59" s="96">
        <v>0.1</v>
      </c>
      <c r="AE59" s="96">
        <v>0.48</v>
      </c>
      <c r="AF59" s="96">
        <v>0.38</v>
      </c>
      <c r="AG59" s="96">
        <v>0.04</v>
      </c>
      <c r="AH59" s="96">
        <v>0.38</v>
      </c>
      <c r="AI59" s="96">
        <v>0.36</v>
      </c>
      <c r="AJ59" s="96">
        <v>0.33</v>
      </c>
      <c r="AK59" s="96">
        <v>0.44</v>
      </c>
      <c r="AL59" s="96">
        <v>0.46</v>
      </c>
      <c r="AM59" s="96">
        <v>0.44</v>
      </c>
      <c r="AN59" s="16">
        <v>54</v>
      </c>
      <c r="AO59" s="16">
        <v>10</v>
      </c>
      <c r="AP59" s="96">
        <v>0.13</v>
      </c>
      <c r="AQ59" s="96">
        <v>0.41</v>
      </c>
      <c r="AR59" s="96">
        <v>0.43</v>
      </c>
      <c r="AS59" s="96">
        <v>0.04</v>
      </c>
      <c r="AT59" s="96">
        <v>0.47</v>
      </c>
      <c r="AU59" s="96">
        <v>0.45</v>
      </c>
      <c r="AV59" s="96">
        <v>0.34</v>
      </c>
      <c r="AW59" s="96">
        <v>0.39</v>
      </c>
      <c r="AX59" s="96">
        <v>0.39</v>
      </c>
      <c r="AY59" s="96">
        <v>0.41</v>
      </c>
      <c r="AZ59" s="61">
        <v>56</v>
      </c>
      <c r="BA59" s="61">
        <v>11</v>
      </c>
      <c r="BB59" s="66">
        <v>0.11</v>
      </c>
      <c r="BC59" s="66">
        <v>0.32</v>
      </c>
      <c r="BD59" s="66">
        <v>0.48</v>
      </c>
      <c r="BE59" s="66">
        <v>0.09</v>
      </c>
      <c r="BF59" s="66">
        <v>0.41</v>
      </c>
      <c r="BG59" s="66">
        <v>0.33</v>
      </c>
      <c r="BH59" s="66">
        <v>0.37</v>
      </c>
      <c r="BI59" s="66">
        <v>0.45</v>
      </c>
      <c r="BJ59" s="66">
        <v>0.32</v>
      </c>
      <c r="BK59" s="66">
        <v>0.32</v>
      </c>
      <c r="BL59" s="349">
        <v>55</v>
      </c>
      <c r="BM59" s="348" t="s">
        <v>910</v>
      </c>
      <c r="BN59" s="349">
        <v>11</v>
      </c>
      <c r="BO59" s="348" t="s">
        <v>910</v>
      </c>
      <c r="BP59" s="371">
        <v>0.11</v>
      </c>
      <c r="BQ59" s="371">
        <v>0.41</v>
      </c>
      <c r="BR59" s="371">
        <v>0.43</v>
      </c>
      <c r="BS59" s="371">
        <v>0.05</v>
      </c>
      <c r="BT59" s="371">
        <v>0.37</v>
      </c>
      <c r="BU59" s="371">
        <v>0.36</v>
      </c>
      <c r="BV59" s="371">
        <v>0.42</v>
      </c>
      <c r="BW59" s="371">
        <v>0.35</v>
      </c>
      <c r="BX59" s="371">
        <v>0.37</v>
      </c>
      <c r="BY59" s="371">
        <v>0.44</v>
      </c>
      <c r="BZ59" s="469">
        <v>59</v>
      </c>
      <c r="CA59" s="471" t="s">
        <v>911</v>
      </c>
      <c r="CB59" s="469">
        <v>11</v>
      </c>
      <c r="CC59" s="471" t="s">
        <v>910</v>
      </c>
      <c r="CD59" s="501">
        <v>0.05</v>
      </c>
      <c r="CE59" s="501">
        <v>0.3</v>
      </c>
      <c r="CF59" s="501">
        <v>0.51</v>
      </c>
      <c r="CG59" s="501">
        <v>0.15</v>
      </c>
      <c r="CH59" s="501">
        <v>0.38</v>
      </c>
      <c r="CI59" s="501">
        <v>0.24</v>
      </c>
      <c r="CJ59" s="501">
        <v>0.45</v>
      </c>
      <c r="CK59" s="501">
        <v>0.42</v>
      </c>
      <c r="CL59" s="501">
        <v>0.31</v>
      </c>
      <c r="CM59" s="501">
        <v>0.42</v>
      </c>
      <c r="CN59" s="630">
        <v>55</v>
      </c>
      <c r="CO59" s="640" t="s">
        <v>910</v>
      </c>
      <c r="CP59" s="630">
        <v>9</v>
      </c>
      <c r="CQ59" s="640" t="s">
        <v>910</v>
      </c>
      <c r="CR59" s="644">
        <v>0.06</v>
      </c>
      <c r="CS59" s="644">
        <v>0.45</v>
      </c>
      <c r="CT59" s="644">
        <v>0.44</v>
      </c>
      <c r="CU59" s="644">
        <v>0.05</v>
      </c>
      <c r="CV59" s="644">
        <v>0.27</v>
      </c>
      <c r="CW59" s="644">
        <v>0.45</v>
      </c>
      <c r="CX59" s="644">
        <v>0.52</v>
      </c>
      <c r="CY59" s="644">
        <v>0.6</v>
      </c>
      <c r="CZ59" s="644">
        <v>0.49</v>
      </c>
      <c r="DA59" s="644">
        <v>0.54</v>
      </c>
    </row>
    <row r="60" spans="1:105" ht="24.9" customHeight="1" x14ac:dyDescent="0.25">
      <c r="A60" s="188" t="s">
        <v>175</v>
      </c>
      <c r="B60" s="1" t="s">
        <v>222</v>
      </c>
      <c r="C60" s="2">
        <v>2</v>
      </c>
      <c r="D60" s="16">
        <v>51</v>
      </c>
      <c r="E60" s="16">
        <v>8</v>
      </c>
      <c r="F60" s="96">
        <v>0.08</v>
      </c>
      <c r="G60" s="96">
        <v>0.69</v>
      </c>
      <c r="H60" s="96">
        <v>0.23</v>
      </c>
      <c r="I60" s="96">
        <v>0</v>
      </c>
      <c r="J60" s="96">
        <v>0.53</v>
      </c>
      <c r="K60" s="96">
        <v>0.51</v>
      </c>
      <c r="L60" s="96">
        <v>0.61</v>
      </c>
      <c r="M60" s="96">
        <v>0.4</v>
      </c>
      <c r="N60" s="96">
        <v>0.47</v>
      </c>
      <c r="O60" s="96">
        <v>0.5</v>
      </c>
      <c r="P60" s="16">
        <v>46</v>
      </c>
      <c r="Q60" s="16">
        <v>11</v>
      </c>
      <c r="R60" s="92">
        <v>0.37</v>
      </c>
      <c r="S60" s="92">
        <v>0.43</v>
      </c>
      <c r="T60" s="92">
        <v>0.17</v>
      </c>
      <c r="U60" s="92">
        <v>0.03</v>
      </c>
      <c r="V60" s="92">
        <v>0.47</v>
      </c>
      <c r="W60" s="92">
        <v>0.61</v>
      </c>
      <c r="X60" s="92">
        <v>0.61</v>
      </c>
      <c r="Y60" s="92">
        <v>0.52</v>
      </c>
      <c r="Z60" s="92">
        <v>0.52</v>
      </c>
      <c r="AA60" s="92">
        <v>0.55000000000000004</v>
      </c>
      <c r="AB60" s="16">
        <v>49</v>
      </c>
      <c r="AC60" s="16">
        <v>10</v>
      </c>
      <c r="AD60" s="96">
        <v>0.22</v>
      </c>
      <c r="AE60" s="96">
        <v>0.5</v>
      </c>
      <c r="AF60" s="96">
        <v>0.25</v>
      </c>
      <c r="AG60" s="96">
        <v>0.03</v>
      </c>
      <c r="AH60" s="96">
        <v>0.42</v>
      </c>
      <c r="AI60" s="96">
        <v>0.47</v>
      </c>
      <c r="AJ60" s="96">
        <v>0.42</v>
      </c>
      <c r="AK60" s="96">
        <v>0.48</v>
      </c>
      <c r="AL60" s="96">
        <v>0.52</v>
      </c>
      <c r="AM60" s="96">
        <v>0.56999999999999995</v>
      </c>
      <c r="AN60" s="16">
        <v>52</v>
      </c>
      <c r="AO60" s="16">
        <v>10</v>
      </c>
      <c r="AP60" s="96">
        <v>0.12</v>
      </c>
      <c r="AQ60" s="96">
        <v>0.5</v>
      </c>
      <c r="AR60" s="96">
        <v>0.35</v>
      </c>
      <c r="AS60" s="96">
        <v>0.04</v>
      </c>
      <c r="AT60" s="96">
        <v>0.46</v>
      </c>
      <c r="AU60" s="96">
        <v>0.4</v>
      </c>
      <c r="AV60" s="96">
        <v>0.39</v>
      </c>
      <c r="AW60" s="96">
        <v>0.42</v>
      </c>
      <c r="AX60" s="96">
        <v>0.48</v>
      </c>
      <c r="AY60" s="96">
        <v>0.43</v>
      </c>
      <c r="AZ60" s="61">
        <v>49</v>
      </c>
      <c r="BA60" s="61">
        <v>11</v>
      </c>
      <c r="BB60" s="66">
        <v>0.22</v>
      </c>
      <c r="BC60" s="66">
        <v>0.5</v>
      </c>
      <c r="BD60" s="66">
        <v>0.28000000000000003</v>
      </c>
      <c r="BE60" s="66">
        <v>0</v>
      </c>
      <c r="BF60" s="66">
        <v>0.56000000000000005</v>
      </c>
      <c r="BG60" s="66">
        <v>0.51</v>
      </c>
      <c r="BH60" s="66">
        <v>0.46</v>
      </c>
      <c r="BI60" s="66">
        <v>0.52</v>
      </c>
      <c r="BJ60" s="66">
        <v>0.38</v>
      </c>
      <c r="BK60" s="66">
        <v>0.48</v>
      </c>
      <c r="BL60" s="349">
        <v>50</v>
      </c>
      <c r="BM60" s="348" t="s">
        <v>910</v>
      </c>
      <c r="BN60" s="349">
        <v>12</v>
      </c>
      <c r="BO60" s="348" t="s">
        <v>910</v>
      </c>
      <c r="BP60" s="371">
        <v>0.34</v>
      </c>
      <c r="BQ60" s="371">
        <v>0.25</v>
      </c>
      <c r="BR60" s="371">
        <v>0.38</v>
      </c>
      <c r="BS60" s="371">
        <v>0.03</v>
      </c>
      <c r="BT60" s="371">
        <v>0.49</v>
      </c>
      <c r="BU60" s="371">
        <v>0.42</v>
      </c>
      <c r="BV60" s="371">
        <v>0.6</v>
      </c>
      <c r="BW60" s="371">
        <v>0.4</v>
      </c>
      <c r="BX60" s="371">
        <v>0.45</v>
      </c>
      <c r="BY60" s="371">
        <v>0.52</v>
      </c>
      <c r="BZ60" s="469">
        <v>54</v>
      </c>
      <c r="CA60" s="471" t="s">
        <v>910</v>
      </c>
      <c r="CB60" s="469">
        <v>10</v>
      </c>
      <c r="CC60" s="471" t="s">
        <v>910</v>
      </c>
      <c r="CD60" s="501">
        <v>0.08</v>
      </c>
      <c r="CE60" s="501">
        <v>0.45</v>
      </c>
      <c r="CF60" s="501">
        <v>0.45</v>
      </c>
      <c r="CG60" s="501">
        <v>0.03</v>
      </c>
      <c r="CH60" s="501">
        <v>0.41</v>
      </c>
      <c r="CI60" s="501">
        <v>0.25</v>
      </c>
      <c r="CJ60" s="501">
        <v>0.56000000000000005</v>
      </c>
      <c r="CK60" s="501">
        <v>0.5</v>
      </c>
      <c r="CL60" s="501">
        <v>0.44</v>
      </c>
      <c r="CM60" s="501">
        <v>0.52</v>
      </c>
      <c r="CN60" s="630">
        <v>55</v>
      </c>
      <c r="CO60" s="640" t="s">
        <v>910</v>
      </c>
      <c r="CP60" s="630">
        <v>10</v>
      </c>
      <c r="CQ60" s="640" t="s">
        <v>910</v>
      </c>
      <c r="CR60" s="644">
        <v>0.09</v>
      </c>
      <c r="CS60" s="644">
        <v>0.39</v>
      </c>
      <c r="CT60" s="644">
        <v>0.45</v>
      </c>
      <c r="CU60" s="644">
        <v>0.06</v>
      </c>
      <c r="CV60" s="644">
        <v>0.24</v>
      </c>
      <c r="CW60" s="644">
        <v>0.47</v>
      </c>
      <c r="CX60" s="644">
        <v>0.51</v>
      </c>
      <c r="CY60" s="644">
        <v>0.7</v>
      </c>
      <c r="CZ60" s="644">
        <v>0.54</v>
      </c>
      <c r="DA60" s="644">
        <v>0.65</v>
      </c>
    </row>
    <row r="61" spans="1:105" ht="24.9" customHeight="1" x14ac:dyDescent="0.25">
      <c r="A61" s="188" t="s">
        <v>84</v>
      </c>
      <c r="B61" s="1" t="s">
        <v>222</v>
      </c>
      <c r="C61" s="2">
        <v>2</v>
      </c>
      <c r="D61" s="16">
        <v>58</v>
      </c>
      <c r="E61" s="16">
        <v>5</v>
      </c>
      <c r="F61" s="96">
        <v>0</v>
      </c>
      <c r="G61" s="96">
        <v>0.3</v>
      </c>
      <c r="H61" s="96">
        <v>0.7</v>
      </c>
      <c r="I61" s="96">
        <v>0</v>
      </c>
      <c r="J61" s="96">
        <v>0.44</v>
      </c>
      <c r="K61" s="96">
        <v>0.34</v>
      </c>
      <c r="L61" s="96">
        <v>0.45</v>
      </c>
      <c r="M61" s="96">
        <v>0.28999999999999998</v>
      </c>
      <c r="N61" s="96">
        <v>0.3</v>
      </c>
      <c r="O61" s="96">
        <v>0.47</v>
      </c>
      <c r="P61" s="16">
        <v>58</v>
      </c>
      <c r="Q61" s="16">
        <v>6</v>
      </c>
      <c r="R61" s="92">
        <v>0</v>
      </c>
      <c r="S61" s="92">
        <v>0.26</v>
      </c>
      <c r="T61" s="92">
        <v>0.74</v>
      </c>
      <c r="U61" s="92">
        <v>0</v>
      </c>
      <c r="V61" s="92">
        <v>0.26</v>
      </c>
      <c r="W61" s="92">
        <v>0.31</v>
      </c>
      <c r="X61" s="92">
        <v>0.49</v>
      </c>
      <c r="Y61" s="92">
        <v>0.36</v>
      </c>
      <c r="Z61" s="92">
        <v>0.35</v>
      </c>
      <c r="AA61" s="92">
        <v>0.46</v>
      </c>
      <c r="AB61" s="16">
        <v>63</v>
      </c>
      <c r="AC61" s="16">
        <v>7</v>
      </c>
      <c r="AD61" s="96">
        <v>0</v>
      </c>
      <c r="AE61" s="96">
        <v>0.19</v>
      </c>
      <c r="AF61" s="96">
        <v>0.63</v>
      </c>
      <c r="AG61" s="96">
        <v>0.19</v>
      </c>
      <c r="AH61" s="96">
        <v>0.26</v>
      </c>
      <c r="AI61" s="96">
        <v>0.15</v>
      </c>
      <c r="AJ61" s="96">
        <v>0.18</v>
      </c>
      <c r="AK61" s="96">
        <v>0.28999999999999998</v>
      </c>
      <c r="AL61" s="96">
        <v>0.35</v>
      </c>
      <c r="AM61" s="96">
        <v>0.25</v>
      </c>
      <c r="AN61" s="16">
        <v>55</v>
      </c>
      <c r="AO61" s="16">
        <v>10</v>
      </c>
      <c r="AP61" s="96">
        <v>0.05</v>
      </c>
      <c r="AQ61" s="96">
        <v>0.45</v>
      </c>
      <c r="AR61" s="96">
        <v>0.45</v>
      </c>
      <c r="AS61" s="96">
        <v>0.05</v>
      </c>
      <c r="AT61" s="96">
        <v>0.52</v>
      </c>
      <c r="AU61" s="96">
        <v>0.31</v>
      </c>
      <c r="AV61" s="96">
        <v>0.32</v>
      </c>
      <c r="AW61" s="96">
        <v>0.36</v>
      </c>
      <c r="AX61" s="96">
        <v>0.3</v>
      </c>
      <c r="AY61" s="96">
        <v>0.42</v>
      </c>
      <c r="AZ61" s="61">
        <v>58</v>
      </c>
      <c r="BA61" s="61">
        <v>8</v>
      </c>
      <c r="BB61" s="66">
        <v>0.04</v>
      </c>
      <c r="BC61" s="66">
        <v>0.3</v>
      </c>
      <c r="BD61" s="66">
        <v>0.63</v>
      </c>
      <c r="BE61" s="66">
        <v>0.04</v>
      </c>
      <c r="BF61" s="66">
        <v>0.32</v>
      </c>
      <c r="BG61" s="66">
        <v>0.31</v>
      </c>
      <c r="BH61" s="66">
        <v>0.32</v>
      </c>
      <c r="BI61" s="66">
        <v>0.37</v>
      </c>
      <c r="BJ61" s="66">
        <v>0.32</v>
      </c>
      <c r="BK61" s="66">
        <v>0.26</v>
      </c>
      <c r="BL61" s="349">
        <v>57</v>
      </c>
      <c r="BM61" s="348" t="s">
        <v>911</v>
      </c>
      <c r="BN61" s="349">
        <v>12</v>
      </c>
      <c r="BO61" s="348" t="s">
        <v>910</v>
      </c>
      <c r="BP61" s="371">
        <v>0.05</v>
      </c>
      <c r="BQ61" s="371">
        <v>0.38</v>
      </c>
      <c r="BR61" s="371">
        <v>0.48</v>
      </c>
      <c r="BS61" s="371">
        <v>0.1</v>
      </c>
      <c r="BT61" s="371">
        <v>0.4</v>
      </c>
      <c r="BU61" s="371">
        <v>0.4</v>
      </c>
      <c r="BV61" s="371">
        <v>0.38</v>
      </c>
      <c r="BW61" s="371">
        <v>0.35</v>
      </c>
      <c r="BX61" s="371">
        <v>0.32</v>
      </c>
      <c r="BY61" s="371">
        <v>0.37</v>
      </c>
      <c r="BZ61" s="469">
        <v>58</v>
      </c>
      <c r="CA61" s="471" t="s">
        <v>911</v>
      </c>
      <c r="CB61" s="469">
        <v>8</v>
      </c>
      <c r="CC61" s="471" t="s">
        <v>910</v>
      </c>
      <c r="CD61" s="501">
        <v>0.05</v>
      </c>
      <c r="CE61" s="501">
        <v>0.25</v>
      </c>
      <c r="CF61" s="501">
        <v>0.7</v>
      </c>
      <c r="CG61" s="501">
        <v>0</v>
      </c>
      <c r="CH61" s="501">
        <v>0.36</v>
      </c>
      <c r="CI61" s="501">
        <v>0.43</v>
      </c>
      <c r="CJ61" s="501">
        <v>0.4</v>
      </c>
      <c r="CK61" s="501">
        <v>0.46</v>
      </c>
      <c r="CL61" s="501">
        <v>0.3</v>
      </c>
      <c r="CM61" s="501">
        <v>0.47</v>
      </c>
      <c r="CN61" s="630">
        <v>60</v>
      </c>
      <c r="CO61" s="640" t="s">
        <v>911</v>
      </c>
      <c r="CP61" s="630">
        <v>10</v>
      </c>
      <c r="CQ61" s="640" t="s">
        <v>910</v>
      </c>
      <c r="CR61" s="644">
        <v>0</v>
      </c>
      <c r="CS61" s="644">
        <v>0.31</v>
      </c>
      <c r="CT61" s="644">
        <v>0.5</v>
      </c>
      <c r="CU61" s="644">
        <v>0.19</v>
      </c>
      <c r="CV61" s="644">
        <v>0.19</v>
      </c>
      <c r="CW61" s="644">
        <v>0.28000000000000003</v>
      </c>
      <c r="CX61" s="644">
        <v>0.48</v>
      </c>
      <c r="CY61" s="644">
        <v>0.5</v>
      </c>
      <c r="CZ61" s="644">
        <v>0.3</v>
      </c>
      <c r="DA61" s="644">
        <v>0.43</v>
      </c>
    </row>
    <row r="62" spans="1:105" ht="24.9" customHeight="1" x14ac:dyDescent="0.25">
      <c r="A62" s="188" t="s">
        <v>186</v>
      </c>
      <c r="B62" s="1" t="s">
        <v>222</v>
      </c>
      <c r="C62" s="2">
        <v>1</v>
      </c>
      <c r="D62" s="16">
        <v>43</v>
      </c>
      <c r="E62" s="16">
        <v>8</v>
      </c>
      <c r="F62" s="96">
        <v>0.46</v>
      </c>
      <c r="G62" s="96">
        <v>0.54</v>
      </c>
      <c r="H62" s="96">
        <v>0</v>
      </c>
      <c r="I62" s="96">
        <v>0</v>
      </c>
      <c r="J62" s="96">
        <v>0.65</v>
      </c>
      <c r="K62" s="96">
        <v>0.62</v>
      </c>
      <c r="L62" s="96">
        <v>0.72</v>
      </c>
      <c r="M62" s="96">
        <v>0.59</v>
      </c>
      <c r="N62" s="96">
        <v>0.48</v>
      </c>
      <c r="O62" s="96">
        <v>0.72</v>
      </c>
      <c r="P62" s="16">
        <v>46</v>
      </c>
      <c r="Q62" s="16">
        <v>7</v>
      </c>
      <c r="R62" s="92">
        <v>0.2</v>
      </c>
      <c r="S62" s="92">
        <v>0.7</v>
      </c>
      <c r="T62" s="92">
        <v>0.1</v>
      </c>
      <c r="U62" s="92">
        <v>0</v>
      </c>
      <c r="V62" s="92">
        <v>0.49</v>
      </c>
      <c r="W62" s="92">
        <v>0.59</v>
      </c>
      <c r="X62" s="92">
        <v>0.71</v>
      </c>
      <c r="Y62" s="92">
        <v>0.52</v>
      </c>
      <c r="Z62" s="92">
        <v>0.53</v>
      </c>
      <c r="AA62" s="92">
        <v>0.63</v>
      </c>
      <c r="AB62" s="16">
        <v>47</v>
      </c>
      <c r="AC62" s="16">
        <v>11</v>
      </c>
      <c r="AD62" s="96">
        <v>0.37</v>
      </c>
      <c r="AE62" s="96">
        <v>0.37</v>
      </c>
      <c r="AF62" s="96">
        <v>0.26</v>
      </c>
      <c r="AG62" s="96">
        <v>0</v>
      </c>
      <c r="AH62" s="96">
        <v>0.46</v>
      </c>
      <c r="AI62" s="96">
        <v>0.47</v>
      </c>
      <c r="AJ62" s="96">
        <v>0.48</v>
      </c>
      <c r="AK62" s="96">
        <v>0.54</v>
      </c>
      <c r="AL62" s="96">
        <v>0.6</v>
      </c>
      <c r="AM62" s="96">
        <v>0.51</v>
      </c>
      <c r="AN62" s="16">
        <v>40</v>
      </c>
      <c r="AO62" s="16">
        <v>8</v>
      </c>
      <c r="AP62" s="96">
        <v>0.59</v>
      </c>
      <c r="AQ62" s="96">
        <v>0.35</v>
      </c>
      <c r="AR62" s="96">
        <v>0.06</v>
      </c>
      <c r="AS62" s="96">
        <v>0</v>
      </c>
      <c r="AT62" s="96">
        <v>0.55000000000000004</v>
      </c>
      <c r="AU62" s="96">
        <v>0.69</v>
      </c>
      <c r="AV62" s="96">
        <v>0.55000000000000004</v>
      </c>
      <c r="AW62" s="96">
        <v>0.59</v>
      </c>
      <c r="AX62" s="96">
        <v>0.7</v>
      </c>
      <c r="AY62" s="96">
        <v>0.63</v>
      </c>
      <c r="AZ62" s="61">
        <v>42</v>
      </c>
      <c r="BA62" s="61">
        <v>9</v>
      </c>
      <c r="BB62" s="66">
        <v>0.53</v>
      </c>
      <c r="BC62" s="66">
        <v>0.47</v>
      </c>
      <c r="BD62" s="66">
        <v>0</v>
      </c>
      <c r="BE62" s="66">
        <v>0</v>
      </c>
      <c r="BF62" s="66">
        <v>0.61</v>
      </c>
      <c r="BG62" s="66">
        <v>0.56999999999999995</v>
      </c>
      <c r="BH62" s="66">
        <v>0.66</v>
      </c>
      <c r="BI62" s="66">
        <v>0.59</v>
      </c>
      <c r="BJ62" s="66">
        <v>0.56000000000000005</v>
      </c>
      <c r="BK62" s="66">
        <v>0.61</v>
      </c>
      <c r="BL62" s="349">
        <v>43</v>
      </c>
      <c r="BM62" s="348" t="s">
        <v>910</v>
      </c>
      <c r="BN62" s="349">
        <v>7</v>
      </c>
      <c r="BO62" s="348" t="s">
        <v>912</v>
      </c>
      <c r="BP62" s="371">
        <v>0.25</v>
      </c>
      <c r="BQ62" s="371">
        <v>0.75</v>
      </c>
      <c r="BR62" s="371">
        <v>0</v>
      </c>
      <c r="BS62" s="371">
        <v>0</v>
      </c>
      <c r="BT62" s="371">
        <v>0.61</v>
      </c>
      <c r="BU62" s="371">
        <v>0.61</v>
      </c>
      <c r="BV62" s="371">
        <v>0.6</v>
      </c>
      <c r="BW62" s="371">
        <v>0.52</v>
      </c>
      <c r="BX62" s="371">
        <v>0.51</v>
      </c>
      <c r="BY62" s="371">
        <v>0.63</v>
      </c>
      <c r="BZ62" s="469">
        <v>41</v>
      </c>
      <c r="CA62" s="471" t="s">
        <v>912</v>
      </c>
      <c r="CB62" s="469">
        <v>11</v>
      </c>
      <c r="CC62" s="471" t="s">
        <v>910</v>
      </c>
      <c r="CD62" s="501">
        <v>0.56000000000000005</v>
      </c>
      <c r="CE62" s="501">
        <v>0.25</v>
      </c>
      <c r="CF62" s="501">
        <v>0.19</v>
      </c>
      <c r="CG62" s="501">
        <v>0</v>
      </c>
      <c r="CH62" s="501">
        <v>0.57999999999999996</v>
      </c>
      <c r="CI62" s="501">
        <v>0.44</v>
      </c>
      <c r="CJ62" s="501">
        <v>0.59</v>
      </c>
      <c r="CK62" s="501">
        <v>0.64</v>
      </c>
      <c r="CL62" s="501">
        <v>0.59</v>
      </c>
      <c r="CM62" s="501">
        <v>0.71</v>
      </c>
      <c r="CN62" s="630">
        <v>47</v>
      </c>
      <c r="CO62" s="640" t="s">
        <v>910</v>
      </c>
      <c r="CP62" s="630">
        <v>2</v>
      </c>
      <c r="CQ62" s="640" t="s">
        <v>912</v>
      </c>
      <c r="CR62" s="644">
        <v>0</v>
      </c>
      <c r="CS62" s="644">
        <v>1</v>
      </c>
      <c r="CT62" s="644">
        <v>0</v>
      </c>
      <c r="CU62" s="644">
        <v>0</v>
      </c>
      <c r="CV62" s="644">
        <v>0.52</v>
      </c>
      <c r="CW62" s="644">
        <v>0.64</v>
      </c>
      <c r="CX62" s="644">
        <v>0.63</v>
      </c>
      <c r="CY62" s="644">
        <v>0.75</v>
      </c>
      <c r="CZ62" s="644">
        <v>0.65</v>
      </c>
      <c r="DA62" s="644">
        <v>0.56000000000000005</v>
      </c>
    </row>
    <row r="63" spans="1:105" ht="24.9" customHeight="1" x14ac:dyDescent="0.25">
      <c r="A63" s="188" t="s">
        <v>162</v>
      </c>
      <c r="B63" s="1" t="s">
        <v>222</v>
      </c>
      <c r="C63" s="2">
        <v>4</v>
      </c>
      <c r="D63" s="16">
        <v>52</v>
      </c>
      <c r="E63" s="16">
        <v>10</v>
      </c>
      <c r="F63" s="96">
        <v>0.12</v>
      </c>
      <c r="G63" s="96">
        <v>0.51</v>
      </c>
      <c r="H63" s="96">
        <v>0.34</v>
      </c>
      <c r="I63" s="96">
        <v>0.02</v>
      </c>
      <c r="J63" s="96">
        <v>0.56999999999999995</v>
      </c>
      <c r="K63" s="96">
        <v>0.5</v>
      </c>
      <c r="L63" s="96">
        <v>0.53</v>
      </c>
      <c r="M63" s="96">
        <v>0.38</v>
      </c>
      <c r="N63" s="96">
        <v>0.38</v>
      </c>
      <c r="O63" s="96">
        <v>0.51</v>
      </c>
      <c r="P63" s="16">
        <v>49</v>
      </c>
      <c r="Q63" s="16">
        <v>8</v>
      </c>
      <c r="R63" s="92">
        <v>0.13</v>
      </c>
      <c r="S63" s="92">
        <v>0.56000000000000005</v>
      </c>
      <c r="T63" s="92">
        <v>0.31</v>
      </c>
      <c r="U63" s="92">
        <v>0</v>
      </c>
      <c r="V63" s="92">
        <v>0.5</v>
      </c>
      <c r="W63" s="92">
        <v>0.51</v>
      </c>
      <c r="X63" s="92">
        <v>0.63</v>
      </c>
      <c r="Y63" s="92">
        <v>0.49</v>
      </c>
      <c r="Z63" s="92">
        <v>0.44</v>
      </c>
      <c r="AA63" s="92">
        <v>0.48</v>
      </c>
      <c r="AB63" s="16">
        <v>50</v>
      </c>
      <c r="AC63" s="16">
        <v>11</v>
      </c>
      <c r="AD63" s="96">
        <v>0.21</v>
      </c>
      <c r="AE63" s="96">
        <v>0.47</v>
      </c>
      <c r="AF63" s="96">
        <v>0.3</v>
      </c>
      <c r="AG63" s="96">
        <v>0.02</v>
      </c>
      <c r="AH63" s="96">
        <v>0.44</v>
      </c>
      <c r="AI63" s="96">
        <v>0.41</v>
      </c>
      <c r="AJ63" s="96">
        <v>0.4</v>
      </c>
      <c r="AK63" s="96">
        <v>0.48</v>
      </c>
      <c r="AL63" s="96">
        <v>0.49</v>
      </c>
      <c r="AM63" s="96">
        <v>0.56999999999999995</v>
      </c>
      <c r="AN63" s="16">
        <v>47</v>
      </c>
      <c r="AO63" s="16">
        <v>10</v>
      </c>
      <c r="AP63" s="96">
        <v>0.27</v>
      </c>
      <c r="AQ63" s="96">
        <v>0.54</v>
      </c>
      <c r="AR63" s="96">
        <v>0.19</v>
      </c>
      <c r="AS63" s="96">
        <v>0</v>
      </c>
      <c r="AT63" s="96">
        <v>0.61</v>
      </c>
      <c r="AU63" s="96">
        <v>0.56000000000000005</v>
      </c>
      <c r="AV63" s="96">
        <v>0.42</v>
      </c>
      <c r="AW63" s="96">
        <v>0.5</v>
      </c>
      <c r="AX63" s="96">
        <v>0.54</v>
      </c>
      <c r="AY63" s="96">
        <v>0.49</v>
      </c>
      <c r="AZ63" s="61">
        <v>52</v>
      </c>
      <c r="BA63" s="61">
        <v>12</v>
      </c>
      <c r="BB63" s="66">
        <v>0.22</v>
      </c>
      <c r="BC63" s="66">
        <v>0.27</v>
      </c>
      <c r="BD63" s="66">
        <v>0.49</v>
      </c>
      <c r="BE63" s="66">
        <v>0.02</v>
      </c>
      <c r="BF63" s="66">
        <v>0.52</v>
      </c>
      <c r="BG63" s="66">
        <v>0.44</v>
      </c>
      <c r="BH63" s="66">
        <v>0.46</v>
      </c>
      <c r="BI63" s="66">
        <v>0.43</v>
      </c>
      <c r="BJ63" s="66">
        <v>0.41</v>
      </c>
      <c r="BK63" s="66">
        <v>0.35</v>
      </c>
      <c r="BL63" s="349">
        <v>50</v>
      </c>
      <c r="BM63" s="348" t="s">
        <v>910</v>
      </c>
      <c r="BN63" s="349">
        <v>12</v>
      </c>
      <c r="BO63" s="348" t="s">
        <v>910</v>
      </c>
      <c r="BP63" s="371">
        <v>0.23</v>
      </c>
      <c r="BQ63" s="371">
        <v>0.43</v>
      </c>
      <c r="BR63" s="371">
        <v>0.33</v>
      </c>
      <c r="BS63" s="371">
        <v>0.03</v>
      </c>
      <c r="BT63" s="371">
        <v>0.41</v>
      </c>
      <c r="BU63" s="371">
        <v>0.43</v>
      </c>
      <c r="BV63" s="371">
        <v>0.47</v>
      </c>
      <c r="BW63" s="371">
        <v>0.45</v>
      </c>
      <c r="BX63" s="371">
        <v>0.45</v>
      </c>
      <c r="BY63" s="371">
        <v>0.53</v>
      </c>
      <c r="BZ63" s="469">
        <v>51</v>
      </c>
      <c r="CA63" s="471" t="s">
        <v>910</v>
      </c>
      <c r="CB63" s="469">
        <v>11</v>
      </c>
      <c r="CC63" s="471" t="s">
        <v>910</v>
      </c>
      <c r="CD63" s="501">
        <v>0.16</v>
      </c>
      <c r="CE63" s="501">
        <v>0.51</v>
      </c>
      <c r="CF63" s="501">
        <v>0.3</v>
      </c>
      <c r="CG63" s="501">
        <v>0.03</v>
      </c>
      <c r="CH63" s="501">
        <v>0.36</v>
      </c>
      <c r="CI63" s="501">
        <v>0.46</v>
      </c>
      <c r="CJ63" s="501">
        <v>0.53</v>
      </c>
      <c r="CK63" s="501">
        <v>0.53</v>
      </c>
      <c r="CL63" s="501">
        <v>0.45</v>
      </c>
      <c r="CM63" s="501">
        <v>0.6</v>
      </c>
      <c r="CN63" s="630">
        <v>50</v>
      </c>
      <c r="CO63" s="640" t="s">
        <v>910</v>
      </c>
      <c r="CP63" s="630">
        <v>9</v>
      </c>
      <c r="CQ63" s="640" t="s">
        <v>910</v>
      </c>
      <c r="CR63" s="644">
        <v>0.17</v>
      </c>
      <c r="CS63" s="644">
        <v>0.48</v>
      </c>
      <c r="CT63" s="644">
        <v>0.36</v>
      </c>
      <c r="CU63" s="644">
        <v>0</v>
      </c>
      <c r="CV63" s="644">
        <v>0.39</v>
      </c>
      <c r="CW63" s="644">
        <v>0.6</v>
      </c>
      <c r="CX63" s="644">
        <v>0.53</v>
      </c>
      <c r="CY63" s="644">
        <v>0.67</v>
      </c>
      <c r="CZ63" s="644">
        <v>0.48</v>
      </c>
      <c r="DA63" s="644">
        <v>0.56999999999999995</v>
      </c>
    </row>
    <row r="64" spans="1:105" ht="24.9" customHeight="1" x14ac:dyDescent="0.25">
      <c r="A64" s="188" t="s">
        <v>114</v>
      </c>
      <c r="B64" s="1" t="s">
        <v>222</v>
      </c>
      <c r="C64" s="2">
        <v>3</v>
      </c>
      <c r="D64" s="16">
        <v>54</v>
      </c>
      <c r="E64" s="16">
        <v>8</v>
      </c>
      <c r="F64" s="96">
        <v>0.09</v>
      </c>
      <c r="G64" s="96">
        <v>0.51</v>
      </c>
      <c r="H64" s="96">
        <v>0.4</v>
      </c>
      <c r="I64" s="96">
        <v>0</v>
      </c>
      <c r="J64" s="96">
        <v>0.47</v>
      </c>
      <c r="K64" s="96">
        <v>0.46</v>
      </c>
      <c r="L64" s="96">
        <v>0.57999999999999996</v>
      </c>
      <c r="M64" s="96">
        <v>0.38</v>
      </c>
      <c r="N64" s="96">
        <v>0.44</v>
      </c>
      <c r="O64" s="96">
        <v>0.45</v>
      </c>
      <c r="P64" s="16">
        <v>56</v>
      </c>
      <c r="Q64" s="16">
        <v>9</v>
      </c>
      <c r="R64" s="92">
        <v>0</v>
      </c>
      <c r="S64" s="92">
        <v>0.5</v>
      </c>
      <c r="T64" s="92">
        <v>0.42</v>
      </c>
      <c r="U64" s="92">
        <v>0.08</v>
      </c>
      <c r="V64" s="92">
        <v>0.34</v>
      </c>
      <c r="W64" s="92">
        <v>0.43</v>
      </c>
      <c r="X64" s="92">
        <v>0.48</v>
      </c>
      <c r="Y64" s="92">
        <v>0.36</v>
      </c>
      <c r="Z64" s="92">
        <v>0.38</v>
      </c>
      <c r="AA64" s="92">
        <v>0.36</v>
      </c>
      <c r="AB64" s="16">
        <v>54</v>
      </c>
      <c r="AC64" s="16">
        <v>10</v>
      </c>
      <c r="AD64" s="96">
        <v>0.14000000000000001</v>
      </c>
      <c r="AE64" s="96">
        <v>0.4</v>
      </c>
      <c r="AF64" s="96">
        <v>0.42</v>
      </c>
      <c r="AG64" s="96">
        <v>0.04</v>
      </c>
      <c r="AH64" s="96">
        <v>0.33</v>
      </c>
      <c r="AI64" s="96">
        <v>0.36</v>
      </c>
      <c r="AJ64" s="96">
        <v>0.37</v>
      </c>
      <c r="AK64" s="96">
        <v>0.43</v>
      </c>
      <c r="AL64" s="96">
        <v>0.61</v>
      </c>
      <c r="AM64" s="96">
        <v>0.42</v>
      </c>
      <c r="AN64" s="16">
        <v>54</v>
      </c>
      <c r="AO64" s="16">
        <v>10</v>
      </c>
      <c r="AP64" s="96">
        <v>0.09</v>
      </c>
      <c r="AQ64" s="96">
        <v>0.43</v>
      </c>
      <c r="AR64" s="96">
        <v>0.43</v>
      </c>
      <c r="AS64" s="96">
        <v>0.06</v>
      </c>
      <c r="AT64" s="96">
        <v>0.42</v>
      </c>
      <c r="AU64" s="96">
        <v>0.34</v>
      </c>
      <c r="AV64" s="96">
        <v>0.34</v>
      </c>
      <c r="AW64" s="96">
        <v>0.42</v>
      </c>
      <c r="AX64" s="96">
        <v>0.36</v>
      </c>
      <c r="AY64" s="96">
        <v>0.39</v>
      </c>
      <c r="AZ64" s="61">
        <v>57</v>
      </c>
      <c r="BA64" s="61">
        <v>10</v>
      </c>
      <c r="BB64" s="66">
        <v>0.05</v>
      </c>
      <c r="BC64" s="66">
        <v>0.37</v>
      </c>
      <c r="BD64" s="66">
        <v>0.55000000000000004</v>
      </c>
      <c r="BE64" s="66">
        <v>0.03</v>
      </c>
      <c r="BF64" s="66">
        <v>0.4</v>
      </c>
      <c r="BG64" s="66">
        <v>0.34</v>
      </c>
      <c r="BH64" s="66">
        <v>0.35</v>
      </c>
      <c r="BI64" s="66">
        <v>0.37</v>
      </c>
      <c r="BJ64" s="66">
        <v>0.33</v>
      </c>
      <c r="BK64" s="66">
        <v>0.37</v>
      </c>
      <c r="BL64" s="349">
        <v>55</v>
      </c>
      <c r="BM64" s="348" t="s">
        <v>910</v>
      </c>
      <c r="BN64" s="349">
        <v>13</v>
      </c>
      <c r="BO64" s="348" t="s">
        <v>910</v>
      </c>
      <c r="BP64" s="371">
        <v>0.15</v>
      </c>
      <c r="BQ64" s="371">
        <v>0.38</v>
      </c>
      <c r="BR64" s="371">
        <v>0.32</v>
      </c>
      <c r="BS64" s="371">
        <v>0.15</v>
      </c>
      <c r="BT64" s="371">
        <v>0.38</v>
      </c>
      <c r="BU64" s="371">
        <v>0.39</v>
      </c>
      <c r="BV64" s="371">
        <v>0.44</v>
      </c>
      <c r="BW64" s="371">
        <v>0.32</v>
      </c>
      <c r="BX64" s="371">
        <v>0.39</v>
      </c>
      <c r="BY64" s="371">
        <v>0.44</v>
      </c>
      <c r="BZ64" s="469">
        <v>56</v>
      </c>
      <c r="CA64" s="471" t="s">
        <v>910</v>
      </c>
      <c r="CB64" s="469">
        <v>10</v>
      </c>
      <c r="CC64" s="471" t="s">
        <v>910</v>
      </c>
      <c r="CD64" s="501">
        <v>0.1</v>
      </c>
      <c r="CE64" s="501">
        <v>0.35</v>
      </c>
      <c r="CF64" s="501">
        <v>0.48</v>
      </c>
      <c r="CG64" s="501">
        <v>0.08</v>
      </c>
      <c r="CH64" s="501">
        <v>0.28999999999999998</v>
      </c>
      <c r="CI64" s="501">
        <v>0.21</v>
      </c>
      <c r="CJ64" s="501">
        <v>0.47</v>
      </c>
      <c r="CK64" s="501">
        <v>0.47</v>
      </c>
      <c r="CL64" s="501">
        <v>0.38</v>
      </c>
      <c r="CM64" s="501">
        <v>0.49</v>
      </c>
      <c r="CN64" s="630">
        <v>55</v>
      </c>
      <c r="CO64" s="640" t="s">
        <v>910</v>
      </c>
      <c r="CP64" s="630">
        <v>11</v>
      </c>
      <c r="CQ64" s="640" t="s">
        <v>910</v>
      </c>
      <c r="CR64" s="644">
        <v>0.11</v>
      </c>
      <c r="CS64" s="644">
        <v>0.31</v>
      </c>
      <c r="CT64" s="644">
        <v>0.54</v>
      </c>
      <c r="CU64" s="644">
        <v>0.03</v>
      </c>
      <c r="CV64" s="644">
        <v>0.3</v>
      </c>
      <c r="CW64" s="644">
        <v>0.46</v>
      </c>
      <c r="CX64" s="644">
        <v>0.43</v>
      </c>
      <c r="CY64" s="644">
        <v>0.5</v>
      </c>
      <c r="CZ64" s="644">
        <v>0.55000000000000004</v>
      </c>
      <c r="DA64" s="644">
        <v>0.4</v>
      </c>
    </row>
    <row r="65" spans="1:105" ht="24.9" customHeight="1" x14ac:dyDescent="0.25">
      <c r="A65" s="188" t="s">
        <v>128</v>
      </c>
      <c r="B65" s="1" t="s">
        <v>222</v>
      </c>
      <c r="C65" s="2">
        <v>5</v>
      </c>
      <c r="D65" s="16">
        <v>55</v>
      </c>
      <c r="E65" s="16">
        <v>9</v>
      </c>
      <c r="F65" s="96">
        <v>0.13</v>
      </c>
      <c r="G65" s="96">
        <v>0.33</v>
      </c>
      <c r="H65" s="96">
        <v>0.53</v>
      </c>
      <c r="I65" s="96">
        <v>0</v>
      </c>
      <c r="J65" s="96">
        <v>0.48</v>
      </c>
      <c r="K65" s="96">
        <v>0.45</v>
      </c>
      <c r="L65" s="96">
        <v>0.49</v>
      </c>
      <c r="M65" s="96">
        <v>0.36</v>
      </c>
      <c r="N65" s="96">
        <v>0.4</v>
      </c>
      <c r="O65" s="96">
        <v>0.52</v>
      </c>
      <c r="P65" s="16">
        <v>55</v>
      </c>
      <c r="Q65" s="16">
        <v>7</v>
      </c>
      <c r="R65" s="92">
        <v>0</v>
      </c>
      <c r="S65" s="92">
        <v>0.61</v>
      </c>
      <c r="T65" s="92">
        <v>0.39</v>
      </c>
      <c r="U65" s="92">
        <v>0</v>
      </c>
      <c r="V65" s="92">
        <v>0.35</v>
      </c>
      <c r="W65" s="92">
        <v>0.42</v>
      </c>
      <c r="X65" s="92">
        <v>0.49</v>
      </c>
      <c r="Y65" s="92">
        <v>0.41</v>
      </c>
      <c r="Z65" s="92">
        <v>0.33</v>
      </c>
      <c r="AA65" s="92">
        <v>0.48</v>
      </c>
      <c r="AB65" s="16">
        <v>55</v>
      </c>
      <c r="AC65" s="16">
        <v>10</v>
      </c>
      <c r="AD65" s="96">
        <v>7.0000000000000007E-2</v>
      </c>
      <c r="AE65" s="96">
        <v>0.38</v>
      </c>
      <c r="AF65" s="96">
        <v>0.48</v>
      </c>
      <c r="AG65" s="96">
        <v>7.0000000000000007E-2</v>
      </c>
      <c r="AH65" s="96">
        <v>0.31</v>
      </c>
      <c r="AI65" s="96">
        <v>0.33</v>
      </c>
      <c r="AJ65" s="96">
        <v>0.28000000000000003</v>
      </c>
      <c r="AK65" s="96">
        <v>0.41</v>
      </c>
      <c r="AL65" s="96">
        <v>0.52</v>
      </c>
      <c r="AM65" s="96">
        <v>0.45</v>
      </c>
      <c r="AN65" s="16">
        <v>54</v>
      </c>
      <c r="AO65" s="16">
        <v>10</v>
      </c>
      <c r="AP65" s="96">
        <v>0.11</v>
      </c>
      <c r="AQ65" s="96">
        <v>0.39</v>
      </c>
      <c r="AR65" s="96">
        <v>0.5</v>
      </c>
      <c r="AS65" s="96">
        <v>0</v>
      </c>
      <c r="AT65" s="96">
        <v>0.48</v>
      </c>
      <c r="AU65" s="96">
        <v>0.41</v>
      </c>
      <c r="AV65" s="96">
        <v>0.34</v>
      </c>
      <c r="AW65" s="96">
        <v>0.35</v>
      </c>
      <c r="AX65" s="96">
        <v>0.37</v>
      </c>
      <c r="AY65" s="96">
        <v>0.38</v>
      </c>
      <c r="AZ65" s="61">
        <v>56</v>
      </c>
      <c r="BA65" s="61">
        <v>9</v>
      </c>
      <c r="BB65" s="66">
        <v>0.05</v>
      </c>
      <c r="BC65" s="66">
        <v>0.4</v>
      </c>
      <c r="BD65" s="66">
        <v>0.55000000000000004</v>
      </c>
      <c r="BE65" s="66">
        <v>0</v>
      </c>
      <c r="BF65" s="66">
        <v>0.3</v>
      </c>
      <c r="BG65" s="66">
        <v>0.38</v>
      </c>
      <c r="BH65" s="66">
        <v>0.39</v>
      </c>
      <c r="BI65" s="66">
        <v>0.42</v>
      </c>
      <c r="BJ65" s="66">
        <v>0.33</v>
      </c>
      <c r="BK65" s="66">
        <v>0.35</v>
      </c>
      <c r="BL65" s="349">
        <v>51</v>
      </c>
      <c r="BM65" s="348" t="s">
        <v>910</v>
      </c>
      <c r="BN65" s="349">
        <v>12</v>
      </c>
      <c r="BO65" s="348" t="s">
        <v>910</v>
      </c>
      <c r="BP65" s="371">
        <v>0.2</v>
      </c>
      <c r="BQ65" s="371">
        <v>0.4</v>
      </c>
      <c r="BR65" s="371">
        <v>0.4</v>
      </c>
      <c r="BS65" s="371">
        <v>0</v>
      </c>
      <c r="BT65" s="371">
        <v>0.37</v>
      </c>
      <c r="BU65" s="371">
        <v>0.44</v>
      </c>
      <c r="BV65" s="371">
        <v>0.65</v>
      </c>
      <c r="BW65" s="371">
        <v>0.4</v>
      </c>
      <c r="BX65" s="371">
        <v>0.41</v>
      </c>
      <c r="BY65" s="371">
        <v>0.5</v>
      </c>
      <c r="BZ65" s="469">
        <v>53</v>
      </c>
      <c r="CA65" s="471" t="s">
        <v>910</v>
      </c>
      <c r="CB65" s="469">
        <v>10</v>
      </c>
      <c r="CC65" s="471" t="s">
        <v>910</v>
      </c>
      <c r="CD65" s="501">
        <v>0.18</v>
      </c>
      <c r="CE65" s="501">
        <v>0.36</v>
      </c>
      <c r="CF65" s="501">
        <v>0.46</v>
      </c>
      <c r="CG65" s="501">
        <v>0</v>
      </c>
      <c r="CH65" s="501">
        <v>0.38</v>
      </c>
      <c r="CI65" s="501">
        <v>0.3</v>
      </c>
      <c r="CJ65" s="501">
        <v>0.46</v>
      </c>
      <c r="CK65" s="501">
        <v>0.48</v>
      </c>
      <c r="CL65" s="501">
        <v>0.39</v>
      </c>
      <c r="CM65" s="501">
        <v>0.53</v>
      </c>
      <c r="CN65" s="630">
        <v>55</v>
      </c>
      <c r="CO65" s="640" t="s">
        <v>910</v>
      </c>
      <c r="CP65" s="630">
        <v>10</v>
      </c>
      <c r="CQ65" s="640" t="s">
        <v>910</v>
      </c>
      <c r="CR65" s="644">
        <v>7.0000000000000007E-2</v>
      </c>
      <c r="CS65" s="644">
        <v>0.52</v>
      </c>
      <c r="CT65" s="644">
        <v>0.3</v>
      </c>
      <c r="CU65" s="644">
        <v>0.11</v>
      </c>
      <c r="CV65" s="644">
        <v>0.31</v>
      </c>
      <c r="CW65" s="644">
        <v>0.42</v>
      </c>
      <c r="CX65" s="644">
        <v>0.41</v>
      </c>
      <c r="CY65" s="644">
        <v>0.42</v>
      </c>
      <c r="CZ65" s="644">
        <v>0.42</v>
      </c>
      <c r="DA65" s="644">
        <v>0.46</v>
      </c>
    </row>
    <row r="66" spans="1:105" ht="24.9" customHeight="1" x14ac:dyDescent="0.25">
      <c r="A66" s="188" t="s">
        <v>160</v>
      </c>
      <c r="B66" s="1" t="s">
        <v>222</v>
      </c>
      <c r="C66" s="2">
        <v>3</v>
      </c>
      <c r="D66" s="16">
        <v>51</v>
      </c>
      <c r="E66" s="16">
        <v>9</v>
      </c>
      <c r="F66" s="96">
        <v>0.11</v>
      </c>
      <c r="G66" s="96">
        <v>0.61</v>
      </c>
      <c r="H66" s="96">
        <v>0.28999999999999998</v>
      </c>
      <c r="I66" s="96">
        <v>0</v>
      </c>
      <c r="J66" s="96">
        <v>0.54</v>
      </c>
      <c r="K66" s="96">
        <v>0.51</v>
      </c>
      <c r="L66" s="96">
        <v>0.52</v>
      </c>
      <c r="M66" s="96">
        <v>0.46</v>
      </c>
      <c r="N66" s="96">
        <v>0.41</v>
      </c>
      <c r="O66" s="96">
        <v>0.57999999999999996</v>
      </c>
      <c r="P66" s="16">
        <v>55</v>
      </c>
      <c r="Q66" s="16">
        <v>10</v>
      </c>
      <c r="R66" s="92">
        <v>0.04</v>
      </c>
      <c r="S66" s="92">
        <v>0.43</v>
      </c>
      <c r="T66" s="92">
        <v>0.48</v>
      </c>
      <c r="U66" s="92">
        <v>0.04</v>
      </c>
      <c r="V66" s="92">
        <v>0.4</v>
      </c>
      <c r="W66" s="92">
        <v>0.41</v>
      </c>
      <c r="X66" s="92">
        <v>0.49</v>
      </c>
      <c r="Y66" s="92">
        <v>0.46</v>
      </c>
      <c r="Z66" s="92">
        <v>0.36</v>
      </c>
      <c r="AA66" s="92">
        <v>0.44</v>
      </c>
      <c r="AB66" s="16">
        <v>60</v>
      </c>
      <c r="AC66" s="16">
        <v>7</v>
      </c>
      <c r="AD66" s="96">
        <v>0</v>
      </c>
      <c r="AE66" s="96">
        <v>0.22</v>
      </c>
      <c r="AF66" s="96">
        <v>0.78</v>
      </c>
      <c r="AG66" s="96">
        <v>0</v>
      </c>
      <c r="AH66" s="96">
        <v>0.24</v>
      </c>
      <c r="AI66" s="96">
        <v>0.23</v>
      </c>
      <c r="AJ66" s="96">
        <v>0.23</v>
      </c>
      <c r="AK66" s="96">
        <v>0.28999999999999998</v>
      </c>
      <c r="AL66" s="96">
        <v>0.39</v>
      </c>
      <c r="AM66" s="96">
        <v>0.34</v>
      </c>
      <c r="AN66" s="16">
        <v>53</v>
      </c>
      <c r="AO66" s="16">
        <v>10</v>
      </c>
      <c r="AP66" s="96">
        <v>0.08</v>
      </c>
      <c r="AQ66" s="96">
        <v>0.5</v>
      </c>
      <c r="AR66" s="96">
        <v>0.38</v>
      </c>
      <c r="AS66" s="96">
        <v>0.04</v>
      </c>
      <c r="AT66" s="96">
        <v>0.56000000000000005</v>
      </c>
      <c r="AU66" s="96">
        <v>0.37</v>
      </c>
      <c r="AV66" s="96">
        <v>0.36</v>
      </c>
      <c r="AW66" s="96">
        <v>0.36</v>
      </c>
      <c r="AX66" s="96">
        <v>0.43</v>
      </c>
      <c r="AY66" s="96">
        <v>0.39</v>
      </c>
      <c r="AZ66" s="61">
        <v>57</v>
      </c>
      <c r="BA66" s="61">
        <v>9</v>
      </c>
      <c r="BB66" s="66">
        <v>0.11</v>
      </c>
      <c r="BC66" s="66">
        <v>0.37</v>
      </c>
      <c r="BD66" s="66">
        <v>0.47</v>
      </c>
      <c r="BE66" s="66">
        <v>0.05</v>
      </c>
      <c r="BF66" s="66">
        <v>0.33</v>
      </c>
      <c r="BG66" s="66">
        <v>0.36</v>
      </c>
      <c r="BH66" s="66">
        <v>0.34</v>
      </c>
      <c r="BI66" s="66">
        <v>0.37</v>
      </c>
      <c r="BJ66" s="66">
        <v>0.34</v>
      </c>
      <c r="BK66" s="66">
        <v>0.22</v>
      </c>
      <c r="BL66" s="349">
        <v>58</v>
      </c>
      <c r="BM66" s="348" t="s">
        <v>911</v>
      </c>
      <c r="BN66" s="349">
        <v>12</v>
      </c>
      <c r="BO66" s="348" t="s">
        <v>910</v>
      </c>
      <c r="BP66" s="371">
        <v>0.06</v>
      </c>
      <c r="BQ66" s="371">
        <v>0.38</v>
      </c>
      <c r="BR66" s="371">
        <v>0.5</v>
      </c>
      <c r="BS66" s="371">
        <v>0.06</v>
      </c>
      <c r="BT66" s="371">
        <v>0.32</v>
      </c>
      <c r="BU66" s="371">
        <v>0.33</v>
      </c>
      <c r="BV66" s="371">
        <v>0.44</v>
      </c>
      <c r="BW66" s="371">
        <v>0.31</v>
      </c>
      <c r="BX66" s="371">
        <v>0.32</v>
      </c>
      <c r="BY66" s="371">
        <v>0.39</v>
      </c>
      <c r="BZ66" s="469">
        <v>58</v>
      </c>
      <c r="CA66" s="471" t="s">
        <v>911</v>
      </c>
      <c r="CB66" s="469">
        <v>9</v>
      </c>
      <c r="CC66" s="471" t="s">
        <v>910</v>
      </c>
      <c r="CD66" s="501">
        <v>0.03</v>
      </c>
      <c r="CE66" s="501">
        <v>0.37</v>
      </c>
      <c r="CF66" s="501">
        <v>0.53</v>
      </c>
      <c r="CG66" s="501">
        <v>0.08</v>
      </c>
      <c r="CH66" s="501">
        <v>0.36</v>
      </c>
      <c r="CI66" s="501">
        <v>0.22</v>
      </c>
      <c r="CJ66" s="501">
        <v>0.45</v>
      </c>
      <c r="CK66" s="501">
        <v>0.39</v>
      </c>
      <c r="CL66" s="501">
        <v>0.34</v>
      </c>
      <c r="CM66" s="501">
        <v>0.45</v>
      </c>
      <c r="CN66" s="630">
        <v>58</v>
      </c>
      <c r="CO66" s="640" t="s">
        <v>911</v>
      </c>
      <c r="CP66" s="630">
        <v>9</v>
      </c>
      <c r="CQ66" s="640" t="s">
        <v>910</v>
      </c>
      <c r="CR66" s="644">
        <v>0.02</v>
      </c>
      <c r="CS66" s="644">
        <v>0.36</v>
      </c>
      <c r="CT66" s="644">
        <v>0.52</v>
      </c>
      <c r="CU66" s="644">
        <v>0.1</v>
      </c>
      <c r="CV66" s="644">
        <v>0.27</v>
      </c>
      <c r="CW66" s="644">
        <v>0.34</v>
      </c>
      <c r="CX66" s="644">
        <v>0.49</v>
      </c>
      <c r="CY66" s="644">
        <v>0.46</v>
      </c>
      <c r="CZ66" s="644">
        <v>0.41</v>
      </c>
      <c r="DA66" s="644">
        <v>0.53</v>
      </c>
    </row>
    <row r="67" spans="1:105" ht="24.9" customHeight="1" x14ac:dyDescent="0.25">
      <c r="A67" s="188" t="s">
        <v>59</v>
      </c>
      <c r="B67" s="1" t="s">
        <v>222</v>
      </c>
      <c r="C67" s="2">
        <v>1</v>
      </c>
      <c r="D67" s="16">
        <v>51</v>
      </c>
      <c r="E67" s="16">
        <v>6</v>
      </c>
      <c r="F67" s="96">
        <v>0.06</v>
      </c>
      <c r="G67" s="96">
        <v>0.61</v>
      </c>
      <c r="H67" s="96">
        <v>0.33</v>
      </c>
      <c r="I67" s="96">
        <v>0</v>
      </c>
      <c r="J67" s="96">
        <v>0.55000000000000004</v>
      </c>
      <c r="K67" s="96">
        <v>0.49</v>
      </c>
      <c r="L67" s="96">
        <v>0.66</v>
      </c>
      <c r="M67" s="96">
        <v>0.38</v>
      </c>
      <c r="N67" s="96">
        <v>0.43</v>
      </c>
      <c r="O67" s="96">
        <v>0.54</v>
      </c>
      <c r="P67" s="16">
        <v>46</v>
      </c>
      <c r="Q67" s="16">
        <v>7</v>
      </c>
      <c r="R67" s="92">
        <v>0.27</v>
      </c>
      <c r="S67" s="92">
        <v>0.63</v>
      </c>
      <c r="T67" s="92">
        <v>0.1</v>
      </c>
      <c r="U67" s="92">
        <v>0</v>
      </c>
      <c r="V67" s="92">
        <v>0.5</v>
      </c>
      <c r="W67" s="92">
        <v>0.59</v>
      </c>
      <c r="X67" s="92">
        <v>0.62</v>
      </c>
      <c r="Y67" s="92">
        <v>0.49</v>
      </c>
      <c r="Z67" s="92">
        <v>0.52</v>
      </c>
      <c r="AA67" s="92">
        <v>0.62</v>
      </c>
      <c r="AB67" s="16">
        <v>44</v>
      </c>
      <c r="AC67" s="16">
        <v>9</v>
      </c>
      <c r="AD67" s="96">
        <v>0.36</v>
      </c>
      <c r="AE67" s="96">
        <v>0.55000000000000004</v>
      </c>
      <c r="AF67" s="96">
        <v>0.09</v>
      </c>
      <c r="AG67" s="96">
        <v>0</v>
      </c>
      <c r="AH67" s="96">
        <v>0.53</v>
      </c>
      <c r="AI67" s="96">
        <v>0.54</v>
      </c>
      <c r="AJ67" s="96">
        <v>0.48</v>
      </c>
      <c r="AK67" s="96">
        <v>0.6</v>
      </c>
      <c r="AL67" s="96">
        <v>0.64</v>
      </c>
      <c r="AM67" s="96">
        <v>0.63</v>
      </c>
      <c r="AN67" s="16">
        <v>46</v>
      </c>
      <c r="AO67" s="16">
        <v>10</v>
      </c>
      <c r="AP67" s="96">
        <v>0.35</v>
      </c>
      <c r="AQ67" s="96">
        <v>0.54</v>
      </c>
      <c r="AR67" s="96">
        <v>0.12</v>
      </c>
      <c r="AS67" s="96">
        <v>0</v>
      </c>
      <c r="AT67" s="96">
        <v>0.51</v>
      </c>
      <c r="AU67" s="96">
        <v>0.57999999999999996</v>
      </c>
      <c r="AV67" s="96">
        <v>0.47</v>
      </c>
      <c r="AW67" s="96">
        <v>0.54</v>
      </c>
      <c r="AX67" s="96">
        <v>0.54</v>
      </c>
      <c r="AY67" s="96">
        <v>0.53</v>
      </c>
      <c r="AZ67" s="61">
        <v>43</v>
      </c>
      <c r="BA67" s="61">
        <v>11</v>
      </c>
      <c r="BB67" s="66">
        <v>0.48</v>
      </c>
      <c r="BC67" s="66">
        <v>0.36</v>
      </c>
      <c r="BD67" s="66">
        <v>0.12</v>
      </c>
      <c r="BE67" s="66">
        <v>0.04</v>
      </c>
      <c r="BF67" s="66">
        <v>0.61</v>
      </c>
      <c r="BG67" s="66">
        <v>0.61</v>
      </c>
      <c r="BH67" s="66">
        <v>0.59</v>
      </c>
      <c r="BI67" s="66">
        <v>0.69</v>
      </c>
      <c r="BJ67" s="66">
        <v>0.57999999999999996</v>
      </c>
      <c r="BK67" s="66">
        <v>0.59</v>
      </c>
      <c r="BL67" s="349">
        <v>48</v>
      </c>
      <c r="BM67" s="348" t="s">
        <v>910</v>
      </c>
      <c r="BN67" s="349">
        <v>12</v>
      </c>
      <c r="BO67" s="348" t="s">
        <v>910</v>
      </c>
      <c r="BP67" s="371">
        <v>0.37</v>
      </c>
      <c r="BQ67" s="371">
        <v>0.37</v>
      </c>
      <c r="BR67" s="371">
        <v>0.19</v>
      </c>
      <c r="BS67" s="371">
        <v>7.0000000000000007E-2</v>
      </c>
      <c r="BT67" s="371">
        <v>0.56000000000000005</v>
      </c>
      <c r="BU67" s="371">
        <v>0.49</v>
      </c>
      <c r="BV67" s="371">
        <v>0.61</v>
      </c>
      <c r="BW67" s="371">
        <v>0.45</v>
      </c>
      <c r="BX67" s="371">
        <v>0.51</v>
      </c>
      <c r="BY67" s="371">
        <v>0.57999999999999996</v>
      </c>
      <c r="BZ67" s="469">
        <v>46</v>
      </c>
      <c r="CA67" s="471" t="s">
        <v>910</v>
      </c>
      <c r="CB67" s="469">
        <v>10</v>
      </c>
      <c r="CC67" s="471" t="s">
        <v>910</v>
      </c>
      <c r="CD67" s="501">
        <v>0.36</v>
      </c>
      <c r="CE67" s="501">
        <v>0.39</v>
      </c>
      <c r="CF67" s="501">
        <v>0.25</v>
      </c>
      <c r="CG67" s="501">
        <v>0</v>
      </c>
      <c r="CH67" s="501">
        <v>0.61</v>
      </c>
      <c r="CI67" s="501">
        <v>0.51</v>
      </c>
      <c r="CJ67" s="501">
        <v>0.74</v>
      </c>
      <c r="CK67" s="501">
        <v>0.65</v>
      </c>
      <c r="CL67" s="501">
        <v>0.38</v>
      </c>
      <c r="CM67" s="501">
        <v>0.55000000000000004</v>
      </c>
      <c r="CN67" s="630">
        <v>47</v>
      </c>
      <c r="CO67" s="640" t="s">
        <v>910</v>
      </c>
      <c r="CP67" s="630">
        <v>11</v>
      </c>
      <c r="CQ67" s="640" t="s">
        <v>910</v>
      </c>
      <c r="CR67" s="644">
        <v>0.23</v>
      </c>
      <c r="CS67" s="644">
        <v>0.55000000000000004</v>
      </c>
      <c r="CT67" s="644">
        <v>0.18</v>
      </c>
      <c r="CU67" s="644">
        <v>0.05</v>
      </c>
      <c r="CV67" s="644">
        <v>0.44</v>
      </c>
      <c r="CW67" s="644">
        <v>0.55000000000000004</v>
      </c>
      <c r="CX67" s="644">
        <v>0.61</v>
      </c>
      <c r="CY67" s="644">
        <v>0.57999999999999996</v>
      </c>
      <c r="CZ67" s="644">
        <v>0.56999999999999995</v>
      </c>
      <c r="DA67" s="644">
        <v>0.65</v>
      </c>
    </row>
    <row r="68" spans="1:105" ht="24.9" customHeight="1" x14ac:dyDescent="0.25">
      <c r="A68" s="188" t="s">
        <v>132</v>
      </c>
      <c r="B68" s="1" t="s">
        <v>222</v>
      </c>
      <c r="C68" s="2">
        <v>3</v>
      </c>
      <c r="D68" s="16">
        <v>58</v>
      </c>
      <c r="E68" s="16">
        <v>8</v>
      </c>
      <c r="F68" s="96">
        <v>0</v>
      </c>
      <c r="G68" s="96">
        <v>0.41</v>
      </c>
      <c r="H68" s="96">
        <v>0.56000000000000005</v>
      </c>
      <c r="I68" s="96">
        <v>0.03</v>
      </c>
      <c r="J68" s="96">
        <v>0.44</v>
      </c>
      <c r="K68" s="96">
        <v>0.31</v>
      </c>
      <c r="L68" s="96">
        <v>0.45</v>
      </c>
      <c r="M68" s="96">
        <v>0.31</v>
      </c>
      <c r="N68" s="96">
        <v>0.28999999999999998</v>
      </c>
      <c r="O68" s="96">
        <v>0.38</v>
      </c>
      <c r="P68" s="16">
        <v>57</v>
      </c>
      <c r="Q68" s="16">
        <v>9</v>
      </c>
      <c r="R68" s="92">
        <v>0.02</v>
      </c>
      <c r="S68" s="92">
        <v>0.47</v>
      </c>
      <c r="T68" s="92">
        <v>0.44</v>
      </c>
      <c r="U68" s="92">
        <v>7.0000000000000007E-2</v>
      </c>
      <c r="V68" s="92">
        <v>0.31</v>
      </c>
      <c r="W68" s="92">
        <v>0.37</v>
      </c>
      <c r="X68" s="92">
        <v>0.5</v>
      </c>
      <c r="Y68" s="92">
        <v>0.36</v>
      </c>
      <c r="Z68" s="92">
        <v>0.35</v>
      </c>
      <c r="AA68" s="92">
        <v>0.44</v>
      </c>
      <c r="AB68" s="16">
        <v>54</v>
      </c>
      <c r="AC68" s="16">
        <v>10</v>
      </c>
      <c r="AD68" s="96">
        <v>0.1</v>
      </c>
      <c r="AE68" s="96">
        <v>0.4</v>
      </c>
      <c r="AF68" s="96">
        <v>0.47</v>
      </c>
      <c r="AG68" s="96">
        <v>0.03</v>
      </c>
      <c r="AH68" s="96">
        <v>0.35</v>
      </c>
      <c r="AI68" s="96">
        <v>0.37</v>
      </c>
      <c r="AJ68" s="96">
        <v>0.32</v>
      </c>
      <c r="AK68" s="96">
        <v>0.42</v>
      </c>
      <c r="AL68" s="96">
        <v>0.42</v>
      </c>
      <c r="AM68" s="96">
        <v>0.44</v>
      </c>
      <c r="AN68" s="16">
        <v>50</v>
      </c>
      <c r="AO68" s="16">
        <v>9</v>
      </c>
      <c r="AP68" s="96">
        <v>0.16</v>
      </c>
      <c r="AQ68" s="96">
        <v>0.53</v>
      </c>
      <c r="AR68" s="96">
        <v>0.31</v>
      </c>
      <c r="AS68" s="96">
        <v>0</v>
      </c>
      <c r="AT68" s="96">
        <v>0.56000000000000005</v>
      </c>
      <c r="AU68" s="96">
        <v>0.42</v>
      </c>
      <c r="AV68" s="96">
        <v>0.41</v>
      </c>
      <c r="AW68" s="96">
        <v>0.44</v>
      </c>
      <c r="AX68" s="96">
        <v>0.46</v>
      </c>
      <c r="AY68" s="96">
        <v>0.45</v>
      </c>
      <c r="AZ68" s="61">
        <v>52</v>
      </c>
      <c r="BA68" s="61">
        <v>9</v>
      </c>
      <c r="BB68" s="66">
        <v>0.1</v>
      </c>
      <c r="BC68" s="66">
        <v>0.55000000000000004</v>
      </c>
      <c r="BD68" s="66">
        <v>0.31</v>
      </c>
      <c r="BE68" s="66">
        <v>0.04</v>
      </c>
      <c r="BF68" s="66">
        <v>0.44</v>
      </c>
      <c r="BG68" s="66">
        <v>0.47</v>
      </c>
      <c r="BH68" s="66">
        <v>0.44</v>
      </c>
      <c r="BI68" s="66">
        <v>0.5</v>
      </c>
      <c r="BJ68" s="66">
        <v>0.41</v>
      </c>
      <c r="BK68" s="66">
        <v>0.32</v>
      </c>
      <c r="BL68" s="349">
        <v>55</v>
      </c>
      <c r="BM68" s="348" t="s">
        <v>910</v>
      </c>
      <c r="BN68" s="349">
        <v>10</v>
      </c>
      <c r="BO68" s="348" t="s">
        <v>910</v>
      </c>
      <c r="BP68" s="371">
        <v>0.09</v>
      </c>
      <c r="BQ68" s="371">
        <v>0.37</v>
      </c>
      <c r="BR68" s="371">
        <v>0.51</v>
      </c>
      <c r="BS68" s="371">
        <v>0.03</v>
      </c>
      <c r="BT68" s="371">
        <v>0.35</v>
      </c>
      <c r="BU68" s="371">
        <v>0.38</v>
      </c>
      <c r="BV68" s="371">
        <v>0.52</v>
      </c>
      <c r="BW68" s="371">
        <v>0.37</v>
      </c>
      <c r="BX68" s="371">
        <v>0.35</v>
      </c>
      <c r="BY68" s="371">
        <v>0.43</v>
      </c>
      <c r="BZ68" s="469">
        <v>56</v>
      </c>
      <c r="CA68" s="471" t="s">
        <v>910</v>
      </c>
      <c r="CB68" s="469">
        <v>10</v>
      </c>
      <c r="CC68" s="471" t="s">
        <v>910</v>
      </c>
      <c r="CD68" s="501">
        <v>0.06</v>
      </c>
      <c r="CE68" s="501">
        <v>0.37</v>
      </c>
      <c r="CF68" s="501">
        <v>0.54</v>
      </c>
      <c r="CG68" s="501">
        <v>0.03</v>
      </c>
      <c r="CH68" s="501">
        <v>0.38</v>
      </c>
      <c r="CI68" s="501">
        <v>0.35</v>
      </c>
      <c r="CJ68" s="501">
        <v>0.51</v>
      </c>
      <c r="CK68" s="501">
        <v>0.43</v>
      </c>
      <c r="CL68" s="501">
        <v>0.3</v>
      </c>
      <c r="CM68" s="501">
        <v>0.52</v>
      </c>
      <c r="CN68" s="630">
        <v>55</v>
      </c>
      <c r="CO68" s="640" t="s">
        <v>910</v>
      </c>
      <c r="CP68" s="630">
        <v>9</v>
      </c>
      <c r="CQ68" s="640" t="s">
        <v>910</v>
      </c>
      <c r="CR68" s="644">
        <v>0.09</v>
      </c>
      <c r="CS68" s="644">
        <v>0.36</v>
      </c>
      <c r="CT68" s="644">
        <v>0.55000000000000004</v>
      </c>
      <c r="CU68" s="644">
        <v>0</v>
      </c>
      <c r="CV68" s="644">
        <v>0.32</v>
      </c>
      <c r="CW68" s="644">
        <v>0.46</v>
      </c>
      <c r="CX68" s="644">
        <v>0.48</v>
      </c>
      <c r="CY68" s="644">
        <v>0.52</v>
      </c>
      <c r="CZ68" s="644">
        <v>0.39</v>
      </c>
      <c r="DA68" s="644">
        <v>0.44</v>
      </c>
    </row>
    <row r="69" spans="1:105" ht="24.9" customHeight="1" x14ac:dyDescent="0.25">
      <c r="A69" s="188" t="s">
        <v>179</v>
      </c>
      <c r="B69" s="1" t="s">
        <v>222</v>
      </c>
      <c r="C69" s="2">
        <v>5</v>
      </c>
      <c r="D69" s="16">
        <v>54</v>
      </c>
      <c r="E69" s="16">
        <v>8</v>
      </c>
      <c r="F69" s="96">
        <v>0.06</v>
      </c>
      <c r="G69" s="96">
        <v>0.51</v>
      </c>
      <c r="H69" s="96">
        <v>0.42</v>
      </c>
      <c r="I69" s="96">
        <v>0.01</v>
      </c>
      <c r="J69" s="96">
        <v>0.52</v>
      </c>
      <c r="K69" s="96">
        <v>0.47</v>
      </c>
      <c r="L69" s="96">
        <v>0.54</v>
      </c>
      <c r="M69" s="96">
        <v>0.34</v>
      </c>
      <c r="N69" s="96">
        <v>0.42</v>
      </c>
      <c r="O69" s="96">
        <v>0.46</v>
      </c>
      <c r="P69" s="16">
        <v>52</v>
      </c>
      <c r="Q69" s="16">
        <v>9</v>
      </c>
      <c r="R69" s="92">
        <v>0.08</v>
      </c>
      <c r="S69" s="92">
        <v>0.57999999999999996</v>
      </c>
      <c r="T69" s="92">
        <v>0.32</v>
      </c>
      <c r="U69" s="92">
        <v>0.02</v>
      </c>
      <c r="V69" s="92">
        <v>0.42</v>
      </c>
      <c r="W69" s="92">
        <v>0.44</v>
      </c>
      <c r="X69" s="92">
        <v>0.54</v>
      </c>
      <c r="Y69" s="92">
        <v>0.44</v>
      </c>
      <c r="Z69" s="92">
        <v>0.42</v>
      </c>
      <c r="AA69" s="92">
        <v>0.44</v>
      </c>
      <c r="AB69" s="16">
        <v>51</v>
      </c>
      <c r="AC69" s="16">
        <v>10</v>
      </c>
      <c r="AD69" s="96">
        <v>0.17</v>
      </c>
      <c r="AE69" s="96">
        <v>0.52</v>
      </c>
      <c r="AF69" s="96">
        <v>0.28999999999999998</v>
      </c>
      <c r="AG69" s="96">
        <v>0.02</v>
      </c>
      <c r="AH69" s="96">
        <v>0.37</v>
      </c>
      <c r="AI69" s="96">
        <v>0.44</v>
      </c>
      <c r="AJ69" s="96">
        <v>0.38</v>
      </c>
      <c r="AK69" s="96">
        <v>0.5</v>
      </c>
      <c r="AL69" s="96">
        <v>0.53</v>
      </c>
      <c r="AM69" s="96">
        <v>0.52</v>
      </c>
      <c r="AN69" s="16">
        <v>50</v>
      </c>
      <c r="AO69" s="16">
        <v>10</v>
      </c>
      <c r="AP69" s="96">
        <v>0.16</v>
      </c>
      <c r="AQ69" s="96">
        <v>0.54</v>
      </c>
      <c r="AR69" s="96">
        <v>0.28000000000000003</v>
      </c>
      <c r="AS69" s="96">
        <v>0.02</v>
      </c>
      <c r="AT69" s="96">
        <v>0.56000000000000005</v>
      </c>
      <c r="AU69" s="96">
        <v>0.42</v>
      </c>
      <c r="AV69" s="96">
        <v>0.43</v>
      </c>
      <c r="AW69" s="96">
        <v>0.46</v>
      </c>
      <c r="AX69" s="96">
        <v>0.42</v>
      </c>
      <c r="AY69" s="96">
        <v>0.44</v>
      </c>
      <c r="AZ69" s="61">
        <v>53</v>
      </c>
      <c r="BA69" s="61">
        <v>9</v>
      </c>
      <c r="BB69" s="66">
        <v>0.05</v>
      </c>
      <c r="BC69" s="66">
        <v>0.56999999999999995</v>
      </c>
      <c r="BD69" s="66">
        <v>0.36</v>
      </c>
      <c r="BE69" s="66">
        <v>0.02</v>
      </c>
      <c r="BF69" s="66">
        <v>0.43</v>
      </c>
      <c r="BG69" s="66">
        <v>0.38</v>
      </c>
      <c r="BH69" s="66">
        <v>0.42</v>
      </c>
      <c r="BI69" s="66">
        <v>0.5</v>
      </c>
      <c r="BJ69" s="66">
        <v>0.39</v>
      </c>
      <c r="BK69" s="66">
        <v>0.32</v>
      </c>
      <c r="BL69" s="349">
        <v>49</v>
      </c>
      <c r="BM69" s="348" t="s">
        <v>910</v>
      </c>
      <c r="BN69" s="349">
        <v>11</v>
      </c>
      <c r="BO69" s="348" t="s">
        <v>910</v>
      </c>
      <c r="BP69" s="371">
        <v>0.25</v>
      </c>
      <c r="BQ69" s="371">
        <v>0.46</v>
      </c>
      <c r="BR69" s="371">
        <v>0.25</v>
      </c>
      <c r="BS69" s="371">
        <v>0.03</v>
      </c>
      <c r="BT69" s="371">
        <v>0.5</v>
      </c>
      <c r="BU69" s="371">
        <v>0.48</v>
      </c>
      <c r="BV69" s="371">
        <v>0.53</v>
      </c>
      <c r="BW69" s="371">
        <v>0.44</v>
      </c>
      <c r="BX69" s="371">
        <v>0.45</v>
      </c>
      <c r="BY69" s="371">
        <v>0.55000000000000004</v>
      </c>
      <c r="BZ69" s="469">
        <v>51</v>
      </c>
      <c r="CA69" s="471" t="s">
        <v>910</v>
      </c>
      <c r="CB69" s="469">
        <v>10</v>
      </c>
      <c r="CC69" s="471" t="s">
        <v>910</v>
      </c>
      <c r="CD69" s="501">
        <v>0.14000000000000001</v>
      </c>
      <c r="CE69" s="501">
        <v>0.48</v>
      </c>
      <c r="CF69" s="501">
        <v>0.36</v>
      </c>
      <c r="CG69" s="501">
        <v>0.02</v>
      </c>
      <c r="CH69" s="501">
        <v>0.47</v>
      </c>
      <c r="CI69" s="501">
        <v>0.39</v>
      </c>
      <c r="CJ69" s="501">
        <v>0.56000000000000005</v>
      </c>
      <c r="CK69" s="501">
        <v>0.51</v>
      </c>
      <c r="CL69" s="501">
        <v>0.42</v>
      </c>
      <c r="CM69" s="501">
        <v>0.56000000000000005</v>
      </c>
      <c r="CN69" s="630">
        <v>52</v>
      </c>
      <c r="CO69" s="640" t="s">
        <v>910</v>
      </c>
      <c r="CP69" s="630">
        <v>11</v>
      </c>
      <c r="CQ69" s="640" t="s">
        <v>910</v>
      </c>
      <c r="CR69" s="644">
        <v>0.18</v>
      </c>
      <c r="CS69" s="644">
        <v>0.44</v>
      </c>
      <c r="CT69" s="644">
        <v>0.35</v>
      </c>
      <c r="CU69" s="644">
        <v>0.03</v>
      </c>
      <c r="CV69" s="644">
        <v>0.37</v>
      </c>
      <c r="CW69" s="644">
        <v>0.49</v>
      </c>
      <c r="CX69" s="644">
        <v>0.55000000000000004</v>
      </c>
      <c r="CY69" s="644">
        <v>0.67</v>
      </c>
      <c r="CZ69" s="644">
        <v>0.5</v>
      </c>
      <c r="DA69" s="644">
        <v>0.6</v>
      </c>
    </row>
    <row r="70" spans="1:105" ht="24.9" customHeight="1" x14ac:dyDescent="0.25">
      <c r="A70" s="188" t="s">
        <v>75</v>
      </c>
      <c r="B70" s="1" t="s">
        <v>222</v>
      </c>
      <c r="C70" s="2">
        <v>1</v>
      </c>
      <c r="D70" s="16">
        <v>47</v>
      </c>
      <c r="E70" s="16">
        <v>7</v>
      </c>
      <c r="F70" s="96">
        <v>0.17</v>
      </c>
      <c r="G70" s="96">
        <v>0.71</v>
      </c>
      <c r="H70" s="96">
        <v>0.11</v>
      </c>
      <c r="I70" s="96">
        <v>0</v>
      </c>
      <c r="J70" s="96">
        <v>0.62</v>
      </c>
      <c r="K70" s="96">
        <v>0.55000000000000004</v>
      </c>
      <c r="L70" s="96">
        <v>0.71</v>
      </c>
      <c r="M70" s="96">
        <v>0.46</v>
      </c>
      <c r="N70" s="96">
        <v>0.49</v>
      </c>
      <c r="O70" s="96">
        <v>0.48</v>
      </c>
      <c r="P70" s="16">
        <v>50</v>
      </c>
      <c r="Q70" s="16">
        <v>8</v>
      </c>
      <c r="R70" s="92">
        <v>0.17</v>
      </c>
      <c r="S70" s="92">
        <v>0.56000000000000005</v>
      </c>
      <c r="T70" s="92">
        <v>0.28000000000000003</v>
      </c>
      <c r="U70" s="92">
        <v>0</v>
      </c>
      <c r="V70" s="92">
        <v>0.42</v>
      </c>
      <c r="W70" s="92">
        <v>0.49</v>
      </c>
      <c r="X70" s="92">
        <v>0.62</v>
      </c>
      <c r="Y70" s="92">
        <v>0.49</v>
      </c>
      <c r="Z70" s="92">
        <v>0.42</v>
      </c>
      <c r="AA70" s="92">
        <v>0.53</v>
      </c>
      <c r="AB70" s="16">
        <v>48</v>
      </c>
      <c r="AC70" s="16">
        <v>10</v>
      </c>
      <c r="AD70" s="96">
        <v>0.32</v>
      </c>
      <c r="AE70" s="96">
        <v>0.46</v>
      </c>
      <c r="AF70" s="96">
        <v>0.21</v>
      </c>
      <c r="AG70" s="96">
        <v>0</v>
      </c>
      <c r="AH70" s="96">
        <v>0.43</v>
      </c>
      <c r="AI70" s="96">
        <v>0.47</v>
      </c>
      <c r="AJ70" s="96">
        <v>0.41</v>
      </c>
      <c r="AK70" s="96">
        <v>0.53</v>
      </c>
      <c r="AL70" s="96">
        <v>0.44</v>
      </c>
      <c r="AM70" s="96">
        <v>0.63</v>
      </c>
      <c r="AN70" s="16">
        <v>44</v>
      </c>
      <c r="AO70" s="16">
        <v>11</v>
      </c>
      <c r="AP70" s="96">
        <v>0.42</v>
      </c>
      <c r="AQ70" s="96">
        <v>0.39</v>
      </c>
      <c r="AR70" s="96">
        <v>0.19</v>
      </c>
      <c r="AS70" s="96">
        <v>0</v>
      </c>
      <c r="AT70" s="96">
        <v>0.65</v>
      </c>
      <c r="AU70" s="96">
        <v>0.59</v>
      </c>
      <c r="AV70" s="96">
        <v>0.49</v>
      </c>
      <c r="AW70" s="96">
        <v>0.53</v>
      </c>
      <c r="AX70" s="96">
        <v>0.57999999999999996</v>
      </c>
      <c r="AY70" s="96">
        <v>0.52</v>
      </c>
      <c r="AZ70" s="61">
        <v>52</v>
      </c>
      <c r="BA70" s="61">
        <v>12</v>
      </c>
      <c r="BB70" s="66">
        <v>0.17</v>
      </c>
      <c r="BC70" s="66">
        <v>0.42</v>
      </c>
      <c r="BD70" s="66">
        <v>0.39</v>
      </c>
      <c r="BE70" s="66">
        <v>0.03</v>
      </c>
      <c r="BF70" s="66">
        <v>0.48</v>
      </c>
      <c r="BG70" s="66">
        <v>0.46</v>
      </c>
      <c r="BH70" s="66">
        <v>0.43</v>
      </c>
      <c r="BI70" s="66">
        <v>0.46</v>
      </c>
      <c r="BJ70" s="66">
        <v>0.43</v>
      </c>
      <c r="BK70" s="66">
        <v>0.4</v>
      </c>
      <c r="BL70" s="349">
        <v>50</v>
      </c>
      <c r="BM70" s="348" t="s">
        <v>910</v>
      </c>
      <c r="BN70" s="349">
        <v>12</v>
      </c>
      <c r="BO70" s="348" t="s">
        <v>910</v>
      </c>
      <c r="BP70" s="371">
        <v>0.19</v>
      </c>
      <c r="BQ70" s="371">
        <v>0.5</v>
      </c>
      <c r="BR70" s="371">
        <v>0.28000000000000003</v>
      </c>
      <c r="BS70" s="371">
        <v>0.03</v>
      </c>
      <c r="BT70" s="371">
        <v>0.44</v>
      </c>
      <c r="BU70" s="371">
        <v>0.44</v>
      </c>
      <c r="BV70" s="371">
        <v>0.43</v>
      </c>
      <c r="BW70" s="371">
        <v>0.44</v>
      </c>
      <c r="BX70" s="371">
        <v>0.45</v>
      </c>
      <c r="BY70" s="371">
        <v>0.48</v>
      </c>
      <c r="BZ70" s="469">
        <v>48</v>
      </c>
      <c r="CA70" s="471" t="s">
        <v>910</v>
      </c>
      <c r="CB70" s="469">
        <v>9</v>
      </c>
      <c r="CC70" s="471" t="s">
        <v>910</v>
      </c>
      <c r="CD70" s="501">
        <v>0.21</v>
      </c>
      <c r="CE70" s="501">
        <v>0.55000000000000004</v>
      </c>
      <c r="CF70" s="501">
        <v>0.24</v>
      </c>
      <c r="CG70" s="501">
        <v>0</v>
      </c>
      <c r="CH70" s="501">
        <v>0.61</v>
      </c>
      <c r="CI70" s="501">
        <v>0.38</v>
      </c>
      <c r="CJ70" s="501">
        <v>0.61</v>
      </c>
      <c r="CK70" s="501">
        <v>0.54</v>
      </c>
      <c r="CL70" s="501">
        <v>0.48</v>
      </c>
      <c r="CM70" s="501">
        <v>0.67</v>
      </c>
      <c r="CN70" s="630">
        <v>46</v>
      </c>
      <c r="CO70" s="640" t="s">
        <v>910</v>
      </c>
      <c r="CP70" s="630">
        <v>12</v>
      </c>
      <c r="CQ70" s="640" t="s">
        <v>910</v>
      </c>
      <c r="CR70" s="644">
        <v>0.38</v>
      </c>
      <c r="CS70" s="644">
        <v>0.34</v>
      </c>
      <c r="CT70" s="644">
        <v>0.28000000000000003</v>
      </c>
      <c r="CU70" s="644">
        <v>0</v>
      </c>
      <c r="CV70" s="644">
        <v>0.43</v>
      </c>
      <c r="CW70" s="644">
        <v>0.54</v>
      </c>
      <c r="CX70" s="644">
        <v>0.6</v>
      </c>
      <c r="CY70" s="644">
        <v>0.41</v>
      </c>
      <c r="CZ70" s="644">
        <v>0.68</v>
      </c>
      <c r="DA70" s="644">
        <v>0.56999999999999995</v>
      </c>
    </row>
    <row r="71" spans="1:105" ht="24.9" customHeight="1" x14ac:dyDescent="0.25">
      <c r="A71" s="188" t="s">
        <v>25</v>
      </c>
      <c r="B71" s="1" t="s">
        <v>222</v>
      </c>
      <c r="C71" s="2">
        <v>3</v>
      </c>
      <c r="D71" s="16">
        <v>55</v>
      </c>
      <c r="E71" s="16">
        <v>8</v>
      </c>
      <c r="F71" s="96">
        <v>0.02</v>
      </c>
      <c r="G71" s="96">
        <v>0.5</v>
      </c>
      <c r="H71" s="96">
        <v>0.48</v>
      </c>
      <c r="I71" s="96">
        <v>0</v>
      </c>
      <c r="J71" s="96">
        <v>0.5</v>
      </c>
      <c r="K71" s="96">
        <v>0.43</v>
      </c>
      <c r="L71" s="96">
        <v>0.5</v>
      </c>
      <c r="M71" s="96">
        <v>0.42</v>
      </c>
      <c r="N71" s="96">
        <v>0.37</v>
      </c>
      <c r="O71" s="96">
        <v>0.34</v>
      </c>
      <c r="P71" s="16">
        <v>54</v>
      </c>
      <c r="Q71" s="16">
        <v>12</v>
      </c>
      <c r="R71" s="92">
        <v>0.13</v>
      </c>
      <c r="S71" s="92">
        <v>0.42</v>
      </c>
      <c r="T71" s="92">
        <v>0.33</v>
      </c>
      <c r="U71" s="92">
        <v>0.13</v>
      </c>
      <c r="V71" s="92">
        <v>0.38</v>
      </c>
      <c r="W71" s="92">
        <v>0.43</v>
      </c>
      <c r="X71" s="92">
        <v>0.55000000000000004</v>
      </c>
      <c r="Y71" s="92">
        <v>0.4</v>
      </c>
      <c r="Z71" s="92">
        <v>0.37</v>
      </c>
      <c r="AA71" s="92">
        <v>0.42</v>
      </c>
      <c r="AB71" s="16">
        <v>48</v>
      </c>
      <c r="AC71" s="16">
        <v>10</v>
      </c>
      <c r="AD71" s="96">
        <v>0.23</v>
      </c>
      <c r="AE71" s="96">
        <v>0.5</v>
      </c>
      <c r="AF71" s="96">
        <v>0.27</v>
      </c>
      <c r="AG71" s="96">
        <v>0</v>
      </c>
      <c r="AH71" s="96">
        <v>0.46</v>
      </c>
      <c r="AI71" s="96">
        <v>0.42</v>
      </c>
      <c r="AJ71" s="96">
        <v>0.41</v>
      </c>
      <c r="AK71" s="96">
        <v>0.53</v>
      </c>
      <c r="AL71" s="96">
        <v>0.51</v>
      </c>
      <c r="AM71" s="96">
        <v>0.55000000000000004</v>
      </c>
      <c r="AN71" s="16">
        <v>50</v>
      </c>
      <c r="AO71" s="16">
        <v>10</v>
      </c>
      <c r="AP71" s="96">
        <v>0.15</v>
      </c>
      <c r="AQ71" s="96">
        <v>0.56000000000000005</v>
      </c>
      <c r="AR71" s="96">
        <v>0.28999999999999998</v>
      </c>
      <c r="AS71" s="96">
        <v>0</v>
      </c>
      <c r="AT71" s="96">
        <v>0.5</v>
      </c>
      <c r="AU71" s="96">
        <v>0.34</v>
      </c>
      <c r="AV71" s="96">
        <v>0.43</v>
      </c>
      <c r="AW71" s="96">
        <v>0.45</v>
      </c>
      <c r="AX71" s="96">
        <v>0.43</v>
      </c>
      <c r="AY71" s="96">
        <v>0.48</v>
      </c>
      <c r="AZ71" s="61">
        <v>53</v>
      </c>
      <c r="BA71" s="61">
        <v>12</v>
      </c>
      <c r="BB71" s="66">
        <v>0.1</v>
      </c>
      <c r="BC71" s="66">
        <v>0.49</v>
      </c>
      <c r="BD71" s="66">
        <v>0.34</v>
      </c>
      <c r="BE71" s="66">
        <v>7.0000000000000007E-2</v>
      </c>
      <c r="BF71" s="66">
        <v>0.36</v>
      </c>
      <c r="BG71" s="66">
        <v>0.41</v>
      </c>
      <c r="BH71" s="66">
        <v>0.4</v>
      </c>
      <c r="BI71" s="66">
        <v>0.54</v>
      </c>
      <c r="BJ71" s="66">
        <v>0.41</v>
      </c>
      <c r="BK71" s="66">
        <v>0.38</v>
      </c>
      <c r="BL71" s="349">
        <v>50</v>
      </c>
      <c r="BM71" s="348" t="s">
        <v>910</v>
      </c>
      <c r="BN71" s="349">
        <v>9</v>
      </c>
      <c r="BO71" s="348" t="s">
        <v>910</v>
      </c>
      <c r="BP71" s="371">
        <v>0.19</v>
      </c>
      <c r="BQ71" s="371">
        <v>0.5</v>
      </c>
      <c r="BR71" s="371">
        <v>0.31</v>
      </c>
      <c r="BS71" s="371">
        <v>0</v>
      </c>
      <c r="BT71" s="371">
        <v>0.38</v>
      </c>
      <c r="BU71" s="371">
        <v>0.41</v>
      </c>
      <c r="BV71" s="371">
        <v>0.56999999999999995</v>
      </c>
      <c r="BW71" s="371">
        <v>0.44</v>
      </c>
      <c r="BX71" s="371">
        <v>0.44</v>
      </c>
      <c r="BY71" s="371">
        <v>0.55000000000000004</v>
      </c>
      <c r="BZ71" s="469">
        <v>54</v>
      </c>
      <c r="CA71" s="471" t="s">
        <v>910</v>
      </c>
      <c r="CB71" s="469">
        <v>9</v>
      </c>
      <c r="CC71" s="471" t="s">
        <v>910</v>
      </c>
      <c r="CD71" s="501">
        <v>7.0000000000000007E-2</v>
      </c>
      <c r="CE71" s="501">
        <v>0.45</v>
      </c>
      <c r="CF71" s="501">
        <v>0.46</v>
      </c>
      <c r="CG71" s="501">
        <v>0.02</v>
      </c>
      <c r="CH71" s="501">
        <v>0.43</v>
      </c>
      <c r="CI71" s="501">
        <v>0.28999999999999998</v>
      </c>
      <c r="CJ71" s="501">
        <v>0.47</v>
      </c>
      <c r="CK71" s="501">
        <v>0.49</v>
      </c>
      <c r="CL71" s="501">
        <v>0.34</v>
      </c>
      <c r="CM71" s="501">
        <v>0.56999999999999995</v>
      </c>
      <c r="CN71" s="630">
        <v>51</v>
      </c>
      <c r="CO71" s="640" t="s">
        <v>910</v>
      </c>
      <c r="CP71" s="630">
        <v>11</v>
      </c>
      <c r="CQ71" s="640" t="s">
        <v>910</v>
      </c>
      <c r="CR71" s="644">
        <v>0.17</v>
      </c>
      <c r="CS71" s="644">
        <v>0.44</v>
      </c>
      <c r="CT71" s="644">
        <v>0.38</v>
      </c>
      <c r="CU71" s="644">
        <v>0.02</v>
      </c>
      <c r="CV71" s="644">
        <v>0.36</v>
      </c>
      <c r="CW71" s="644">
        <v>0.51</v>
      </c>
      <c r="CX71" s="644">
        <v>0.53</v>
      </c>
      <c r="CY71" s="644">
        <v>0.7</v>
      </c>
      <c r="CZ71" s="644">
        <v>0.46</v>
      </c>
      <c r="DA71" s="644">
        <v>0.41</v>
      </c>
    </row>
    <row r="72" spans="1:105" s="336" customFormat="1" ht="24.9" customHeight="1" x14ac:dyDescent="0.25">
      <c r="A72" s="361" t="s">
        <v>914</v>
      </c>
      <c r="B72" s="1" t="s">
        <v>222</v>
      </c>
      <c r="C72" s="354">
        <v>6</v>
      </c>
      <c r="D72" s="362"/>
      <c r="E72" s="362"/>
      <c r="F72" s="363"/>
      <c r="G72" s="363"/>
      <c r="H72" s="363"/>
      <c r="I72" s="363"/>
      <c r="J72" s="363"/>
      <c r="K72" s="363"/>
      <c r="L72" s="363"/>
      <c r="M72" s="363"/>
      <c r="N72" s="363"/>
      <c r="O72" s="363"/>
      <c r="P72" s="362"/>
      <c r="Q72" s="362"/>
      <c r="R72" s="365"/>
      <c r="S72" s="365"/>
      <c r="T72" s="365"/>
      <c r="U72" s="365"/>
      <c r="V72" s="365"/>
      <c r="W72" s="365"/>
      <c r="X72" s="365"/>
      <c r="Y72" s="365"/>
      <c r="Z72" s="365"/>
      <c r="AA72" s="365"/>
      <c r="AB72" s="362"/>
      <c r="AC72" s="362"/>
      <c r="AD72" s="363"/>
      <c r="AE72" s="363"/>
      <c r="AF72" s="363"/>
      <c r="AG72" s="363"/>
      <c r="AH72" s="363"/>
      <c r="AI72" s="363"/>
      <c r="AJ72" s="363"/>
      <c r="AK72" s="363"/>
      <c r="AL72" s="363"/>
      <c r="AM72" s="363"/>
      <c r="AN72" s="362"/>
      <c r="AO72" s="362"/>
      <c r="AP72" s="363"/>
      <c r="AQ72" s="363"/>
      <c r="AR72" s="363"/>
      <c r="AS72" s="363"/>
      <c r="AT72" s="363"/>
      <c r="AU72" s="363"/>
      <c r="AV72" s="363"/>
      <c r="AW72" s="363"/>
      <c r="AX72" s="363"/>
      <c r="AY72" s="363"/>
      <c r="AZ72" s="356"/>
      <c r="BA72" s="356"/>
      <c r="BB72" s="367"/>
      <c r="BC72" s="367"/>
      <c r="BD72" s="367"/>
      <c r="BE72" s="367"/>
      <c r="BF72" s="367"/>
      <c r="BG72" s="367"/>
      <c r="BH72" s="367"/>
      <c r="BI72" s="367"/>
      <c r="BJ72" s="367"/>
      <c r="BK72" s="367"/>
      <c r="BL72" s="349">
        <v>45</v>
      </c>
      <c r="BM72" s="348" t="s">
        <v>910</v>
      </c>
      <c r="BN72" s="349">
        <v>8</v>
      </c>
      <c r="BO72" s="348" t="s">
        <v>910</v>
      </c>
      <c r="BP72" s="371">
        <v>0.33</v>
      </c>
      <c r="BQ72" s="371">
        <v>0.5</v>
      </c>
      <c r="BR72" s="371">
        <v>0.17</v>
      </c>
      <c r="BS72" s="371">
        <v>0</v>
      </c>
      <c r="BT72" s="371">
        <v>0.54</v>
      </c>
      <c r="BU72" s="371">
        <v>0.59</v>
      </c>
      <c r="BV72" s="371">
        <v>0.52</v>
      </c>
      <c r="BW72" s="371">
        <v>0.47</v>
      </c>
      <c r="BX72" s="371">
        <v>0.55000000000000004</v>
      </c>
      <c r="BY72" s="371">
        <v>0.59</v>
      </c>
      <c r="BZ72" s="469">
        <v>44</v>
      </c>
      <c r="CA72" s="471" t="s">
        <v>910</v>
      </c>
      <c r="CB72" s="469">
        <v>11</v>
      </c>
      <c r="CC72" s="471" t="s">
        <v>910</v>
      </c>
      <c r="CD72" s="501">
        <v>0.48</v>
      </c>
      <c r="CE72" s="501">
        <v>0.32</v>
      </c>
      <c r="CF72" s="501">
        <v>0.19</v>
      </c>
      <c r="CG72" s="501">
        <v>0</v>
      </c>
      <c r="CH72" s="501">
        <v>0.61</v>
      </c>
      <c r="CI72" s="501">
        <v>0.42</v>
      </c>
      <c r="CJ72" s="501">
        <v>0.56999999999999995</v>
      </c>
      <c r="CK72" s="501">
        <v>0.54</v>
      </c>
      <c r="CL72" s="501">
        <v>0.56999999999999995</v>
      </c>
      <c r="CM72" s="501">
        <v>0.59</v>
      </c>
      <c r="CN72" s="630">
        <v>50</v>
      </c>
      <c r="CO72" s="640" t="s">
        <v>910</v>
      </c>
      <c r="CP72" s="630">
        <v>10</v>
      </c>
      <c r="CQ72" s="640" t="s">
        <v>910</v>
      </c>
      <c r="CR72" s="644">
        <v>0.17</v>
      </c>
      <c r="CS72" s="644">
        <v>0.48</v>
      </c>
      <c r="CT72" s="644">
        <v>0.34</v>
      </c>
      <c r="CU72" s="644">
        <v>0</v>
      </c>
      <c r="CV72" s="644">
        <v>0.34</v>
      </c>
      <c r="CW72" s="644">
        <v>0.54</v>
      </c>
      <c r="CX72" s="644">
        <v>0.63</v>
      </c>
      <c r="CY72" s="644">
        <v>0.88</v>
      </c>
      <c r="CZ72" s="644">
        <v>0.6</v>
      </c>
      <c r="DA72" s="644">
        <v>0.65</v>
      </c>
    </row>
    <row r="73" spans="1:105" ht="24.9" customHeight="1" x14ac:dyDescent="0.25">
      <c r="A73" s="188" t="s">
        <v>94</v>
      </c>
      <c r="B73" s="1" t="s">
        <v>222</v>
      </c>
      <c r="C73" s="2">
        <v>6</v>
      </c>
      <c r="D73" s="16">
        <v>53</v>
      </c>
      <c r="E73" s="16">
        <v>6</v>
      </c>
      <c r="F73" s="96">
        <v>0</v>
      </c>
      <c r="G73" s="96">
        <v>0.5</v>
      </c>
      <c r="H73" s="96">
        <v>0.5</v>
      </c>
      <c r="I73" s="96">
        <v>0</v>
      </c>
      <c r="J73" s="96">
        <v>0.44</v>
      </c>
      <c r="K73" s="96">
        <v>0.44</v>
      </c>
      <c r="L73" s="96">
        <v>0.31</v>
      </c>
      <c r="M73" s="96">
        <v>0.25</v>
      </c>
      <c r="N73" s="96">
        <v>0.57999999999999996</v>
      </c>
      <c r="O73" s="96">
        <v>0.67</v>
      </c>
      <c r="P73" s="16">
        <v>53</v>
      </c>
      <c r="Q73" s="16">
        <v>8</v>
      </c>
      <c r="R73" s="92">
        <v>0</v>
      </c>
      <c r="S73" s="92">
        <v>0.5</v>
      </c>
      <c r="T73" s="92">
        <v>0.5</v>
      </c>
      <c r="U73" s="92">
        <v>0</v>
      </c>
      <c r="V73" s="92">
        <v>0.35</v>
      </c>
      <c r="W73" s="92">
        <v>0.53</v>
      </c>
      <c r="X73" s="92">
        <v>0.42</v>
      </c>
      <c r="Y73" s="92">
        <v>0.48</v>
      </c>
      <c r="Z73" s="92">
        <v>0.38</v>
      </c>
      <c r="AA73" s="92">
        <v>0.56999999999999995</v>
      </c>
      <c r="AB73" s="13" t="s">
        <v>226</v>
      </c>
      <c r="AC73" s="13" t="s">
        <v>228</v>
      </c>
      <c r="AD73" s="2"/>
      <c r="AE73" s="2"/>
      <c r="AF73" s="2"/>
      <c r="AG73" s="2"/>
      <c r="AH73" s="2"/>
      <c r="AI73" s="2"/>
      <c r="AJ73" s="2"/>
      <c r="AK73" s="2"/>
      <c r="AL73" s="2"/>
      <c r="AM73" s="2"/>
      <c r="AN73" s="16">
        <v>42</v>
      </c>
      <c r="AO73" s="16">
        <v>10</v>
      </c>
      <c r="AP73" s="96">
        <v>0.5</v>
      </c>
      <c r="AQ73" s="96">
        <v>0.5</v>
      </c>
      <c r="AR73" s="96">
        <v>0</v>
      </c>
      <c r="AS73" s="96">
        <v>0</v>
      </c>
      <c r="AT73" s="96">
        <v>0.56999999999999995</v>
      </c>
      <c r="AU73" s="96">
        <v>0.33</v>
      </c>
      <c r="AV73" s="96">
        <v>0.62</v>
      </c>
      <c r="AW73" s="96">
        <v>0.68</v>
      </c>
      <c r="AX73" s="96">
        <v>0.56999999999999995</v>
      </c>
      <c r="AY73" s="96">
        <v>0.64</v>
      </c>
      <c r="AZ73" s="61">
        <v>44</v>
      </c>
      <c r="BA73" s="61">
        <v>13</v>
      </c>
      <c r="BB73" s="66">
        <v>0.5</v>
      </c>
      <c r="BC73" s="66">
        <v>0.38</v>
      </c>
      <c r="BD73" s="66">
        <v>0</v>
      </c>
      <c r="BE73" s="66">
        <v>0.13</v>
      </c>
      <c r="BF73" s="66">
        <v>0.53</v>
      </c>
      <c r="BG73" s="66">
        <v>0.57999999999999996</v>
      </c>
      <c r="BH73" s="66">
        <v>0.63</v>
      </c>
      <c r="BI73" s="66">
        <v>0.54</v>
      </c>
      <c r="BJ73" s="66">
        <v>0.55000000000000004</v>
      </c>
      <c r="BK73" s="66">
        <v>0.63</v>
      </c>
      <c r="CN73" s="630">
        <v>54</v>
      </c>
      <c r="CO73" s="640" t="s">
        <v>910</v>
      </c>
      <c r="CP73" s="630">
        <v>7</v>
      </c>
      <c r="CQ73" s="640" t="s">
        <v>912</v>
      </c>
      <c r="CR73" s="644">
        <v>0</v>
      </c>
      <c r="CS73" s="644">
        <v>0.6</v>
      </c>
      <c r="CT73" s="644">
        <v>0.4</v>
      </c>
      <c r="CU73" s="644">
        <v>0</v>
      </c>
      <c r="CV73" s="644">
        <v>0.2</v>
      </c>
      <c r="CW73" s="644">
        <v>0.38</v>
      </c>
      <c r="CX73" s="644">
        <v>0.36</v>
      </c>
      <c r="CY73" s="644">
        <v>1</v>
      </c>
      <c r="CZ73" s="644">
        <v>0.69</v>
      </c>
      <c r="DA73" s="644">
        <v>0</v>
      </c>
    </row>
    <row r="74" spans="1:105" ht="24.9" customHeight="1" x14ac:dyDescent="0.25">
      <c r="A74" s="188" t="s">
        <v>167</v>
      </c>
      <c r="B74" s="1" t="s">
        <v>222</v>
      </c>
      <c r="C74" s="2">
        <v>3</v>
      </c>
      <c r="D74" s="16">
        <v>46</v>
      </c>
      <c r="E74" s="16">
        <v>8</v>
      </c>
      <c r="F74" s="96">
        <v>0.11</v>
      </c>
      <c r="G74" s="96">
        <v>0.67</v>
      </c>
      <c r="H74" s="96">
        <v>0.22</v>
      </c>
      <c r="I74" s="96">
        <v>0</v>
      </c>
      <c r="J74" s="96">
        <v>0.71</v>
      </c>
      <c r="K74" s="96">
        <v>0.59</v>
      </c>
      <c r="L74" s="96">
        <v>0.72</v>
      </c>
      <c r="M74" s="96">
        <v>0.39</v>
      </c>
      <c r="N74" s="96">
        <v>0.55000000000000004</v>
      </c>
      <c r="O74" s="96">
        <v>0.49</v>
      </c>
      <c r="P74" s="16">
        <v>51</v>
      </c>
      <c r="Q74" s="16">
        <v>10</v>
      </c>
      <c r="R74" s="92">
        <v>0.12</v>
      </c>
      <c r="S74" s="92">
        <v>0.6</v>
      </c>
      <c r="T74" s="92">
        <v>0.24</v>
      </c>
      <c r="U74" s="92">
        <v>0.04</v>
      </c>
      <c r="V74" s="92">
        <v>0.43</v>
      </c>
      <c r="W74" s="92">
        <v>0.46</v>
      </c>
      <c r="X74" s="92">
        <v>0.5</v>
      </c>
      <c r="Y74" s="92">
        <v>0.49</v>
      </c>
      <c r="Z74" s="92">
        <v>0.48</v>
      </c>
      <c r="AA74" s="92">
        <v>0.41</v>
      </c>
      <c r="AB74" s="16">
        <v>55</v>
      </c>
      <c r="AC74" s="16">
        <v>10</v>
      </c>
      <c r="AD74" s="96">
        <v>0.04</v>
      </c>
      <c r="AE74" s="96">
        <v>0.43</v>
      </c>
      <c r="AF74" s="96">
        <v>0.48</v>
      </c>
      <c r="AG74" s="96">
        <v>0.04</v>
      </c>
      <c r="AH74" s="96">
        <v>0.34</v>
      </c>
      <c r="AI74" s="96">
        <v>0.32</v>
      </c>
      <c r="AJ74" s="96">
        <v>0.28000000000000003</v>
      </c>
      <c r="AK74" s="96">
        <v>0.39</v>
      </c>
      <c r="AL74" s="96">
        <v>0.53</v>
      </c>
      <c r="AM74" s="96">
        <v>0.42</v>
      </c>
      <c r="AN74" s="16">
        <v>51</v>
      </c>
      <c r="AO74" s="16">
        <v>11</v>
      </c>
      <c r="AP74" s="96">
        <v>0.22</v>
      </c>
      <c r="AQ74" s="96">
        <v>0.44</v>
      </c>
      <c r="AR74" s="96">
        <v>0.33</v>
      </c>
      <c r="AS74" s="96">
        <v>0</v>
      </c>
      <c r="AT74" s="96">
        <v>0.46</v>
      </c>
      <c r="AU74" s="96">
        <v>0.41</v>
      </c>
      <c r="AV74" s="96">
        <v>0.41</v>
      </c>
      <c r="AW74" s="96">
        <v>0.42</v>
      </c>
      <c r="AX74" s="96">
        <v>0.45</v>
      </c>
      <c r="AY74" s="96">
        <v>0.5</v>
      </c>
      <c r="AZ74" s="61">
        <v>48</v>
      </c>
      <c r="BA74" s="61">
        <v>10</v>
      </c>
      <c r="BB74" s="66">
        <v>0.27</v>
      </c>
      <c r="BC74" s="66">
        <v>0.54</v>
      </c>
      <c r="BD74" s="66">
        <v>0.15</v>
      </c>
      <c r="BE74" s="66">
        <v>0.04</v>
      </c>
      <c r="BF74" s="66">
        <v>0.51</v>
      </c>
      <c r="BG74" s="66">
        <v>0.47</v>
      </c>
      <c r="BH74" s="66">
        <v>0.52</v>
      </c>
      <c r="BI74" s="66">
        <v>0.6</v>
      </c>
      <c r="BJ74" s="66">
        <v>0.52</v>
      </c>
      <c r="BK74" s="66">
        <v>0.39</v>
      </c>
      <c r="BL74" s="349">
        <v>44</v>
      </c>
      <c r="BM74" s="348" t="s">
        <v>910</v>
      </c>
      <c r="BN74" s="349">
        <v>11</v>
      </c>
      <c r="BO74" s="348" t="s">
        <v>910</v>
      </c>
      <c r="BP74" s="371">
        <v>0.47</v>
      </c>
      <c r="BQ74" s="371">
        <v>0.28999999999999998</v>
      </c>
      <c r="BR74" s="371">
        <v>0.24</v>
      </c>
      <c r="BS74" s="371">
        <v>0</v>
      </c>
      <c r="BT74" s="371">
        <v>0.59</v>
      </c>
      <c r="BU74" s="371">
        <v>0.57999999999999996</v>
      </c>
      <c r="BV74" s="371">
        <v>0.65</v>
      </c>
      <c r="BW74" s="371">
        <v>0.49</v>
      </c>
      <c r="BX74" s="371">
        <v>0.56999999999999995</v>
      </c>
      <c r="BY74" s="371">
        <v>0.56999999999999995</v>
      </c>
      <c r="BZ74" s="469">
        <v>51</v>
      </c>
      <c r="CA74" s="471" t="s">
        <v>910</v>
      </c>
      <c r="CB74" s="469">
        <v>11</v>
      </c>
      <c r="CC74" s="471" t="s">
        <v>910</v>
      </c>
      <c r="CD74" s="501">
        <v>0.21</v>
      </c>
      <c r="CE74" s="501">
        <v>0.42</v>
      </c>
      <c r="CF74" s="501">
        <v>0.38</v>
      </c>
      <c r="CG74" s="501">
        <v>0</v>
      </c>
      <c r="CH74" s="501">
        <v>0.44</v>
      </c>
      <c r="CI74" s="501">
        <v>0.27</v>
      </c>
      <c r="CJ74" s="501">
        <v>0.63</v>
      </c>
      <c r="CK74" s="501">
        <v>0.56999999999999995</v>
      </c>
      <c r="CL74" s="501">
        <v>0.38</v>
      </c>
      <c r="CM74" s="501">
        <v>0.47</v>
      </c>
      <c r="CN74" s="630">
        <v>56</v>
      </c>
      <c r="CO74" s="640" t="s">
        <v>910</v>
      </c>
      <c r="CP74" s="630">
        <v>11</v>
      </c>
      <c r="CQ74" s="640" t="s">
        <v>910</v>
      </c>
      <c r="CR74" s="644">
        <v>0.04</v>
      </c>
      <c r="CS74" s="644">
        <v>0.42</v>
      </c>
      <c r="CT74" s="644">
        <v>0.46</v>
      </c>
      <c r="CU74" s="644">
        <v>0.08</v>
      </c>
      <c r="CV74" s="644">
        <v>0.25</v>
      </c>
      <c r="CW74" s="644">
        <v>0.42</v>
      </c>
      <c r="CX74" s="644">
        <v>0.42</v>
      </c>
      <c r="CY74" s="644">
        <v>0.38</v>
      </c>
      <c r="CZ74" s="644">
        <v>0.41</v>
      </c>
      <c r="DA74" s="644">
        <v>0.38</v>
      </c>
    </row>
    <row r="75" spans="1:105" ht="24.9" customHeight="1" x14ac:dyDescent="0.25">
      <c r="A75" s="188" t="s">
        <v>204</v>
      </c>
      <c r="B75" s="1" t="s">
        <v>222</v>
      </c>
      <c r="C75" s="2">
        <v>1</v>
      </c>
      <c r="D75" s="16">
        <v>53</v>
      </c>
      <c r="E75" s="16">
        <v>9</v>
      </c>
      <c r="F75" s="96">
        <v>0.12</v>
      </c>
      <c r="G75" s="96">
        <v>0.47</v>
      </c>
      <c r="H75" s="96">
        <v>0.41</v>
      </c>
      <c r="I75" s="96">
        <v>0</v>
      </c>
      <c r="J75" s="96">
        <v>0.48</v>
      </c>
      <c r="K75" s="96">
        <v>0.49</v>
      </c>
      <c r="L75" s="96">
        <v>0.56999999999999995</v>
      </c>
      <c r="M75" s="96">
        <v>0.44</v>
      </c>
      <c r="N75" s="96">
        <v>0.42</v>
      </c>
      <c r="O75" s="96">
        <v>0.48</v>
      </c>
      <c r="P75" s="16">
        <v>50</v>
      </c>
      <c r="Q75" s="16">
        <v>11</v>
      </c>
      <c r="R75" s="92">
        <v>0.22</v>
      </c>
      <c r="S75" s="92">
        <v>0.44</v>
      </c>
      <c r="T75" s="92">
        <v>0.33</v>
      </c>
      <c r="U75" s="92">
        <v>0</v>
      </c>
      <c r="V75" s="92">
        <v>0.46</v>
      </c>
      <c r="W75" s="92">
        <v>0.48</v>
      </c>
      <c r="X75" s="92">
        <v>0.51</v>
      </c>
      <c r="Y75" s="92">
        <v>0.51</v>
      </c>
      <c r="Z75" s="92">
        <v>0.47</v>
      </c>
      <c r="AA75" s="92">
        <v>0.48</v>
      </c>
      <c r="AB75" s="16">
        <v>49</v>
      </c>
      <c r="AC75" s="16">
        <v>8</v>
      </c>
      <c r="AD75" s="96">
        <v>0.13</v>
      </c>
      <c r="AE75" s="96">
        <v>0.63</v>
      </c>
      <c r="AF75" s="96">
        <v>0.25</v>
      </c>
      <c r="AG75" s="96">
        <v>0</v>
      </c>
      <c r="AH75" s="96">
        <v>0.49</v>
      </c>
      <c r="AI75" s="96">
        <v>0.49</v>
      </c>
      <c r="AJ75" s="96">
        <v>0.38</v>
      </c>
      <c r="AK75" s="96">
        <v>0.42</v>
      </c>
      <c r="AL75" s="96">
        <v>0.56999999999999995</v>
      </c>
      <c r="AM75" s="96">
        <v>0.63</v>
      </c>
      <c r="AN75" s="16">
        <v>48</v>
      </c>
      <c r="AO75" s="16">
        <v>10</v>
      </c>
      <c r="AP75" s="96">
        <v>0.22</v>
      </c>
      <c r="AQ75" s="96">
        <v>0.56000000000000005</v>
      </c>
      <c r="AR75" s="96">
        <v>0.22</v>
      </c>
      <c r="AS75" s="96">
        <v>0</v>
      </c>
      <c r="AT75" s="96">
        <v>0.48</v>
      </c>
      <c r="AU75" s="96">
        <v>0.35</v>
      </c>
      <c r="AV75" s="96">
        <v>0.51</v>
      </c>
      <c r="AW75" s="96">
        <v>0.46</v>
      </c>
      <c r="AX75" s="96">
        <v>0.49</v>
      </c>
      <c r="AY75" s="96">
        <v>0.47</v>
      </c>
      <c r="AZ75" s="61">
        <v>50</v>
      </c>
      <c r="BA75" s="61">
        <v>8</v>
      </c>
      <c r="BB75" s="66">
        <v>0.13</v>
      </c>
      <c r="BC75" s="66">
        <v>0.63</v>
      </c>
      <c r="BD75" s="66">
        <v>0.25</v>
      </c>
      <c r="BE75" s="66">
        <v>0</v>
      </c>
      <c r="BF75" s="66">
        <v>0.56000000000000005</v>
      </c>
      <c r="BG75" s="66">
        <v>0.52</v>
      </c>
      <c r="BH75" s="66">
        <v>0.46</v>
      </c>
      <c r="BI75" s="66">
        <v>0.57999999999999996</v>
      </c>
      <c r="BJ75" s="66">
        <v>0.47</v>
      </c>
      <c r="BK75" s="66">
        <v>0.33</v>
      </c>
      <c r="BL75" s="349">
        <v>53</v>
      </c>
      <c r="BM75" s="348" t="s">
        <v>910</v>
      </c>
      <c r="BN75" s="349">
        <v>7</v>
      </c>
      <c r="BO75" s="348" t="s">
        <v>912</v>
      </c>
      <c r="BP75" s="371">
        <v>0</v>
      </c>
      <c r="BQ75" s="371">
        <v>0.55000000000000004</v>
      </c>
      <c r="BR75" s="371">
        <v>0.45</v>
      </c>
      <c r="BS75" s="371">
        <v>0</v>
      </c>
      <c r="BT75" s="371">
        <v>0.34</v>
      </c>
      <c r="BU75" s="371">
        <v>0.4</v>
      </c>
      <c r="BV75" s="371">
        <v>0.63</v>
      </c>
      <c r="BW75" s="371">
        <v>0.42</v>
      </c>
      <c r="BX75" s="371">
        <v>0.48</v>
      </c>
      <c r="BY75" s="371">
        <v>0.45</v>
      </c>
      <c r="BZ75" s="469">
        <v>49</v>
      </c>
      <c r="CA75" s="471" t="s">
        <v>910</v>
      </c>
      <c r="CB75" s="469">
        <v>10</v>
      </c>
      <c r="CC75" s="471" t="s">
        <v>910</v>
      </c>
      <c r="CD75" s="501">
        <v>0.17</v>
      </c>
      <c r="CE75" s="501">
        <v>0.48</v>
      </c>
      <c r="CF75" s="501">
        <v>0.35</v>
      </c>
      <c r="CG75" s="501">
        <v>0</v>
      </c>
      <c r="CH75" s="501">
        <v>0.55000000000000004</v>
      </c>
      <c r="CI75" s="501">
        <v>0.5</v>
      </c>
      <c r="CJ75" s="501">
        <v>0.54</v>
      </c>
      <c r="CK75" s="501">
        <v>0.51</v>
      </c>
      <c r="CL75" s="501">
        <v>0.38</v>
      </c>
      <c r="CM75" s="501">
        <v>0.51</v>
      </c>
      <c r="CN75" s="630">
        <v>50</v>
      </c>
      <c r="CO75" s="640" t="s">
        <v>910</v>
      </c>
      <c r="CP75" s="630">
        <v>10</v>
      </c>
      <c r="CQ75" s="640" t="s">
        <v>910</v>
      </c>
      <c r="CR75" s="644">
        <v>0.18</v>
      </c>
      <c r="CS75" s="644">
        <v>0.45</v>
      </c>
      <c r="CT75" s="644">
        <v>0.36</v>
      </c>
      <c r="CU75" s="644">
        <v>0</v>
      </c>
      <c r="CV75" s="644">
        <v>0.38</v>
      </c>
      <c r="CW75" s="644">
        <v>0.52</v>
      </c>
      <c r="CX75" s="644">
        <v>0.61</v>
      </c>
      <c r="CY75" s="644">
        <v>0.55000000000000004</v>
      </c>
      <c r="CZ75" s="644">
        <v>0.57999999999999996</v>
      </c>
      <c r="DA75" s="644">
        <v>0.55000000000000004</v>
      </c>
    </row>
    <row r="76" spans="1:105" s="461" customFormat="1" ht="24.9" customHeight="1" x14ac:dyDescent="0.25">
      <c r="A76" s="470" t="s">
        <v>958</v>
      </c>
      <c r="B76" s="15" t="s">
        <v>222</v>
      </c>
      <c r="C76" s="471">
        <v>2</v>
      </c>
      <c r="D76" s="502"/>
      <c r="E76" s="502"/>
      <c r="F76" s="501"/>
      <c r="G76" s="501"/>
      <c r="H76" s="501"/>
      <c r="I76" s="501"/>
      <c r="J76" s="501"/>
      <c r="K76" s="501"/>
      <c r="L76" s="501"/>
      <c r="M76" s="501"/>
      <c r="N76" s="501"/>
      <c r="O76" s="501"/>
      <c r="P76" s="502"/>
      <c r="Q76" s="502"/>
      <c r="R76" s="504"/>
      <c r="S76" s="504"/>
      <c r="T76" s="504"/>
      <c r="U76" s="504"/>
      <c r="V76" s="504"/>
      <c r="W76" s="504"/>
      <c r="X76" s="504"/>
      <c r="Y76" s="504"/>
      <c r="Z76" s="504"/>
      <c r="AA76" s="504"/>
      <c r="AB76" s="502"/>
      <c r="AC76" s="502"/>
      <c r="AD76" s="501"/>
      <c r="AE76" s="501"/>
      <c r="AF76" s="501"/>
      <c r="AG76" s="501"/>
      <c r="AH76" s="501"/>
      <c r="AI76" s="501"/>
      <c r="AJ76" s="501"/>
      <c r="AK76" s="501"/>
      <c r="AL76" s="501"/>
      <c r="AM76" s="501"/>
      <c r="AN76" s="502"/>
      <c r="AO76" s="502"/>
      <c r="AP76" s="501"/>
      <c r="AQ76" s="501"/>
      <c r="AR76" s="501"/>
      <c r="AS76" s="501"/>
      <c r="AT76" s="501"/>
      <c r="AU76" s="501"/>
      <c r="AV76" s="501"/>
      <c r="AW76" s="501"/>
      <c r="AX76" s="501"/>
      <c r="AY76" s="501"/>
      <c r="AZ76" s="472"/>
      <c r="BA76" s="472"/>
      <c r="BB76" s="506"/>
      <c r="BC76" s="506"/>
      <c r="BD76" s="506"/>
      <c r="BE76" s="506"/>
      <c r="BF76" s="506"/>
      <c r="BG76" s="506"/>
      <c r="BH76" s="506"/>
      <c r="BI76" s="506"/>
      <c r="BJ76" s="506"/>
      <c r="BK76" s="506"/>
      <c r="BL76" s="475"/>
      <c r="BM76" s="493"/>
      <c r="BN76" s="475"/>
      <c r="BO76" s="493"/>
      <c r="BP76" s="507"/>
      <c r="BQ76" s="507"/>
      <c r="BR76" s="507"/>
      <c r="BS76" s="507"/>
      <c r="BT76" s="507"/>
      <c r="BU76" s="507"/>
      <c r="BV76" s="507"/>
      <c r="BW76" s="507"/>
      <c r="BX76" s="507"/>
      <c r="BY76" s="507"/>
      <c r="BZ76" s="469">
        <v>50</v>
      </c>
      <c r="CA76" s="471" t="s">
        <v>910</v>
      </c>
      <c r="CB76" s="469">
        <v>10</v>
      </c>
      <c r="CC76" s="471" t="s">
        <v>910</v>
      </c>
      <c r="CD76" s="501">
        <v>0.2</v>
      </c>
      <c r="CE76" s="501">
        <v>0.47</v>
      </c>
      <c r="CF76" s="501">
        <v>0.33</v>
      </c>
      <c r="CG76" s="501">
        <v>0</v>
      </c>
      <c r="CH76" s="501">
        <v>0.52</v>
      </c>
      <c r="CI76" s="501">
        <v>0.45</v>
      </c>
      <c r="CJ76" s="501">
        <v>0.67</v>
      </c>
      <c r="CK76" s="501">
        <v>0.45</v>
      </c>
      <c r="CL76" s="501">
        <v>0.43</v>
      </c>
      <c r="CM76" s="501">
        <v>0.55000000000000004</v>
      </c>
      <c r="CN76" s="630">
        <v>49</v>
      </c>
      <c r="CO76" s="640" t="s">
        <v>910</v>
      </c>
      <c r="CP76" s="630">
        <v>8</v>
      </c>
      <c r="CQ76" s="640" t="s">
        <v>910</v>
      </c>
      <c r="CR76" s="644">
        <v>0.14000000000000001</v>
      </c>
      <c r="CS76" s="644">
        <v>0.67</v>
      </c>
      <c r="CT76" s="644">
        <v>0.19</v>
      </c>
      <c r="CU76" s="644">
        <v>0</v>
      </c>
      <c r="CV76" s="644">
        <v>0.43</v>
      </c>
      <c r="CW76" s="644">
        <v>0.48</v>
      </c>
      <c r="CX76" s="644">
        <v>0.63</v>
      </c>
      <c r="CY76" s="644">
        <v>0.75</v>
      </c>
      <c r="CZ76" s="644">
        <v>0.59</v>
      </c>
      <c r="DA76" s="644">
        <v>0.56000000000000005</v>
      </c>
    </row>
    <row r="77" spans="1:105" ht="24.9" customHeight="1" x14ac:dyDescent="0.25">
      <c r="A77" s="188" t="s">
        <v>81</v>
      </c>
      <c r="B77" s="1" t="s">
        <v>222</v>
      </c>
      <c r="C77" s="2">
        <v>4</v>
      </c>
      <c r="D77" s="16">
        <v>46</v>
      </c>
      <c r="E77" s="16">
        <v>9</v>
      </c>
      <c r="F77" s="96">
        <v>0.27</v>
      </c>
      <c r="G77" s="96">
        <v>0.55000000000000004</v>
      </c>
      <c r="H77" s="96">
        <v>0.18</v>
      </c>
      <c r="I77" s="96">
        <v>0</v>
      </c>
      <c r="J77" s="96">
        <v>0.61</v>
      </c>
      <c r="K77" s="96">
        <v>0.66</v>
      </c>
      <c r="L77" s="96">
        <v>0.61</v>
      </c>
      <c r="M77" s="96">
        <v>0.52</v>
      </c>
      <c r="N77" s="96">
        <v>0.46</v>
      </c>
      <c r="O77" s="96">
        <v>0.6</v>
      </c>
      <c r="P77" s="16">
        <v>46</v>
      </c>
      <c r="Q77" s="16">
        <v>10</v>
      </c>
      <c r="R77" s="92">
        <v>0.28999999999999998</v>
      </c>
      <c r="S77" s="92">
        <v>0.51</v>
      </c>
      <c r="T77" s="92">
        <v>0.2</v>
      </c>
      <c r="U77" s="92">
        <v>0</v>
      </c>
      <c r="V77" s="92">
        <v>0.48</v>
      </c>
      <c r="W77" s="92">
        <v>0.57999999999999996</v>
      </c>
      <c r="X77" s="92">
        <v>0.61</v>
      </c>
      <c r="Y77" s="92">
        <v>0.55000000000000004</v>
      </c>
      <c r="Z77" s="92">
        <v>0.51</v>
      </c>
      <c r="AA77" s="92">
        <v>0.6</v>
      </c>
      <c r="AB77" s="16">
        <v>50</v>
      </c>
      <c r="AC77" s="16">
        <v>10</v>
      </c>
      <c r="AD77" s="96">
        <v>0.17</v>
      </c>
      <c r="AE77" s="96">
        <v>0.57999999999999996</v>
      </c>
      <c r="AF77" s="96">
        <v>0.25</v>
      </c>
      <c r="AG77" s="96">
        <v>0</v>
      </c>
      <c r="AH77" s="96">
        <v>0.42</v>
      </c>
      <c r="AI77" s="96">
        <v>0.43</v>
      </c>
      <c r="AJ77" s="96">
        <v>0.43</v>
      </c>
      <c r="AK77" s="96">
        <v>0.45</v>
      </c>
      <c r="AL77" s="96">
        <v>0.48</v>
      </c>
      <c r="AM77" s="96">
        <v>0.6</v>
      </c>
      <c r="AN77" s="16">
        <v>43</v>
      </c>
      <c r="AO77" s="16">
        <v>11</v>
      </c>
      <c r="AP77" s="96">
        <v>0.48</v>
      </c>
      <c r="AQ77" s="96">
        <v>0.39</v>
      </c>
      <c r="AR77" s="96">
        <v>0.13</v>
      </c>
      <c r="AS77" s="96">
        <v>0</v>
      </c>
      <c r="AT77" s="96">
        <v>0.65</v>
      </c>
      <c r="AU77" s="96">
        <v>0.56000000000000005</v>
      </c>
      <c r="AV77" s="96">
        <v>0.55000000000000004</v>
      </c>
      <c r="AW77" s="96">
        <v>0.53</v>
      </c>
      <c r="AX77" s="96">
        <v>0.53</v>
      </c>
      <c r="AY77" s="96">
        <v>0.61</v>
      </c>
      <c r="AZ77" s="61"/>
      <c r="BA77" s="61"/>
      <c r="BB77" s="66"/>
      <c r="BC77" s="66"/>
      <c r="BD77" s="66"/>
      <c r="BE77" s="66"/>
      <c r="BF77" s="66"/>
      <c r="BG77" s="66"/>
      <c r="BH77" s="66"/>
      <c r="BI77" s="66"/>
      <c r="BJ77" s="66"/>
      <c r="BK77" s="66"/>
      <c r="BL77" s="349">
        <v>46</v>
      </c>
      <c r="BM77" s="348" t="s">
        <v>910</v>
      </c>
      <c r="BN77" s="349">
        <v>0</v>
      </c>
      <c r="BO77" s="348" t="s">
        <v>912</v>
      </c>
      <c r="BP77" s="371">
        <v>0</v>
      </c>
      <c r="BQ77" s="371">
        <v>1</v>
      </c>
      <c r="BR77" s="371">
        <v>0</v>
      </c>
      <c r="BS77" s="371">
        <v>0</v>
      </c>
      <c r="BT77" s="371">
        <v>0.5</v>
      </c>
      <c r="BU77" s="371">
        <v>0.5</v>
      </c>
      <c r="BV77" s="371">
        <v>0.5</v>
      </c>
      <c r="BW77" s="371">
        <v>0.55000000000000004</v>
      </c>
      <c r="BX77" s="371">
        <v>0.5</v>
      </c>
      <c r="BY77" s="371">
        <v>0.78</v>
      </c>
    </row>
    <row r="78" spans="1:105" ht="24.9" customHeight="1" x14ac:dyDescent="0.25">
      <c r="A78" s="188" t="s">
        <v>169</v>
      </c>
      <c r="B78" s="1" t="s">
        <v>222</v>
      </c>
      <c r="C78" s="2">
        <v>6</v>
      </c>
      <c r="D78" s="16">
        <v>50</v>
      </c>
      <c r="E78" s="16">
        <v>8</v>
      </c>
      <c r="F78" s="96">
        <v>0.2</v>
      </c>
      <c r="G78" s="96">
        <v>0.53</v>
      </c>
      <c r="H78" s="96">
        <v>0.27</v>
      </c>
      <c r="I78" s="96">
        <v>0</v>
      </c>
      <c r="J78" s="96">
        <v>0.57999999999999996</v>
      </c>
      <c r="K78" s="96">
        <v>0.49</v>
      </c>
      <c r="L78" s="96">
        <v>0.73</v>
      </c>
      <c r="M78" s="96">
        <v>0.49</v>
      </c>
      <c r="N78" s="96">
        <v>0.41</v>
      </c>
      <c r="O78" s="96">
        <v>0.53</v>
      </c>
      <c r="P78" s="16">
        <v>45</v>
      </c>
      <c r="Q78" s="16">
        <v>9</v>
      </c>
      <c r="R78" s="92">
        <v>0.28999999999999998</v>
      </c>
      <c r="S78" s="92">
        <v>0.71</v>
      </c>
      <c r="T78" s="92">
        <v>0</v>
      </c>
      <c r="U78" s="92">
        <v>0</v>
      </c>
      <c r="V78" s="92">
        <v>0.48</v>
      </c>
      <c r="W78" s="92">
        <v>0.57999999999999996</v>
      </c>
      <c r="X78" s="92">
        <v>0.79</v>
      </c>
      <c r="Y78" s="92">
        <v>0.53</v>
      </c>
      <c r="Z78" s="92">
        <v>0.54</v>
      </c>
      <c r="AA78" s="92">
        <v>0.64</v>
      </c>
      <c r="AB78" s="16">
        <v>46</v>
      </c>
      <c r="AC78" s="16">
        <v>10</v>
      </c>
      <c r="AD78" s="96">
        <v>0.25</v>
      </c>
      <c r="AE78" s="96">
        <v>0.63</v>
      </c>
      <c r="AF78" s="96">
        <v>0.13</v>
      </c>
      <c r="AG78" s="96">
        <v>0</v>
      </c>
      <c r="AH78" s="96">
        <v>0.44</v>
      </c>
      <c r="AI78" s="96">
        <v>0.56999999999999995</v>
      </c>
      <c r="AJ78" s="96">
        <v>0.44</v>
      </c>
      <c r="AK78" s="96">
        <v>0.6</v>
      </c>
      <c r="AL78" s="96">
        <v>0.68</v>
      </c>
      <c r="AM78" s="96">
        <v>0.48</v>
      </c>
      <c r="AN78" s="16">
        <v>48</v>
      </c>
      <c r="AO78" s="16">
        <v>10</v>
      </c>
      <c r="AP78" s="96">
        <v>0.18</v>
      </c>
      <c r="AQ78" s="96">
        <v>0.64</v>
      </c>
      <c r="AR78" s="96">
        <v>0.18</v>
      </c>
      <c r="AS78" s="96">
        <v>0</v>
      </c>
      <c r="AT78" s="96">
        <v>0.5</v>
      </c>
      <c r="AU78" s="96">
        <v>0.54</v>
      </c>
      <c r="AV78" s="96">
        <v>0.47</v>
      </c>
      <c r="AW78" s="96">
        <v>0.38</v>
      </c>
      <c r="AX78" s="96">
        <v>0.51</v>
      </c>
      <c r="AY78" s="96">
        <v>0.59</v>
      </c>
      <c r="AZ78" s="61">
        <v>44</v>
      </c>
      <c r="BA78" s="61">
        <v>8</v>
      </c>
      <c r="BB78" s="66">
        <v>0.36</v>
      </c>
      <c r="BC78" s="66">
        <v>0.45</v>
      </c>
      <c r="BD78" s="66">
        <v>0.18</v>
      </c>
      <c r="BE78" s="66">
        <v>0</v>
      </c>
      <c r="BF78" s="66">
        <v>0.57999999999999996</v>
      </c>
      <c r="BG78" s="66">
        <v>0.65</v>
      </c>
      <c r="BH78" s="66">
        <v>0.57999999999999996</v>
      </c>
      <c r="BI78" s="66">
        <v>0.57999999999999996</v>
      </c>
      <c r="BJ78" s="66">
        <v>0.51</v>
      </c>
      <c r="BK78" s="66">
        <v>0.53</v>
      </c>
      <c r="BL78" s="349">
        <v>47</v>
      </c>
      <c r="BM78" s="348" t="s">
        <v>910</v>
      </c>
      <c r="BN78" s="349">
        <v>12</v>
      </c>
      <c r="BO78" s="348" t="s">
        <v>910</v>
      </c>
      <c r="BP78" s="371">
        <v>0.33</v>
      </c>
      <c r="BQ78" s="371">
        <v>0.4</v>
      </c>
      <c r="BR78" s="371">
        <v>0.27</v>
      </c>
      <c r="BS78" s="371">
        <v>0</v>
      </c>
      <c r="BT78" s="371">
        <v>0.43</v>
      </c>
      <c r="BU78" s="371">
        <v>0.56000000000000005</v>
      </c>
      <c r="BV78" s="371">
        <v>0.65</v>
      </c>
      <c r="BW78" s="371">
        <v>0.49</v>
      </c>
      <c r="BX78" s="371">
        <v>0.47</v>
      </c>
      <c r="BY78" s="371">
        <v>0.56000000000000005</v>
      </c>
      <c r="BZ78" s="469">
        <v>48</v>
      </c>
      <c r="CA78" s="471" t="s">
        <v>910</v>
      </c>
      <c r="CB78" s="469">
        <v>11</v>
      </c>
      <c r="CC78" s="471" t="s">
        <v>910</v>
      </c>
      <c r="CD78" s="501">
        <v>0.2</v>
      </c>
      <c r="CE78" s="501">
        <v>0.5</v>
      </c>
      <c r="CF78" s="501">
        <v>0.3</v>
      </c>
      <c r="CG78" s="501">
        <v>0</v>
      </c>
      <c r="CH78" s="501">
        <v>0.54</v>
      </c>
      <c r="CI78" s="501">
        <v>0.28000000000000003</v>
      </c>
      <c r="CJ78" s="501">
        <v>0.61</v>
      </c>
      <c r="CK78" s="501">
        <v>0.49</v>
      </c>
      <c r="CL78" s="501">
        <v>0.53</v>
      </c>
      <c r="CM78" s="501">
        <v>0.63</v>
      </c>
      <c r="CN78" s="630">
        <v>45</v>
      </c>
      <c r="CO78" s="640" t="s">
        <v>910</v>
      </c>
      <c r="CP78" s="630">
        <v>8</v>
      </c>
      <c r="CQ78" s="640" t="s">
        <v>910</v>
      </c>
      <c r="CR78" s="644">
        <v>0.33</v>
      </c>
      <c r="CS78" s="644">
        <v>0.47</v>
      </c>
      <c r="CT78" s="644">
        <v>0.2</v>
      </c>
      <c r="CU78" s="644">
        <v>0</v>
      </c>
      <c r="CV78" s="644">
        <v>0.45</v>
      </c>
      <c r="CW78" s="644">
        <v>0.59</v>
      </c>
      <c r="CX78" s="644">
        <v>0.65</v>
      </c>
      <c r="CY78" s="644">
        <v>0.38</v>
      </c>
      <c r="CZ78" s="644">
        <v>0.62</v>
      </c>
      <c r="DA78" s="644">
        <v>0.67</v>
      </c>
    </row>
    <row r="79" spans="1:105" ht="24.9" customHeight="1" x14ac:dyDescent="0.25">
      <c r="A79" s="188" t="s">
        <v>232</v>
      </c>
      <c r="B79" s="1" t="s">
        <v>222</v>
      </c>
      <c r="C79" s="2">
        <v>2</v>
      </c>
      <c r="D79" s="13" t="s">
        <v>226</v>
      </c>
      <c r="E79" s="13" t="s">
        <v>226</v>
      </c>
      <c r="F79" s="13"/>
      <c r="G79" s="13"/>
      <c r="H79" s="13"/>
      <c r="I79" s="13"/>
      <c r="J79" s="13"/>
      <c r="K79" s="13"/>
      <c r="L79" s="13"/>
      <c r="M79" s="13"/>
      <c r="N79" s="13"/>
      <c r="O79" s="13"/>
      <c r="P79" s="16">
        <v>58</v>
      </c>
      <c r="Q79" s="16">
        <v>9</v>
      </c>
      <c r="R79" s="92">
        <v>0.04</v>
      </c>
      <c r="S79" s="92">
        <v>0.28999999999999998</v>
      </c>
      <c r="T79" s="92">
        <v>0.63</v>
      </c>
      <c r="U79" s="92">
        <v>0.04</v>
      </c>
      <c r="V79" s="92">
        <v>0.27</v>
      </c>
      <c r="W79" s="92">
        <v>0.38</v>
      </c>
      <c r="X79" s="92">
        <v>0.39</v>
      </c>
      <c r="Y79" s="92">
        <v>0.38</v>
      </c>
      <c r="Z79" s="92">
        <v>0.28000000000000003</v>
      </c>
      <c r="AA79" s="92">
        <v>0.34</v>
      </c>
      <c r="AB79" s="16">
        <v>55</v>
      </c>
      <c r="AC79" s="16">
        <v>10</v>
      </c>
      <c r="AD79" s="96">
        <v>0.14000000000000001</v>
      </c>
      <c r="AE79" s="96">
        <v>0.28999999999999998</v>
      </c>
      <c r="AF79" s="96">
        <v>0.56999999999999995</v>
      </c>
      <c r="AG79" s="96">
        <v>0</v>
      </c>
      <c r="AH79" s="96">
        <v>0.35</v>
      </c>
      <c r="AI79" s="96">
        <v>0.26</v>
      </c>
      <c r="AJ79" s="96">
        <v>0.27</v>
      </c>
      <c r="AK79" s="96">
        <v>0.5</v>
      </c>
      <c r="AL79" s="96">
        <v>0.41</v>
      </c>
      <c r="AM79" s="96">
        <v>0.41</v>
      </c>
      <c r="AN79" s="16">
        <v>57</v>
      </c>
      <c r="AO79" s="16">
        <v>13</v>
      </c>
      <c r="AP79" s="96">
        <v>0.13</v>
      </c>
      <c r="AQ79" s="96">
        <v>0.25</v>
      </c>
      <c r="AR79" s="96">
        <v>0.5</v>
      </c>
      <c r="AS79" s="96">
        <v>0.13</v>
      </c>
      <c r="AT79" s="96">
        <v>0.43</v>
      </c>
      <c r="AU79" s="96">
        <v>0.32</v>
      </c>
      <c r="AV79" s="96">
        <v>0.31</v>
      </c>
      <c r="AW79" s="96">
        <v>0.31</v>
      </c>
      <c r="AX79" s="96">
        <v>0.3</v>
      </c>
      <c r="AY79" s="96">
        <v>0.38</v>
      </c>
      <c r="AZ79" s="61">
        <v>63</v>
      </c>
      <c r="BA79" s="61">
        <v>8</v>
      </c>
      <c r="BB79" s="66">
        <v>0</v>
      </c>
      <c r="BC79" s="66">
        <v>0.19</v>
      </c>
      <c r="BD79" s="66">
        <v>0.75</v>
      </c>
      <c r="BE79" s="66">
        <v>0.06</v>
      </c>
      <c r="BF79" s="66">
        <v>0.27</v>
      </c>
      <c r="BG79" s="66">
        <v>0.24</v>
      </c>
      <c r="BH79" s="66">
        <v>0.21</v>
      </c>
      <c r="BI79" s="66">
        <v>0.42</v>
      </c>
      <c r="BJ79" s="66">
        <v>0.24</v>
      </c>
      <c r="BK79" s="66">
        <v>0.17</v>
      </c>
      <c r="BL79" s="349">
        <v>61</v>
      </c>
      <c r="BM79" s="348" t="s">
        <v>911</v>
      </c>
      <c r="BN79" s="349">
        <v>9</v>
      </c>
      <c r="BO79" s="348" t="s">
        <v>910</v>
      </c>
      <c r="BP79" s="371">
        <v>0.05</v>
      </c>
      <c r="BQ79" s="371">
        <v>0.15</v>
      </c>
      <c r="BR79" s="371">
        <v>0.7</v>
      </c>
      <c r="BS79" s="371">
        <v>0.1</v>
      </c>
      <c r="BT79" s="371">
        <v>0.27</v>
      </c>
      <c r="BU79" s="371">
        <v>0.27</v>
      </c>
      <c r="BV79" s="371">
        <v>0.27</v>
      </c>
      <c r="BW79" s="371">
        <v>0.27</v>
      </c>
      <c r="BX79" s="371">
        <v>0.3</v>
      </c>
      <c r="BY79" s="371">
        <v>0.28999999999999998</v>
      </c>
      <c r="BZ79" s="469">
        <v>59</v>
      </c>
      <c r="CA79" s="471" t="s">
        <v>911</v>
      </c>
      <c r="CB79" s="469">
        <v>8</v>
      </c>
      <c r="CC79" s="471" t="s">
        <v>910</v>
      </c>
      <c r="CD79" s="501">
        <v>0.08</v>
      </c>
      <c r="CE79" s="501">
        <v>0.12</v>
      </c>
      <c r="CF79" s="501">
        <v>0.81</v>
      </c>
      <c r="CG79" s="501">
        <v>0</v>
      </c>
      <c r="CH79" s="501">
        <v>0.28999999999999998</v>
      </c>
      <c r="CI79" s="501">
        <v>0.13</v>
      </c>
      <c r="CJ79" s="501">
        <v>0.38</v>
      </c>
      <c r="CK79" s="501">
        <v>0.46</v>
      </c>
      <c r="CL79" s="501">
        <v>0.28999999999999998</v>
      </c>
      <c r="CM79" s="501">
        <v>0.49</v>
      </c>
      <c r="CN79" s="630">
        <v>59</v>
      </c>
      <c r="CO79" s="640" t="s">
        <v>911</v>
      </c>
      <c r="CP79" s="630">
        <v>8</v>
      </c>
      <c r="CQ79" s="640" t="s">
        <v>910</v>
      </c>
      <c r="CR79" s="644">
        <v>0</v>
      </c>
      <c r="CS79" s="644">
        <v>0.34</v>
      </c>
      <c r="CT79" s="644">
        <v>0.59</v>
      </c>
      <c r="CU79" s="644">
        <v>7.0000000000000007E-2</v>
      </c>
      <c r="CV79" s="644">
        <v>0.21</v>
      </c>
      <c r="CW79" s="644">
        <v>0.37</v>
      </c>
      <c r="CX79" s="644">
        <v>0.41</v>
      </c>
      <c r="CY79" s="644">
        <v>0.54</v>
      </c>
      <c r="CZ79" s="644">
        <v>0.34</v>
      </c>
      <c r="DA79" s="644">
        <v>0.57999999999999996</v>
      </c>
    </row>
    <row r="80" spans="1:105" ht="24.9" customHeight="1" x14ac:dyDescent="0.25">
      <c r="A80" s="188" t="s">
        <v>42</v>
      </c>
      <c r="B80" s="1" t="s">
        <v>222</v>
      </c>
      <c r="C80" s="2">
        <v>6</v>
      </c>
      <c r="D80" s="16">
        <v>58</v>
      </c>
      <c r="E80" s="16">
        <v>7</v>
      </c>
      <c r="F80" s="96">
        <v>0</v>
      </c>
      <c r="G80" s="96">
        <v>0.36</v>
      </c>
      <c r="H80" s="96">
        <v>0.61</v>
      </c>
      <c r="I80" s="96">
        <v>0.03</v>
      </c>
      <c r="J80" s="96">
        <v>0.49</v>
      </c>
      <c r="K80" s="96">
        <v>0.37</v>
      </c>
      <c r="L80" s="96">
        <v>0.41</v>
      </c>
      <c r="M80" s="96">
        <v>0.33</v>
      </c>
      <c r="N80" s="96">
        <v>0.31</v>
      </c>
      <c r="O80" s="96">
        <v>0.34</v>
      </c>
      <c r="P80" s="16">
        <v>55</v>
      </c>
      <c r="Q80" s="16">
        <v>10</v>
      </c>
      <c r="R80" s="92">
        <v>0.04</v>
      </c>
      <c r="S80" s="92">
        <v>0.46</v>
      </c>
      <c r="T80" s="92">
        <v>0.42</v>
      </c>
      <c r="U80" s="92">
        <v>0.08</v>
      </c>
      <c r="V80" s="92">
        <v>0.32</v>
      </c>
      <c r="W80" s="92">
        <v>0.4</v>
      </c>
      <c r="X80" s="92">
        <v>0.45</v>
      </c>
      <c r="Y80" s="92">
        <v>0.43</v>
      </c>
      <c r="Z80" s="92">
        <v>0.39</v>
      </c>
      <c r="AA80" s="92">
        <v>0.37</v>
      </c>
      <c r="AB80" s="16">
        <v>56</v>
      </c>
      <c r="AC80" s="16">
        <v>11</v>
      </c>
      <c r="AD80" s="96">
        <v>0.08</v>
      </c>
      <c r="AE80" s="96">
        <v>0.36</v>
      </c>
      <c r="AF80" s="96">
        <v>0.53</v>
      </c>
      <c r="AG80" s="96">
        <v>0.03</v>
      </c>
      <c r="AH80" s="96">
        <v>0.28000000000000003</v>
      </c>
      <c r="AI80" s="96">
        <v>0.34</v>
      </c>
      <c r="AJ80" s="96">
        <v>0.33</v>
      </c>
      <c r="AK80" s="96">
        <v>0.38</v>
      </c>
      <c r="AL80" s="96">
        <v>0.52</v>
      </c>
      <c r="AM80" s="96">
        <v>0.42</v>
      </c>
      <c r="AN80" s="16">
        <v>56</v>
      </c>
      <c r="AO80" s="16">
        <v>10</v>
      </c>
      <c r="AP80" s="96">
        <v>7.0000000000000007E-2</v>
      </c>
      <c r="AQ80" s="96">
        <v>0.33</v>
      </c>
      <c r="AR80" s="96">
        <v>0.56999999999999995</v>
      </c>
      <c r="AS80" s="96">
        <v>0.03</v>
      </c>
      <c r="AT80" s="96">
        <v>0.43</v>
      </c>
      <c r="AU80" s="96">
        <v>0.42</v>
      </c>
      <c r="AV80" s="96">
        <v>0.32</v>
      </c>
      <c r="AW80" s="96">
        <v>0.34</v>
      </c>
      <c r="AX80" s="96">
        <v>0.35</v>
      </c>
      <c r="AY80" s="96">
        <v>0.35</v>
      </c>
      <c r="AZ80" s="61">
        <v>57</v>
      </c>
      <c r="BA80" s="61">
        <v>10</v>
      </c>
      <c r="BB80" s="66">
        <v>0.04</v>
      </c>
      <c r="BC80" s="66">
        <v>0.38</v>
      </c>
      <c r="BD80" s="66">
        <v>0.5</v>
      </c>
      <c r="BE80" s="66">
        <v>0.08</v>
      </c>
      <c r="BF80" s="66">
        <v>0.44</v>
      </c>
      <c r="BG80" s="66">
        <v>0.42</v>
      </c>
      <c r="BH80" s="66">
        <v>0.28000000000000003</v>
      </c>
      <c r="BI80" s="66">
        <v>0.41</v>
      </c>
      <c r="BJ80" s="66">
        <v>0.27</v>
      </c>
      <c r="BK80" s="66">
        <v>0.34</v>
      </c>
      <c r="BL80" s="349">
        <v>52</v>
      </c>
      <c r="BM80" s="348" t="s">
        <v>910</v>
      </c>
      <c r="BN80" s="349">
        <v>8</v>
      </c>
      <c r="BO80" s="348" t="s">
        <v>910</v>
      </c>
      <c r="BP80" s="371">
        <v>7.0000000000000007E-2</v>
      </c>
      <c r="BQ80" s="371">
        <v>0.61</v>
      </c>
      <c r="BR80" s="371">
        <v>0.32</v>
      </c>
      <c r="BS80" s="371">
        <v>0</v>
      </c>
      <c r="BT80" s="371">
        <v>0.44</v>
      </c>
      <c r="BU80" s="371">
        <v>0.42</v>
      </c>
      <c r="BV80" s="371">
        <v>0.39</v>
      </c>
      <c r="BW80" s="371">
        <v>0.39</v>
      </c>
      <c r="BX80" s="371">
        <v>0.43</v>
      </c>
      <c r="BY80" s="371">
        <v>0.48</v>
      </c>
      <c r="BZ80" s="469">
        <v>58</v>
      </c>
      <c r="CA80" s="471" t="s">
        <v>911</v>
      </c>
      <c r="CB80" s="469">
        <v>9</v>
      </c>
      <c r="CC80" s="471" t="s">
        <v>910</v>
      </c>
      <c r="CD80" s="501">
        <v>0.03</v>
      </c>
      <c r="CE80" s="501">
        <v>0.28000000000000003</v>
      </c>
      <c r="CF80" s="501">
        <v>0.62</v>
      </c>
      <c r="CG80" s="501">
        <v>7.0000000000000007E-2</v>
      </c>
      <c r="CH80" s="501">
        <v>0.37</v>
      </c>
      <c r="CI80" s="501">
        <v>0.31</v>
      </c>
      <c r="CJ80" s="501">
        <v>0.4</v>
      </c>
      <c r="CK80" s="501">
        <v>0.42</v>
      </c>
      <c r="CL80" s="501">
        <v>0.33</v>
      </c>
      <c r="CM80" s="501">
        <v>0.49</v>
      </c>
      <c r="CN80" s="630">
        <v>57</v>
      </c>
      <c r="CO80" s="640" t="s">
        <v>910</v>
      </c>
      <c r="CP80" s="630">
        <v>8</v>
      </c>
      <c r="CQ80" s="640" t="s">
        <v>910</v>
      </c>
      <c r="CR80" s="644">
        <v>0</v>
      </c>
      <c r="CS80" s="644">
        <v>0.47</v>
      </c>
      <c r="CT80" s="644">
        <v>0.5</v>
      </c>
      <c r="CU80" s="644">
        <v>0.03</v>
      </c>
      <c r="CV80" s="644">
        <v>0.32</v>
      </c>
      <c r="CW80" s="644">
        <v>0.38</v>
      </c>
      <c r="CX80" s="644">
        <v>0.39</v>
      </c>
      <c r="CY80" s="644">
        <v>0.5</v>
      </c>
      <c r="CZ80" s="644">
        <v>0.42</v>
      </c>
      <c r="DA80" s="644">
        <v>0.47</v>
      </c>
    </row>
    <row r="81" spans="1:105" s="461" customFormat="1" ht="24.9" customHeight="1" x14ac:dyDescent="0.25">
      <c r="A81" s="470" t="s">
        <v>960</v>
      </c>
      <c r="B81" s="15" t="s">
        <v>222</v>
      </c>
      <c r="C81" s="471">
        <v>3</v>
      </c>
      <c r="D81" s="502"/>
      <c r="E81" s="502"/>
      <c r="F81" s="501"/>
      <c r="G81" s="501"/>
      <c r="H81" s="501"/>
      <c r="I81" s="501"/>
      <c r="J81" s="501"/>
      <c r="K81" s="501"/>
      <c r="L81" s="501"/>
      <c r="M81" s="501"/>
      <c r="N81" s="501"/>
      <c r="O81" s="501"/>
      <c r="P81" s="502"/>
      <c r="Q81" s="502"/>
      <c r="R81" s="504"/>
      <c r="S81" s="504"/>
      <c r="T81" s="504"/>
      <c r="U81" s="504"/>
      <c r="V81" s="504"/>
      <c r="W81" s="504"/>
      <c r="X81" s="504"/>
      <c r="Y81" s="504"/>
      <c r="Z81" s="504"/>
      <c r="AA81" s="504"/>
      <c r="AB81" s="502"/>
      <c r="AC81" s="502"/>
      <c r="AD81" s="501"/>
      <c r="AE81" s="501"/>
      <c r="AF81" s="501"/>
      <c r="AG81" s="501"/>
      <c r="AH81" s="501"/>
      <c r="AI81" s="501"/>
      <c r="AJ81" s="501"/>
      <c r="AK81" s="501"/>
      <c r="AL81" s="501"/>
      <c r="AM81" s="501"/>
      <c r="AN81" s="502"/>
      <c r="AO81" s="502"/>
      <c r="AP81" s="501"/>
      <c r="AQ81" s="501"/>
      <c r="AR81" s="501"/>
      <c r="AS81" s="501"/>
      <c r="AT81" s="501"/>
      <c r="AU81" s="501"/>
      <c r="AV81" s="501"/>
      <c r="AW81" s="501"/>
      <c r="AX81" s="501"/>
      <c r="AY81" s="501"/>
      <c r="AZ81" s="472"/>
      <c r="BA81" s="472"/>
      <c r="BB81" s="506"/>
      <c r="BC81" s="506"/>
      <c r="BD81" s="506"/>
      <c r="BE81" s="506"/>
      <c r="BF81" s="506"/>
      <c r="BG81" s="506"/>
      <c r="BH81" s="506"/>
      <c r="BI81" s="506"/>
      <c r="BJ81" s="506"/>
      <c r="BK81" s="506"/>
      <c r="BL81" s="475"/>
      <c r="BM81" s="493"/>
      <c r="BN81" s="475"/>
      <c r="BO81" s="493"/>
      <c r="BP81" s="507"/>
      <c r="BQ81" s="507"/>
      <c r="BR81" s="507"/>
      <c r="BS81" s="507"/>
      <c r="BT81" s="507"/>
      <c r="BU81" s="507"/>
      <c r="BV81" s="507"/>
      <c r="BW81" s="507"/>
      <c r="BX81" s="507"/>
      <c r="BY81" s="507"/>
      <c r="BZ81" s="469">
        <v>55</v>
      </c>
      <c r="CA81" s="471" t="s">
        <v>910</v>
      </c>
      <c r="CB81" s="469">
        <v>11</v>
      </c>
      <c r="CC81" s="471" t="s">
        <v>910</v>
      </c>
      <c r="CD81" s="501">
        <v>7.0000000000000007E-2</v>
      </c>
      <c r="CE81" s="501">
        <v>0.43</v>
      </c>
      <c r="CF81" s="501">
        <v>0.43</v>
      </c>
      <c r="CG81" s="501">
        <v>7.0000000000000007E-2</v>
      </c>
      <c r="CH81" s="501">
        <v>0.3</v>
      </c>
      <c r="CI81" s="501">
        <v>0.39</v>
      </c>
      <c r="CJ81" s="501">
        <v>0.53</v>
      </c>
      <c r="CK81" s="501">
        <v>0.46</v>
      </c>
      <c r="CL81" s="501">
        <v>0.47</v>
      </c>
      <c r="CM81" s="501">
        <v>0.49</v>
      </c>
      <c r="CN81" s="630">
        <v>44</v>
      </c>
      <c r="CO81" s="640" t="s">
        <v>910</v>
      </c>
      <c r="CP81" s="630">
        <v>11</v>
      </c>
      <c r="CQ81" s="640" t="s">
        <v>910</v>
      </c>
      <c r="CR81" s="644">
        <v>0.55000000000000004</v>
      </c>
      <c r="CS81" s="644">
        <v>0.25</v>
      </c>
      <c r="CT81" s="644">
        <v>0.2</v>
      </c>
      <c r="CU81" s="644">
        <v>0</v>
      </c>
      <c r="CV81" s="644">
        <v>0.49</v>
      </c>
      <c r="CW81" s="644">
        <v>0.67</v>
      </c>
      <c r="CX81" s="644">
        <v>0.61</v>
      </c>
      <c r="CY81" s="644">
        <v>0.86</v>
      </c>
      <c r="CZ81" s="644">
        <v>0.67</v>
      </c>
      <c r="DA81" s="644">
        <v>0.67</v>
      </c>
    </row>
    <row r="82" spans="1:105" ht="24.9" customHeight="1" x14ac:dyDescent="0.25">
      <c r="A82" s="188" t="s">
        <v>108</v>
      </c>
      <c r="B82" s="1" t="s">
        <v>222</v>
      </c>
      <c r="C82" s="2">
        <v>6</v>
      </c>
      <c r="D82" s="16">
        <v>58</v>
      </c>
      <c r="E82" s="16">
        <v>7</v>
      </c>
      <c r="F82" s="96">
        <v>7.0000000000000007E-2</v>
      </c>
      <c r="G82" s="96">
        <v>0.4</v>
      </c>
      <c r="H82" s="96">
        <v>0.53</v>
      </c>
      <c r="I82" s="96">
        <v>0</v>
      </c>
      <c r="J82" s="96">
        <v>0.47</v>
      </c>
      <c r="K82" s="96">
        <v>0.39</v>
      </c>
      <c r="L82" s="96">
        <v>0.5</v>
      </c>
      <c r="M82" s="96">
        <v>0.32</v>
      </c>
      <c r="N82" s="96">
        <v>0.33</v>
      </c>
      <c r="O82" s="96">
        <v>0.53</v>
      </c>
      <c r="P82" s="16">
        <v>48</v>
      </c>
      <c r="Q82" s="16">
        <v>8</v>
      </c>
      <c r="R82" s="92">
        <v>0.12</v>
      </c>
      <c r="S82" s="92">
        <v>0.71</v>
      </c>
      <c r="T82" s="92">
        <v>0.18</v>
      </c>
      <c r="U82" s="92">
        <v>0</v>
      </c>
      <c r="V82" s="92">
        <v>0.42</v>
      </c>
      <c r="W82" s="92">
        <v>0.59</v>
      </c>
      <c r="X82" s="92">
        <v>0.62</v>
      </c>
      <c r="Y82" s="92">
        <v>0.51</v>
      </c>
      <c r="Z82" s="92">
        <v>0.49</v>
      </c>
      <c r="AA82" s="92">
        <v>0.56999999999999995</v>
      </c>
      <c r="AB82" s="16">
        <v>52</v>
      </c>
      <c r="AC82" s="16">
        <v>10</v>
      </c>
      <c r="AD82" s="96">
        <v>0.18</v>
      </c>
      <c r="AE82" s="96">
        <v>0.45</v>
      </c>
      <c r="AF82" s="96">
        <v>0.36</v>
      </c>
      <c r="AG82" s="96">
        <v>0</v>
      </c>
      <c r="AH82" s="96">
        <v>0.36</v>
      </c>
      <c r="AI82" s="96">
        <v>0.49</v>
      </c>
      <c r="AJ82" s="96">
        <v>0.34</v>
      </c>
      <c r="AK82" s="96">
        <v>0.44</v>
      </c>
      <c r="AL82" s="96">
        <v>0.5</v>
      </c>
      <c r="AM82" s="96">
        <v>0.47</v>
      </c>
      <c r="AN82" s="16">
        <v>53</v>
      </c>
      <c r="AO82" s="16">
        <v>9</v>
      </c>
      <c r="AP82" s="96">
        <v>0.13</v>
      </c>
      <c r="AQ82" s="96">
        <v>0.38</v>
      </c>
      <c r="AR82" s="96">
        <v>0.5</v>
      </c>
      <c r="AS82" s="96">
        <v>0</v>
      </c>
      <c r="AT82" s="96">
        <v>0.4</v>
      </c>
      <c r="AU82" s="96">
        <v>0.33</v>
      </c>
      <c r="AV82" s="96">
        <v>0.37</v>
      </c>
      <c r="AW82" s="96">
        <v>0.38</v>
      </c>
      <c r="AX82" s="96">
        <v>0.43</v>
      </c>
      <c r="AY82" s="96">
        <v>0.4</v>
      </c>
      <c r="AZ82" s="61">
        <v>51</v>
      </c>
      <c r="BA82" s="61">
        <v>12</v>
      </c>
      <c r="BB82" s="66">
        <v>0.16</v>
      </c>
      <c r="BC82" s="66">
        <v>0.47</v>
      </c>
      <c r="BD82" s="66">
        <v>0.32</v>
      </c>
      <c r="BE82" s="66">
        <v>0.05</v>
      </c>
      <c r="BF82" s="66">
        <v>0.48</v>
      </c>
      <c r="BG82" s="66">
        <v>0.42</v>
      </c>
      <c r="BH82" s="66">
        <v>0.47</v>
      </c>
      <c r="BI82" s="66">
        <v>0.56000000000000005</v>
      </c>
      <c r="BJ82" s="66">
        <v>0.38</v>
      </c>
      <c r="BK82" s="66">
        <v>0.39</v>
      </c>
      <c r="BL82" s="349">
        <v>50</v>
      </c>
      <c r="BM82" s="348" t="s">
        <v>910</v>
      </c>
      <c r="BN82" s="349">
        <v>12</v>
      </c>
      <c r="BO82" s="348" t="s">
        <v>910</v>
      </c>
      <c r="BP82" s="371">
        <v>0.15</v>
      </c>
      <c r="BQ82" s="371">
        <v>0.62</v>
      </c>
      <c r="BR82" s="371">
        <v>0.15</v>
      </c>
      <c r="BS82" s="371">
        <v>0.08</v>
      </c>
      <c r="BT82" s="371">
        <v>0.48</v>
      </c>
      <c r="BU82" s="371">
        <v>0.43</v>
      </c>
      <c r="BV82" s="371">
        <v>0.6</v>
      </c>
      <c r="BW82" s="371">
        <v>0.46</v>
      </c>
      <c r="BX82" s="371">
        <v>0.47</v>
      </c>
      <c r="BY82" s="371">
        <v>0.51</v>
      </c>
      <c r="BZ82" s="469">
        <v>48</v>
      </c>
      <c r="CA82" s="471" t="s">
        <v>910</v>
      </c>
      <c r="CB82" s="469">
        <v>10</v>
      </c>
      <c r="CC82" s="471" t="s">
        <v>910</v>
      </c>
      <c r="CD82" s="501">
        <v>0.3</v>
      </c>
      <c r="CE82" s="501">
        <v>0.5</v>
      </c>
      <c r="CF82" s="501">
        <v>0.2</v>
      </c>
      <c r="CG82" s="501">
        <v>0</v>
      </c>
      <c r="CH82" s="501">
        <v>0.67</v>
      </c>
      <c r="CI82" s="501">
        <v>0.64</v>
      </c>
      <c r="CJ82" s="501">
        <v>0.67</v>
      </c>
      <c r="CK82" s="501">
        <v>0.52</v>
      </c>
      <c r="CL82" s="501">
        <v>0.62</v>
      </c>
      <c r="CM82" s="501">
        <v>0.56000000000000005</v>
      </c>
      <c r="CN82" s="630">
        <v>59</v>
      </c>
      <c r="CO82" s="640" t="s">
        <v>911</v>
      </c>
      <c r="CP82" s="630">
        <v>9</v>
      </c>
      <c r="CQ82" s="640" t="s">
        <v>910</v>
      </c>
      <c r="CR82" s="644">
        <v>0.11</v>
      </c>
      <c r="CS82" s="644">
        <v>0.22</v>
      </c>
      <c r="CT82" s="644">
        <v>0.67</v>
      </c>
      <c r="CU82" s="644">
        <v>0</v>
      </c>
      <c r="CV82" s="644">
        <v>0.39</v>
      </c>
      <c r="CW82" s="644">
        <v>0.19</v>
      </c>
      <c r="CX82" s="644">
        <v>0.45</v>
      </c>
      <c r="CY82" s="644">
        <v>1</v>
      </c>
      <c r="CZ82" s="644">
        <v>0.5</v>
      </c>
      <c r="DA82" s="644">
        <v>0.5</v>
      </c>
    </row>
    <row r="83" spans="1:105" ht="24.9" customHeight="1" x14ac:dyDescent="0.25">
      <c r="A83" s="188" t="s">
        <v>38</v>
      </c>
      <c r="B83" s="1" t="s">
        <v>222</v>
      </c>
      <c r="C83" s="2">
        <v>6</v>
      </c>
      <c r="D83" s="16">
        <v>56</v>
      </c>
      <c r="E83" s="16">
        <v>8</v>
      </c>
      <c r="F83" s="96">
        <v>0.03</v>
      </c>
      <c r="G83" s="96">
        <v>0.51</v>
      </c>
      <c r="H83" s="96">
        <v>0.41</v>
      </c>
      <c r="I83" s="96">
        <v>0.05</v>
      </c>
      <c r="J83" s="96">
        <v>0.46</v>
      </c>
      <c r="K83" s="96">
        <v>0.39</v>
      </c>
      <c r="L83" s="96">
        <v>0.45</v>
      </c>
      <c r="M83" s="96">
        <v>0.34</v>
      </c>
      <c r="N83" s="96">
        <v>0.37</v>
      </c>
      <c r="O83" s="96">
        <v>0.48</v>
      </c>
      <c r="P83" s="16">
        <v>48</v>
      </c>
      <c r="Q83" s="16">
        <v>12</v>
      </c>
      <c r="R83" s="92">
        <v>0.26</v>
      </c>
      <c r="S83" s="92">
        <v>0.48</v>
      </c>
      <c r="T83" s="92">
        <v>0.26</v>
      </c>
      <c r="U83" s="92">
        <v>0</v>
      </c>
      <c r="V83" s="92">
        <v>0.46</v>
      </c>
      <c r="W83" s="92">
        <v>0.52</v>
      </c>
      <c r="X83" s="92">
        <v>0.57999999999999996</v>
      </c>
      <c r="Y83" s="92">
        <v>0.51</v>
      </c>
      <c r="Z83" s="92">
        <v>0.5</v>
      </c>
      <c r="AA83" s="92">
        <v>0.56999999999999995</v>
      </c>
      <c r="AB83" s="16">
        <v>50</v>
      </c>
      <c r="AC83" s="16">
        <v>10</v>
      </c>
      <c r="AD83" s="96">
        <v>0.21</v>
      </c>
      <c r="AE83" s="96">
        <v>0.53</v>
      </c>
      <c r="AF83" s="96">
        <v>0.23</v>
      </c>
      <c r="AG83" s="96">
        <v>0.02</v>
      </c>
      <c r="AH83" s="96">
        <v>0.41</v>
      </c>
      <c r="AI83" s="96">
        <v>0.46</v>
      </c>
      <c r="AJ83" s="96">
        <v>0.41</v>
      </c>
      <c r="AK83" s="96">
        <v>0.51</v>
      </c>
      <c r="AL83" s="96">
        <v>0.53</v>
      </c>
      <c r="AM83" s="96">
        <v>0.49</v>
      </c>
      <c r="AN83" s="16">
        <v>50</v>
      </c>
      <c r="AO83" s="16">
        <v>11</v>
      </c>
      <c r="AP83" s="96">
        <v>0.23</v>
      </c>
      <c r="AQ83" s="96">
        <v>0.46</v>
      </c>
      <c r="AR83" s="96">
        <v>0.28999999999999998</v>
      </c>
      <c r="AS83" s="96">
        <v>0.02</v>
      </c>
      <c r="AT83" s="96">
        <v>0.49</v>
      </c>
      <c r="AU83" s="96">
        <v>0.48</v>
      </c>
      <c r="AV83" s="96">
        <v>0.43</v>
      </c>
      <c r="AW83" s="96">
        <v>0.46</v>
      </c>
      <c r="AX83" s="96">
        <v>0.46</v>
      </c>
      <c r="AY83" s="96">
        <v>0.43</v>
      </c>
      <c r="AZ83" s="61">
        <v>50</v>
      </c>
      <c r="BA83" s="61">
        <v>11</v>
      </c>
      <c r="BB83" s="66">
        <v>0.21</v>
      </c>
      <c r="BC83" s="66">
        <v>0.47</v>
      </c>
      <c r="BD83" s="66">
        <v>0.28000000000000003</v>
      </c>
      <c r="BE83" s="66">
        <v>0.04</v>
      </c>
      <c r="BF83" s="66">
        <v>0.46</v>
      </c>
      <c r="BG83" s="66">
        <v>0.49</v>
      </c>
      <c r="BH83" s="66">
        <v>0.5</v>
      </c>
      <c r="BI83" s="66">
        <v>0.59</v>
      </c>
      <c r="BJ83" s="66">
        <v>0.43</v>
      </c>
      <c r="BK83" s="66">
        <v>0.43</v>
      </c>
      <c r="BL83" s="349">
        <v>46</v>
      </c>
      <c r="BM83" s="348" t="s">
        <v>910</v>
      </c>
      <c r="BN83" s="349">
        <v>12</v>
      </c>
      <c r="BO83" s="348" t="s">
        <v>910</v>
      </c>
      <c r="BP83" s="371">
        <v>0.36</v>
      </c>
      <c r="BQ83" s="371">
        <v>0.41</v>
      </c>
      <c r="BR83" s="371">
        <v>0.23</v>
      </c>
      <c r="BS83" s="371">
        <v>0</v>
      </c>
      <c r="BT83" s="371">
        <v>0.48</v>
      </c>
      <c r="BU83" s="371">
        <v>0.54</v>
      </c>
      <c r="BV83" s="371">
        <v>0.56000000000000005</v>
      </c>
      <c r="BW83" s="371">
        <v>0.46</v>
      </c>
      <c r="BX83" s="371">
        <v>0.49</v>
      </c>
      <c r="BY83" s="371">
        <v>0.57999999999999996</v>
      </c>
      <c r="BZ83" s="469">
        <v>49</v>
      </c>
      <c r="CA83" s="471" t="s">
        <v>910</v>
      </c>
      <c r="CB83" s="469">
        <v>10</v>
      </c>
      <c r="CC83" s="471" t="s">
        <v>910</v>
      </c>
      <c r="CD83" s="501">
        <v>0.26</v>
      </c>
      <c r="CE83" s="501">
        <v>0.46</v>
      </c>
      <c r="CF83" s="501">
        <v>0.28000000000000003</v>
      </c>
      <c r="CG83" s="501">
        <v>0</v>
      </c>
      <c r="CH83" s="501">
        <v>0.48</v>
      </c>
      <c r="CI83" s="501">
        <v>0.4</v>
      </c>
      <c r="CJ83" s="501">
        <v>0.62</v>
      </c>
      <c r="CK83" s="501">
        <v>0.53</v>
      </c>
      <c r="CL83" s="501">
        <v>0.44</v>
      </c>
      <c r="CM83" s="501">
        <v>0.61</v>
      </c>
      <c r="CN83" s="630">
        <v>51</v>
      </c>
      <c r="CO83" s="640" t="s">
        <v>910</v>
      </c>
      <c r="CP83" s="630">
        <v>10</v>
      </c>
      <c r="CQ83" s="640" t="s">
        <v>910</v>
      </c>
      <c r="CR83" s="644">
        <v>0.17</v>
      </c>
      <c r="CS83" s="644">
        <v>0.49</v>
      </c>
      <c r="CT83" s="644">
        <v>0.32</v>
      </c>
      <c r="CU83" s="644">
        <v>0.02</v>
      </c>
      <c r="CV83" s="644">
        <v>0.38</v>
      </c>
      <c r="CW83" s="644">
        <v>0.54</v>
      </c>
      <c r="CX83" s="644">
        <v>0.56000000000000005</v>
      </c>
      <c r="CY83" s="644">
        <v>0.6</v>
      </c>
      <c r="CZ83" s="644">
        <v>0.6</v>
      </c>
      <c r="DA83" s="644">
        <v>0.59</v>
      </c>
    </row>
    <row r="84" spans="1:105" ht="24.9" customHeight="1" x14ac:dyDescent="0.25">
      <c r="A84" s="188" t="s">
        <v>184</v>
      </c>
      <c r="B84" s="1" t="s">
        <v>222</v>
      </c>
      <c r="C84" s="2">
        <v>3</v>
      </c>
      <c r="D84" s="16">
        <v>52</v>
      </c>
      <c r="E84" s="16">
        <v>11</v>
      </c>
      <c r="F84" s="96">
        <v>0.09</v>
      </c>
      <c r="G84" s="96">
        <v>0.65</v>
      </c>
      <c r="H84" s="96">
        <v>0.22</v>
      </c>
      <c r="I84" s="96">
        <v>0.04</v>
      </c>
      <c r="J84" s="96">
        <v>0.52</v>
      </c>
      <c r="K84" s="96">
        <v>0.5</v>
      </c>
      <c r="L84" s="96">
        <v>0.59</v>
      </c>
      <c r="M84" s="96">
        <v>0.33</v>
      </c>
      <c r="N84" s="96">
        <v>0.4</v>
      </c>
      <c r="O84" s="96">
        <v>0.52</v>
      </c>
      <c r="P84" s="16">
        <v>50</v>
      </c>
      <c r="Q84" s="16">
        <v>10</v>
      </c>
      <c r="R84" s="92">
        <v>0.17</v>
      </c>
      <c r="S84" s="92">
        <v>0.46</v>
      </c>
      <c r="T84" s="92">
        <v>0.38</v>
      </c>
      <c r="U84" s="92">
        <v>0</v>
      </c>
      <c r="V84" s="92">
        <v>0.43</v>
      </c>
      <c r="W84" s="92">
        <v>0.53</v>
      </c>
      <c r="X84" s="92">
        <v>0.6</v>
      </c>
      <c r="Y84" s="92">
        <v>0.49</v>
      </c>
      <c r="Z84" s="92">
        <v>0.41</v>
      </c>
      <c r="AA84" s="92">
        <v>0.54</v>
      </c>
      <c r="AB84" s="16">
        <v>51</v>
      </c>
      <c r="AC84" s="16">
        <v>12</v>
      </c>
      <c r="AD84" s="96">
        <v>0.17</v>
      </c>
      <c r="AE84" s="96">
        <v>0.44</v>
      </c>
      <c r="AF84" s="96">
        <v>0.39</v>
      </c>
      <c r="AG84" s="96">
        <v>0</v>
      </c>
      <c r="AH84" s="96">
        <v>0.43</v>
      </c>
      <c r="AI84" s="96">
        <v>0.43</v>
      </c>
      <c r="AJ84" s="96">
        <v>0.38</v>
      </c>
      <c r="AK84" s="96">
        <v>0.47</v>
      </c>
      <c r="AL84" s="96">
        <v>0.61</v>
      </c>
      <c r="AM84" s="96">
        <v>0.45</v>
      </c>
      <c r="AN84" s="16">
        <v>47</v>
      </c>
      <c r="AO84" s="16">
        <v>10</v>
      </c>
      <c r="AP84" s="96">
        <v>0.33</v>
      </c>
      <c r="AQ84" s="96">
        <v>0.39</v>
      </c>
      <c r="AR84" s="96">
        <v>0.28000000000000003</v>
      </c>
      <c r="AS84" s="96">
        <v>0</v>
      </c>
      <c r="AT84" s="96">
        <v>0.6</v>
      </c>
      <c r="AU84" s="96">
        <v>0.47</v>
      </c>
      <c r="AV84" s="96">
        <v>0.49</v>
      </c>
      <c r="AW84" s="96">
        <v>0.55000000000000004</v>
      </c>
      <c r="AX84" s="96">
        <v>0.39</v>
      </c>
      <c r="AY84" s="96">
        <v>0.5</v>
      </c>
      <c r="AZ84" s="61">
        <v>56</v>
      </c>
      <c r="BA84" s="61">
        <v>14</v>
      </c>
      <c r="BB84" s="66">
        <v>0.1</v>
      </c>
      <c r="BC84" s="66">
        <v>0.45</v>
      </c>
      <c r="BD84" s="66">
        <v>0.35</v>
      </c>
      <c r="BE84" s="66">
        <v>0.1</v>
      </c>
      <c r="BF84" s="66">
        <v>0.33</v>
      </c>
      <c r="BG84" s="66">
        <v>0.37</v>
      </c>
      <c r="BH84" s="66">
        <v>0.37</v>
      </c>
      <c r="BI84" s="66">
        <v>0.45</v>
      </c>
      <c r="BJ84" s="66">
        <v>0.31</v>
      </c>
      <c r="BK84" s="66">
        <v>0.38</v>
      </c>
      <c r="BL84" s="349">
        <v>47</v>
      </c>
      <c r="BM84" s="348" t="s">
        <v>910</v>
      </c>
      <c r="BN84" s="349">
        <v>7</v>
      </c>
      <c r="BO84" s="348" t="s">
        <v>912</v>
      </c>
      <c r="BP84" s="371">
        <v>0.22</v>
      </c>
      <c r="BQ84" s="371">
        <v>0.63</v>
      </c>
      <c r="BR84" s="371">
        <v>0.16</v>
      </c>
      <c r="BS84" s="371">
        <v>0</v>
      </c>
      <c r="BT84" s="371">
        <v>0.4</v>
      </c>
      <c r="BU84" s="371">
        <v>0.52</v>
      </c>
      <c r="BV84" s="371">
        <v>0.57999999999999996</v>
      </c>
      <c r="BW84" s="371">
        <v>0.44</v>
      </c>
      <c r="BX84" s="371">
        <v>0.5</v>
      </c>
      <c r="BY84" s="371">
        <v>0.6</v>
      </c>
      <c r="BZ84" s="469">
        <v>49</v>
      </c>
      <c r="CA84" s="471" t="s">
        <v>910</v>
      </c>
      <c r="CB84" s="469">
        <v>11</v>
      </c>
      <c r="CC84" s="471" t="s">
        <v>910</v>
      </c>
      <c r="CD84" s="501">
        <v>0.25</v>
      </c>
      <c r="CE84" s="501">
        <v>0.56000000000000005</v>
      </c>
      <c r="CF84" s="501">
        <v>0.19</v>
      </c>
      <c r="CG84" s="501">
        <v>0</v>
      </c>
      <c r="CH84" s="501">
        <v>0.5</v>
      </c>
      <c r="CI84" s="501">
        <v>0.27</v>
      </c>
      <c r="CJ84" s="501">
        <v>0.57999999999999996</v>
      </c>
      <c r="CK84" s="501">
        <v>0.62</v>
      </c>
      <c r="CL84" s="501">
        <v>0.45</v>
      </c>
      <c r="CM84" s="501">
        <v>0.65</v>
      </c>
      <c r="CN84" s="630">
        <v>51</v>
      </c>
      <c r="CO84" s="640" t="s">
        <v>910</v>
      </c>
      <c r="CP84" s="630">
        <v>11</v>
      </c>
      <c r="CQ84" s="640" t="s">
        <v>910</v>
      </c>
      <c r="CR84" s="644">
        <v>0.15</v>
      </c>
      <c r="CS84" s="644">
        <v>0.38</v>
      </c>
      <c r="CT84" s="644">
        <v>0.46</v>
      </c>
      <c r="CU84" s="644">
        <v>0</v>
      </c>
      <c r="CV84" s="644">
        <v>0.39</v>
      </c>
      <c r="CW84" s="644">
        <v>0.46</v>
      </c>
      <c r="CX84" s="644">
        <v>0.59</v>
      </c>
      <c r="CY84" s="644">
        <v>0.5</v>
      </c>
      <c r="CZ84" s="644">
        <v>0.63</v>
      </c>
      <c r="DA84" s="644">
        <v>0.63</v>
      </c>
    </row>
    <row r="85" spans="1:105" ht="24.9" customHeight="1" x14ac:dyDescent="0.25">
      <c r="A85" s="188" t="s">
        <v>110</v>
      </c>
      <c r="B85" s="1" t="s">
        <v>222</v>
      </c>
      <c r="C85" s="2">
        <v>2</v>
      </c>
      <c r="D85" s="16">
        <v>58</v>
      </c>
      <c r="E85" s="16">
        <v>8</v>
      </c>
      <c r="F85" s="96">
        <v>0</v>
      </c>
      <c r="G85" s="96">
        <v>0.39</v>
      </c>
      <c r="H85" s="96">
        <v>0.55000000000000004</v>
      </c>
      <c r="I85" s="96">
        <v>0.06</v>
      </c>
      <c r="J85" s="96">
        <v>0.41</v>
      </c>
      <c r="K85" s="96">
        <v>0.33</v>
      </c>
      <c r="L85" s="96">
        <v>0.45</v>
      </c>
      <c r="M85" s="96">
        <v>0.27</v>
      </c>
      <c r="N85" s="96">
        <v>0.36</v>
      </c>
      <c r="O85" s="96">
        <v>0.41</v>
      </c>
      <c r="P85" s="16">
        <v>56</v>
      </c>
      <c r="Q85" s="16">
        <v>8</v>
      </c>
      <c r="R85" s="92">
        <v>0.04</v>
      </c>
      <c r="S85" s="92">
        <v>0.47</v>
      </c>
      <c r="T85" s="92">
        <v>0.47</v>
      </c>
      <c r="U85" s="92">
        <v>0.03</v>
      </c>
      <c r="V85" s="92">
        <v>0.33</v>
      </c>
      <c r="W85" s="92">
        <v>0.39</v>
      </c>
      <c r="X85" s="92">
        <v>0.49</v>
      </c>
      <c r="Y85" s="92">
        <v>0.35</v>
      </c>
      <c r="Z85" s="92">
        <v>0.36</v>
      </c>
      <c r="AA85" s="92">
        <v>0.39</v>
      </c>
      <c r="AB85" s="16">
        <v>58</v>
      </c>
      <c r="AC85" s="16">
        <v>8</v>
      </c>
      <c r="AD85" s="96">
        <v>0.04</v>
      </c>
      <c r="AE85" s="96">
        <v>0.31</v>
      </c>
      <c r="AF85" s="96">
        <v>0.59</v>
      </c>
      <c r="AG85" s="96">
        <v>0.06</v>
      </c>
      <c r="AH85" s="96">
        <v>0.27</v>
      </c>
      <c r="AI85" s="96">
        <v>0.26</v>
      </c>
      <c r="AJ85" s="96">
        <v>0.28999999999999998</v>
      </c>
      <c r="AK85" s="96">
        <v>0.38</v>
      </c>
      <c r="AL85" s="96">
        <v>0.36</v>
      </c>
      <c r="AM85" s="96">
        <v>0.39</v>
      </c>
      <c r="AN85" s="16">
        <v>58</v>
      </c>
      <c r="AO85" s="16">
        <v>7</v>
      </c>
      <c r="AP85" s="96">
        <v>0</v>
      </c>
      <c r="AQ85" s="96">
        <v>0.35</v>
      </c>
      <c r="AR85" s="96">
        <v>0.63</v>
      </c>
      <c r="AS85" s="96">
        <v>0.03</v>
      </c>
      <c r="AT85" s="96">
        <v>0.33</v>
      </c>
      <c r="AU85" s="96">
        <v>0.28000000000000003</v>
      </c>
      <c r="AV85" s="96">
        <v>0.28999999999999998</v>
      </c>
      <c r="AW85" s="96">
        <v>0.33</v>
      </c>
      <c r="AX85" s="96">
        <v>0.27</v>
      </c>
      <c r="AY85" s="96">
        <v>0.3</v>
      </c>
      <c r="AZ85" s="61">
        <v>60</v>
      </c>
      <c r="BA85" s="61">
        <v>9</v>
      </c>
      <c r="BB85" s="66">
        <v>0.02</v>
      </c>
      <c r="BC85" s="66">
        <v>0.31</v>
      </c>
      <c r="BD85" s="66">
        <v>0.52</v>
      </c>
      <c r="BE85" s="66">
        <v>0.14000000000000001</v>
      </c>
      <c r="BF85" s="66">
        <v>0.28999999999999998</v>
      </c>
      <c r="BG85" s="66">
        <v>0.31</v>
      </c>
      <c r="BH85" s="66">
        <v>0.28999999999999998</v>
      </c>
      <c r="BI85" s="66">
        <v>0.39</v>
      </c>
      <c r="BJ85" s="66">
        <v>0.27</v>
      </c>
      <c r="BK85" s="66">
        <v>0.22</v>
      </c>
      <c r="BL85" s="349">
        <v>57</v>
      </c>
      <c r="BM85" s="348" t="s">
        <v>911</v>
      </c>
      <c r="BN85" s="349">
        <v>9</v>
      </c>
      <c r="BO85" s="348" t="s">
        <v>910</v>
      </c>
      <c r="BP85" s="371">
        <v>0.05</v>
      </c>
      <c r="BQ85" s="371">
        <v>0.32</v>
      </c>
      <c r="BR85" s="371">
        <v>0.55000000000000004</v>
      </c>
      <c r="BS85" s="371">
        <v>0.08</v>
      </c>
      <c r="BT85" s="371">
        <v>0.28999999999999998</v>
      </c>
      <c r="BU85" s="371">
        <v>0.33</v>
      </c>
      <c r="BV85" s="371">
        <v>0.33</v>
      </c>
      <c r="BW85" s="371">
        <v>0.32</v>
      </c>
      <c r="BX85" s="371">
        <v>0.35</v>
      </c>
      <c r="BY85" s="371">
        <v>0.38</v>
      </c>
      <c r="BZ85" s="469">
        <v>61</v>
      </c>
      <c r="CA85" s="471" t="s">
        <v>911</v>
      </c>
      <c r="CB85" s="469">
        <v>9</v>
      </c>
      <c r="CC85" s="471" t="s">
        <v>910</v>
      </c>
      <c r="CD85" s="501">
        <v>0.04</v>
      </c>
      <c r="CE85" s="501">
        <v>0.26</v>
      </c>
      <c r="CF85" s="501">
        <v>0.56999999999999995</v>
      </c>
      <c r="CG85" s="501">
        <v>0.13</v>
      </c>
      <c r="CH85" s="501">
        <v>0.44</v>
      </c>
      <c r="CI85" s="501">
        <v>0.19</v>
      </c>
      <c r="CJ85" s="501">
        <v>0.38</v>
      </c>
      <c r="CK85" s="501">
        <v>0.39</v>
      </c>
      <c r="CL85" s="501">
        <v>0.47</v>
      </c>
      <c r="CM85" s="501">
        <v>0.49</v>
      </c>
      <c r="CN85" s="630">
        <v>63</v>
      </c>
      <c r="CO85" s="640" t="s">
        <v>911</v>
      </c>
      <c r="CP85" s="630">
        <v>9</v>
      </c>
      <c r="CQ85" s="640" t="s">
        <v>910</v>
      </c>
      <c r="CR85" s="644">
        <v>0</v>
      </c>
      <c r="CS85" s="644">
        <v>0.24</v>
      </c>
      <c r="CT85" s="644">
        <v>0.59</v>
      </c>
      <c r="CU85" s="644">
        <v>0.18</v>
      </c>
      <c r="CV85" s="644">
        <v>0.24</v>
      </c>
      <c r="CW85" s="644">
        <v>0.27</v>
      </c>
      <c r="CX85" s="644">
        <v>0.34</v>
      </c>
      <c r="CY85" s="644">
        <v>0.67</v>
      </c>
      <c r="CZ85" s="644">
        <v>0.39</v>
      </c>
      <c r="DA85" s="644">
        <v>0.18</v>
      </c>
    </row>
    <row r="86" spans="1:105" s="461" customFormat="1" ht="24.9" customHeight="1" x14ac:dyDescent="0.25">
      <c r="A86" s="470" t="s">
        <v>962</v>
      </c>
      <c r="B86" s="15" t="s">
        <v>222</v>
      </c>
      <c r="C86" s="471">
        <v>6</v>
      </c>
      <c r="D86" s="502"/>
      <c r="E86" s="502"/>
      <c r="F86" s="501"/>
      <c r="G86" s="501"/>
      <c r="H86" s="501"/>
      <c r="I86" s="501"/>
      <c r="J86" s="501"/>
      <c r="K86" s="501"/>
      <c r="L86" s="501"/>
      <c r="M86" s="501"/>
      <c r="N86" s="501"/>
      <c r="O86" s="501"/>
      <c r="P86" s="502"/>
      <c r="Q86" s="502"/>
      <c r="R86" s="504"/>
      <c r="S86" s="504"/>
      <c r="T86" s="504"/>
      <c r="U86" s="504"/>
      <c r="V86" s="504"/>
      <c r="W86" s="504"/>
      <c r="X86" s="504"/>
      <c r="Y86" s="504"/>
      <c r="Z86" s="504"/>
      <c r="AA86" s="504"/>
      <c r="AB86" s="502"/>
      <c r="AC86" s="502"/>
      <c r="AD86" s="501"/>
      <c r="AE86" s="501"/>
      <c r="AF86" s="501"/>
      <c r="AG86" s="501"/>
      <c r="AH86" s="501"/>
      <c r="AI86" s="501"/>
      <c r="AJ86" s="501"/>
      <c r="AK86" s="501"/>
      <c r="AL86" s="501"/>
      <c r="AM86" s="501"/>
      <c r="AN86" s="502"/>
      <c r="AO86" s="502"/>
      <c r="AP86" s="501"/>
      <c r="AQ86" s="501"/>
      <c r="AR86" s="501"/>
      <c r="AS86" s="501"/>
      <c r="AT86" s="501"/>
      <c r="AU86" s="501"/>
      <c r="AV86" s="501"/>
      <c r="AW86" s="501"/>
      <c r="AX86" s="501"/>
      <c r="AY86" s="501"/>
      <c r="AZ86" s="472"/>
      <c r="BA86" s="472"/>
      <c r="BB86" s="506"/>
      <c r="BC86" s="506"/>
      <c r="BD86" s="506"/>
      <c r="BE86" s="506"/>
      <c r="BF86" s="506"/>
      <c r="BG86" s="506"/>
      <c r="BH86" s="506"/>
      <c r="BI86" s="506"/>
      <c r="BJ86" s="506"/>
      <c r="BK86" s="506"/>
      <c r="BL86" s="475"/>
      <c r="BM86" s="493"/>
      <c r="BN86" s="475"/>
      <c r="BO86" s="493"/>
      <c r="BP86" s="507"/>
      <c r="BQ86" s="507"/>
      <c r="BR86" s="507"/>
      <c r="BS86" s="507"/>
      <c r="BT86" s="507"/>
      <c r="BU86" s="507"/>
      <c r="BV86" s="507"/>
      <c r="BW86" s="507"/>
      <c r="BX86" s="507"/>
      <c r="BY86" s="507"/>
      <c r="BZ86" s="469">
        <v>44</v>
      </c>
      <c r="CA86" s="471" t="s">
        <v>910</v>
      </c>
      <c r="CB86" s="469">
        <v>9</v>
      </c>
      <c r="CC86" s="471" t="s">
        <v>910</v>
      </c>
      <c r="CD86" s="501">
        <v>0.53</v>
      </c>
      <c r="CE86" s="501">
        <v>0.35</v>
      </c>
      <c r="CF86" s="501">
        <v>0.12</v>
      </c>
      <c r="CG86" s="501">
        <v>0</v>
      </c>
      <c r="CH86" s="501">
        <v>0.56000000000000005</v>
      </c>
      <c r="CI86" s="501">
        <v>0.52</v>
      </c>
      <c r="CJ86" s="501">
        <v>0.67</v>
      </c>
      <c r="CK86" s="501">
        <v>0.65</v>
      </c>
      <c r="CL86" s="501">
        <v>0.56999999999999995</v>
      </c>
      <c r="CM86" s="501">
        <v>0.53</v>
      </c>
      <c r="CN86" s="630">
        <v>48</v>
      </c>
      <c r="CO86" s="640" t="s">
        <v>910</v>
      </c>
      <c r="CP86" s="630">
        <v>0</v>
      </c>
      <c r="CQ86" s="640" t="s">
        <v>912</v>
      </c>
      <c r="CR86" s="644">
        <v>0</v>
      </c>
      <c r="CS86" s="644">
        <v>1</v>
      </c>
      <c r="CT86" s="644">
        <v>0</v>
      </c>
      <c r="CU86" s="644">
        <v>0</v>
      </c>
      <c r="CV86" s="644">
        <v>0.33</v>
      </c>
      <c r="CW86" s="644">
        <v>0.8</v>
      </c>
      <c r="CX86" s="644">
        <v>0.17</v>
      </c>
      <c r="CY86" s="644">
        <v>1</v>
      </c>
      <c r="CZ86" s="644">
        <v>1</v>
      </c>
      <c r="DA86" s="644">
        <v>1</v>
      </c>
    </row>
    <row r="87" spans="1:105" s="53" customFormat="1" ht="24.9" customHeight="1" x14ac:dyDescent="0.25">
      <c r="A87" s="189" t="s">
        <v>268</v>
      </c>
      <c r="B87" s="1" t="s">
        <v>222</v>
      </c>
      <c r="C87" s="2">
        <v>3</v>
      </c>
      <c r="D87" s="13" t="s">
        <v>226</v>
      </c>
      <c r="E87" s="13" t="s">
        <v>226</v>
      </c>
      <c r="F87" s="13"/>
      <c r="G87" s="13"/>
      <c r="H87" s="13"/>
      <c r="I87" s="13"/>
      <c r="J87" s="13"/>
      <c r="K87" s="13"/>
      <c r="L87" s="13"/>
      <c r="M87" s="13"/>
      <c r="N87" s="13"/>
      <c r="O87" s="13"/>
      <c r="P87" s="13" t="s">
        <v>226</v>
      </c>
      <c r="Q87" s="13" t="s">
        <v>226</v>
      </c>
      <c r="R87" s="92"/>
      <c r="S87" s="92"/>
      <c r="T87" s="92"/>
      <c r="U87" s="92"/>
      <c r="V87" s="92"/>
      <c r="W87" s="92"/>
      <c r="X87" s="92"/>
      <c r="Y87" s="92"/>
      <c r="Z87" s="92"/>
      <c r="AA87" s="92"/>
      <c r="AB87" s="13" t="s">
        <v>226</v>
      </c>
      <c r="AC87" s="13" t="s">
        <v>226</v>
      </c>
      <c r="AD87" s="2"/>
      <c r="AE87" s="2"/>
      <c r="AF87" s="2"/>
      <c r="AG87" s="2"/>
      <c r="AH87" s="2"/>
      <c r="AI87" s="2"/>
      <c r="AJ87" s="2"/>
      <c r="AK87" s="2"/>
      <c r="AL87" s="2"/>
      <c r="AM87" s="2"/>
      <c r="AN87" s="13" t="s">
        <v>226</v>
      </c>
      <c r="AO87" s="13" t="s">
        <v>226</v>
      </c>
      <c r="AP87" s="2"/>
      <c r="AQ87" s="2"/>
      <c r="AR87" s="2"/>
      <c r="AS87" s="2"/>
      <c r="AT87" s="2"/>
      <c r="AU87" s="2"/>
      <c r="AV87" s="2"/>
      <c r="AW87" s="2"/>
      <c r="AX87" s="2"/>
      <c r="AY87" s="2"/>
      <c r="AZ87" s="61">
        <v>55</v>
      </c>
      <c r="BA87" s="61">
        <v>9</v>
      </c>
      <c r="BB87" s="66">
        <v>0</v>
      </c>
      <c r="BC87" s="66">
        <v>0.63</v>
      </c>
      <c r="BD87" s="66">
        <v>0.25</v>
      </c>
      <c r="BE87" s="66">
        <v>0.13</v>
      </c>
      <c r="BF87" s="66">
        <v>0.56999999999999995</v>
      </c>
      <c r="BG87" s="66">
        <v>0.31</v>
      </c>
      <c r="BH87" s="66">
        <v>0.38</v>
      </c>
      <c r="BI87" s="66">
        <v>0.46</v>
      </c>
      <c r="BJ87" s="66">
        <v>0.37</v>
      </c>
      <c r="BK87" s="66">
        <v>0.24</v>
      </c>
      <c r="BL87" s="349">
        <v>54</v>
      </c>
      <c r="BM87" s="348" t="s">
        <v>910</v>
      </c>
      <c r="BN87" s="349">
        <v>9</v>
      </c>
      <c r="BO87" s="348" t="s">
        <v>910</v>
      </c>
      <c r="BP87" s="371">
        <v>0</v>
      </c>
      <c r="BQ87" s="371">
        <v>0.56000000000000005</v>
      </c>
      <c r="BR87" s="371">
        <v>0.44</v>
      </c>
      <c r="BS87" s="371">
        <v>0</v>
      </c>
      <c r="BT87" s="371">
        <v>0.43</v>
      </c>
      <c r="BU87" s="371">
        <v>0.31</v>
      </c>
      <c r="BV87" s="371">
        <v>0.54</v>
      </c>
      <c r="BW87" s="371">
        <v>0.35</v>
      </c>
      <c r="BX87" s="371">
        <v>0.31</v>
      </c>
      <c r="BY87" s="371">
        <v>0.47</v>
      </c>
      <c r="BZ87" s="469">
        <v>59</v>
      </c>
      <c r="CA87" s="471" t="s">
        <v>911</v>
      </c>
      <c r="CB87" s="469">
        <v>8</v>
      </c>
      <c r="CC87" s="471" t="s">
        <v>910</v>
      </c>
      <c r="CD87" s="501">
        <v>0</v>
      </c>
      <c r="CE87" s="501">
        <v>0.28000000000000003</v>
      </c>
      <c r="CF87" s="501">
        <v>0.72</v>
      </c>
      <c r="CG87" s="501">
        <v>0</v>
      </c>
      <c r="CH87" s="501">
        <v>0.24</v>
      </c>
      <c r="CI87" s="501">
        <v>0.23</v>
      </c>
      <c r="CJ87" s="501">
        <v>0.46</v>
      </c>
      <c r="CK87" s="501">
        <v>0.42</v>
      </c>
      <c r="CL87" s="501">
        <v>0.23</v>
      </c>
      <c r="CM87" s="501">
        <v>0.37</v>
      </c>
      <c r="CN87" s="630">
        <v>57</v>
      </c>
      <c r="CO87" s="640" t="s">
        <v>910</v>
      </c>
      <c r="CP87" s="630">
        <v>11</v>
      </c>
      <c r="CQ87" s="640" t="s">
        <v>910</v>
      </c>
      <c r="CR87" s="644">
        <v>0.1</v>
      </c>
      <c r="CS87" s="644">
        <v>0.2</v>
      </c>
      <c r="CT87" s="644">
        <v>0.6</v>
      </c>
      <c r="CU87" s="644">
        <v>0.1</v>
      </c>
      <c r="CV87" s="644">
        <v>0.18</v>
      </c>
      <c r="CW87" s="644">
        <v>0.33</v>
      </c>
      <c r="CX87" s="644">
        <v>0.42</v>
      </c>
      <c r="CY87" s="644">
        <v>0</v>
      </c>
      <c r="CZ87" s="644">
        <v>0.6</v>
      </c>
      <c r="DA87" s="644">
        <v>0.46</v>
      </c>
    </row>
    <row r="88" spans="1:105" ht="24.9" customHeight="1" x14ac:dyDescent="0.25">
      <c r="A88" s="188" t="s">
        <v>234</v>
      </c>
      <c r="B88" s="1" t="s">
        <v>222</v>
      </c>
      <c r="C88" s="2">
        <v>5</v>
      </c>
      <c r="D88" s="13" t="s">
        <v>226</v>
      </c>
      <c r="E88" s="13" t="s">
        <v>226</v>
      </c>
      <c r="F88" s="13"/>
      <c r="G88" s="13"/>
      <c r="H88" s="13"/>
      <c r="I88" s="13"/>
      <c r="J88" s="13"/>
      <c r="K88" s="13"/>
      <c r="L88" s="13"/>
      <c r="M88" s="13"/>
      <c r="N88" s="13"/>
      <c r="O88" s="13"/>
      <c r="P88" s="13" t="s">
        <v>226</v>
      </c>
      <c r="Q88" s="13" t="s">
        <v>226</v>
      </c>
      <c r="R88" s="92"/>
      <c r="S88" s="92"/>
      <c r="T88" s="92"/>
      <c r="U88" s="92"/>
      <c r="V88" s="92"/>
      <c r="W88" s="92"/>
      <c r="X88" s="92"/>
      <c r="Y88" s="92"/>
      <c r="Z88" s="92"/>
      <c r="AA88" s="92"/>
      <c r="AB88" s="13" t="s">
        <v>226</v>
      </c>
      <c r="AC88" s="13" t="s">
        <v>226</v>
      </c>
      <c r="AD88" s="2"/>
      <c r="AE88" s="2"/>
      <c r="AF88" s="2"/>
      <c r="AG88" s="2"/>
      <c r="AH88" s="2"/>
      <c r="AI88" s="2"/>
      <c r="AJ88" s="2"/>
      <c r="AK88" s="2"/>
      <c r="AL88" s="2"/>
      <c r="AM88" s="2"/>
      <c r="AN88" s="16">
        <v>45</v>
      </c>
      <c r="AO88" s="16">
        <v>9</v>
      </c>
      <c r="AP88" s="96">
        <v>0.25</v>
      </c>
      <c r="AQ88" s="96">
        <v>0.67</v>
      </c>
      <c r="AR88" s="96">
        <v>0.08</v>
      </c>
      <c r="AS88" s="96">
        <v>0</v>
      </c>
      <c r="AT88" s="96">
        <v>0.51</v>
      </c>
      <c r="AU88" s="96">
        <v>0.46</v>
      </c>
      <c r="AV88" s="96">
        <v>0.54</v>
      </c>
      <c r="AW88" s="96">
        <v>0.56000000000000005</v>
      </c>
      <c r="AX88" s="96">
        <v>0.56000000000000005</v>
      </c>
      <c r="AY88" s="96">
        <v>0.53</v>
      </c>
      <c r="AZ88" s="61"/>
      <c r="BA88" s="61"/>
      <c r="BB88" s="66"/>
      <c r="BC88" s="66"/>
      <c r="BD88" s="66"/>
      <c r="BE88" s="66"/>
      <c r="BF88" s="66"/>
      <c r="BG88" s="66"/>
      <c r="BH88" s="66"/>
      <c r="BI88" s="66"/>
      <c r="BJ88" s="66"/>
      <c r="BK88" s="66"/>
    </row>
    <row r="89" spans="1:105" ht="24.9" customHeight="1" x14ac:dyDescent="0.25">
      <c r="A89" s="189" t="s">
        <v>153</v>
      </c>
      <c r="B89" s="1" t="s">
        <v>222</v>
      </c>
      <c r="C89" s="2">
        <v>2</v>
      </c>
      <c r="D89" s="16">
        <v>55</v>
      </c>
      <c r="E89" s="16">
        <v>8</v>
      </c>
      <c r="F89" s="96">
        <v>0.1</v>
      </c>
      <c r="G89" s="96">
        <v>0.28000000000000003</v>
      </c>
      <c r="H89" s="96">
        <v>0.59</v>
      </c>
      <c r="I89" s="96">
        <v>0.03</v>
      </c>
      <c r="J89" s="96">
        <v>0.46</v>
      </c>
      <c r="K89" s="96">
        <v>0.48</v>
      </c>
      <c r="L89" s="96">
        <v>0.56000000000000005</v>
      </c>
      <c r="M89" s="96">
        <v>0.36</v>
      </c>
      <c r="N89" s="96">
        <v>0.36</v>
      </c>
      <c r="O89" s="96">
        <v>0.39</v>
      </c>
      <c r="P89" s="36">
        <v>57</v>
      </c>
      <c r="Q89" s="36">
        <v>9</v>
      </c>
      <c r="R89" s="92">
        <v>0</v>
      </c>
      <c r="S89" s="92">
        <v>0.43</v>
      </c>
      <c r="T89" s="92">
        <v>0.5</v>
      </c>
      <c r="U89" s="92">
        <v>7.0000000000000007E-2</v>
      </c>
      <c r="V89" s="92">
        <v>0.34</v>
      </c>
      <c r="W89" s="92">
        <v>0.4</v>
      </c>
      <c r="X89" s="92">
        <v>0.49</v>
      </c>
      <c r="Y89" s="92">
        <v>0.37</v>
      </c>
      <c r="Z89" s="92">
        <v>0.33</v>
      </c>
      <c r="AA89" s="92">
        <v>0.31</v>
      </c>
      <c r="AB89" s="16">
        <v>52</v>
      </c>
      <c r="AC89" s="16">
        <v>10</v>
      </c>
      <c r="AD89" s="96">
        <v>0.15</v>
      </c>
      <c r="AE89" s="96">
        <v>0.47</v>
      </c>
      <c r="AF89" s="96">
        <v>0.35</v>
      </c>
      <c r="AG89" s="96">
        <v>0.03</v>
      </c>
      <c r="AH89" s="96">
        <v>0.37</v>
      </c>
      <c r="AI89" s="96">
        <v>0.38</v>
      </c>
      <c r="AJ89" s="96">
        <v>0.39</v>
      </c>
      <c r="AK89" s="96">
        <v>0.48</v>
      </c>
      <c r="AL89" s="96">
        <v>0.54</v>
      </c>
      <c r="AM89" s="96">
        <v>0.46</v>
      </c>
      <c r="AN89" s="16">
        <v>55</v>
      </c>
      <c r="AO89" s="16">
        <v>10</v>
      </c>
      <c r="AP89" s="96">
        <v>7.0000000000000007E-2</v>
      </c>
      <c r="AQ89" s="96">
        <v>0.48</v>
      </c>
      <c r="AR89" s="96">
        <v>0.44</v>
      </c>
      <c r="AS89" s="96">
        <v>0</v>
      </c>
      <c r="AT89" s="96">
        <v>0.45</v>
      </c>
      <c r="AU89" s="96">
        <v>0.33</v>
      </c>
      <c r="AV89" s="96">
        <v>0.37</v>
      </c>
      <c r="AW89" s="96">
        <v>0.38</v>
      </c>
      <c r="AX89" s="96">
        <v>0.34</v>
      </c>
      <c r="AY89" s="96">
        <v>0.34</v>
      </c>
      <c r="AZ89" s="61">
        <v>55</v>
      </c>
      <c r="BA89" s="61">
        <v>9</v>
      </c>
      <c r="BB89" s="66">
        <v>0.03</v>
      </c>
      <c r="BC89" s="66">
        <v>0.46</v>
      </c>
      <c r="BD89" s="66">
        <v>0.49</v>
      </c>
      <c r="BE89" s="66">
        <v>0.03</v>
      </c>
      <c r="BF89" s="66">
        <v>0.38</v>
      </c>
      <c r="BG89" s="66">
        <v>0.42</v>
      </c>
      <c r="BH89" s="66">
        <v>0.38</v>
      </c>
      <c r="BI89" s="66">
        <v>0.5</v>
      </c>
      <c r="BJ89" s="66">
        <v>0.34</v>
      </c>
      <c r="BK89" s="66">
        <v>0.28999999999999998</v>
      </c>
      <c r="BL89" s="349">
        <v>51</v>
      </c>
      <c r="BM89" s="348" t="s">
        <v>910</v>
      </c>
      <c r="BN89" s="349">
        <v>10</v>
      </c>
      <c r="BO89" s="348" t="s">
        <v>910</v>
      </c>
      <c r="BP89" s="371">
        <v>0.17</v>
      </c>
      <c r="BQ89" s="371">
        <v>0.45</v>
      </c>
      <c r="BR89" s="371">
        <v>0.35</v>
      </c>
      <c r="BS89" s="371">
        <v>0.03</v>
      </c>
      <c r="BT89" s="371">
        <v>0.42</v>
      </c>
      <c r="BU89" s="371">
        <v>0.44</v>
      </c>
      <c r="BV89" s="371">
        <v>0.64</v>
      </c>
      <c r="BW89" s="371">
        <v>0.42</v>
      </c>
      <c r="BX89" s="371">
        <v>0.42</v>
      </c>
      <c r="BY89" s="371">
        <v>0.48</v>
      </c>
      <c r="BZ89" s="469">
        <v>51</v>
      </c>
      <c r="CA89" s="471" t="s">
        <v>910</v>
      </c>
      <c r="CB89" s="469">
        <v>10</v>
      </c>
      <c r="CC89" s="471" t="s">
        <v>910</v>
      </c>
      <c r="CD89" s="501">
        <v>0.1</v>
      </c>
      <c r="CE89" s="501">
        <v>0.6</v>
      </c>
      <c r="CF89" s="501">
        <v>0.31</v>
      </c>
      <c r="CG89" s="501">
        <v>0</v>
      </c>
      <c r="CH89" s="501">
        <v>0.38</v>
      </c>
      <c r="CI89" s="501">
        <v>0.32</v>
      </c>
      <c r="CJ89" s="501">
        <v>0.53</v>
      </c>
      <c r="CK89" s="501">
        <v>0.47</v>
      </c>
      <c r="CL89" s="501">
        <v>0.4</v>
      </c>
      <c r="CM89" s="501">
        <v>0.56999999999999995</v>
      </c>
      <c r="CN89" s="630">
        <v>54</v>
      </c>
      <c r="CO89" s="640" t="s">
        <v>910</v>
      </c>
      <c r="CP89" s="630">
        <v>10</v>
      </c>
      <c r="CQ89" s="640" t="s">
        <v>910</v>
      </c>
      <c r="CR89" s="644">
        <v>0.12</v>
      </c>
      <c r="CS89" s="644">
        <v>0.36</v>
      </c>
      <c r="CT89" s="644">
        <v>0.48</v>
      </c>
      <c r="CU89" s="644">
        <v>0.03</v>
      </c>
      <c r="CV89" s="644">
        <v>0.27</v>
      </c>
      <c r="CW89" s="644">
        <v>0.53</v>
      </c>
      <c r="CX89" s="644">
        <v>0.42</v>
      </c>
      <c r="CY89" s="644">
        <v>0.65</v>
      </c>
      <c r="CZ89" s="644">
        <v>0.44</v>
      </c>
      <c r="DA89" s="644">
        <v>0.45</v>
      </c>
    </row>
    <row r="90" spans="1:105" ht="24.9" customHeight="1" x14ac:dyDescent="0.25">
      <c r="A90" s="188" t="s">
        <v>136</v>
      </c>
      <c r="B90" s="1" t="s">
        <v>222</v>
      </c>
      <c r="C90" s="2">
        <v>4</v>
      </c>
      <c r="D90" s="16">
        <v>47</v>
      </c>
      <c r="E90" s="16">
        <v>7</v>
      </c>
      <c r="F90" s="96">
        <v>0.15</v>
      </c>
      <c r="G90" s="96">
        <v>0.77</v>
      </c>
      <c r="H90" s="96">
        <v>0.08</v>
      </c>
      <c r="I90" s="96">
        <v>0</v>
      </c>
      <c r="J90" s="96">
        <v>0.62</v>
      </c>
      <c r="K90" s="96">
        <v>0.5</v>
      </c>
      <c r="L90" s="96">
        <v>0.76</v>
      </c>
      <c r="M90" s="96">
        <v>0.48</v>
      </c>
      <c r="N90" s="96">
        <v>0.45</v>
      </c>
      <c r="O90" s="96">
        <v>0.52</v>
      </c>
      <c r="P90" s="36">
        <v>53</v>
      </c>
      <c r="Q90" s="36">
        <v>10</v>
      </c>
      <c r="R90" s="92">
        <v>0.08</v>
      </c>
      <c r="S90" s="92">
        <v>0.5</v>
      </c>
      <c r="T90" s="92">
        <v>0.42</v>
      </c>
      <c r="U90" s="92">
        <v>0</v>
      </c>
      <c r="V90" s="92">
        <v>0.36</v>
      </c>
      <c r="W90" s="92">
        <v>0.45</v>
      </c>
      <c r="X90" s="92">
        <v>0.52</v>
      </c>
      <c r="Y90" s="92">
        <v>0.44</v>
      </c>
      <c r="Z90" s="92">
        <v>0.39</v>
      </c>
      <c r="AA90" s="92">
        <v>0.48</v>
      </c>
      <c r="AB90" s="16">
        <v>49</v>
      </c>
      <c r="AC90" s="16">
        <v>9</v>
      </c>
      <c r="AD90" s="96">
        <v>0.17</v>
      </c>
      <c r="AE90" s="96">
        <v>0.64</v>
      </c>
      <c r="AF90" s="96">
        <v>0.19</v>
      </c>
      <c r="AG90" s="96">
        <v>0</v>
      </c>
      <c r="AH90" s="96">
        <v>0.45</v>
      </c>
      <c r="AI90" s="96">
        <v>0.41</v>
      </c>
      <c r="AJ90" s="96">
        <v>0.39</v>
      </c>
      <c r="AK90" s="96">
        <v>0.49</v>
      </c>
      <c r="AL90" s="96">
        <v>0.56999999999999995</v>
      </c>
      <c r="AM90" s="96">
        <v>0.56999999999999995</v>
      </c>
      <c r="AN90" s="16">
        <v>47</v>
      </c>
      <c r="AO90" s="16">
        <v>13</v>
      </c>
      <c r="AP90" s="96">
        <v>0.32</v>
      </c>
      <c r="AQ90" s="96">
        <v>0.48</v>
      </c>
      <c r="AR90" s="96">
        <v>0.14000000000000001</v>
      </c>
      <c r="AS90" s="96">
        <v>0.06</v>
      </c>
      <c r="AT90" s="96">
        <v>0.56000000000000005</v>
      </c>
      <c r="AU90" s="96">
        <v>0.49</v>
      </c>
      <c r="AV90" s="96">
        <v>0.48</v>
      </c>
      <c r="AW90" s="96">
        <v>0.48</v>
      </c>
      <c r="AX90" s="96">
        <v>0.51</v>
      </c>
      <c r="AY90" s="96">
        <v>0.48</v>
      </c>
      <c r="AZ90" s="61">
        <v>53</v>
      </c>
      <c r="BA90" s="61">
        <v>10</v>
      </c>
      <c r="BB90" s="66">
        <v>0.1</v>
      </c>
      <c r="BC90" s="66">
        <v>0.44</v>
      </c>
      <c r="BD90" s="66">
        <v>0.46</v>
      </c>
      <c r="BE90" s="66">
        <v>0</v>
      </c>
      <c r="BF90" s="66">
        <v>0.49</v>
      </c>
      <c r="BG90" s="66">
        <v>0.42</v>
      </c>
      <c r="BH90" s="66">
        <v>0.42</v>
      </c>
      <c r="BI90" s="66">
        <v>0.49</v>
      </c>
      <c r="BJ90" s="66">
        <v>0.34</v>
      </c>
      <c r="BK90" s="66">
        <v>0.35</v>
      </c>
      <c r="BL90" s="349">
        <v>48</v>
      </c>
      <c r="BM90" s="348" t="s">
        <v>910</v>
      </c>
      <c r="BN90" s="349">
        <v>12</v>
      </c>
      <c r="BO90" s="348" t="s">
        <v>910</v>
      </c>
      <c r="BP90" s="371">
        <v>0.27</v>
      </c>
      <c r="BQ90" s="371">
        <v>0.49</v>
      </c>
      <c r="BR90" s="371">
        <v>0.2</v>
      </c>
      <c r="BS90" s="371">
        <v>0.04</v>
      </c>
      <c r="BT90" s="371">
        <v>0.46</v>
      </c>
      <c r="BU90" s="371">
        <v>0.5</v>
      </c>
      <c r="BV90" s="371">
        <v>0.52</v>
      </c>
      <c r="BW90" s="371">
        <v>0.46</v>
      </c>
      <c r="BX90" s="371">
        <v>0.48</v>
      </c>
      <c r="BY90" s="371">
        <v>0.51</v>
      </c>
      <c r="BZ90" s="469">
        <v>50</v>
      </c>
      <c r="CA90" s="471" t="s">
        <v>910</v>
      </c>
      <c r="CB90" s="469">
        <v>11</v>
      </c>
      <c r="CC90" s="471" t="s">
        <v>910</v>
      </c>
      <c r="CD90" s="501">
        <v>0.21</v>
      </c>
      <c r="CE90" s="501">
        <v>0.5</v>
      </c>
      <c r="CF90" s="501">
        <v>0.27</v>
      </c>
      <c r="CG90" s="501">
        <v>0.02</v>
      </c>
      <c r="CH90" s="501">
        <v>0.51</v>
      </c>
      <c r="CI90" s="501">
        <v>0.32</v>
      </c>
      <c r="CJ90" s="501">
        <v>0.6</v>
      </c>
      <c r="CK90" s="501">
        <v>0.51</v>
      </c>
      <c r="CL90" s="501">
        <v>0.47</v>
      </c>
      <c r="CM90" s="501">
        <v>0.57999999999999996</v>
      </c>
      <c r="CN90" s="630">
        <v>48</v>
      </c>
      <c r="CO90" s="640" t="s">
        <v>910</v>
      </c>
      <c r="CP90" s="630">
        <v>12</v>
      </c>
      <c r="CQ90" s="640" t="s">
        <v>910</v>
      </c>
      <c r="CR90" s="644">
        <v>0.28999999999999998</v>
      </c>
      <c r="CS90" s="644">
        <v>0.41</v>
      </c>
      <c r="CT90" s="644">
        <v>0.25</v>
      </c>
      <c r="CU90" s="644">
        <v>0.04</v>
      </c>
      <c r="CV90" s="644">
        <v>0.39</v>
      </c>
      <c r="CW90" s="644">
        <v>0.57999999999999996</v>
      </c>
      <c r="CX90" s="644">
        <v>0.56999999999999995</v>
      </c>
      <c r="CY90" s="644">
        <v>0.52</v>
      </c>
      <c r="CZ90" s="644">
        <v>0.52</v>
      </c>
      <c r="DA90" s="644">
        <v>0.5</v>
      </c>
    </row>
    <row r="91" spans="1:105" ht="24.9" customHeight="1" x14ac:dyDescent="0.25">
      <c r="A91" s="188" t="s">
        <v>97</v>
      </c>
      <c r="B91" s="1" t="s">
        <v>222</v>
      </c>
      <c r="C91" s="2">
        <v>2</v>
      </c>
      <c r="D91" s="16">
        <v>59</v>
      </c>
      <c r="E91" s="16">
        <v>7</v>
      </c>
      <c r="F91" s="96">
        <v>0</v>
      </c>
      <c r="G91" s="96">
        <v>0.14000000000000001</v>
      </c>
      <c r="H91" s="96">
        <v>0.86</v>
      </c>
      <c r="I91" s="96">
        <v>0</v>
      </c>
      <c r="J91" s="96">
        <v>0.38</v>
      </c>
      <c r="K91" s="96">
        <v>0.31</v>
      </c>
      <c r="L91" s="96">
        <v>0.59</v>
      </c>
      <c r="M91" s="96">
        <v>0.32</v>
      </c>
      <c r="N91" s="96">
        <v>0.39</v>
      </c>
      <c r="O91" s="96">
        <v>0.28999999999999998</v>
      </c>
      <c r="P91" s="36">
        <v>43</v>
      </c>
      <c r="Q91" s="36">
        <v>9</v>
      </c>
      <c r="R91" s="92">
        <v>0.44</v>
      </c>
      <c r="S91" s="92">
        <v>0.44</v>
      </c>
      <c r="T91" s="92">
        <v>0.11</v>
      </c>
      <c r="U91" s="92">
        <v>0</v>
      </c>
      <c r="V91" s="92">
        <v>0.6</v>
      </c>
      <c r="W91" s="92">
        <v>0.64</v>
      </c>
      <c r="X91" s="92">
        <v>0.62</v>
      </c>
      <c r="Y91" s="92">
        <v>0.54</v>
      </c>
      <c r="Z91" s="92">
        <v>0.54</v>
      </c>
      <c r="AA91" s="92">
        <v>0.56999999999999995</v>
      </c>
      <c r="AB91" s="16">
        <v>40</v>
      </c>
      <c r="AC91" s="16">
        <v>7</v>
      </c>
      <c r="AD91" s="96">
        <v>0.67</v>
      </c>
      <c r="AE91" s="96">
        <v>0.33</v>
      </c>
      <c r="AF91" s="96">
        <v>0</v>
      </c>
      <c r="AG91" s="96">
        <v>0</v>
      </c>
      <c r="AH91" s="96">
        <v>0.55000000000000004</v>
      </c>
      <c r="AI91" s="96">
        <v>0.61</v>
      </c>
      <c r="AJ91" s="96">
        <v>0.59</v>
      </c>
      <c r="AK91" s="96">
        <v>0.61</v>
      </c>
      <c r="AL91" s="96">
        <v>0.53</v>
      </c>
      <c r="AM91" s="96">
        <v>0.78</v>
      </c>
      <c r="AN91" s="16">
        <v>42</v>
      </c>
      <c r="AO91" s="16">
        <v>11</v>
      </c>
      <c r="AP91" s="96">
        <v>0.44</v>
      </c>
      <c r="AQ91" s="96">
        <v>0.44</v>
      </c>
      <c r="AR91" s="96">
        <v>0.11</v>
      </c>
      <c r="AS91" s="96">
        <v>0</v>
      </c>
      <c r="AT91" s="96">
        <v>0.68</v>
      </c>
      <c r="AU91" s="96">
        <v>0.5</v>
      </c>
      <c r="AV91" s="96">
        <v>0.51</v>
      </c>
      <c r="AW91" s="96">
        <v>0.59</v>
      </c>
      <c r="AX91" s="96">
        <v>0.57999999999999996</v>
      </c>
      <c r="AY91" s="96">
        <v>0.66</v>
      </c>
      <c r="AZ91" s="61">
        <v>42</v>
      </c>
      <c r="BA91" s="61">
        <v>8</v>
      </c>
      <c r="BB91" s="66">
        <v>0.45</v>
      </c>
      <c r="BC91" s="66">
        <v>0.45</v>
      </c>
      <c r="BD91" s="66">
        <v>0.09</v>
      </c>
      <c r="BE91" s="66">
        <v>0</v>
      </c>
      <c r="BF91" s="66">
        <v>0.61</v>
      </c>
      <c r="BG91" s="66">
        <v>0.64</v>
      </c>
      <c r="BH91" s="66">
        <v>0.61</v>
      </c>
      <c r="BI91" s="66">
        <v>0.7</v>
      </c>
      <c r="BJ91" s="66">
        <v>0.59</v>
      </c>
      <c r="BK91" s="66">
        <v>0.48</v>
      </c>
      <c r="BL91" s="349">
        <v>40</v>
      </c>
      <c r="BM91" s="348" t="s">
        <v>912</v>
      </c>
      <c r="BN91" s="349">
        <v>7</v>
      </c>
      <c r="BO91" s="348" t="s">
        <v>912</v>
      </c>
      <c r="BP91" s="371">
        <v>0.67</v>
      </c>
      <c r="BQ91" s="371">
        <v>0.33</v>
      </c>
      <c r="BR91" s="371">
        <v>0</v>
      </c>
      <c r="BS91" s="371">
        <v>0</v>
      </c>
      <c r="BT91" s="371">
        <v>0.5</v>
      </c>
      <c r="BU91" s="371">
        <v>0.61</v>
      </c>
      <c r="BV91" s="371">
        <v>0.75</v>
      </c>
      <c r="BW91" s="371">
        <v>0.59</v>
      </c>
      <c r="BX91" s="371">
        <v>0.51</v>
      </c>
      <c r="BY91" s="371">
        <v>0.79</v>
      </c>
      <c r="BZ91" s="469">
        <v>43</v>
      </c>
      <c r="CA91" s="471" t="s">
        <v>910</v>
      </c>
      <c r="CB91" s="469">
        <v>19</v>
      </c>
      <c r="CC91" s="471" t="s">
        <v>911</v>
      </c>
      <c r="CD91" s="501">
        <v>0.67</v>
      </c>
      <c r="CE91" s="501">
        <v>0</v>
      </c>
      <c r="CF91" s="501">
        <v>0.33</v>
      </c>
      <c r="CG91" s="501">
        <v>0</v>
      </c>
      <c r="CH91" s="501">
        <v>0.75</v>
      </c>
      <c r="CI91" s="501">
        <v>0.5</v>
      </c>
      <c r="CJ91" s="501">
        <v>0.73</v>
      </c>
      <c r="CK91" s="501">
        <v>0.36</v>
      </c>
      <c r="CL91" s="501">
        <v>0.33</v>
      </c>
      <c r="CM91" s="501">
        <v>0.55000000000000004</v>
      </c>
      <c r="CN91" s="630">
        <v>52</v>
      </c>
      <c r="CO91" s="640" t="s">
        <v>910</v>
      </c>
      <c r="CP91" s="630">
        <v>9</v>
      </c>
      <c r="CQ91" s="640" t="s">
        <v>910</v>
      </c>
      <c r="CR91" s="644">
        <v>0.13</v>
      </c>
      <c r="CS91" s="644">
        <v>0.5</v>
      </c>
      <c r="CT91" s="644">
        <v>0.38</v>
      </c>
      <c r="CU91" s="644">
        <v>0</v>
      </c>
      <c r="CV91" s="644">
        <v>0.13</v>
      </c>
      <c r="CW91" s="644">
        <v>0.51</v>
      </c>
      <c r="CX91" s="644">
        <v>0.61</v>
      </c>
      <c r="CY91" s="644">
        <v>0.8</v>
      </c>
      <c r="CZ91" s="644">
        <v>0.7</v>
      </c>
      <c r="DA91" s="644">
        <v>0.71</v>
      </c>
    </row>
    <row r="92" spans="1:105" ht="24.9" customHeight="1" x14ac:dyDescent="0.25">
      <c r="A92" s="188" t="s">
        <v>181</v>
      </c>
      <c r="B92" s="1" t="s">
        <v>222</v>
      </c>
      <c r="C92" s="2">
        <v>3</v>
      </c>
      <c r="D92" s="16">
        <v>54</v>
      </c>
      <c r="E92" s="16">
        <v>7</v>
      </c>
      <c r="F92" s="96">
        <v>0</v>
      </c>
      <c r="G92" s="96">
        <v>0.63</v>
      </c>
      <c r="H92" s="96">
        <v>0.37</v>
      </c>
      <c r="I92" s="96">
        <v>0</v>
      </c>
      <c r="J92" s="96">
        <v>0.51</v>
      </c>
      <c r="K92" s="96">
        <v>0.46</v>
      </c>
      <c r="L92" s="96">
        <v>0.56999999999999995</v>
      </c>
      <c r="M92" s="96">
        <v>0.39</v>
      </c>
      <c r="N92" s="96">
        <v>0.41</v>
      </c>
      <c r="O92" s="96">
        <v>0.41</v>
      </c>
      <c r="P92" s="36">
        <v>57</v>
      </c>
      <c r="Q92" s="36">
        <v>10</v>
      </c>
      <c r="R92" s="92">
        <v>0</v>
      </c>
      <c r="S92" s="92">
        <v>0.47</v>
      </c>
      <c r="T92" s="92">
        <v>0.44</v>
      </c>
      <c r="U92" s="92">
        <v>0.09</v>
      </c>
      <c r="V92" s="92">
        <v>0.27</v>
      </c>
      <c r="W92" s="92">
        <v>0.36</v>
      </c>
      <c r="X92" s="92">
        <v>0.46</v>
      </c>
      <c r="Y92" s="92">
        <v>0.34</v>
      </c>
      <c r="Z92" s="92">
        <v>0.33</v>
      </c>
      <c r="AA92" s="92">
        <v>0.42</v>
      </c>
      <c r="AB92" s="16">
        <v>54</v>
      </c>
      <c r="AC92" s="16">
        <v>12</v>
      </c>
      <c r="AD92" s="96">
        <v>0.09</v>
      </c>
      <c r="AE92" s="96">
        <v>0.44</v>
      </c>
      <c r="AF92" s="96">
        <v>0.38</v>
      </c>
      <c r="AG92" s="96">
        <v>0.09</v>
      </c>
      <c r="AH92" s="96">
        <v>0.36</v>
      </c>
      <c r="AI92" s="96">
        <v>0.35</v>
      </c>
      <c r="AJ92" s="96">
        <v>0.34</v>
      </c>
      <c r="AK92" s="96">
        <v>0.38</v>
      </c>
      <c r="AL92" s="96">
        <v>0.52</v>
      </c>
      <c r="AM92" s="96">
        <v>0.46</v>
      </c>
      <c r="AN92" s="16">
        <v>49</v>
      </c>
      <c r="AO92" s="16">
        <v>10</v>
      </c>
      <c r="AP92" s="96">
        <v>0.23</v>
      </c>
      <c r="AQ92" s="96">
        <v>0.46</v>
      </c>
      <c r="AR92" s="96">
        <v>0.31</v>
      </c>
      <c r="AS92" s="96">
        <v>0</v>
      </c>
      <c r="AT92" s="96">
        <v>0.55000000000000004</v>
      </c>
      <c r="AU92" s="96">
        <v>0.49</v>
      </c>
      <c r="AV92" s="96">
        <v>0.45</v>
      </c>
      <c r="AW92" s="96">
        <v>0.48</v>
      </c>
      <c r="AX92" s="96">
        <v>0.43</v>
      </c>
      <c r="AY92" s="96">
        <v>0.45</v>
      </c>
      <c r="AZ92" s="61">
        <v>54</v>
      </c>
      <c r="BA92" s="61">
        <v>11</v>
      </c>
      <c r="BB92" s="66">
        <v>0.14000000000000001</v>
      </c>
      <c r="BC92" s="66">
        <v>0.35</v>
      </c>
      <c r="BD92" s="66">
        <v>0.46</v>
      </c>
      <c r="BE92" s="66">
        <v>0.05</v>
      </c>
      <c r="BF92" s="66">
        <v>0.39</v>
      </c>
      <c r="BG92" s="66">
        <v>0.43</v>
      </c>
      <c r="BH92" s="66">
        <v>0.39</v>
      </c>
      <c r="BI92" s="66">
        <v>0.5</v>
      </c>
      <c r="BJ92" s="66">
        <v>0.37</v>
      </c>
      <c r="BK92" s="66">
        <v>0.35</v>
      </c>
      <c r="BL92" s="349">
        <v>55</v>
      </c>
      <c r="BM92" s="348" t="s">
        <v>910</v>
      </c>
      <c r="BN92" s="349">
        <v>8</v>
      </c>
      <c r="BO92" s="348" t="s">
        <v>910</v>
      </c>
      <c r="BP92" s="371">
        <v>0.04</v>
      </c>
      <c r="BQ92" s="371">
        <v>0.42</v>
      </c>
      <c r="BR92" s="371">
        <v>0.52</v>
      </c>
      <c r="BS92" s="371">
        <v>0.01</v>
      </c>
      <c r="BT92" s="371">
        <v>0.32</v>
      </c>
      <c r="BU92" s="371">
        <v>0.4</v>
      </c>
      <c r="BV92" s="371">
        <v>0.38</v>
      </c>
      <c r="BW92" s="371">
        <v>0.33</v>
      </c>
      <c r="BX92" s="371">
        <v>0.38</v>
      </c>
      <c r="BY92" s="371">
        <v>0.44</v>
      </c>
      <c r="BZ92" s="469">
        <v>54</v>
      </c>
      <c r="CA92" s="471" t="s">
        <v>910</v>
      </c>
      <c r="CB92" s="469">
        <v>10</v>
      </c>
      <c r="CC92" s="471" t="s">
        <v>910</v>
      </c>
      <c r="CD92" s="501">
        <v>0.12</v>
      </c>
      <c r="CE92" s="501">
        <v>0.41</v>
      </c>
      <c r="CF92" s="501">
        <v>0.39</v>
      </c>
      <c r="CG92" s="501">
        <v>0.08</v>
      </c>
      <c r="CH92" s="501">
        <v>0.43</v>
      </c>
      <c r="CI92" s="501">
        <v>0.27</v>
      </c>
      <c r="CJ92" s="501">
        <v>0.47</v>
      </c>
      <c r="CK92" s="501">
        <v>0.48</v>
      </c>
      <c r="CL92" s="501">
        <v>0.38</v>
      </c>
      <c r="CM92" s="501">
        <v>0.54</v>
      </c>
      <c r="CN92" s="630">
        <v>55</v>
      </c>
      <c r="CO92" s="640" t="s">
        <v>910</v>
      </c>
      <c r="CP92" s="630">
        <v>9</v>
      </c>
      <c r="CQ92" s="640" t="s">
        <v>910</v>
      </c>
      <c r="CR92" s="644">
        <v>0.08</v>
      </c>
      <c r="CS92" s="644">
        <v>0.43</v>
      </c>
      <c r="CT92" s="644">
        <v>0.45</v>
      </c>
      <c r="CU92" s="644">
        <v>0.04</v>
      </c>
      <c r="CV92" s="644">
        <v>0.24</v>
      </c>
      <c r="CW92" s="644">
        <v>0.48</v>
      </c>
      <c r="CX92" s="644">
        <v>0.5</v>
      </c>
      <c r="CY92" s="644">
        <v>0.61</v>
      </c>
      <c r="CZ92" s="644">
        <v>0.53</v>
      </c>
      <c r="DA92" s="644">
        <v>0.54</v>
      </c>
    </row>
    <row r="93" spans="1:105" ht="24.9" customHeight="1" x14ac:dyDescent="0.25">
      <c r="A93" s="188" t="s">
        <v>171</v>
      </c>
      <c r="B93" s="1" t="s">
        <v>222</v>
      </c>
      <c r="C93" s="2">
        <v>2</v>
      </c>
      <c r="D93" s="16">
        <v>55</v>
      </c>
      <c r="E93" s="16">
        <v>9</v>
      </c>
      <c r="F93" s="96">
        <v>0.1</v>
      </c>
      <c r="G93" s="96">
        <v>0.41</v>
      </c>
      <c r="H93" s="96">
        <v>0.44</v>
      </c>
      <c r="I93" s="96">
        <v>0.05</v>
      </c>
      <c r="J93" s="96">
        <v>0.57999999999999996</v>
      </c>
      <c r="K93" s="96">
        <v>0.4</v>
      </c>
      <c r="L93" s="96">
        <v>0.49</v>
      </c>
      <c r="M93" s="96">
        <v>0.37</v>
      </c>
      <c r="N93" s="96">
        <v>0.3</v>
      </c>
      <c r="O93" s="96">
        <v>0.44</v>
      </c>
      <c r="P93" s="36">
        <v>54</v>
      </c>
      <c r="Q93" s="36">
        <v>9</v>
      </c>
      <c r="R93" s="92">
        <v>0.06</v>
      </c>
      <c r="S93" s="92">
        <v>0.56000000000000005</v>
      </c>
      <c r="T93" s="92">
        <v>0.36</v>
      </c>
      <c r="U93" s="92">
        <v>0.03</v>
      </c>
      <c r="V93" s="92">
        <v>0.36</v>
      </c>
      <c r="W93" s="92">
        <v>0.43</v>
      </c>
      <c r="X93" s="92">
        <v>0.56999999999999995</v>
      </c>
      <c r="Y93" s="92">
        <v>0.39</v>
      </c>
      <c r="Z93" s="92">
        <v>0.41</v>
      </c>
      <c r="AA93" s="92">
        <v>0.42</v>
      </c>
      <c r="AB93" s="16">
        <v>50</v>
      </c>
      <c r="AC93" s="16">
        <v>10</v>
      </c>
      <c r="AD93" s="96">
        <v>0.21</v>
      </c>
      <c r="AE93" s="96">
        <v>0.48</v>
      </c>
      <c r="AF93" s="96">
        <v>0.3</v>
      </c>
      <c r="AG93" s="96">
        <v>0</v>
      </c>
      <c r="AH93" s="96">
        <v>0.43</v>
      </c>
      <c r="AI93" s="96">
        <v>0.42</v>
      </c>
      <c r="AJ93" s="96">
        <v>0.42</v>
      </c>
      <c r="AK93" s="96">
        <v>0.49</v>
      </c>
      <c r="AL93" s="96">
        <v>0.59</v>
      </c>
      <c r="AM93" s="96">
        <v>0.51</v>
      </c>
      <c r="AN93" s="16">
        <v>50</v>
      </c>
      <c r="AO93" s="16">
        <v>11</v>
      </c>
      <c r="AP93" s="96">
        <v>0.16</v>
      </c>
      <c r="AQ93" s="96">
        <v>0.51</v>
      </c>
      <c r="AR93" s="96">
        <v>0.3</v>
      </c>
      <c r="AS93" s="96">
        <v>0.03</v>
      </c>
      <c r="AT93" s="96">
        <v>0.45</v>
      </c>
      <c r="AU93" s="96">
        <v>0.4</v>
      </c>
      <c r="AV93" s="96">
        <v>0.41</v>
      </c>
      <c r="AW93" s="96">
        <v>0.45</v>
      </c>
      <c r="AX93" s="96">
        <v>0.45</v>
      </c>
      <c r="AY93" s="96">
        <v>0.49</v>
      </c>
      <c r="AZ93" s="61">
        <v>52</v>
      </c>
      <c r="BA93" s="61">
        <v>9</v>
      </c>
      <c r="BB93" s="66">
        <v>0.08</v>
      </c>
      <c r="BC93" s="66">
        <v>0.56000000000000005</v>
      </c>
      <c r="BD93" s="66">
        <v>0.36</v>
      </c>
      <c r="BE93" s="66">
        <v>0</v>
      </c>
      <c r="BF93" s="66">
        <v>0.47</v>
      </c>
      <c r="BG93" s="66">
        <v>0.42</v>
      </c>
      <c r="BH93" s="66">
        <v>0.39</v>
      </c>
      <c r="BI93" s="66">
        <v>0.47</v>
      </c>
      <c r="BJ93" s="66">
        <v>0.37</v>
      </c>
      <c r="BK93" s="66">
        <v>0.42</v>
      </c>
      <c r="BL93" s="349">
        <v>52</v>
      </c>
      <c r="BM93" s="348" t="s">
        <v>910</v>
      </c>
      <c r="BN93" s="349">
        <v>11</v>
      </c>
      <c r="BO93" s="348" t="s">
        <v>910</v>
      </c>
      <c r="BP93" s="371">
        <v>0.19</v>
      </c>
      <c r="BQ93" s="371">
        <v>0.4</v>
      </c>
      <c r="BR93" s="371">
        <v>0.38</v>
      </c>
      <c r="BS93" s="371">
        <v>0.04</v>
      </c>
      <c r="BT93" s="371">
        <v>0.39</v>
      </c>
      <c r="BU93" s="371">
        <v>0.39</v>
      </c>
      <c r="BV93" s="371">
        <v>0.53</v>
      </c>
      <c r="BW93" s="371">
        <v>0.44</v>
      </c>
      <c r="BX93" s="371">
        <v>0.43</v>
      </c>
      <c r="BY93" s="371">
        <v>0.46</v>
      </c>
      <c r="BZ93" s="469">
        <v>54</v>
      </c>
      <c r="CA93" s="471" t="s">
        <v>910</v>
      </c>
      <c r="CB93" s="469">
        <v>10</v>
      </c>
      <c r="CC93" s="471" t="s">
        <v>910</v>
      </c>
      <c r="CD93" s="501">
        <v>0.08</v>
      </c>
      <c r="CE93" s="501">
        <v>0.46</v>
      </c>
      <c r="CF93" s="501">
        <v>0.41</v>
      </c>
      <c r="CG93" s="501">
        <v>0.05</v>
      </c>
      <c r="CH93" s="501">
        <v>0.43</v>
      </c>
      <c r="CI93" s="501">
        <v>0.27</v>
      </c>
      <c r="CJ93" s="501">
        <v>0.5</v>
      </c>
      <c r="CK93" s="501">
        <v>0.5</v>
      </c>
      <c r="CL93" s="501">
        <v>0.35</v>
      </c>
      <c r="CM93" s="501">
        <v>0.51</v>
      </c>
      <c r="CN93" s="630">
        <v>53</v>
      </c>
      <c r="CO93" s="640" t="s">
        <v>910</v>
      </c>
      <c r="CP93" s="630">
        <v>10</v>
      </c>
      <c r="CQ93" s="640" t="s">
        <v>910</v>
      </c>
      <c r="CR93" s="644">
        <v>0.12</v>
      </c>
      <c r="CS93" s="644">
        <v>0.47</v>
      </c>
      <c r="CT93" s="644">
        <v>0.38</v>
      </c>
      <c r="CU93" s="644">
        <v>0.03</v>
      </c>
      <c r="CV93" s="644">
        <v>0.22</v>
      </c>
      <c r="CW93" s="644">
        <v>0.47</v>
      </c>
      <c r="CX93" s="644">
        <v>0.51</v>
      </c>
      <c r="CY93" s="644">
        <v>0.71</v>
      </c>
      <c r="CZ93" s="644">
        <v>0.48</v>
      </c>
      <c r="DA93" s="644">
        <v>0.44</v>
      </c>
    </row>
    <row r="94" spans="1:105" ht="24.9" customHeight="1" x14ac:dyDescent="0.25">
      <c r="A94" s="188" t="s">
        <v>77</v>
      </c>
      <c r="B94" s="1" t="s">
        <v>222</v>
      </c>
      <c r="C94" s="2">
        <v>2</v>
      </c>
      <c r="D94" s="16">
        <v>51</v>
      </c>
      <c r="E94" s="16">
        <v>11</v>
      </c>
      <c r="F94" s="96">
        <v>0.28999999999999998</v>
      </c>
      <c r="G94" s="96">
        <v>0.41</v>
      </c>
      <c r="H94" s="96">
        <v>0.24</v>
      </c>
      <c r="I94" s="96">
        <v>0.06</v>
      </c>
      <c r="J94" s="96">
        <v>0.56000000000000005</v>
      </c>
      <c r="K94" s="96">
        <v>0.57999999999999996</v>
      </c>
      <c r="L94" s="96">
        <v>0.55000000000000004</v>
      </c>
      <c r="M94" s="96">
        <v>0.44</v>
      </c>
      <c r="N94" s="96">
        <v>0.38</v>
      </c>
      <c r="O94" s="96">
        <v>0.51</v>
      </c>
      <c r="P94" s="36">
        <v>46</v>
      </c>
      <c r="Q94" s="36">
        <v>8</v>
      </c>
      <c r="R94" s="92">
        <v>0.24</v>
      </c>
      <c r="S94" s="92">
        <v>0.65</v>
      </c>
      <c r="T94" s="92">
        <v>0.12</v>
      </c>
      <c r="U94" s="92">
        <v>0</v>
      </c>
      <c r="V94" s="92">
        <v>0.52</v>
      </c>
      <c r="W94" s="92">
        <v>0.53</v>
      </c>
      <c r="X94" s="92">
        <v>0.61</v>
      </c>
      <c r="Y94" s="92">
        <v>0.59</v>
      </c>
      <c r="Z94" s="92">
        <v>0.47</v>
      </c>
      <c r="AA94" s="92">
        <v>0.69</v>
      </c>
      <c r="AB94" s="16">
        <v>49</v>
      </c>
      <c r="AC94" s="16">
        <v>10</v>
      </c>
      <c r="AD94" s="96">
        <v>0.33</v>
      </c>
      <c r="AE94" s="96">
        <v>0.4</v>
      </c>
      <c r="AF94" s="96">
        <v>0.27</v>
      </c>
      <c r="AG94" s="96">
        <v>0</v>
      </c>
      <c r="AH94" s="96">
        <v>0.46</v>
      </c>
      <c r="AI94" s="96">
        <v>0.38</v>
      </c>
      <c r="AJ94" s="96">
        <v>0.5</v>
      </c>
      <c r="AK94" s="96">
        <v>0.51</v>
      </c>
      <c r="AL94" s="96">
        <v>0.62</v>
      </c>
      <c r="AM94" s="96">
        <v>0.48</v>
      </c>
      <c r="AN94" s="16">
        <v>46</v>
      </c>
      <c r="AO94" s="16">
        <v>10</v>
      </c>
      <c r="AP94" s="96">
        <v>0.27</v>
      </c>
      <c r="AQ94" s="96">
        <v>0.55000000000000004</v>
      </c>
      <c r="AR94" s="96">
        <v>0.18</v>
      </c>
      <c r="AS94" s="96">
        <v>0</v>
      </c>
      <c r="AT94" s="96">
        <v>0.6</v>
      </c>
      <c r="AU94" s="96">
        <v>0.59</v>
      </c>
      <c r="AV94" s="96">
        <v>0.56000000000000005</v>
      </c>
      <c r="AW94" s="96">
        <v>0.48</v>
      </c>
      <c r="AX94" s="96">
        <v>0.51</v>
      </c>
      <c r="AY94" s="96">
        <v>0.44</v>
      </c>
      <c r="AZ94" s="61">
        <v>53</v>
      </c>
      <c r="BA94" s="61">
        <v>10</v>
      </c>
      <c r="BB94" s="66">
        <v>0.14000000000000001</v>
      </c>
      <c r="BC94" s="66">
        <v>0.64</v>
      </c>
      <c r="BD94" s="66">
        <v>0.14000000000000001</v>
      </c>
      <c r="BE94" s="66">
        <v>7.0000000000000007E-2</v>
      </c>
      <c r="BF94" s="66">
        <v>0.35</v>
      </c>
      <c r="BG94" s="66">
        <v>0.4</v>
      </c>
      <c r="BH94" s="66">
        <v>0.49</v>
      </c>
      <c r="BI94" s="66">
        <v>0.48</v>
      </c>
      <c r="BJ94" s="66">
        <v>0.36</v>
      </c>
      <c r="BK94" s="66">
        <v>0.39</v>
      </c>
      <c r="BL94" s="349">
        <v>44</v>
      </c>
      <c r="BM94" s="348" t="s">
        <v>910</v>
      </c>
      <c r="BN94" s="349">
        <v>7</v>
      </c>
      <c r="BO94" s="348" t="s">
        <v>912</v>
      </c>
      <c r="BP94" s="371">
        <v>0.14000000000000001</v>
      </c>
      <c r="BQ94" s="371">
        <v>0.86</v>
      </c>
      <c r="BR94" s="371">
        <v>0</v>
      </c>
      <c r="BS94" s="371">
        <v>0</v>
      </c>
      <c r="BT94" s="371">
        <v>0.4</v>
      </c>
      <c r="BU94" s="371">
        <v>0.51</v>
      </c>
      <c r="BV94" s="371">
        <v>0.8</v>
      </c>
      <c r="BW94" s="371">
        <v>0.57999999999999996</v>
      </c>
      <c r="BX94" s="371">
        <v>0.56000000000000005</v>
      </c>
      <c r="BY94" s="371">
        <v>0.59</v>
      </c>
      <c r="BZ94" s="469">
        <v>48</v>
      </c>
      <c r="CA94" s="471" t="s">
        <v>910</v>
      </c>
      <c r="CB94" s="469">
        <v>12</v>
      </c>
      <c r="CC94" s="471" t="s">
        <v>910</v>
      </c>
      <c r="CD94" s="501">
        <v>0.3</v>
      </c>
      <c r="CE94" s="501">
        <v>0.4</v>
      </c>
      <c r="CF94" s="501">
        <v>0.3</v>
      </c>
      <c r="CG94" s="501">
        <v>0</v>
      </c>
      <c r="CH94" s="501">
        <v>0.69</v>
      </c>
      <c r="CI94" s="501">
        <v>0.31</v>
      </c>
      <c r="CJ94" s="501">
        <v>0.57999999999999996</v>
      </c>
      <c r="CK94" s="501">
        <v>0.55000000000000004</v>
      </c>
      <c r="CL94" s="501">
        <v>0.42</v>
      </c>
      <c r="CM94" s="501">
        <v>0.65</v>
      </c>
      <c r="CN94" s="630">
        <v>49</v>
      </c>
      <c r="CO94" s="640" t="s">
        <v>910</v>
      </c>
      <c r="CP94" s="630">
        <v>11</v>
      </c>
      <c r="CQ94" s="640" t="s">
        <v>910</v>
      </c>
      <c r="CR94" s="644">
        <v>0.33</v>
      </c>
      <c r="CS94" s="644">
        <v>0.33</v>
      </c>
      <c r="CT94" s="644">
        <v>0.33</v>
      </c>
      <c r="CU94" s="644">
        <v>0</v>
      </c>
      <c r="CV94" s="644">
        <v>0.42</v>
      </c>
      <c r="CW94" s="644">
        <v>0.56000000000000005</v>
      </c>
      <c r="CX94" s="644">
        <v>0.63</v>
      </c>
      <c r="CY94" s="644">
        <v>0.67</v>
      </c>
      <c r="CZ94" s="644">
        <v>0.25</v>
      </c>
      <c r="DA94" s="644">
        <v>0.75</v>
      </c>
    </row>
    <row r="95" spans="1:105" ht="24.9" customHeight="1" x14ac:dyDescent="0.25">
      <c r="A95" s="188" t="s">
        <v>36</v>
      </c>
      <c r="B95" s="1" t="s">
        <v>220</v>
      </c>
      <c r="C95" s="2" t="s">
        <v>221</v>
      </c>
      <c r="D95" s="16">
        <v>50</v>
      </c>
      <c r="E95" s="16">
        <v>9</v>
      </c>
      <c r="F95" s="96">
        <v>0.15</v>
      </c>
      <c r="G95" s="96">
        <v>0.54</v>
      </c>
      <c r="H95" s="96">
        <v>0.32</v>
      </c>
      <c r="I95" s="96">
        <v>0</v>
      </c>
      <c r="J95" s="96">
        <v>0.63</v>
      </c>
      <c r="K95" s="96">
        <v>0.56999999999999995</v>
      </c>
      <c r="L95" s="96">
        <v>0.54</v>
      </c>
      <c r="M95" s="96">
        <v>0.4</v>
      </c>
      <c r="N95" s="96">
        <v>0.44</v>
      </c>
      <c r="O95" s="96">
        <v>0.63</v>
      </c>
      <c r="P95" s="36">
        <v>49</v>
      </c>
      <c r="Q95" s="36">
        <v>9</v>
      </c>
      <c r="R95" s="92">
        <v>0.19</v>
      </c>
      <c r="S95" s="92">
        <v>0.6</v>
      </c>
      <c r="T95" s="92">
        <v>0.21</v>
      </c>
      <c r="U95" s="92">
        <v>0</v>
      </c>
      <c r="V95" s="92">
        <v>0.47</v>
      </c>
      <c r="W95" s="92">
        <v>0.55000000000000004</v>
      </c>
      <c r="X95" s="92">
        <v>0.6</v>
      </c>
      <c r="Y95" s="92">
        <v>0.52</v>
      </c>
      <c r="Z95" s="92">
        <v>0.37</v>
      </c>
      <c r="AA95" s="92">
        <v>0.56000000000000005</v>
      </c>
      <c r="AB95" s="16">
        <v>46</v>
      </c>
      <c r="AC95" s="16">
        <v>11</v>
      </c>
      <c r="AD95" s="96">
        <v>0.32</v>
      </c>
      <c r="AE95" s="96">
        <v>0.41</v>
      </c>
      <c r="AF95" s="96">
        <v>0.26</v>
      </c>
      <c r="AG95" s="96">
        <v>0</v>
      </c>
      <c r="AH95" s="96">
        <v>0.46</v>
      </c>
      <c r="AI95" s="96">
        <v>0.48</v>
      </c>
      <c r="AJ95" s="96">
        <v>0.49</v>
      </c>
      <c r="AK95" s="96">
        <v>0.55000000000000004</v>
      </c>
      <c r="AL95" s="96">
        <v>0.57999999999999996</v>
      </c>
      <c r="AM95" s="96">
        <v>0.56000000000000005</v>
      </c>
      <c r="AN95" s="16">
        <v>46</v>
      </c>
      <c r="AO95" s="16">
        <v>12</v>
      </c>
      <c r="AP95" s="96">
        <v>0.35</v>
      </c>
      <c r="AQ95" s="96">
        <v>0.41</v>
      </c>
      <c r="AR95" s="96">
        <v>0.22</v>
      </c>
      <c r="AS95" s="96">
        <v>0.02</v>
      </c>
      <c r="AT95" s="96">
        <v>0.64</v>
      </c>
      <c r="AU95" s="96">
        <v>0.48</v>
      </c>
      <c r="AV95" s="96">
        <v>0.47</v>
      </c>
      <c r="AW95" s="96">
        <v>0.5</v>
      </c>
      <c r="AX95" s="96">
        <v>0.5</v>
      </c>
      <c r="AY95" s="96">
        <v>0.55000000000000004</v>
      </c>
      <c r="AZ95" s="61">
        <v>48</v>
      </c>
      <c r="BA95" s="61">
        <v>12</v>
      </c>
      <c r="BB95" s="66">
        <v>0.28999999999999998</v>
      </c>
      <c r="BC95" s="66">
        <v>0.47</v>
      </c>
      <c r="BD95" s="66">
        <v>0.24</v>
      </c>
      <c r="BE95" s="66">
        <v>0</v>
      </c>
      <c r="BF95" s="66">
        <v>0.61</v>
      </c>
      <c r="BG95" s="66">
        <v>0.47</v>
      </c>
      <c r="BH95" s="66">
        <v>0.51</v>
      </c>
      <c r="BI95" s="66">
        <v>0.56999999999999995</v>
      </c>
      <c r="BJ95" s="66">
        <v>0.43</v>
      </c>
      <c r="BK95" s="66">
        <v>0.43</v>
      </c>
      <c r="BL95" s="349">
        <v>46</v>
      </c>
      <c r="BM95" s="348" t="s">
        <v>910</v>
      </c>
      <c r="BN95" s="349">
        <v>10</v>
      </c>
      <c r="BO95" s="348" t="s">
        <v>910</v>
      </c>
      <c r="BP95" s="371">
        <v>0.3</v>
      </c>
      <c r="BQ95" s="371">
        <v>0.5</v>
      </c>
      <c r="BR95" s="371">
        <v>0.2</v>
      </c>
      <c r="BS95" s="371">
        <v>0</v>
      </c>
      <c r="BT95" s="371">
        <v>0.42</v>
      </c>
      <c r="BU95" s="371">
        <v>0.56000000000000005</v>
      </c>
      <c r="BV95" s="371">
        <v>0.49</v>
      </c>
      <c r="BW95" s="371">
        <v>0.5</v>
      </c>
      <c r="BX95" s="371">
        <v>0.51</v>
      </c>
      <c r="BY95" s="371">
        <v>0.61</v>
      </c>
      <c r="BZ95" s="469">
        <v>46</v>
      </c>
      <c r="CA95" s="471" t="s">
        <v>910</v>
      </c>
      <c r="CB95" s="469">
        <v>11</v>
      </c>
      <c r="CC95" s="471" t="s">
        <v>910</v>
      </c>
      <c r="CD95" s="501">
        <v>0.33</v>
      </c>
      <c r="CE95" s="501">
        <v>0.48</v>
      </c>
      <c r="CF95" s="501">
        <v>0.2</v>
      </c>
      <c r="CG95" s="501">
        <v>0</v>
      </c>
      <c r="CH95" s="501">
        <v>0.61</v>
      </c>
      <c r="CI95" s="501">
        <v>0.53</v>
      </c>
      <c r="CJ95" s="501">
        <v>0.62</v>
      </c>
      <c r="CK95" s="501">
        <v>0.57999999999999996</v>
      </c>
      <c r="CL95" s="501">
        <v>0.41</v>
      </c>
      <c r="CM95" s="501">
        <v>0.6</v>
      </c>
      <c r="CN95" s="630">
        <v>46</v>
      </c>
      <c r="CO95" s="640" t="s">
        <v>910</v>
      </c>
      <c r="CP95" s="630">
        <v>11</v>
      </c>
      <c r="CQ95" s="640" t="s">
        <v>910</v>
      </c>
      <c r="CR95" s="644">
        <v>0.38</v>
      </c>
      <c r="CS95" s="644">
        <v>0.42</v>
      </c>
      <c r="CT95" s="644">
        <v>0.18</v>
      </c>
      <c r="CU95" s="644">
        <v>0.02</v>
      </c>
      <c r="CV95" s="644">
        <v>0.42</v>
      </c>
      <c r="CW95" s="644">
        <v>0.6</v>
      </c>
      <c r="CX95" s="644">
        <v>0.56999999999999995</v>
      </c>
      <c r="CY95" s="644">
        <v>0.65</v>
      </c>
      <c r="CZ95" s="644">
        <v>0.61</v>
      </c>
      <c r="DA95" s="644">
        <v>0.6</v>
      </c>
    </row>
    <row r="96" spans="1:105" ht="24.9" customHeight="1" x14ac:dyDescent="0.25">
      <c r="A96" s="188" t="s">
        <v>227</v>
      </c>
      <c r="B96" s="1" t="s">
        <v>222</v>
      </c>
      <c r="C96" s="2">
        <v>4</v>
      </c>
      <c r="D96" s="13" t="s">
        <v>226</v>
      </c>
      <c r="E96" s="13" t="s">
        <v>226</v>
      </c>
      <c r="F96" s="13"/>
      <c r="G96" s="13"/>
      <c r="H96" s="13"/>
      <c r="I96" s="13"/>
      <c r="J96" s="13"/>
      <c r="K96" s="13"/>
      <c r="L96" s="13"/>
      <c r="M96" s="13"/>
      <c r="N96" s="13"/>
      <c r="O96" s="13"/>
      <c r="P96" s="36">
        <v>64</v>
      </c>
      <c r="Q96" s="36">
        <v>0</v>
      </c>
      <c r="R96" s="92">
        <v>0</v>
      </c>
      <c r="S96" s="92">
        <v>0</v>
      </c>
      <c r="T96" s="92">
        <v>1</v>
      </c>
      <c r="U96" s="92">
        <v>0</v>
      </c>
      <c r="V96" s="92">
        <v>0.3</v>
      </c>
      <c r="W96" s="92">
        <v>0.25</v>
      </c>
      <c r="X96" s="92">
        <v>0.25</v>
      </c>
      <c r="Y96" s="92">
        <v>0.25</v>
      </c>
      <c r="Z96" s="92">
        <v>0.27</v>
      </c>
      <c r="AA96" s="92">
        <v>0</v>
      </c>
      <c r="AB96" s="13" t="s">
        <v>226</v>
      </c>
      <c r="AC96" s="13" t="s">
        <v>226</v>
      </c>
      <c r="AD96" s="2"/>
      <c r="AE96" s="2"/>
      <c r="AF96" s="2"/>
      <c r="AG96" s="2"/>
      <c r="AH96" s="2"/>
      <c r="AI96" s="2"/>
      <c r="AJ96" s="2"/>
      <c r="AK96" s="2"/>
      <c r="AL96" s="2"/>
      <c r="AM96" s="2"/>
      <c r="AN96" s="13" t="s">
        <v>226</v>
      </c>
      <c r="AO96" s="13" t="s">
        <v>226</v>
      </c>
      <c r="AP96" s="2"/>
      <c r="AQ96" s="2"/>
      <c r="AR96" s="2"/>
      <c r="AS96" s="2"/>
      <c r="AT96" s="2"/>
      <c r="AU96" s="2"/>
      <c r="AV96" s="2"/>
      <c r="AW96" s="2"/>
      <c r="AX96" s="2"/>
      <c r="AY96" s="2"/>
      <c r="AZ96" s="61"/>
      <c r="BA96" s="61"/>
      <c r="BB96" s="66"/>
      <c r="BC96" s="66"/>
      <c r="BD96" s="66"/>
      <c r="BE96" s="66"/>
      <c r="BF96" s="66"/>
      <c r="BG96" s="66"/>
      <c r="BH96" s="66"/>
      <c r="BI96" s="66"/>
      <c r="BJ96" s="66"/>
      <c r="BK96" s="66"/>
    </row>
    <row r="97" spans="1:105" ht="24.9" customHeight="1" x14ac:dyDescent="0.25">
      <c r="A97" s="188" t="s">
        <v>92</v>
      </c>
      <c r="B97" s="1" t="s">
        <v>220</v>
      </c>
      <c r="C97" s="2">
        <v>1</v>
      </c>
      <c r="D97" s="16">
        <v>49</v>
      </c>
      <c r="E97" s="16">
        <v>9</v>
      </c>
      <c r="F97" s="96">
        <v>0.23</v>
      </c>
      <c r="G97" s="96">
        <v>0.53</v>
      </c>
      <c r="H97" s="96">
        <v>0.24</v>
      </c>
      <c r="I97" s="96">
        <v>0.01</v>
      </c>
      <c r="J97" s="96">
        <v>0.57999999999999996</v>
      </c>
      <c r="K97" s="96">
        <v>0.52</v>
      </c>
      <c r="L97" s="96">
        <v>0.64</v>
      </c>
      <c r="M97" s="96">
        <v>0.46</v>
      </c>
      <c r="N97" s="96">
        <v>0.41</v>
      </c>
      <c r="O97" s="96">
        <v>0.54</v>
      </c>
      <c r="P97" s="36">
        <v>51</v>
      </c>
      <c r="Q97" s="36">
        <v>9</v>
      </c>
      <c r="R97" s="92">
        <v>0.12</v>
      </c>
      <c r="S97" s="92">
        <v>0.55000000000000004</v>
      </c>
      <c r="T97" s="92">
        <v>0.31</v>
      </c>
      <c r="U97" s="92">
        <v>0.02</v>
      </c>
      <c r="V97" s="92">
        <v>0.43</v>
      </c>
      <c r="W97" s="92">
        <v>0.47</v>
      </c>
      <c r="X97" s="92">
        <v>0.54</v>
      </c>
      <c r="Y97" s="92">
        <v>0.45</v>
      </c>
      <c r="Z97" s="92">
        <v>0.44</v>
      </c>
      <c r="AA97" s="92">
        <v>0.48</v>
      </c>
      <c r="AB97" s="16">
        <v>48</v>
      </c>
      <c r="AC97" s="16">
        <v>10</v>
      </c>
      <c r="AD97" s="96">
        <v>0.24</v>
      </c>
      <c r="AE97" s="96">
        <v>0.54</v>
      </c>
      <c r="AF97" s="96">
        <v>0.23</v>
      </c>
      <c r="AG97" s="96">
        <v>0</v>
      </c>
      <c r="AH97" s="96">
        <v>0.48</v>
      </c>
      <c r="AI97" s="96">
        <v>0.46</v>
      </c>
      <c r="AJ97" s="96">
        <v>0.4</v>
      </c>
      <c r="AK97" s="96">
        <v>0.54</v>
      </c>
      <c r="AL97" s="96">
        <v>0.56999999999999995</v>
      </c>
      <c r="AM97" s="96">
        <v>0.56999999999999995</v>
      </c>
      <c r="AN97" s="16">
        <v>48</v>
      </c>
      <c r="AO97" s="16">
        <v>11</v>
      </c>
      <c r="AP97" s="96">
        <v>0.26</v>
      </c>
      <c r="AQ97" s="96">
        <v>0.51</v>
      </c>
      <c r="AR97" s="96">
        <v>0.21</v>
      </c>
      <c r="AS97" s="96">
        <v>0.02</v>
      </c>
      <c r="AT97" s="96">
        <v>0.54</v>
      </c>
      <c r="AU97" s="96">
        <v>0.5</v>
      </c>
      <c r="AV97" s="96">
        <v>0.46</v>
      </c>
      <c r="AW97" s="96">
        <v>0.46</v>
      </c>
      <c r="AX97" s="96">
        <v>0.5</v>
      </c>
      <c r="AY97" s="96">
        <v>0.49</v>
      </c>
      <c r="AZ97" s="61">
        <v>49</v>
      </c>
      <c r="BA97" s="61">
        <v>11</v>
      </c>
      <c r="BB97" s="66">
        <v>0.23</v>
      </c>
      <c r="BC97" s="66">
        <v>0.49</v>
      </c>
      <c r="BD97" s="66">
        <v>0.26</v>
      </c>
      <c r="BE97" s="66">
        <v>0.02</v>
      </c>
      <c r="BF97" s="66">
        <v>0.49</v>
      </c>
      <c r="BG97" s="66">
        <v>0.48</v>
      </c>
      <c r="BH97" s="66">
        <v>0.5</v>
      </c>
      <c r="BI97" s="66">
        <v>0.56999999999999995</v>
      </c>
      <c r="BJ97" s="66">
        <v>0.44</v>
      </c>
      <c r="BK97" s="66">
        <v>0.43</v>
      </c>
      <c r="BL97" s="349">
        <v>48</v>
      </c>
      <c r="BM97" s="348" t="s">
        <v>910</v>
      </c>
      <c r="BN97" s="349">
        <v>10</v>
      </c>
      <c r="BO97" s="348" t="s">
        <v>910</v>
      </c>
      <c r="BP97" s="371">
        <v>0.23</v>
      </c>
      <c r="BQ97" s="371">
        <v>0.51</v>
      </c>
      <c r="BR97" s="371">
        <v>0.25</v>
      </c>
      <c r="BS97" s="371">
        <v>0.01</v>
      </c>
      <c r="BT97" s="371">
        <v>0.46</v>
      </c>
      <c r="BU97" s="371">
        <v>0.5</v>
      </c>
      <c r="BV97" s="371">
        <v>0.61</v>
      </c>
      <c r="BW97" s="371">
        <v>0.44</v>
      </c>
      <c r="BX97" s="371">
        <v>0.48</v>
      </c>
      <c r="BY97" s="371">
        <v>0.55000000000000004</v>
      </c>
      <c r="BZ97" s="469">
        <v>47</v>
      </c>
      <c r="CA97" s="471" t="s">
        <v>910</v>
      </c>
      <c r="CB97" s="469">
        <v>11</v>
      </c>
      <c r="CC97" s="471" t="s">
        <v>910</v>
      </c>
      <c r="CD97" s="501">
        <v>0.32</v>
      </c>
      <c r="CE97" s="501">
        <v>0.45</v>
      </c>
      <c r="CF97" s="501">
        <v>0.21</v>
      </c>
      <c r="CG97" s="501">
        <v>0.02</v>
      </c>
      <c r="CH97" s="501">
        <v>0.55000000000000004</v>
      </c>
      <c r="CI97" s="501">
        <v>0.47</v>
      </c>
      <c r="CJ97" s="501">
        <v>0.56999999999999995</v>
      </c>
      <c r="CK97" s="501">
        <v>0.57999999999999996</v>
      </c>
      <c r="CL97" s="501">
        <v>0.47</v>
      </c>
      <c r="CM97" s="501">
        <v>0.59</v>
      </c>
      <c r="CN97" s="630">
        <v>47</v>
      </c>
      <c r="CO97" s="640" t="s">
        <v>910</v>
      </c>
      <c r="CP97" s="630">
        <v>10</v>
      </c>
      <c r="CQ97" s="640" t="s">
        <v>910</v>
      </c>
      <c r="CR97" s="644">
        <v>0.31</v>
      </c>
      <c r="CS97" s="644">
        <v>0.48</v>
      </c>
      <c r="CT97" s="644">
        <v>0.2</v>
      </c>
      <c r="CU97" s="644">
        <v>0.01</v>
      </c>
      <c r="CV97" s="644">
        <v>0.38</v>
      </c>
      <c r="CW97" s="644">
        <v>0.6</v>
      </c>
      <c r="CX97" s="644">
        <v>0.6</v>
      </c>
      <c r="CY97" s="644">
        <v>0.59</v>
      </c>
      <c r="CZ97" s="644">
        <v>0.62</v>
      </c>
      <c r="DA97" s="644">
        <v>0.63</v>
      </c>
    </row>
    <row r="98" spans="1:105" ht="24.9" customHeight="1" x14ac:dyDescent="0.25">
      <c r="A98" s="188" t="s">
        <v>27</v>
      </c>
      <c r="B98" s="1" t="s">
        <v>220</v>
      </c>
      <c r="C98" s="2">
        <v>6</v>
      </c>
      <c r="D98" s="16">
        <v>50</v>
      </c>
      <c r="E98" s="16">
        <v>9</v>
      </c>
      <c r="F98" s="96">
        <v>0.17</v>
      </c>
      <c r="G98" s="96">
        <v>0.59</v>
      </c>
      <c r="H98" s="96">
        <v>0.24</v>
      </c>
      <c r="I98" s="96">
        <v>0</v>
      </c>
      <c r="J98" s="96">
        <v>0.56000000000000005</v>
      </c>
      <c r="K98" s="96">
        <v>0.51</v>
      </c>
      <c r="L98" s="96">
        <v>0.64</v>
      </c>
      <c r="M98" s="96">
        <v>0.43</v>
      </c>
      <c r="N98" s="96">
        <v>0.47</v>
      </c>
      <c r="O98" s="96">
        <v>0.51</v>
      </c>
      <c r="P98" s="36">
        <v>49</v>
      </c>
      <c r="Q98" s="36">
        <v>9</v>
      </c>
      <c r="R98" s="92">
        <v>0.17</v>
      </c>
      <c r="S98" s="92">
        <v>0.59</v>
      </c>
      <c r="T98" s="92">
        <v>0.24</v>
      </c>
      <c r="U98" s="92">
        <v>0</v>
      </c>
      <c r="V98" s="92">
        <v>0.45</v>
      </c>
      <c r="W98" s="92">
        <v>0.52</v>
      </c>
      <c r="X98" s="92">
        <v>0.54</v>
      </c>
      <c r="Y98" s="92">
        <v>0.48</v>
      </c>
      <c r="Z98" s="92">
        <v>0.49</v>
      </c>
      <c r="AA98" s="92">
        <v>0.56000000000000005</v>
      </c>
      <c r="AB98" s="16">
        <v>46</v>
      </c>
      <c r="AC98" s="16">
        <v>10</v>
      </c>
      <c r="AD98" s="96">
        <v>0.31</v>
      </c>
      <c r="AE98" s="96">
        <v>0.51</v>
      </c>
      <c r="AF98" s="96">
        <v>0.17</v>
      </c>
      <c r="AG98" s="96">
        <v>0.01</v>
      </c>
      <c r="AH98" s="96">
        <v>0.5</v>
      </c>
      <c r="AI98" s="96">
        <v>0.45</v>
      </c>
      <c r="AJ98" s="96">
        <v>0.48</v>
      </c>
      <c r="AK98" s="96">
        <v>0.56999999999999995</v>
      </c>
      <c r="AL98" s="96">
        <v>0.63</v>
      </c>
      <c r="AM98" s="96">
        <v>0.55000000000000004</v>
      </c>
      <c r="AN98" s="16">
        <v>47</v>
      </c>
      <c r="AO98" s="16">
        <v>11</v>
      </c>
      <c r="AP98" s="96">
        <v>0.33</v>
      </c>
      <c r="AQ98" s="96">
        <v>0.46</v>
      </c>
      <c r="AR98" s="96">
        <v>0.19</v>
      </c>
      <c r="AS98" s="96">
        <v>0.02</v>
      </c>
      <c r="AT98" s="96">
        <v>0.57999999999999996</v>
      </c>
      <c r="AU98" s="96">
        <v>0.49</v>
      </c>
      <c r="AV98" s="96">
        <v>0.48</v>
      </c>
      <c r="AW98" s="96">
        <v>0.52</v>
      </c>
      <c r="AX98" s="96">
        <v>0.5</v>
      </c>
      <c r="AY98" s="96">
        <v>0.5</v>
      </c>
      <c r="AZ98" s="61">
        <v>48</v>
      </c>
      <c r="BA98" s="61">
        <v>10</v>
      </c>
      <c r="BB98" s="66">
        <v>0.24</v>
      </c>
      <c r="BC98" s="66">
        <v>0.53</v>
      </c>
      <c r="BD98" s="66">
        <v>0.21</v>
      </c>
      <c r="BE98" s="66">
        <v>0.02</v>
      </c>
      <c r="BF98" s="66">
        <v>0.5</v>
      </c>
      <c r="BG98" s="66">
        <v>0.55000000000000004</v>
      </c>
      <c r="BH98" s="66">
        <v>0.51</v>
      </c>
      <c r="BI98" s="66">
        <v>0.56999999999999995</v>
      </c>
      <c r="BJ98" s="66">
        <v>0.46</v>
      </c>
      <c r="BK98" s="66">
        <v>0.45</v>
      </c>
      <c r="BL98" s="349">
        <v>46</v>
      </c>
      <c r="BM98" s="348" t="s">
        <v>910</v>
      </c>
      <c r="BN98" s="349">
        <v>10</v>
      </c>
      <c r="BO98" s="348" t="s">
        <v>910</v>
      </c>
      <c r="BP98" s="371">
        <v>0.31</v>
      </c>
      <c r="BQ98" s="371">
        <v>0.5</v>
      </c>
      <c r="BR98" s="371">
        <v>0.19</v>
      </c>
      <c r="BS98" s="371">
        <v>0</v>
      </c>
      <c r="BT98" s="371">
        <v>0.5</v>
      </c>
      <c r="BU98" s="371">
        <v>0.55000000000000004</v>
      </c>
      <c r="BV98" s="371">
        <v>0.59</v>
      </c>
      <c r="BW98" s="371">
        <v>0.45</v>
      </c>
      <c r="BX98" s="371">
        <v>0.52</v>
      </c>
      <c r="BY98" s="371">
        <v>0.59</v>
      </c>
      <c r="BZ98" s="469">
        <v>46</v>
      </c>
      <c r="CA98" s="471" t="s">
        <v>910</v>
      </c>
      <c r="CB98" s="469">
        <v>10</v>
      </c>
      <c r="CC98" s="471" t="s">
        <v>910</v>
      </c>
      <c r="CD98" s="501">
        <v>0.3</v>
      </c>
      <c r="CE98" s="501">
        <v>0.5</v>
      </c>
      <c r="CF98" s="501">
        <v>0.19</v>
      </c>
      <c r="CG98" s="501">
        <v>0.01</v>
      </c>
      <c r="CH98" s="501">
        <v>0.55000000000000004</v>
      </c>
      <c r="CI98" s="501">
        <v>0.45</v>
      </c>
      <c r="CJ98" s="501">
        <v>0.62</v>
      </c>
      <c r="CK98" s="501">
        <v>0.6</v>
      </c>
      <c r="CL98" s="501">
        <v>0.47</v>
      </c>
      <c r="CM98" s="501">
        <v>0.63</v>
      </c>
      <c r="CN98" s="630">
        <v>47</v>
      </c>
      <c r="CO98" s="640" t="s">
        <v>910</v>
      </c>
      <c r="CP98" s="630">
        <v>10</v>
      </c>
      <c r="CQ98" s="640" t="s">
        <v>910</v>
      </c>
      <c r="CR98" s="644">
        <v>0.28000000000000003</v>
      </c>
      <c r="CS98" s="644">
        <v>0.51</v>
      </c>
      <c r="CT98" s="644">
        <v>0.19</v>
      </c>
      <c r="CU98" s="644">
        <v>0.01</v>
      </c>
      <c r="CV98" s="644">
        <v>0.42</v>
      </c>
      <c r="CW98" s="644">
        <v>0.61</v>
      </c>
      <c r="CX98" s="644">
        <v>0.64</v>
      </c>
      <c r="CY98" s="644">
        <v>0.61</v>
      </c>
      <c r="CZ98" s="644">
        <v>0.62</v>
      </c>
      <c r="DA98" s="644">
        <v>0.56000000000000005</v>
      </c>
    </row>
    <row r="99" spans="1:105" s="53" customFormat="1" ht="24.9" customHeight="1" x14ac:dyDescent="0.25">
      <c r="A99" s="188" t="s">
        <v>147</v>
      </c>
      <c r="B99" s="1" t="s">
        <v>220</v>
      </c>
      <c r="C99" s="2">
        <v>5</v>
      </c>
      <c r="D99" s="16">
        <v>53</v>
      </c>
      <c r="E99" s="16">
        <v>9</v>
      </c>
      <c r="F99" s="96">
        <v>0.11</v>
      </c>
      <c r="G99" s="96">
        <v>0.52</v>
      </c>
      <c r="H99" s="96">
        <v>0.36</v>
      </c>
      <c r="I99" s="96">
        <v>0.02</v>
      </c>
      <c r="J99" s="96">
        <v>0.5</v>
      </c>
      <c r="K99" s="96">
        <v>0.47</v>
      </c>
      <c r="L99" s="96">
        <v>0.61</v>
      </c>
      <c r="M99" s="96">
        <v>0.39</v>
      </c>
      <c r="N99" s="96">
        <v>0.43</v>
      </c>
      <c r="O99" s="96">
        <v>0.51</v>
      </c>
      <c r="P99" s="36">
        <v>52</v>
      </c>
      <c r="Q99" s="36">
        <v>10</v>
      </c>
      <c r="R99" s="92">
        <v>0.11</v>
      </c>
      <c r="S99" s="92">
        <v>0.54</v>
      </c>
      <c r="T99" s="92">
        <v>0.32</v>
      </c>
      <c r="U99" s="92">
        <v>0.03</v>
      </c>
      <c r="V99" s="92">
        <v>0.39</v>
      </c>
      <c r="W99" s="92">
        <v>0.45</v>
      </c>
      <c r="X99" s="92">
        <v>0.54</v>
      </c>
      <c r="Y99" s="92">
        <v>0.44</v>
      </c>
      <c r="Z99" s="92">
        <v>0.44</v>
      </c>
      <c r="AA99" s="92">
        <v>0.49</v>
      </c>
      <c r="AB99" s="16">
        <v>49</v>
      </c>
      <c r="AC99" s="16">
        <v>10</v>
      </c>
      <c r="AD99" s="96">
        <v>0.23</v>
      </c>
      <c r="AE99" s="96">
        <v>0.49</v>
      </c>
      <c r="AF99" s="96">
        <v>0.27</v>
      </c>
      <c r="AG99" s="96">
        <v>0.01</v>
      </c>
      <c r="AH99" s="96">
        <v>0.44</v>
      </c>
      <c r="AI99" s="96">
        <v>0.46</v>
      </c>
      <c r="AJ99" s="96">
        <v>0.42</v>
      </c>
      <c r="AK99" s="96">
        <v>0.51</v>
      </c>
      <c r="AL99" s="96">
        <v>0.59</v>
      </c>
      <c r="AM99" s="96">
        <v>0.56000000000000005</v>
      </c>
      <c r="AN99" s="16">
        <v>48</v>
      </c>
      <c r="AO99" s="16">
        <v>10</v>
      </c>
      <c r="AP99" s="96">
        <v>0.21</v>
      </c>
      <c r="AQ99" s="96">
        <v>0.56999999999999995</v>
      </c>
      <c r="AR99" s="96">
        <v>0.22</v>
      </c>
      <c r="AS99" s="96">
        <v>0.01</v>
      </c>
      <c r="AT99" s="96">
        <v>0.52</v>
      </c>
      <c r="AU99" s="96">
        <v>0.52</v>
      </c>
      <c r="AV99" s="96">
        <v>0.44</v>
      </c>
      <c r="AW99" s="96">
        <v>0.49</v>
      </c>
      <c r="AX99" s="96">
        <v>0.48</v>
      </c>
      <c r="AY99" s="96">
        <v>0.48</v>
      </c>
      <c r="AZ99" s="61">
        <v>50</v>
      </c>
      <c r="BA99" s="61">
        <v>10</v>
      </c>
      <c r="BB99" s="66">
        <v>0.22</v>
      </c>
      <c r="BC99" s="66">
        <v>0.5</v>
      </c>
      <c r="BD99" s="66">
        <v>0.27</v>
      </c>
      <c r="BE99" s="66">
        <v>0.01</v>
      </c>
      <c r="BF99" s="66">
        <v>0.52</v>
      </c>
      <c r="BG99" s="66">
        <v>0.49</v>
      </c>
      <c r="BH99" s="66">
        <v>0.48</v>
      </c>
      <c r="BI99" s="66">
        <v>0.54</v>
      </c>
      <c r="BJ99" s="66">
        <v>0.42</v>
      </c>
      <c r="BK99" s="66">
        <v>0.4</v>
      </c>
      <c r="BL99" s="349">
        <v>49</v>
      </c>
      <c r="BM99" s="348" t="s">
        <v>910</v>
      </c>
      <c r="BN99" s="349">
        <v>11</v>
      </c>
      <c r="BO99" s="348" t="s">
        <v>910</v>
      </c>
      <c r="BP99" s="371">
        <v>0.24</v>
      </c>
      <c r="BQ99" s="371">
        <v>0.47</v>
      </c>
      <c r="BR99" s="371">
        <v>0.28000000000000003</v>
      </c>
      <c r="BS99" s="371">
        <v>0.02</v>
      </c>
      <c r="BT99" s="371">
        <v>0.45</v>
      </c>
      <c r="BU99" s="371">
        <v>0.49</v>
      </c>
      <c r="BV99" s="371">
        <v>0.59</v>
      </c>
      <c r="BW99" s="371">
        <v>0.43</v>
      </c>
      <c r="BX99" s="371">
        <v>0.49</v>
      </c>
      <c r="BY99" s="371">
        <v>0.53</v>
      </c>
      <c r="BZ99" s="469">
        <v>50</v>
      </c>
      <c r="CA99" s="471" t="s">
        <v>910</v>
      </c>
      <c r="CB99" s="469">
        <v>10</v>
      </c>
      <c r="CC99" s="471" t="s">
        <v>910</v>
      </c>
      <c r="CD99" s="501">
        <v>0.18</v>
      </c>
      <c r="CE99" s="501">
        <v>0.52</v>
      </c>
      <c r="CF99" s="501">
        <v>0.27</v>
      </c>
      <c r="CG99" s="501">
        <v>0.03</v>
      </c>
      <c r="CH99" s="501">
        <v>0.5</v>
      </c>
      <c r="CI99" s="501">
        <v>0.39</v>
      </c>
      <c r="CJ99" s="501">
        <v>0.56000000000000005</v>
      </c>
      <c r="CK99" s="501">
        <v>0.52</v>
      </c>
      <c r="CL99" s="501">
        <v>0.41</v>
      </c>
      <c r="CM99" s="501">
        <v>0.54</v>
      </c>
      <c r="CN99" s="630">
        <v>51</v>
      </c>
      <c r="CO99" s="640" t="s">
        <v>910</v>
      </c>
      <c r="CP99" s="630">
        <v>10</v>
      </c>
      <c r="CQ99" s="640" t="s">
        <v>910</v>
      </c>
      <c r="CR99" s="644">
        <v>0.18</v>
      </c>
      <c r="CS99" s="644">
        <v>0.49</v>
      </c>
      <c r="CT99" s="644">
        <v>0.32</v>
      </c>
      <c r="CU99" s="644">
        <v>0.02</v>
      </c>
      <c r="CV99" s="644">
        <v>0.34</v>
      </c>
      <c r="CW99" s="644">
        <v>0.53</v>
      </c>
      <c r="CX99" s="644">
        <v>0.56999999999999995</v>
      </c>
      <c r="CY99" s="644">
        <v>0.69</v>
      </c>
      <c r="CZ99" s="644">
        <v>0.55000000000000004</v>
      </c>
      <c r="DA99" s="644">
        <v>0.5</v>
      </c>
    </row>
    <row r="100" spans="1:105" ht="24.9" customHeight="1" x14ac:dyDescent="0.25">
      <c r="A100" s="188" t="s">
        <v>112</v>
      </c>
      <c r="B100" s="1" t="s">
        <v>220</v>
      </c>
      <c r="C100" s="2">
        <v>4</v>
      </c>
      <c r="D100" s="16">
        <v>46</v>
      </c>
      <c r="E100" s="16">
        <v>9</v>
      </c>
      <c r="F100" s="96">
        <v>0.32</v>
      </c>
      <c r="G100" s="96">
        <v>0.53</v>
      </c>
      <c r="H100" s="96">
        <v>0.14000000000000001</v>
      </c>
      <c r="I100" s="96">
        <v>0</v>
      </c>
      <c r="J100" s="96">
        <v>0.68</v>
      </c>
      <c r="K100" s="96">
        <v>0.56999999999999995</v>
      </c>
      <c r="L100" s="96">
        <v>0.66</v>
      </c>
      <c r="M100" s="96">
        <v>0.53</v>
      </c>
      <c r="N100" s="96">
        <v>0.51</v>
      </c>
      <c r="O100" s="96">
        <v>0.66</v>
      </c>
      <c r="P100" s="36">
        <v>47</v>
      </c>
      <c r="Q100" s="36">
        <v>11</v>
      </c>
      <c r="R100" s="92">
        <v>0.28999999999999998</v>
      </c>
      <c r="S100" s="92">
        <v>0.51</v>
      </c>
      <c r="T100" s="92">
        <v>0.17</v>
      </c>
      <c r="U100" s="92">
        <v>0.03</v>
      </c>
      <c r="V100" s="92">
        <v>0.5</v>
      </c>
      <c r="W100" s="92">
        <v>0.55000000000000004</v>
      </c>
      <c r="X100" s="92">
        <v>0.6</v>
      </c>
      <c r="Y100" s="92">
        <v>0.54</v>
      </c>
      <c r="Z100" s="92">
        <v>0.46</v>
      </c>
      <c r="AA100" s="92">
        <v>0.56999999999999995</v>
      </c>
      <c r="AB100" s="16">
        <v>45</v>
      </c>
      <c r="AC100" s="16">
        <v>11</v>
      </c>
      <c r="AD100" s="96">
        <v>0.39</v>
      </c>
      <c r="AE100" s="96">
        <v>0.44</v>
      </c>
      <c r="AF100" s="96">
        <v>0.16</v>
      </c>
      <c r="AG100" s="96">
        <v>0.02</v>
      </c>
      <c r="AH100" s="96">
        <v>0.5</v>
      </c>
      <c r="AI100" s="96">
        <v>0.54</v>
      </c>
      <c r="AJ100" s="96">
        <v>0.51</v>
      </c>
      <c r="AK100" s="96">
        <v>0.57999999999999996</v>
      </c>
      <c r="AL100" s="96">
        <v>0.63</v>
      </c>
      <c r="AM100" s="96">
        <v>0.56999999999999995</v>
      </c>
      <c r="AN100" s="16">
        <v>40</v>
      </c>
      <c r="AO100" s="16">
        <v>11</v>
      </c>
      <c r="AP100" s="96">
        <v>0.64</v>
      </c>
      <c r="AQ100" s="96">
        <v>0.25</v>
      </c>
      <c r="AR100" s="96">
        <v>0.1</v>
      </c>
      <c r="AS100" s="96">
        <v>0.01</v>
      </c>
      <c r="AT100" s="96">
        <v>0.66</v>
      </c>
      <c r="AU100" s="96">
        <v>0.6</v>
      </c>
      <c r="AV100" s="96">
        <v>0.56000000000000005</v>
      </c>
      <c r="AW100" s="96">
        <v>0.62</v>
      </c>
      <c r="AX100" s="96">
        <v>0.62</v>
      </c>
      <c r="AY100" s="96">
        <v>0.63</v>
      </c>
      <c r="AZ100" s="61">
        <v>45</v>
      </c>
      <c r="BA100" s="61">
        <v>9</v>
      </c>
      <c r="BB100" s="66">
        <v>0.36</v>
      </c>
      <c r="BC100" s="66">
        <v>0.5</v>
      </c>
      <c r="BD100" s="66">
        <v>0.14000000000000001</v>
      </c>
      <c r="BE100" s="66">
        <v>0</v>
      </c>
      <c r="BF100" s="66">
        <v>0.55000000000000004</v>
      </c>
      <c r="BG100" s="66">
        <v>0.56000000000000005</v>
      </c>
      <c r="BH100" s="66">
        <v>0.55000000000000004</v>
      </c>
      <c r="BI100" s="66">
        <v>0.61</v>
      </c>
      <c r="BJ100" s="66">
        <v>0.51</v>
      </c>
      <c r="BK100" s="66">
        <v>0.55000000000000004</v>
      </c>
      <c r="BL100" s="349">
        <v>44</v>
      </c>
      <c r="BM100" s="348" t="s">
        <v>910</v>
      </c>
      <c r="BN100" s="349">
        <v>10</v>
      </c>
      <c r="BO100" s="348" t="s">
        <v>910</v>
      </c>
      <c r="BP100" s="371">
        <v>0.38</v>
      </c>
      <c r="BQ100" s="371">
        <v>0.49</v>
      </c>
      <c r="BR100" s="371">
        <v>0.13</v>
      </c>
      <c r="BS100" s="371">
        <v>0</v>
      </c>
      <c r="BT100" s="371">
        <v>0.54</v>
      </c>
      <c r="BU100" s="371">
        <v>0.55000000000000004</v>
      </c>
      <c r="BV100" s="371">
        <v>0.65</v>
      </c>
      <c r="BW100" s="371">
        <v>0.52</v>
      </c>
      <c r="BX100" s="371">
        <v>0.56999999999999995</v>
      </c>
      <c r="BY100" s="371">
        <v>0.6</v>
      </c>
      <c r="BZ100" s="469">
        <v>44</v>
      </c>
      <c r="CA100" s="471" t="s">
        <v>910</v>
      </c>
      <c r="CB100" s="469">
        <v>10</v>
      </c>
      <c r="CC100" s="471" t="s">
        <v>910</v>
      </c>
      <c r="CD100" s="501">
        <v>0.38</v>
      </c>
      <c r="CE100" s="501">
        <v>0.51</v>
      </c>
      <c r="CF100" s="501">
        <v>0.11</v>
      </c>
      <c r="CG100" s="501">
        <v>0</v>
      </c>
      <c r="CH100" s="501">
        <v>0.54</v>
      </c>
      <c r="CI100" s="501">
        <v>0.54</v>
      </c>
      <c r="CJ100" s="501">
        <v>0.62</v>
      </c>
      <c r="CK100" s="501">
        <v>0.63</v>
      </c>
      <c r="CL100" s="501">
        <v>0.54</v>
      </c>
      <c r="CM100" s="501">
        <v>0.66</v>
      </c>
      <c r="CN100" s="630">
        <v>43</v>
      </c>
      <c r="CO100" s="640" t="s">
        <v>910</v>
      </c>
      <c r="CP100" s="630">
        <v>9</v>
      </c>
      <c r="CQ100" s="640" t="s">
        <v>910</v>
      </c>
      <c r="CR100" s="644">
        <v>0.46</v>
      </c>
      <c r="CS100" s="644">
        <v>0.46</v>
      </c>
      <c r="CT100" s="644">
        <v>7.0000000000000007E-2</v>
      </c>
      <c r="CU100" s="644">
        <v>0.01</v>
      </c>
      <c r="CV100" s="644">
        <v>0.47</v>
      </c>
      <c r="CW100" s="644">
        <v>0.66</v>
      </c>
      <c r="CX100" s="644">
        <v>0.69</v>
      </c>
      <c r="CY100" s="644">
        <v>0.7</v>
      </c>
      <c r="CZ100" s="644">
        <v>0.67</v>
      </c>
      <c r="DA100" s="644">
        <v>0.7</v>
      </c>
    </row>
    <row r="101" spans="1:105" ht="24.9" customHeight="1" x14ac:dyDescent="0.25">
      <c r="A101" s="188" t="s">
        <v>48</v>
      </c>
      <c r="B101" s="1" t="s">
        <v>220</v>
      </c>
      <c r="C101" s="2">
        <v>4</v>
      </c>
      <c r="D101" s="16">
        <v>47</v>
      </c>
      <c r="E101" s="16">
        <v>8</v>
      </c>
      <c r="F101" s="96">
        <v>0.31</v>
      </c>
      <c r="G101" s="96">
        <v>0.57999999999999996</v>
      </c>
      <c r="H101" s="96">
        <v>0.12</v>
      </c>
      <c r="I101" s="96">
        <v>0</v>
      </c>
      <c r="J101" s="96">
        <v>0.62</v>
      </c>
      <c r="K101" s="96">
        <v>0.56000000000000005</v>
      </c>
      <c r="L101" s="96">
        <v>0.62</v>
      </c>
      <c r="M101" s="96">
        <v>0.45</v>
      </c>
      <c r="N101" s="96">
        <v>0.48</v>
      </c>
      <c r="O101" s="96">
        <v>0.51</v>
      </c>
      <c r="P101" s="36">
        <v>47</v>
      </c>
      <c r="Q101" s="36">
        <v>9</v>
      </c>
      <c r="R101" s="92">
        <v>0.31</v>
      </c>
      <c r="S101" s="92">
        <v>0.52</v>
      </c>
      <c r="T101" s="92">
        <v>0.17</v>
      </c>
      <c r="U101" s="92">
        <v>0</v>
      </c>
      <c r="V101" s="92">
        <v>0.51</v>
      </c>
      <c r="W101" s="92">
        <v>0.56999999999999995</v>
      </c>
      <c r="X101" s="92">
        <v>0.65</v>
      </c>
      <c r="Y101" s="92">
        <v>0.49</v>
      </c>
      <c r="Z101" s="92">
        <v>0.42</v>
      </c>
      <c r="AA101" s="92">
        <v>0.59</v>
      </c>
      <c r="AB101" s="16">
        <v>48</v>
      </c>
      <c r="AC101" s="16">
        <v>11</v>
      </c>
      <c r="AD101" s="96">
        <v>0.31</v>
      </c>
      <c r="AE101" s="96">
        <v>0.41</v>
      </c>
      <c r="AF101" s="96">
        <v>0.28000000000000003</v>
      </c>
      <c r="AG101" s="96">
        <v>0</v>
      </c>
      <c r="AH101" s="96">
        <v>0.5</v>
      </c>
      <c r="AI101" s="96">
        <v>0.49</v>
      </c>
      <c r="AJ101" s="96">
        <v>0.42</v>
      </c>
      <c r="AK101" s="96">
        <v>0.51</v>
      </c>
      <c r="AL101" s="96">
        <v>0.55000000000000004</v>
      </c>
      <c r="AM101" s="96">
        <v>0.56000000000000005</v>
      </c>
      <c r="AN101" s="16">
        <v>46</v>
      </c>
      <c r="AO101" s="16">
        <v>11</v>
      </c>
      <c r="AP101" s="96">
        <v>0.35</v>
      </c>
      <c r="AQ101" s="96">
        <v>0.48</v>
      </c>
      <c r="AR101" s="96">
        <v>0.16</v>
      </c>
      <c r="AS101" s="96">
        <v>0</v>
      </c>
      <c r="AT101" s="96">
        <v>0.56999999999999995</v>
      </c>
      <c r="AU101" s="96">
        <v>0.54</v>
      </c>
      <c r="AV101" s="96">
        <v>0.53</v>
      </c>
      <c r="AW101" s="96">
        <v>0.48</v>
      </c>
      <c r="AX101" s="96">
        <v>0.56000000000000005</v>
      </c>
      <c r="AY101" s="96">
        <v>0.5</v>
      </c>
      <c r="AZ101" s="61">
        <v>45</v>
      </c>
      <c r="BA101" s="61">
        <v>9</v>
      </c>
      <c r="BB101" s="66">
        <v>0.36</v>
      </c>
      <c r="BC101" s="66">
        <v>0.55000000000000004</v>
      </c>
      <c r="BD101" s="66">
        <v>0.09</v>
      </c>
      <c r="BE101" s="66">
        <v>0</v>
      </c>
      <c r="BF101" s="66">
        <v>0.57999999999999996</v>
      </c>
      <c r="BG101" s="66">
        <v>0.56999999999999995</v>
      </c>
      <c r="BH101" s="66">
        <v>0.59</v>
      </c>
      <c r="BI101" s="66">
        <v>0.7</v>
      </c>
      <c r="BJ101" s="66">
        <v>0.47</v>
      </c>
      <c r="BK101" s="66">
        <v>0.55000000000000004</v>
      </c>
      <c r="BL101" s="349">
        <v>42</v>
      </c>
      <c r="BM101" s="348" t="s">
        <v>910</v>
      </c>
      <c r="BN101" s="349">
        <v>9</v>
      </c>
      <c r="BO101" s="348" t="s">
        <v>910</v>
      </c>
      <c r="BP101" s="371">
        <v>0.44</v>
      </c>
      <c r="BQ101" s="371">
        <v>0.5</v>
      </c>
      <c r="BR101" s="371">
        <v>0.06</v>
      </c>
      <c r="BS101" s="371">
        <v>0</v>
      </c>
      <c r="BT101" s="371">
        <v>0.61</v>
      </c>
      <c r="BU101" s="371">
        <v>0.59</v>
      </c>
      <c r="BV101" s="371">
        <v>0.7</v>
      </c>
      <c r="BW101" s="371">
        <v>0.51</v>
      </c>
      <c r="BX101" s="371">
        <v>0.59</v>
      </c>
      <c r="BY101" s="371">
        <v>0.62</v>
      </c>
      <c r="BZ101" s="469">
        <v>44</v>
      </c>
      <c r="CA101" s="471" t="s">
        <v>910</v>
      </c>
      <c r="CB101" s="469">
        <v>7</v>
      </c>
      <c r="CC101" s="471" t="s">
        <v>912</v>
      </c>
      <c r="CD101" s="501">
        <v>0.36</v>
      </c>
      <c r="CE101" s="501">
        <v>0.57999999999999996</v>
      </c>
      <c r="CF101" s="501">
        <v>0.06</v>
      </c>
      <c r="CG101" s="501">
        <v>0</v>
      </c>
      <c r="CH101" s="501">
        <v>0.47</v>
      </c>
      <c r="CI101" s="501">
        <v>0.44</v>
      </c>
      <c r="CJ101" s="501">
        <v>0.69</v>
      </c>
      <c r="CK101" s="501">
        <v>0.62</v>
      </c>
      <c r="CL101" s="501">
        <v>0.53</v>
      </c>
      <c r="CM101" s="501">
        <v>0.6</v>
      </c>
      <c r="CN101" s="630">
        <v>47</v>
      </c>
      <c r="CO101" s="640" t="s">
        <v>910</v>
      </c>
      <c r="CP101" s="630">
        <v>10</v>
      </c>
      <c r="CQ101" s="640" t="s">
        <v>910</v>
      </c>
      <c r="CR101" s="644">
        <v>0.25</v>
      </c>
      <c r="CS101" s="644">
        <v>0.56999999999999995</v>
      </c>
      <c r="CT101" s="644">
        <v>0.18</v>
      </c>
      <c r="CU101" s="644">
        <v>0</v>
      </c>
      <c r="CV101" s="644">
        <v>0.48</v>
      </c>
      <c r="CW101" s="644">
        <v>0.57999999999999996</v>
      </c>
      <c r="CX101" s="644">
        <v>0.57999999999999996</v>
      </c>
      <c r="CY101" s="644">
        <v>0.75</v>
      </c>
      <c r="CZ101" s="644">
        <v>0.59</v>
      </c>
      <c r="DA101" s="644">
        <v>0.7</v>
      </c>
    </row>
    <row r="102" spans="1:105" s="134" customFormat="1" ht="24.9" customHeight="1" x14ac:dyDescent="0.25">
      <c r="A102" s="188" t="s">
        <v>926</v>
      </c>
      <c r="B102" s="1" t="s">
        <v>220</v>
      </c>
      <c r="C102" s="2">
        <v>3</v>
      </c>
      <c r="D102" s="16">
        <v>51</v>
      </c>
      <c r="E102" s="16">
        <v>8</v>
      </c>
      <c r="F102" s="96">
        <v>0.12</v>
      </c>
      <c r="G102" s="96">
        <v>0.56999999999999995</v>
      </c>
      <c r="H102" s="96">
        <v>0.3</v>
      </c>
      <c r="I102" s="96">
        <v>0.01</v>
      </c>
      <c r="J102" s="96">
        <v>0.52</v>
      </c>
      <c r="K102" s="96">
        <v>0.5</v>
      </c>
      <c r="L102" s="96">
        <v>0.55000000000000004</v>
      </c>
      <c r="M102" s="96">
        <v>0.47</v>
      </c>
      <c r="N102" s="96">
        <v>0.49</v>
      </c>
      <c r="O102" s="96">
        <v>0.54</v>
      </c>
      <c r="P102" s="36">
        <v>53</v>
      </c>
      <c r="Q102" s="36">
        <v>10</v>
      </c>
      <c r="R102" s="92">
        <v>0.12</v>
      </c>
      <c r="S102" s="92">
        <v>0.39</v>
      </c>
      <c r="T102" s="92">
        <v>0.49</v>
      </c>
      <c r="U102" s="92">
        <v>0</v>
      </c>
      <c r="V102" s="92">
        <v>0.43</v>
      </c>
      <c r="W102" s="92">
        <v>0.49</v>
      </c>
      <c r="X102" s="92">
        <v>0.55000000000000004</v>
      </c>
      <c r="Y102" s="92">
        <v>0.45</v>
      </c>
      <c r="Z102" s="92">
        <v>0.42</v>
      </c>
      <c r="AA102" s="92">
        <v>0.5</v>
      </c>
      <c r="AB102" s="16">
        <v>50</v>
      </c>
      <c r="AC102" s="16"/>
      <c r="AD102" s="96">
        <v>0.18</v>
      </c>
      <c r="AE102" s="96">
        <v>0.5</v>
      </c>
      <c r="AF102" s="96">
        <v>0.31</v>
      </c>
      <c r="AG102" s="96">
        <v>0.01</v>
      </c>
      <c r="AH102" s="96">
        <v>0.44</v>
      </c>
      <c r="AI102" s="96">
        <v>0.45</v>
      </c>
      <c r="AJ102" s="96">
        <v>0.41</v>
      </c>
      <c r="AK102" s="96">
        <v>0.52</v>
      </c>
      <c r="AL102" s="96">
        <v>0.55000000000000004</v>
      </c>
      <c r="AM102" s="96">
        <v>0.52</v>
      </c>
      <c r="AN102" s="16">
        <v>49</v>
      </c>
      <c r="AO102" s="16"/>
      <c r="AP102" s="96">
        <v>0.21</v>
      </c>
      <c r="AQ102" s="96">
        <v>0.5</v>
      </c>
      <c r="AR102" s="96">
        <v>0.28000000000000003</v>
      </c>
      <c r="AS102" s="96">
        <v>0.01</v>
      </c>
      <c r="AT102" s="96">
        <v>0.53</v>
      </c>
      <c r="AU102" s="96">
        <v>0.47</v>
      </c>
      <c r="AV102" s="96">
        <v>0.46</v>
      </c>
      <c r="AW102" s="96">
        <v>0.47</v>
      </c>
      <c r="AX102" s="96">
        <v>0.49</v>
      </c>
      <c r="AY102" s="96">
        <v>0.48</v>
      </c>
      <c r="AZ102" s="61">
        <v>52</v>
      </c>
      <c r="BA102" s="61">
        <v>10</v>
      </c>
      <c r="BB102" s="66">
        <v>0.12</v>
      </c>
      <c r="BC102" s="66">
        <v>0.48</v>
      </c>
      <c r="BD102" s="66">
        <v>0.38</v>
      </c>
      <c r="BE102" s="66">
        <v>0.03</v>
      </c>
      <c r="BF102" s="66">
        <v>0.45</v>
      </c>
      <c r="BG102" s="66">
        <v>0.46</v>
      </c>
      <c r="BH102" s="66">
        <v>0.47</v>
      </c>
      <c r="BI102" s="66">
        <v>0.54</v>
      </c>
      <c r="BJ102" s="66">
        <v>0.43</v>
      </c>
      <c r="BK102" s="66">
        <v>0.41</v>
      </c>
      <c r="BL102" s="349">
        <v>48</v>
      </c>
      <c r="BM102" s="348" t="s">
        <v>910</v>
      </c>
      <c r="BN102" s="349">
        <v>10</v>
      </c>
      <c r="BO102" s="348" t="s">
        <v>910</v>
      </c>
      <c r="BP102" s="371">
        <v>0.25</v>
      </c>
      <c r="BQ102" s="371">
        <v>0.55000000000000004</v>
      </c>
      <c r="BR102" s="371">
        <v>0.19</v>
      </c>
      <c r="BS102" s="371">
        <v>0.02</v>
      </c>
      <c r="BT102" s="371">
        <v>0.47</v>
      </c>
      <c r="BU102" s="371">
        <v>0.5</v>
      </c>
      <c r="BV102" s="371">
        <v>0.57999999999999996</v>
      </c>
      <c r="BW102" s="371">
        <v>0.45</v>
      </c>
      <c r="BX102" s="371">
        <v>0.48</v>
      </c>
      <c r="BY102" s="371">
        <v>0.55000000000000004</v>
      </c>
      <c r="BZ102" s="469">
        <v>51</v>
      </c>
      <c r="CA102" s="471" t="s">
        <v>910</v>
      </c>
      <c r="CB102" s="469">
        <v>10</v>
      </c>
      <c r="CC102" s="471" t="s">
        <v>910</v>
      </c>
      <c r="CD102" s="501">
        <v>0.19</v>
      </c>
      <c r="CE102" s="501">
        <v>0.45</v>
      </c>
      <c r="CF102" s="501">
        <v>0.34</v>
      </c>
      <c r="CG102" s="501">
        <v>0.02</v>
      </c>
      <c r="CH102" s="501">
        <v>0.52</v>
      </c>
      <c r="CI102" s="501">
        <v>0.36</v>
      </c>
      <c r="CJ102" s="501">
        <v>0.56999999999999995</v>
      </c>
      <c r="CK102" s="501">
        <v>0.55000000000000004</v>
      </c>
      <c r="CL102" s="501">
        <v>0.46</v>
      </c>
      <c r="CM102" s="501">
        <v>0.54</v>
      </c>
      <c r="CN102" s="630">
        <v>52</v>
      </c>
      <c r="CO102" s="640" t="s">
        <v>910</v>
      </c>
      <c r="CP102" s="630">
        <v>11</v>
      </c>
      <c r="CQ102" s="640" t="s">
        <v>910</v>
      </c>
      <c r="CR102" s="644">
        <v>0.16</v>
      </c>
      <c r="CS102" s="644">
        <v>0.46</v>
      </c>
      <c r="CT102" s="644">
        <v>0.34</v>
      </c>
      <c r="CU102" s="644">
        <v>0.04</v>
      </c>
      <c r="CV102" s="644">
        <v>0.34</v>
      </c>
      <c r="CW102" s="644">
        <v>0.51</v>
      </c>
      <c r="CX102" s="644">
        <v>0.55000000000000004</v>
      </c>
      <c r="CY102" s="644">
        <v>0.59</v>
      </c>
      <c r="CZ102" s="644">
        <v>0.56999999999999995</v>
      </c>
      <c r="DA102" s="644">
        <v>0.47</v>
      </c>
    </row>
    <row r="103" spans="1:105" ht="24.9" customHeight="1" x14ac:dyDescent="0.25">
      <c r="A103" s="188" t="s">
        <v>138</v>
      </c>
      <c r="B103" s="1" t="s">
        <v>220</v>
      </c>
      <c r="C103" s="2">
        <v>1</v>
      </c>
      <c r="D103" s="16">
        <v>51</v>
      </c>
      <c r="E103" s="16">
        <v>9</v>
      </c>
      <c r="F103" s="96">
        <v>0.17</v>
      </c>
      <c r="G103" s="96">
        <v>0.52</v>
      </c>
      <c r="H103" s="96">
        <v>0.28999999999999998</v>
      </c>
      <c r="I103" s="96">
        <v>0.01</v>
      </c>
      <c r="J103" s="96">
        <v>0.56000000000000005</v>
      </c>
      <c r="K103" s="96">
        <v>0.56999999999999995</v>
      </c>
      <c r="L103" s="96">
        <v>0.56999999999999995</v>
      </c>
      <c r="M103" s="96">
        <v>0.49</v>
      </c>
      <c r="N103" s="96">
        <v>0.46</v>
      </c>
      <c r="O103" s="96">
        <v>0.47</v>
      </c>
      <c r="P103" s="36">
        <v>51</v>
      </c>
      <c r="Q103" s="36">
        <v>9</v>
      </c>
      <c r="R103" s="92">
        <v>0.15</v>
      </c>
      <c r="S103" s="92">
        <v>0.55000000000000004</v>
      </c>
      <c r="T103" s="92">
        <v>0.28999999999999998</v>
      </c>
      <c r="U103" s="92">
        <v>0.01</v>
      </c>
      <c r="V103" s="92">
        <v>0.44</v>
      </c>
      <c r="W103" s="92">
        <v>0.51</v>
      </c>
      <c r="X103" s="92">
        <v>0.55000000000000004</v>
      </c>
      <c r="Y103" s="92">
        <v>0.45</v>
      </c>
      <c r="Z103" s="92">
        <v>0.43</v>
      </c>
      <c r="AA103" s="92">
        <v>0.55000000000000004</v>
      </c>
      <c r="AB103" s="16">
        <v>47</v>
      </c>
      <c r="AC103" s="16">
        <v>10</v>
      </c>
      <c r="AD103" s="96">
        <v>0.26</v>
      </c>
      <c r="AE103" s="96">
        <v>0.57999999999999996</v>
      </c>
      <c r="AF103" s="96">
        <v>0.15</v>
      </c>
      <c r="AG103" s="96">
        <v>0.01</v>
      </c>
      <c r="AH103" s="96">
        <v>0.47</v>
      </c>
      <c r="AI103" s="96">
        <v>0.48</v>
      </c>
      <c r="AJ103" s="96">
        <v>0.47</v>
      </c>
      <c r="AK103" s="96">
        <v>0.54</v>
      </c>
      <c r="AL103" s="96">
        <v>0.62</v>
      </c>
      <c r="AM103" s="96">
        <v>0.59</v>
      </c>
      <c r="AN103" s="16">
        <v>46</v>
      </c>
      <c r="AO103" s="16">
        <v>10</v>
      </c>
      <c r="AP103" s="96">
        <v>0.33</v>
      </c>
      <c r="AQ103" s="96">
        <v>0.48</v>
      </c>
      <c r="AR103" s="96">
        <v>0.18</v>
      </c>
      <c r="AS103" s="96">
        <v>0.02</v>
      </c>
      <c r="AT103" s="96">
        <v>0.6</v>
      </c>
      <c r="AU103" s="96">
        <v>0.51</v>
      </c>
      <c r="AV103" s="96">
        <v>0.51</v>
      </c>
      <c r="AW103" s="96">
        <v>0.49</v>
      </c>
      <c r="AX103" s="96">
        <v>0.54</v>
      </c>
      <c r="AY103" s="96">
        <v>0.52</v>
      </c>
      <c r="AZ103" s="61">
        <v>50</v>
      </c>
      <c r="BA103" s="61">
        <v>10</v>
      </c>
      <c r="BB103" s="66">
        <v>0.17</v>
      </c>
      <c r="BC103" s="66">
        <v>0.55000000000000004</v>
      </c>
      <c r="BD103" s="66">
        <v>0.25</v>
      </c>
      <c r="BE103" s="66">
        <v>0.02</v>
      </c>
      <c r="BF103" s="66">
        <v>0.47</v>
      </c>
      <c r="BG103" s="66">
        <v>0.48</v>
      </c>
      <c r="BH103" s="66">
        <v>0.49</v>
      </c>
      <c r="BI103" s="66">
        <v>0.6</v>
      </c>
      <c r="BJ103" s="66">
        <v>0.43</v>
      </c>
      <c r="BK103" s="66">
        <v>0.43</v>
      </c>
      <c r="BL103" s="349">
        <v>48</v>
      </c>
      <c r="BM103" s="348" t="s">
        <v>910</v>
      </c>
      <c r="BN103" s="349">
        <v>10</v>
      </c>
      <c r="BO103" s="348" t="s">
        <v>910</v>
      </c>
      <c r="BP103" s="371">
        <v>0.24</v>
      </c>
      <c r="BQ103" s="371">
        <v>0.54</v>
      </c>
      <c r="BR103" s="371">
        <v>0.21</v>
      </c>
      <c r="BS103" s="371">
        <v>0.01</v>
      </c>
      <c r="BT103" s="371">
        <v>0.48</v>
      </c>
      <c r="BU103" s="371">
        <v>0.52</v>
      </c>
      <c r="BV103" s="371">
        <v>0.63</v>
      </c>
      <c r="BW103" s="371">
        <v>0.47</v>
      </c>
      <c r="BX103" s="371">
        <v>0.46</v>
      </c>
      <c r="BY103" s="371">
        <v>0.54</v>
      </c>
      <c r="BZ103" s="469">
        <v>49</v>
      </c>
      <c r="CA103" s="471" t="s">
        <v>910</v>
      </c>
      <c r="CB103" s="469">
        <v>11</v>
      </c>
      <c r="CC103" s="471" t="s">
        <v>910</v>
      </c>
      <c r="CD103" s="501">
        <v>0.26</v>
      </c>
      <c r="CE103" s="501">
        <v>0.47</v>
      </c>
      <c r="CF103" s="501">
        <v>0.25</v>
      </c>
      <c r="CG103" s="501">
        <v>0.02</v>
      </c>
      <c r="CH103" s="501">
        <v>0.54</v>
      </c>
      <c r="CI103" s="501">
        <v>0.47</v>
      </c>
      <c r="CJ103" s="501">
        <v>0.57999999999999996</v>
      </c>
      <c r="CK103" s="501">
        <v>0.56999999999999995</v>
      </c>
      <c r="CL103" s="501">
        <v>0.4</v>
      </c>
      <c r="CM103" s="501">
        <v>0.59</v>
      </c>
      <c r="CN103" s="630">
        <v>47</v>
      </c>
      <c r="CO103" s="640" t="s">
        <v>910</v>
      </c>
      <c r="CP103" s="630">
        <v>10</v>
      </c>
      <c r="CQ103" s="640" t="s">
        <v>910</v>
      </c>
      <c r="CR103" s="644">
        <v>0.28999999999999998</v>
      </c>
      <c r="CS103" s="644">
        <v>0.47</v>
      </c>
      <c r="CT103" s="644">
        <v>0.23</v>
      </c>
      <c r="CU103" s="644">
        <v>0.01</v>
      </c>
      <c r="CV103" s="644">
        <v>0.38</v>
      </c>
      <c r="CW103" s="644">
        <v>0.56000000000000005</v>
      </c>
      <c r="CX103" s="644">
        <v>0.63</v>
      </c>
      <c r="CY103" s="644">
        <v>0.65</v>
      </c>
      <c r="CZ103" s="644">
        <v>0.6</v>
      </c>
      <c r="DA103" s="644">
        <v>0.61</v>
      </c>
    </row>
    <row r="104" spans="1:105" ht="24.9" customHeight="1" x14ac:dyDescent="0.25">
      <c r="A104" s="189" t="s">
        <v>291</v>
      </c>
      <c r="B104" s="69" t="s">
        <v>220</v>
      </c>
      <c r="C104" s="71">
        <v>3</v>
      </c>
      <c r="D104" s="16">
        <v>49</v>
      </c>
      <c r="E104" s="16">
        <v>9</v>
      </c>
      <c r="F104" s="96">
        <v>0.21</v>
      </c>
      <c r="G104" s="96">
        <v>0.59</v>
      </c>
      <c r="H104" s="96">
        <v>0.18</v>
      </c>
      <c r="I104" s="96">
        <v>0.03</v>
      </c>
      <c r="J104" s="96">
        <v>0.56000000000000005</v>
      </c>
      <c r="K104" s="96">
        <v>0.51</v>
      </c>
      <c r="L104" s="96">
        <v>0.65</v>
      </c>
      <c r="M104" s="96">
        <v>0.47</v>
      </c>
      <c r="N104" s="96">
        <v>0.45</v>
      </c>
      <c r="O104" s="96">
        <v>0.54</v>
      </c>
      <c r="P104" s="36">
        <v>50</v>
      </c>
      <c r="Q104" s="36">
        <v>9</v>
      </c>
      <c r="R104" s="92">
        <v>0.17</v>
      </c>
      <c r="S104" s="92">
        <v>0.52</v>
      </c>
      <c r="T104" s="92">
        <v>0.31</v>
      </c>
      <c r="U104" s="92">
        <v>0</v>
      </c>
      <c r="V104" s="92">
        <v>0.46</v>
      </c>
      <c r="W104" s="92">
        <v>0.5</v>
      </c>
      <c r="X104" s="92">
        <v>0.59</v>
      </c>
      <c r="Y104" s="92">
        <v>0.48</v>
      </c>
      <c r="Z104" s="92">
        <v>0.45</v>
      </c>
      <c r="AA104" s="92">
        <v>0.52</v>
      </c>
      <c r="AB104" s="16">
        <v>51</v>
      </c>
      <c r="AC104" s="16">
        <v>10</v>
      </c>
      <c r="AD104" s="96">
        <v>0.15</v>
      </c>
      <c r="AE104" s="96">
        <v>0.52</v>
      </c>
      <c r="AF104" s="96">
        <v>0.31</v>
      </c>
      <c r="AG104" s="96">
        <v>0.02</v>
      </c>
      <c r="AH104" s="96">
        <v>0.44</v>
      </c>
      <c r="AI104" s="96">
        <v>0.42</v>
      </c>
      <c r="AJ104" s="96">
        <v>0.42</v>
      </c>
      <c r="AK104" s="96">
        <v>0.51</v>
      </c>
      <c r="AL104" s="96">
        <v>0.55000000000000004</v>
      </c>
      <c r="AM104" s="96">
        <v>0.52</v>
      </c>
      <c r="AN104" s="16">
        <v>48</v>
      </c>
      <c r="AO104" s="16">
        <v>10</v>
      </c>
      <c r="AP104" s="96">
        <v>0.28000000000000003</v>
      </c>
      <c r="AQ104" s="96">
        <v>0.47</v>
      </c>
      <c r="AR104" s="96">
        <v>0.23</v>
      </c>
      <c r="AS104" s="96">
        <v>0.02</v>
      </c>
      <c r="AT104" s="96">
        <v>0.56000000000000005</v>
      </c>
      <c r="AU104" s="96">
        <v>0.51</v>
      </c>
      <c r="AV104" s="96">
        <v>0.48</v>
      </c>
      <c r="AW104" s="96">
        <v>0.49</v>
      </c>
      <c r="AX104" s="96">
        <v>0.51</v>
      </c>
      <c r="AY104" s="96">
        <v>0.5</v>
      </c>
      <c r="AZ104" s="61">
        <v>51</v>
      </c>
      <c r="BA104" s="61">
        <v>10</v>
      </c>
      <c r="BB104" s="66">
        <v>0.19</v>
      </c>
      <c r="BC104" s="66">
        <v>0.44</v>
      </c>
      <c r="BD104" s="66">
        <v>0.36</v>
      </c>
      <c r="BE104" s="66">
        <v>0.01</v>
      </c>
      <c r="BF104" s="66">
        <v>0.47</v>
      </c>
      <c r="BG104" s="66">
        <v>0.46</v>
      </c>
      <c r="BH104" s="66">
        <v>0.44</v>
      </c>
      <c r="BI104" s="66">
        <v>0.51</v>
      </c>
      <c r="BJ104" s="66">
        <v>0.42</v>
      </c>
      <c r="BK104" s="66">
        <v>0.39</v>
      </c>
      <c r="BL104" s="349">
        <v>49</v>
      </c>
      <c r="BM104" s="348" t="s">
        <v>910</v>
      </c>
      <c r="BN104" s="349">
        <v>10</v>
      </c>
      <c r="BO104" s="348" t="s">
        <v>910</v>
      </c>
      <c r="BP104" s="371">
        <v>0.19</v>
      </c>
      <c r="BQ104" s="371">
        <v>0.54</v>
      </c>
      <c r="BR104" s="371">
        <v>0.25</v>
      </c>
      <c r="BS104" s="371">
        <v>0.02</v>
      </c>
      <c r="BT104" s="371">
        <v>0.47</v>
      </c>
      <c r="BU104" s="371">
        <v>0.49</v>
      </c>
      <c r="BV104" s="371">
        <v>0.54</v>
      </c>
      <c r="BW104" s="371">
        <v>0.43</v>
      </c>
      <c r="BX104" s="371">
        <v>0.46</v>
      </c>
      <c r="BY104" s="371">
        <v>0.54</v>
      </c>
      <c r="BZ104" s="469">
        <v>51</v>
      </c>
      <c r="CA104" s="471" t="s">
        <v>910</v>
      </c>
      <c r="CB104" s="469">
        <v>10</v>
      </c>
      <c r="CC104" s="471" t="s">
        <v>910</v>
      </c>
      <c r="CD104" s="501">
        <v>0.16</v>
      </c>
      <c r="CE104" s="501">
        <v>0.51</v>
      </c>
      <c r="CF104" s="501">
        <v>0.3</v>
      </c>
      <c r="CG104" s="501">
        <v>0.02</v>
      </c>
      <c r="CH104" s="501">
        <v>0.52</v>
      </c>
      <c r="CI104" s="501">
        <v>0.39</v>
      </c>
      <c r="CJ104" s="501">
        <v>0.56999999999999995</v>
      </c>
      <c r="CK104" s="501">
        <v>0.52</v>
      </c>
      <c r="CL104" s="501">
        <v>0.43</v>
      </c>
      <c r="CM104" s="501">
        <v>0.55000000000000004</v>
      </c>
      <c r="CN104" s="630">
        <v>51</v>
      </c>
      <c r="CO104" s="640" t="s">
        <v>910</v>
      </c>
      <c r="CP104" s="630">
        <v>10</v>
      </c>
      <c r="CQ104" s="640" t="s">
        <v>910</v>
      </c>
      <c r="CR104" s="644">
        <v>0.18</v>
      </c>
      <c r="CS104" s="644">
        <v>0.49</v>
      </c>
      <c r="CT104" s="644">
        <v>0.3</v>
      </c>
      <c r="CU104" s="644">
        <v>0.03</v>
      </c>
      <c r="CV104" s="644">
        <v>0.33</v>
      </c>
      <c r="CW104" s="644">
        <v>0.53</v>
      </c>
      <c r="CX104" s="644">
        <v>0.59</v>
      </c>
      <c r="CY104" s="644">
        <v>0.65</v>
      </c>
      <c r="CZ104" s="644">
        <v>0.57999999999999996</v>
      </c>
      <c r="DA104" s="644">
        <v>0.51</v>
      </c>
    </row>
    <row r="105" spans="1:105" ht="24.9" customHeight="1" x14ac:dyDescent="0.25">
      <c r="A105" s="188" t="s">
        <v>103</v>
      </c>
      <c r="B105" s="1" t="s">
        <v>220</v>
      </c>
      <c r="C105" s="2">
        <v>4</v>
      </c>
      <c r="D105" s="16">
        <v>48</v>
      </c>
      <c r="E105" s="16">
        <v>9</v>
      </c>
      <c r="F105" s="96">
        <v>0.26</v>
      </c>
      <c r="G105" s="96">
        <v>0.52</v>
      </c>
      <c r="H105" s="96">
        <v>0.22</v>
      </c>
      <c r="I105" s="96">
        <v>0</v>
      </c>
      <c r="J105" s="96">
        <v>0.61</v>
      </c>
      <c r="K105" s="96">
        <v>0.53</v>
      </c>
      <c r="L105" s="96">
        <v>0.66</v>
      </c>
      <c r="M105" s="96">
        <v>0.48</v>
      </c>
      <c r="N105" s="96">
        <v>0.49</v>
      </c>
      <c r="O105" s="96">
        <v>0.5</v>
      </c>
      <c r="P105" s="36">
        <v>46</v>
      </c>
      <c r="Q105" s="36">
        <v>9</v>
      </c>
      <c r="R105" s="92">
        <v>0.3</v>
      </c>
      <c r="S105" s="92">
        <v>0.55000000000000004</v>
      </c>
      <c r="T105" s="92">
        <v>0.15</v>
      </c>
      <c r="U105" s="92">
        <v>0</v>
      </c>
      <c r="V105" s="92">
        <v>0.53</v>
      </c>
      <c r="W105" s="92">
        <v>0.56000000000000005</v>
      </c>
      <c r="X105" s="92">
        <v>0.66</v>
      </c>
      <c r="Y105" s="92">
        <v>0.56000000000000005</v>
      </c>
      <c r="Z105" s="92">
        <v>0.47</v>
      </c>
      <c r="AA105" s="92">
        <v>0.61</v>
      </c>
      <c r="AB105" s="16">
        <v>44</v>
      </c>
      <c r="AC105" s="16">
        <v>9</v>
      </c>
      <c r="AD105" s="96">
        <v>0.37</v>
      </c>
      <c r="AE105" s="96">
        <v>0.52</v>
      </c>
      <c r="AF105" s="96">
        <v>0.1</v>
      </c>
      <c r="AG105" s="96">
        <v>0.01</v>
      </c>
      <c r="AH105" s="96">
        <v>0.53</v>
      </c>
      <c r="AI105" s="96">
        <v>0.54</v>
      </c>
      <c r="AJ105" s="96">
        <v>0.52</v>
      </c>
      <c r="AK105" s="96">
        <v>0.59</v>
      </c>
      <c r="AL105" s="96">
        <v>0.62</v>
      </c>
      <c r="AM105" s="96">
        <v>0.57999999999999996</v>
      </c>
      <c r="AN105" s="16">
        <v>41</v>
      </c>
      <c r="AO105" s="16">
        <v>9</v>
      </c>
      <c r="AP105" s="96">
        <v>0.49</v>
      </c>
      <c r="AQ105" s="96">
        <v>0.41</v>
      </c>
      <c r="AR105" s="96">
        <v>0.1</v>
      </c>
      <c r="AS105" s="96">
        <v>0</v>
      </c>
      <c r="AT105" s="96">
        <v>0.7</v>
      </c>
      <c r="AU105" s="96">
        <v>0.57999999999999996</v>
      </c>
      <c r="AV105" s="96">
        <v>0.57999999999999996</v>
      </c>
      <c r="AW105" s="96">
        <v>0.6</v>
      </c>
      <c r="AX105" s="96">
        <v>0.57999999999999996</v>
      </c>
      <c r="AY105" s="96">
        <v>0.54</v>
      </c>
      <c r="AZ105" s="61">
        <v>45</v>
      </c>
      <c r="BA105" s="61">
        <v>9</v>
      </c>
      <c r="BB105" s="66">
        <v>0.31</v>
      </c>
      <c r="BC105" s="66">
        <v>0.56000000000000005</v>
      </c>
      <c r="BD105" s="66">
        <v>0.12</v>
      </c>
      <c r="BE105" s="66">
        <v>0.01</v>
      </c>
      <c r="BF105" s="66">
        <v>0.61</v>
      </c>
      <c r="BG105" s="66">
        <v>0.55000000000000004</v>
      </c>
      <c r="BH105" s="66">
        <v>0.53</v>
      </c>
      <c r="BI105" s="66">
        <v>0.65</v>
      </c>
      <c r="BJ105" s="66">
        <v>0.51</v>
      </c>
      <c r="BK105" s="66">
        <v>0.52</v>
      </c>
      <c r="BL105" s="349">
        <v>43</v>
      </c>
      <c r="BM105" s="348" t="s">
        <v>910</v>
      </c>
      <c r="BN105" s="349">
        <v>10</v>
      </c>
      <c r="BO105" s="348" t="s">
        <v>910</v>
      </c>
      <c r="BP105" s="371">
        <v>0.43</v>
      </c>
      <c r="BQ105" s="371">
        <v>0.46</v>
      </c>
      <c r="BR105" s="371">
        <v>0.11</v>
      </c>
      <c r="BS105" s="371">
        <v>0</v>
      </c>
      <c r="BT105" s="371">
        <v>0.51</v>
      </c>
      <c r="BU105" s="371">
        <v>0.57999999999999996</v>
      </c>
      <c r="BV105" s="371">
        <v>0.66</v>
      </c>
      <c r="BW105" s="371">
        <v>0.53</v>
      </c>
      <c r="BX105" s="371">
        <v>0.57999999999999996</v>
      </c>
      <c r="BY105" s="371">
        <v>0.64</v>
      </c>
      <c r="BZ105" s="469">
        <v>45</v>
      </c>
      <c r="CA105" s="471" t="s">
        <v>910</v>
      </c>
      <c r="CB105" s="469">
        <v>11</v>
      </c>
      <c r="CC105" s="471" t="s">
        <v>910</v>
      </c>
      <c r="CD105" s="501">
        <v>0.35</v>
      </c>
      <c r="CE105" s="501">
        <v>0.46</v>
      </c>
      <c r="CF105" s="501">
        <v>0.18</v>
      </c>
      <c r="CG105" s="501">
        <v>0.02</v>
      </c>
      <c r="CH105" s="501">
        <v>0.59</v>
      </c>
      <c r="CI105" s="501">
        <v>0.49</v>
      </c>
      <c r="CJ105" s="501">
        <v>0.62</v>
      </c>
      <c r="CK105" s="501">
        <v>0.62</v>
      </c>
      <c r="CL105" s="501">
        <v>0.51</v>
      </c>
      <c r="CM105" s="501">
        <v>0.63</v>
      </c>
      <c r="CN105" s="630">
        <v>44</v>
      </c>
      <c r="CO105" s="640" t="s">
        <v>910</v>
      </c>
      <c r="CP105" s="630">
        <v>10</v>
      </c>
      <c r="CQ105" s="640" t="s">
        <v>910</v>
      </c>
      <c r="CR105" s="644">
        <v>0.38</v>
      </c>
      <c r="CS105" s="644">
        <v>0.53</v>
      </c>
      <c r="CT105" s="644">
        <v>0.08</v>
      </c>
      <c r="CU105" s="644">
        <v>0.01</v>
      </c>
      <c r="CV105" s="644">
        <v>0.51</v>
      </c>
      <c r="CW105" s="644">
        <v>0.61</v>
      </c>
      <c r="CX105" s="644">
        <v>0.64</v>
      </c>
      <c r="CY105" s="644">
        <v>0.73</v>
      </c>
      <c r="CZ105" s="644">
        <v>0.65</v>
      </c>
      <c r="DA105" s="644">
        <v>0.59</v>
      </c>
    </row>
    <row r="106" spans="1:105" ht="24.9" customHeight="1" x14ac:dyDescent="0.25">
      <c r="A106" s="188" t="s">
        <v>86</v>
      </c>
      <c r="B106" s="1" t="s">
        <v>220</v>
      </c>
      <c r="C106" s="2">
        <v>1</v>
      </c>
      <c r="D106" s="16">
        <v>50</v>
      </c>
      <c r="E106" s="16">
        <v>9</v>
      </c>
      <c r="F106" s="96">
        <v>0.17</v>
      </c>
      <c r="G106" s="96">
        <v>0.56000000000000005</v>
      </c>
      <c r="H106" s="96">
        <v>0.27</v>
      </c>
      <c r="I106" s="96">
        <v>0</v>
      </c>
      <c r="J106" s="96">
        <v>0.54</v>
      </c>
      <c r="K106" s="96">
        <v>0.5</v>
      </c>
      <c r="L106" s="96">
        <v>0.62</v>
      </c>
      <c r="M106" s="96">
        <v>0.42</v>
      </c>
      <c r="N106" s="96">
        <v>0.44</v>
      </c>
      <c r="O106" s="96">
        <v>0.5</v>
      </c>
      <c r="P106" s="36">
        <v>49</v>
      </c>
      <c r="Q106" s="36">
        <v>9</v>
      </c>
      <c r="R106" s="92">
        <v>0.2</v>
      </c>
      <c r="S106" s="92">
        <v>0.53</v>
      </c>
      <c r="T106" s="92">
        <v>0.27</v>
      </c>
      <c r="U106" s="92">
        <v>0</v>
      </c>
      <c r="V106" s="92">
        <v>0.46</v>
      </c>
      <c r="W106" s="92">
        <v>0.51</v>
      </c>
      <c r="X106" s="92">
        <v>0.56000000000000005</v>
      </c>
      <c r="Y106" s="92">
        <v>0.49</v>
      </c>
      <c r="Z106" s="92">
        <v>0.45</v>
      </c>
      <c r="AA106" s="92">
        <v>0.53</v>
      </c>
      <c r="AB106" s="16">
        <v>48</v>
      </c>
      <c r="AC106" s="16">
        <v>10</v>
      </c>
      <c r="AD106" s="96">
        <v>0.23</v>
      </c>
      <c r="AE106" s="96">
        <v>0.55000000000000004</v>
      </c>
      <c r="AF106" s="96">
        <v>0.21</v>
      </c>
      <c r="AG106" s="96">
        <v>0.01</v>
      </c>
      <c r="AH106" s="96">
        <v>0.45</v>
      </c>
      <c r="AI106" s="96">
        <v>0.46</v>
      </c>
      <c r="AJ106" s="96">
        <v>0.43</v>
      </c>
      <c r="AK106" s="96">
        <v>0.52</v>
      </c>
      <c r="AL106" s="96">
        <v>0.57999999999999996</v>
      </c>
      <c r="AM106" s="96">
        <v>0.56999999999999995</v>
      </c>
      <c r="AN106" s="16">
        <v>47</v>
      </c>
      <c r="AO106" s="16">
        <v>11</v>
      </c>
      <c r="AP106" s="96">
        <v>0.28999999999999998</v>
      </c>
      <c r="AQ106" s="96">
        <v>0.46</v>
      </c>
      <c r="AR106" s="96">
        <v>0.24</v>
      </c>
      <c r="AS106" s="96">
        <v>0.01</v>
      </c>
      <c r="AT106" s="96">
        <v>0.59</v>
      </c>
      <c r="AU106" s="96">
        <v>0.5</v>
      </c>
      <c r="AV106" s="96">
        <v>0.47</v>
      </c>
      <c r="AW106" s="96">
        <v>0.49</v>
      </c>
      <c r="AX106" s="96">
        <v>0.49</v>
      </c>
      <c r="AY106" s="96">
        <v>0.5</v>
      </c>
      <c r="AZ106" s="61">
        <v>47</v>
      </c>
      <c r="BA106" s="61">
        <v>9</v>
      </c>
      <c r="BB106" s="66">
        <v>0.24</v>
      </c>
      <c r="BC106" s="66">
        <v>0.56999999999999995</v>
      </c>
      <c r="BD106" s="66">
        <v>0.18</v>
      </c>
      <c r="BE106" s="66">
        <v>0.01</v>
      </c>
      <c r="BF106" s="66">
        <v>0.54</v>
      </c>
      <c r="BG106" s="66">
        <v>0.55000000000000004</v>
      </c>
      <c r="BH106" s="66">
        <v>0.51</v>
      </c>
      <c r="BI106" s="66">
        <v>0.61</v>
      </c>
      <c r="BJ106" s="66">
        <v>0.46</v>
      </c>
      <c r="BK106" s="66">
        <v>0.45</v>
      </c>
      <c r="BL106" s="349">
        <v>46</v>
      </c>
      <c r="BM106" s="348" t="s">
        <v>910</v>
      </c>
      <c r="BN106" s="349">
        <v>10</v>
      </c>
      <c r="BO106" s="348" t="s">
        <v>910</v>
      </c>
      <c r="BP106" s="371">
        <v>0.3</v>
      </c>
      <c r="BQ106" s="371">
        <v>0.5</v>
      </c>
      <c r="BR106" s="371">
        <v>0.19</v>
      </c>
      <c r="BS106" s="371">
        <v>0.01</v>
      </c>
      <c r="BT106" s="371">
        <v>0.48</v>
      </c>
      <c r="BU106" s="371">
        <v>0.53</v>
      </c>
      <c r="BV106" s="371">
        <v>0.65</v>
      </c>
      <c r="BW106" s="371">
        <v>0.47</v>
      </c>
      <c r="BX106" s="371">
        <v>0.52</v>
      </c>
      <c r="BY106" s="371">
        <v>0.57999999999999996</v>
      </c>
      <c r="BZ106" s="469">
        <v>49</v>
      </c>
      <c r="CA106" s="471" t="s">
        <v>910</v>
      </c>
      <c r="CB106" s="469">
        <v>10</v>
      </c>
      <c r="CC106" s="471" t="s">
        <v>910</v>
      </c>
      <c r="CD106" s="501">
        <v>0.22</v>
      </c>
      <c r="CE106" s="501">
        <v>0.51</v>
      </c>
      <c r="CF106" s="501">
        <v>0.26</v>
      </c>
      <c r="CG106" s="501">
        <v>0.01</v>
      </c>
      <c r="CH106" s="501">
        <v>0.52</v>
      </c>
      <c r="CI106" s="501">
        <v>0.43</v>
      </c>
      <c r="CJ106" s="501">
        <v>0.57999999999999996</v>
      </c>
      <c r="CK106" s="501">
        <v>0.53</v>
      </c>
      <c r="CL106" s="501">
        <v>0.44</v>
      </c>
      <c r="CM106" s="501">
        <v>0.57999999999999996</v>
      </c>
      <c r="CN106" s="630">
        <v>48</v>
      </c>
      <c r="CO106" s="640" t="s">
        <v>910</v>
      </c>
      <c r="CP106" s="630">
        <v>10</v>
      </c>
      <c r="CQ106" s="640" t="s">
        <v>910</v>
      </c>
      <c r="CR106" s="644">
        <v>0.25</v>
      </c>
      <c r="CS106" s="644">
        <v>0.56000000000000005</v>
      </c>
      <c r="CT106" s="644">
        <v>0.18</v>
      </c>
      <c r="CU106" s="644">
        <v>0.01</v>
      </c>
      <c r="CV106" s="644">
        <v>0.38</v>
      </c>
      <c r="CW106" s="644">
        <v>0.57999999999999996</v>
      </c>
      <c r="CX106" s="644">
        <v>0.61</v>
      </c>
      <c r="CY106" s="644">
        <v>0.56999999999999995</v>
      </c>
      <c r="CZ106" s="644">
        <v>0.6</v>
      </c>
      <c r="DA106" s="644">
        <v>0.57999999999999996</v>
      </c>
    </row>
    <row r="107" spans="1:105" ht="24.9" customHeight="1" x14ac:dyDescent="0.25">
      <c r="A107" s="188" t="s">
        <v>46</v>
      </c>
      <c r="B107" s="1" t="s">
        <v>222</v>
      </c>
      <c r="C107" s="2">
        <v>5</v>
      </c>
      <c r="D107" s="16">
        <v>55</v>
      </c>
      <c r="E107" s="16">
        <v>9</v>
      </c>
      <c r="F107" s="96">
        <v>0.08</v>
      </c>
      <c r="G107" s="96">
        <v>0.33</v>
      </c>
      <c r="H107" s="96">
        <v>0.57999999999999996</v>
      </c>
      <c r="I107" s="96">
        <v>0</v>
      </c>
      <c r="J107" s="96">
        <v>0.5</v>
      </c>
      <c r="K107" s="96">
        <v>0.44</v>
      </c>
      <c r="L107" s="96">
        <v>0.52</v>
      </c>
      <c r="M107" s="96">
        <v>0.35</v>
      </c>
      <c r="N107" s="96">
        <v>0.42</v>
      </c>
      <c r="O107" s="96">
        <v>0.45</v>
      </c>
      <c r="P107" s="36">
        <v>50</v>
      </c>
      <c r="Q107" s="36">
        <v>9</v>
      </c>
      <c r="R107" s="92">
        <v>0.12</v>
      </c>
      <c r="S107" s="92">
        <v>0.56000000000000005</v>
      </c>
      <c r="T107" s="92">
        <v>0.28999999999999998</v>
      </c>
      <c r="U107" s="92">
        <v>0.02</v>
      </c>
      <c r="V107" s="92">
        <v>0.43</v>
      </c>
      <c r="W107" s="92">
        <v>0.51</v>
      </c>
      <c r="X107" s="92">
        <v>0.63</v>
      </c>
      <c r="Y107" s="92">
        <v>0.43</v>
      </c>
      <c r="Z107" s="92">
        <v>0.42</v>
      </c>
      <c r="AA107" s="92">
        <v>0.55000000000000004</v>
      </c>
      <c r="AB107" s="16">
        <v>47</v>
      </c>
      <c r="AC107" s="16">
        <v>11</v>
      </c>
      <c r="AD107" s="96">
        <v>0.19</v>
      </c>
      <c r="AE107" s="96">
        <v>0.62</v>
      </c>
      <c r="AF107" s="96">
        <v>0.14000000000000001</v>
      </c>
      <c r="AG107" s="96">
        <v>0.05</v>
      </c>
      <c r="AH107" s="96">
        <v>0.45</v>
      </c>
      <c r="AI107" s="96">
        <v>0.55000000000000004</v>
      </c>
      <c r="AJ107" s="96">
        <v>0.46</v>
      </c>
      <c r="AK107" s="96">
        <v>0.53</v>
      </c>
      <c r="AL107" s="96">
        <v>0.55000000000000004</v>
      </c>
      <c r="AM107" s="96">
        <v>0.69</v>
      </c>
      <c r="AN107" s="16">
        <v>50</v>
      </c>
      <c r="AO107" s="16">
        <v>11</v>
      </c>
      <c r="AP107" s="96">
        <v>0.23</v>
      </c>
      <c r="AQ107" s="96">
        <v>0.46</v>
      </c>
      <c r="AR107" s="96">
        <v>0.31</v>
      </c>
      <c r="AS107" s="96">
        <v>0</v>
      </c>
      <c r="AT107" s="96">
        <v>0.5</v>
      </c>
      <c r="AU107" s="96">
        <v>0.47</v>
      </c>
      <c r="AV107" s="96">
        <v>0.42</v>
      </c>
      <c r="AW107" s="96">
        <v>0.44</v>
      </c>
      <c r="AX107" s="96">
        <v>0.45</v>
      </c>
      <c r="AY107" s="96">
        <v>0.41</v>
      </c>
      <c r="AZ107" s="61">
        <v>50</v>
      </c>
      <c r="BA107" s="61">
        <v>10</v>
      </c>
      <c r="BB107" s="66">
        <v>0.19</v>
      </c>
      <c r="BC107" s="66">
        <v>0.52</v>
      </c>
      <c r="BD107" s="66">
        <v>0.26</v>
      </c>
      <c r="BE107" s="66">
        <v>0.04</v>
      </c>
      <c r="BF107" s="66">
        <v>0.48</v>
      </c>
      <c r="BG107" s="66">
        <v>0.49</v>
      </c>
      <c r="BH107" s="66">
        <v>0.45</v>
      </c>
      <c r="BI107" s="66">
        <v>0.56999999999999995</v>
      </c>
      <c r="BJ107" s="66">
        <v>0.43</v>
      </c>
      <c r="BK107" s="66">
        <v>0.42</v>
      </c>
      <c r="BL107" s="349">
        <v>53</v>
      </c>
      <c r="BM107" s="348" t="s">
        <v>910</v>
      </c>
      <c r="BN107" s="349">
        <v>11</v>
      </c>
      <c r="BO107" s="348" t="s">
        <v>910</v>
      </c>
      <c r="BP107" s="371">
        <v>0.11</v>
      </c>
      <c r="BQ107" s="371">
        <v>0.44</v>
      </c>
      <c r="BR107" s="371">
        <v>0.39</v>
      </c>
      <c r="BS107" s="371">
        <v>0.06</v>
      </c>
      <c r="BT107" s="371">
        <v>0.37</v>
      </c>
      <c r="BU107" s="371">
        <v>0.46</v>
      </c>
      <c r="BV107" s="371">
        <v>0.39</v>
      </c>
      <c r="BW107" s="371">
        <v>0.36</v>
      </c>
      <c r="BX107" s="371">
        <v>0.44</v>
      </c>
      <c r="BY107" s="371">
        <v>0.49</v>
      </c>
    </row>
    <row r="108" spans="1:105" ht="24.9" customHeight="1" x14ac:dyDescent="0.25">
      <c r="A108" s="188" t="s">
        <v>61</v>
      </c>
      <c r="B108" s="1" t="s">
        <v>220</v>
      </c>
      <c r="C108" s="2">
        <v>6</v>
      </c>
      <c r="D108" s="16">
        <v>51</v>
      </c>
      <c r="E108" s="16">
        <v>8</v>
      </c>
      <c r="F108" s="96">
        <v>0.12</v>
      </c>
      <c r="G108" s="96">
        <v>0.56000000000000005</v>
      </c>
      <c r="H108" s="96">
        <v>0.32</v>
      </c>
      <c r="I108" s="96">
        <v>0</v>
      </c>
      <c r="J108" s="96">
        <v>0.54</v>
      </c>
      <c r="K108" s="96">
        <v>0.48</v>
      </c>
      <c r="L108" s="96">
        <v>0.6</v>
      </c>
      <c r="M108" s="96">
        <v>0.33</v>
      </c>
      <c r="N108" s="96">
        <v>0.43</v>
      </c>
      <c r="O108" s="96">
        <v>0.43</v>
      </c>
      <c r="P108" s="36">
        <v>50</v>
      </c>
      <c r="Q108" s="36">
        <v>9</v>
      </c>
      <c r="R108" s="92">
        <v>0.15</v>
      </c>
      <c r="S108" s="92">
        <v>0.56999999999999995</v>
      </c>
      <c r="T108" s="92">
        <v>0.28000000000000003</v>
      </c>
      <c r="U108" s="92">
        <v>0.01</v>
      </c>
      <c r="V108" s="92">
        <v>0.42</v>
      </c>
      <c r="W108" s="92">
        <v>0.51</v>
      </c>
      <c r="X108" s="92">
        <v>0.54</v>
      </c>
      <c r="Y108" s="92">
        <v>0.48</v>
      </c>
      <c r="Z108" s="92">
        <v>0.44</v>
      </c>
      <c r="AA108" s="92">
        <v>0.51</v>
      </c>
      <c r="AB108" s="16">
        <v>47</v>
      </c>
      <c r="AC108" s="16">
        <v>11</v>
      </c>
      <c r="AD108" s="96">
        <v>0.31</v>
      </c>
      <c r="AE108" s="96">
        <v>0.45</v>
      </c>
      <c r="AF108" s="96">
        <v>0.23</v>
      </c>
      <c r="AG108" s="96">
        <v>0.01</v>
      </c>
      <c r="AH108" s="96">
        <v>0.48</v>
      </c>
      <c r="AI108" s="96">
        <v>0.51</v>
      </c>
      <c r="AJ108" s="96">
        <v>0.45</v>
      </c>
      <c r="AK108" s="96">
        <v>0.54</v>
      </c>
      <c r="AL108" s="96">
        <v>0.62</v>
      </c>
      <c r="AM108" s="96">
        <v>0.55000000000000004</v>
      </c>
      <c r="AN108" s="16">
        <v>47</v>
      </c>
      <c r="AO108" s="16">
        <v>10</v>
      </c>
      <c r="AP108" s="96">
        <v>0.3</v>
      </c>
      <c r="AQ108" s="96">
        <v>0.54</v>
      </c>
      <c r="AR108" s="96">
        <v>0.15</v>
      </c>
      <c r="AS108" s="96">
        <v>0.01</v>
      </c>
      <c r="AT108" s="96">
        <v>0.59</v>
      </c>
      <c r="AU108" s="96">
        <v>0.5</v>
      </c>
      <c r="AV108" s="96">
        <v>0.49</v>
      </c>
      <c r="AW108" s="96">
        <v>0.5</v>
      </c>
      <c r="AX108" s="96">
        <v>0.48</v>
      </c>
      <c r="AY108" s="96">
        <v>0.52</v>
      </c>
      <c r="AZ108" s="61">
        <v>48</v>
      </c>
      <c r="BA108" s="61">
        <v>10</v>
      </c>
      <c r="BB108" s="66">
        <v>0.26</v>
      </c>
      <c r="BC108" s="66">
        <v>0.5</v>
      </c>
      <c r="BD108" s="66">
        <v>0.22</v>
      </c>
      <c r="BE108" s="66">
        <v>0.02</v>
      </c>
      <c r="BF108" s="66">
        <v>0.5</v>
      </c>
      <c r="BG108" s="66">
        <v>0.48</v>
      </c>
      <c r="BH108" s="66">
        <v>0.51</v>
      </c>
      <c r="BI108" s="66">
        <v>0.61</v>
      </c>
      <c r="BJ108" s="66">
        <v>0.45</v>
      </c>
      <c r="BK108" s="66">
        <v>0.45</v>
      </c>
      <c r="BL108" s="349">
        <v>48</v>
      </c>
      <c r="BM108" s="348" t="s">
        <v>910</v>
      </c>
      <c r="BN108" s="349">
        <v>11</v>
      </c>
      <c r="BO108" s="348" t="s">
        <v>910</v>
      </c>
      <c r="BP108" s="371">
        <v>0.27</v>
      </c>
      <c r="BQ108" s="371">
        <v>0.47</v>
      </c>
      <c r="BR108" s="371">
        <v>0.26</v>
      </c>
      <c r="BS108" s="371">
        <v>0.01</v>
      </c>
      <c r="BT108" s="371">
        <v>0.5</v>
      </c>
      <c r="BU108" s="371">
        <v>0.48</v>
      </c>
      <c r="BV108" s="371">
        <v>0.61</v>
      </c>
      <c r="BW108" s="371">
        <v>0.44</v>
      </c>
      <c r="BX108" s="371">
        <v>0.48</v>
      </c>
      <c r="BY108" s="371">
        <v>0.55000000000000004</v>
      </c>
      <c r="BZ108" s="469">
        <v>48</v>
      </c>
      <c r="CA108" s="471" t="s">
        <v>910</v>
      </c>
      <c r="CB108" s="469">
        <v>10</v>
      </c>
      <c r="CC108" s="471" t="s">
        <v>910</v>
      </c>
      <c r="CD108" s="501">
        <v>0.28999999999999998</v>
      </c>
      <c r="CE108" s="501">
        <v>0.45</v>
      </c>
      <c r="CF108" s="501">
        <v>0.26</v>
      </c>
      <c r="CG108" s="501">
        <v>0</v>
      </c>
      <c r="CH108" s="501">
        <v>0.44</v>
      </c>
      <c r="CI108" s="501">
        <v>0.4</v>
      </c>
      <c r="CJ108" s="501">
        <v>0.56999999999999995</v>
      </c>
      <c r="CK108" s="501">
        <v>0.56000000000000005</v>
      </c>
      <c r="CL108" s="501">
        <v>0.49</v>
      </c>
      <c r="CM108" s="501">
        <v>0.64</v>
      </c>
      <c r="CN108" s="630">
        <v>48</v>
      </c>
      <c r="CO108" s="640" t="s">
        <v>910</v>
      </c>
      <c r="CP108" s="630">
        <v>9</v>
      </c>
      <c r="CQ108" s="640" t="s">
        <v>910</v>
      </c>
      <c r="CR108" s="644">
        <v>0.25</v>
      </c>
      <c r="CS108" s="644">
        <v>0.55000000000000004</v>
      </c>
      <c r="CT108" s="644">
        <v>0.2</v>
      </c>
      <c r="CU108" s="644">
        <v>0</v>
      </c>
      <c r="CV108" s="644">
        <v>0.36</v>
      </c>
      <c r="CW108" s="644">
        <v>0.57999999999999996</v>
      </c>
      <c r="CX108" s="644">
        <v>0.59</v>
      </c>
      <c r="CY108" s="644">
        <v>0.65</v>
      </c>
      <c r="CZ108" s="644">
        <v>0.65</v>
      </c>
      <c r="DA108" s="644">
        <v>0.56999999999999995</v>
      </c>
    </row>
    <row r="109" spans="1:105" ht="24.9" customHeight="1" x14ac:dyDescent="0.25">
      <c r="A109" s="188" t="s">
        <v>21</v>
      </c>
      <c r="B109" s="1" t="s">
        <v>220</v>
      </c>
      <c r="C109" s="2">
        <v>5</v>
      </c>
      <c r="D109" s="16">
        <v>51</v>
      </c>
      <c r="E109" s="16">
        <v>8</v>
      </c>
      <c r="F109" s="96">
        <v>0.14000000000000001</v>
      </c>
      <c r="G109" s="96">
        <v>0.62</v>
      </c>
      <c r="H109" s="96">
        <v>0.23</v>
      </c>
      <c r="I109" s="96">
        <v>0.01</v>
      </c>
      <c r="J109" s="96">
        <v>0.55000000000000004</v>
      </c>
      <c r="K109" s="96">
        <v>0.48</v>
      </c>
      <c r="L109" s="96">
        <v>0.53</v>
      </c>
      <c r="M109" s="96">
        <v>0.39</v>
      </c>
      <c r="N109" s="96">
        <v>0.42</v>
      </c>
      <c r="O109" s="96">
        <v>0.54</v>
      </c>
      <c r="P109" s="36">
        <v>48</v>
      </c>
      <c r="Q109" s="36">
        <v>9</v>
      </c>
      <c r="R109" s="92">
        <v>0.18</v>
      </c>
      <c r="S109" s="92">
        <v>0.61</v>
      </c>
      <c r="T109" s="92">
        <v>0.2</v>
      </c>
      <c r="U109" s="92">
        <v>0.01</v>
      </c>
      <c r="V109" s="92">
        <v>0.46</v>
      </c>
      <c r="W109" s="92">
        <v>0.54</v>
      </c>
      <c r="X109" s="92">
        <v>0.55000000000000004</v>
      </c>
      <c r="Y109" s="92">
        <v>0.51</v>
      </c>
      <c r="Z109" s="92">
        <v>0.47</v>
      </c>
      <c r="AA109" s="92">
        <v>0.59</v>
      </c>
      <c r="AB109" s="16">
        <v>47</v>
      </c>
      <c r="AC109" s="16">
        <v>9</v>
      </c>
      <c r="AD109" s="96">
        <v>0.26</v>
      </c>
      <c r="AE109" s="96">
        <v>0.53</v>
      </c>
      <c r="AF109" s="96">
        <v>0.2</v>
      </c>
      <c r="AG109" s="96">
        <v>0</v>
      </c>
      <c r="AH109" s="96">
        <v>0.49</v>
      </c>
      <c r="AI109" s="96">
        <v>0.49</v>
      </c>
      <c r="AJ109" s="96">
        <v>0.45</v>
      </c>
      <c r="AK109" s="96">
        <v>0.54</v>
      </c>
      <c r="AL109" s="96">
        <v>0.57999999999999996</v>
      </c>
      <c r="AM109" s="96">
        <v>0.56000000000000005</v>
      </c>
      <c r="AN109" s="16">
        <v>47</v>
      </c>
      <c r="AO109" s="16">
        <v>10</v>
      </c>
      <c r="AP109" s="96">
        <v>0.28000000000000003</v>
      </c>
      <c r="AQ109" s="96">
        <v>0.54</v>
      </c>
      <c r="AR109" s="96">
        <v>0.17</v>
      </c>
      <c r="AS109" s="96">
        <v>0.01</v>
      </c>
      <c r="AT109" s="96">
        <v>0.54</v>
      </c>
      <c r="AU109" s="96">
        <v>0.49</v>
      </c>
      <c r="AV109" s="96">
        <v>0.48</v>
      </c>
      <c r="AW109" s="96">
        <v>0.5</v>
      </c>
      <c r="AX109" s="96">
        <v>0.49</v>
      </c>
      <c r="AY109" s="96">
        <v>0.5</v>
      </c>
      <c r="AZ109" s="61">
        <v>49</v>
      </c>
      <c r="BA109" s="61">
        <v>9</v>
      </c>
      <c r="BB109" s="66">
        <v>0.23</v>
      </c>
      <c r="BC109" s="66">
        <v>0.54</v>
      </c>
      <c r="BD109" s="66">
        <v>0.23</v>
      </c>
      <c r="BE109" s="66">
        <v>0.01</v>
      </c>
      <c r="BF109" s="66">
        <v>0.53</v>
      </c>
      <c r="BG109" s="66">
        <v>0.52</v>
      </c>
      <c r="BH109" s="66">
        <v>0.48</v>
      </c>
      <c r="BI109" s="66">
        <v>0.57999999999999996</v>
      </c>
      <c r="BJ109" s="66">
        <v>0.44</v>
      </c>
      <c r="BK109" s="66">
        <v>0.44</v>
      </c>
      <c r="BL109" s="349">
        <v>47</v>
      </c>
      <c r="BM109" s="348" t="s">
        <v>910</v>
      </c>
      <c r="BN109" s="349">
        <v>10</v>
      </c>
      <c r="BO109" s="348" t="s">
        <v>910</v>
      </c>
      <c r="BP109" s="371">
        <v>0.27</v>
      </c>
      <c r="BQ109" s="371">
        <v>0.51</v>
      </c>
      <c r="BR109" s="371">
        <v>0.21</v>
      </c>
      <c r="BS109" s="371">
        <v>0.01</v>
      </c>
      <c r="BT109" s="371">
        <v>0.49</v>
      </c>
      <c r="BU109" s="371">
        <v>0.51</v>
      </c>
      <c r="BV109" s="371">
        <v>0.67</v>
      </c>
      <c r="BW109" s="371">
        <v>0.46</v>
      </c>
      <c r="BX109" s="371">
        <v>0.51</v>
      </c>
      <c r="BY109" s="371">
        <v>0.56999999999999995</v>
      </c>
      <c r="BZ109" s="469">
        <v>50</v>
      </c>
      <c r="CA109" s="471" t="s">
        <v>910</v>
      </c>
      <c r="CB109" s="469">
        <v>10</v>
      </c>
      <c r="CC109" s="471" t="s">
        <v>910</v>
      </c>
      <c r="CD109" s="501">
        <v>0.2</v>
      </c>
      <c r="CE109" s="501">
        <v>0.48</v>
      </c>
      <c r="CF109" s="501">
        <v>0.3</v>
      </c>
      <c r="CG109" s="501">
        <v>0.02</v>
      </c>
      <c r="CH109" s="501">
        <v>0.45</v>
      </c>
      <c r="CI109" s="501">
        <v>0.38</v>
      </c>
      <c r="CJ109" s="501">
        <v>0.57999999999999996</v>
      </c>
      <c r="CK109" s="501">
        <v>0.55000000000000004</v>
      </c>
      <c r="CL109" s="501">
        <v>0.42</v>
      </c>
      <c r="CM109" s="501">
        <v>0.59</v>
      </c>
      <c r="CN109" s="630">
        <v>48</v>
      </c>
      <c r="CO109" s="640" t="s">
        <v>910</v>
      </c>
      <c r="CP109" s="630">
        <v>9</v>
      </c>
      <c r="CQ109" s="640" t="s">
        <v>910</v>
      </c>
      <c r="CR109" s="644">
        <v>0.2</v>
      </c>
      <c r="CS109" s="644">
        <v>0.56999999999999995</v>
      </c>
      <c r="CT109" s="644">
        <v>0.22</v>
      </c>
      <c r="CU109" s="644">
        <v>0.01</v>
      </c>
      <c r="CV109" s="644">
        <v>0.37</v>
      </c>
      <c r="CW109" s="644">
        <v>0.57999999999999996</v>
      </c>
      <c r="CX109" s="644">
        <v>0.56999999999999995</v>
      </c>
      <c r="CY109" s="644">
        <v>0.66</v>
      </c>
      <c r="CZ109" s="644">
        <v>0.62</v>
      </c>
      <c r="DA109" s="644">
        <v>0.61</v>
      </c>
    </row>
    <row r="110" spans="1:105" ht="24.9" customHeight="1" x14ac:dyDescent="0.25">
      <c r="A110" s="188" t="s">
        <v>124</v>
      </c>
      <c r="B110" s="1" t="s">
        <v>220</v>
      </c>
      <c r="C110" s="2">
        <v>4</v>
      </c>
      <c r="D110" s="16">
        <v>42</v>
      </c>
      <c r="E110" s="16">
        <v>8</v>
      </c>
      <c r="F110" s="96">
        <v>0.51</v>
      </c>
      <c r="G110" s="96">
        <v>0.43</v>
      </c>
      <c r="H110" s="96">
        <v>0.06</v>
      </c>
      <c r="I110" s="96">
        <v>0</v>
      </c>
      <c r="J110" s="96">
        <v>0.66</v>
      </c>
      <c r="K110" s="96">
        <v>0.61</v>
      </c>
      <c r="L110" s="96">
        <v>0.53</v>
      </c>
      <c r="M110" s="96">
        <v>0.56000000000000005</v>
      </c>
      <c r="N110" s="96">
        <v>0.54</v>
      </c>
      <c r="O110" s="96">
        <v>0.61</v>
      </c>
      <c r="P110" s="36">
        <v>44</v>
      </c>
      <c r="Q110" s="36">
        <v>8</v>
      </c>
      <c r="R110" s="92">
        <v>0.28999999999999998</v>
      </c>
      <c r="S110" s="92">
        <v>0.69</v>
      </c>
      <c r="T110" s="92">
        <v>0.02</v>
      </c>
      <c r="U110" s="92">
        <v>0</v>
      </c>
      <c r="V110" s="92">
        <v>0.57999999999999996</v>
      </c>
      <c r="W110" s="92">
        <v>0.55000000000000004</v>
      </c>
      <c r="X110" s="92">
        <v>0.59</v>
      </c>
      <c r="Y110" s="92">
        <v>0.55000000000000004</v>
      </c>
      <c r="Z110" s="92">
        <v>0.56000000000000005</v>
      </c>
      <c r="AA110" s="92">
        <v>0.64</v>
      </c>
      <c r="AB110" s="16">
        <v>42</v>
      </c>
      <c r="AC110" s="16">
        <v>10</v>
      </c>
      <c r="AD110" s="96">
        <v>0.43</v>
      </c>
      <c r="AE110" s="96">
        <v>0.47</v>
      </c>
      <c r="AF110" s="96">
        <v>0.11</v>
      </c>
      <c r="AG110" s="96">
        <v>0</v>
      </c>
      <c r="AH110" s="96">
        <v>0.55000000000000004</v>
      </c>
      <c r="AI110" s="96">
        <v>0.54</v>
      </c>
      <c r="AJ110" s="96">
        <v>0.54</v>
      </c>
      <c r="AK110" s="96">
        <v>0.65</v>
      </c>
      <c r="AL110" s="96">
        <v>0.7</v>
      </c>
      <c r="AM110" s="96">
        <v>0.65</v>
      </c>
      <c r="AN110" s="16">
        <v>41</v>
      </c>
      <c r="AO110" s="16">
        <v>11</v>
      </c>
      <c r="AP110" s="96">
        <v>0.56000000000000005</v>
      </c>
      <c r="AQ110" s="96">
        <v>0.32</v>
      </c>
      <c r="AR110" s="96">
        <v>0.12</v>
      </c>
      <c r="AS110" s="96">
        <v>0</v>
      </c>
      <c r="AT110" s="96">
        <v>0.6</v>
      </c>
      <c r="AU110" s="96">
        <v>0.62</v>
      </c>
      <c r="AV110" s="96">
        <v>0.61</v>
      </c>
      <c r="AW110" s="96">
        <v>0.6</v>
      </c>
      <c r="AX110" s="96">
        <v>0.62</v>
      </c>
      <c r="AY110" s="96">
        <v>0.56000000000000005</v>
      </c>
      <c r="AZ110" s="61">
        <v>43</v>
      </c>
      <c r="BA110" s="61">
        <v>9</v>
      </c>
      <c r="BB110" s="66">
        <v>0.39</v>
      </c>
      <c r="BC110" s="66">
        <v>0.5</v>
      </c>
      <c r="BD110" s="66">
        <v>0.11</v>
      </c>
      <c r="BE110" s="66">
        <v>0</v>
      </c>
      <c r="BF110" s="66">
        <v>0.6</v>
      </c>
      <c r="BG110" s="66">
        <v>0.57999999999999996</v>
      </c>
      <c r="BH110" s="66">
        <v>0.57999999999999996</v>
      </c>
      <c r="BI110" s="66">
        <v>0.65</v>
      </c>
      <c r="BJ110" s="66">
        <v>0.53</v>
      </c>
      <c r="BK110" s="66">
        <v>0.56000000000000005</v>
      </c>
      <c r="BL110" s="349">
        <v>43</v>
      </c>
      <c r="BM110" s="348" t="s">
        <v>910</v>
      </c>
      <c r="BN110" s="349">
        <v>9</v>
      </c>
      <c r="BO110" s="348" t="s">
        <v>910</v>
      </c>
      <c r="BP110" s="371">
        <v>0.44</v>
      </c>
      <c r="BQ110" s="371">
        <v>0.49</v>
      </c>
      <c r="BR110" s="371">
        <v>7.0000000000000007E-2</v>
      </c>
      <c r="BS110" s="371">
        <v>0</v>
      </c>
      <c r="BT110" s="371">
        <v>0.62</v>
      </c>
      <c r="BU110" s="371">
        <v>0.6</v>
      </c>
      <c r="BV110" s="371">
        <v>0.61</v>
      </c>
      <c r="BW110" s="371">
        <v>0.52</v>
      </c>
      <c r="BX110" s="371">
        <v>0.53</v>
      </c>
      <c r="BY110" s="371">
        <v>0.66</v>
      </c>
      <c r="BZ110" s="469">
        <v>44</v>
      </c>
      <c r="CA110" s="471" t="s">
        <v>910</v>
      </c>
      <c r="CB110" s="469">
        <v>12</v>
      </c>
      <c r="CC110" s="471" t="s">
        <v>910</v>
      </c>
      <c r="CD110" s="501">
        <v>0.45</v>
      </c>
      <c r="CE110" s="501">
        <v>0.4</v>
      </c>
      <c r="CF110" s="501">
        <v>0.13</v>
      </c>
      <c r="CG110" s="501">
        <v>0.02</v>
      </c>
      <c r="CH110" s="501">
        <v>0.54</v>
      </c>
      <c r="CI110" s="501">
        <v>0.53</v>
      </c>
      <c r="CJ110" s="501">
        <v>0.65</v>
      </c>
      <c r="CK110" s="501">
        <v>0.64</v>
      </c>
      <c r="CL110" s="501">
        <v>0.51</v>
      </c>
      <c r="CM110" s="501">
        <v>0.66</v>
      </c>
      <c r="CN110" s="630">
        <v>44</v>
      </c>
      <c r="CO110" s="640" t="s">
        <v>910</v>
      </c>
      <c r="CP110" s="630">
        <v>11</v>
      </c>
      <c r="CQ110" s="640" t="s">
        <v>910</v>
      </c>
      <c r="CR110" s="644">
        <v>0.44</v>
      </c>
      <c r="CS110" s="644">
        <v>0.39</v>
      </c>
      <c r="CT110" s="644">
        <v>0.18</v>
      </c>
      <c r="CU110" s="644">
        <v>0</v>
      </c>
      <c r="CV110" s="644">
        <v>0.47</v>
      </c>
      <c r="CW110" s="644">
        <v>0.66</v>
      </c>
      <c r="CX110" s="644">
        <v>0.68</v>
      </c>
      <c r="CY110" s="644">
        <v>0.6</v>
      </c>
      <c r="CZ110" s="644">
        <v>0.6</v>
      </c>
      <c r="DA110" s="644">
        <v>0.64</v>
      </c>
    </row>
    <row r="111" spans="1:105" ht="24.9" customHeight="1" x14ac:dyDescent="0.25">
      <c r="A111" s="188" t="s">
        <v>23</v>
      </c>
      <c r="B111" s="1" t="s">
        <v>220</v>
      </c>
      <c r="C111" s="2">
        <v>2</v>
      </c>
      <c r="D111" s="16">
        <v>53</v>
      </c>
      <c r="E111" s="16">
        <v>9</v>
      </c>
      <c r="F111" s="96">
        <v>0.11</v>
      </c>
      <c r="G111" s="96">
        <v>0.48</v>
      </c>
      <c r="H111" s="96">
        <v>0.39</v>
      </c>
      <c r="I111" s="96">
        <v>0.02</v>
      </c>
      <c r="J111" s="96">
        <v>0.5</v>
      </c>
      <c r="K111" s="96">
        <v>0.45</v>
      </c>
      <c r="L111" s="96">
        <v>0.56999999999999995</v>
      </c>
      <c r="M111" s="96">
        <v>0.45</v>
      </c>
      <c r="N111" s="96">
        <v>0.38</v>
      </c>
      <c r="O111" s="96">
        <v>0.52</v>
      </c>
      <c r="P111" s="36">
        <v>51</v>
      </c>
      <c r="Q111" s="36">
        <v>9</v>
      </c>
      <c r="R111" s="92">
        <v>0.13</v>
      </c>
      <c r="S111" s="92">
        <v>0.53</v>
      </c>
      <c r="T111" s="92">
        <v>0.33</v>
      </c>
      <c r="U111" s="92">
        <v>0.02</v>
      </c>
      <c r="V111" s="92">
        <v>0.42</v>
      </c>
      <c r="W111" s="92">
        <v>0.47</v>
      </c>
      <c r="X111" s="92">
        <v>0.55000000000000004</v>
      </c>
      <c r="Y111" s="92">
        <v>0.45</v>
      </c>
      <c r="Z111" s="92">
        <v>0.44</v>
      </c>
      <c r="AA111" s="92">
        <v>0.49</v>
      </c>
      <c r="AB111" s="16">
        <v>49</v>
      </c>
      <c r="AC111" s="16">
        <v>10</v>
      </c>
      <c r="AD111" s="96">
        <v>0.2</v>
      </c>
      <c r="AE111" s="96">
        <v>0.5</v>
      </c>
      <c r="AF111" s="96">
        <v>0.3</v>
      </c>
      <c r="AG111" s="96">
        <v>0</v>
      </c>
      <c r="AH111" s="96">
        <v>0.44</v>
      </c>
      <c r="AI111" s="96">
        <v>0.43</v>
      </c>
      <c r="AJ111" s="96">
        <v>0.42</v>
      </c>
      <c r="AK111" s="96">
        <v>0.51</v>
      </c>
      <c r="AL111" s="96">
        <v>0.54</v>
      </c>
      <c r="AM111" s="96">
        <v>0.53</v>
      </c>
      <c r="AN111" s="16">
        <v>48</v>
      </c>
      <c r="AO111" s="16">
        <v>10</v>
      </c>
      <c r="AP111" s="96">
        <v>0.27</v>
      </c>
      <c r="AQ111" s="96">
        <v>0.47</v>
      </c>
      <c r="AR111" s="96">
        <v>0.25</v>
      </c>
      <c r="AS111" s="96">
        <v>0.01</v>
      </c>
      <c r="AT111" s="96">
        <v>0.56999999999999995</v>
      </c>
      <c r="AU111" s="96">
        <v>0.45</v>
      </c>
      <c r="AV111" s="96">
        <v>0.48</v>
      </c>
      <c r="AW111" s="96">
        <v>0.48</v>
      </c>
      <c r="AX111" s="96">
        <v>0.49</v>
      </c>
      <c r="AY111" s="96">
        <v>0.47</v>
      </c>
      <c r="AZ111" s="61">
        <v>51</v>
      </c>
      <c r="BA111" s="61">
        <v>10</v>
      </c>
      <c r="BB111" s="66">
        <v>0.18</v>
      </c>
      <c r="BC111" s="66">
        <v>0.45</v>
      </c>
      <c r="BD111" s="66">
        <v>0.34</v>
      </c>
      <c r="BE111" s="66">
        <v>0.03</v>
      </c>
      <c r="BF111" s="66">
        <v>0.45</v>
      </c>
      <c r="BG111" s="66">
        <v>0.46</v>
      </c>
      <c r="BH111" s="66">
        <v>0.45</v>
      </c>
      <c r="BI111" s="66">
        <v>0.53</v>
      </c>
      <c r="BJ111" s="66">
        <v>0.4</v>
      </c>
      <c r="BK111" s="66">
        <v>0.39</v>
      </c>
      <c r="BL111" s="349">
        <v>49</v>
      </c>
      <c r="BM111" s="348" t="s">
        <v>910</v>
      </c>
      <c r="BN111" s="349">
        <v>10</v>
      </c>
      <c r="BO111" s="348" t="s">
        <v>910</v>
      </c>
      <c r="BP111" s="371">
        <v>0.24</v>
      </c>
      <c r="BQ111" s="371">
        <v>0.5</v>
      </c>
      <c r="BR111" s="371">
        <v>0.25</v>
      </c>
      <c r="BS111" s="371">
        <v>0.01</v>
      </c>
      <c r="BT111" s="371">
        <v>0.46</v>
      </c>
      <c r="BU111" s="371">
        <v>0.49</v>
      </c>
      <c r="BV111" s="371">
        <v>0.54</v>
      </c>
      <c r="BW111" s="371">
        <v>0.45</v>
      </c>
      <c r="BX111" s="371">
        <v>0.48</v>
      </c>
      <c r="BY111" s="371">
        <v>0.56000000000000005</v>
      </c>
      <c r="BZ111" s="469">
        <v>50</v>
      </c>
      <c r="CA111" s="471" t="s">
        <v>910</v>
      </c>
      <c r="CB111" s="469">
        <v>10</v>
      </c>
      <c r="CC111" s="471" t="s">
        <v>910</v>
      </c>
      <c r="CD111" s="501">
        <v>0.17</v>
      </c>
      <c r="CE111" s="501">
        <v>0.5</v>
      </c>
      <c r="CF111" s="501">
        <v>0.32</v>
      </c>
      <c r="CG111" s="501">
        <v>0.02</v>
      </c>
      <c r="CH111" s="501">
        <v>0.51</v>
      </c>
      <c r="CI111" s="501">
        <v>0.35</v>
      </c>
      <c r="CJ111" s="501">
        <v>0.56999999999999995</v>
      </c>
      <c r="CK111" s="501">
        <v>0.54</v>
      </c>
      <c r="CL111" s="501">
        <v>0.43</v>
      </c>
      <c r="CM111" s="501">
        <v>0.57999999999999996</v>
      </c>
      <c r="CN111" s="630">
        <v>50</v>
      </c>
      <c r="CO111" s="640" t="s">
        <v>910</v>
      </c>
      <c r="CP111" s="630">
        <v>10</v>
      </c>
      <c r="CQ111" s="640" t="s">
        <v>910</v>
      </c>
      <c r="CR111" s="644">
        <v>0.2</v>
      </c>
      <c r="CS111" s="644">
        <v>0.49</v>
      </c>
      <c r="CT111" s="644">
        <v>0.28999999999999998</v>
      </c>
      <c r="CU111" s="644">
        <v>0.02</v>
      </c>
      <c r="CV111" s="644">
        <v>0.36</v>
      </c>
      <c r="CW111" s="644">
        <v>0.55000000000000004</v>
      </c>
      <c r="CX111" s="644">
        <v>0.56999999999999995</v>
      </c>
      <c r="CY111" s="644">
        <v>0.63</v>
      </c>
      <c r="CZ111" s="644">
        <v>0.55000000000000004</v>
      </c>
      <c r="DA111" s="644">
        <v>0.63</v>
      </c>
    </row>
    <row r="112" spans="1:105" ht="24.9" customHeight="1" x14ac:dyDescent="0.25">
      <c r="A112" s="188" t="s">
        <v>224</v>
      </c>
      <c r="B112" s="1" t="s">
        <v>222</v>
      </c>
      <c r="C112" s="2">
        <v>1</v>
      </c>
      <c r="D112" s="16">
        <v>50</v>
      </c>
      <c r="E112" s="16">
        <v>8</v>
      </c>
      <c r="F112" s="96">
        <v>0.2</v>
      </c>
      <c r="G112" s="96">
        <v>0.56999999999999995</v>
      </c>
      <c r="H112" s="96">
        <v>0.24</v>
      </c>
      <c r="I112" s="96">
        <v>0</v>
      </c>
      <c r="J112" s="96">
        <v>0.61</v>
      </c>
      <c r="K112" s="96">
        <v>0.52</v>
      </c>
      <c r="L112" s="96">
        <v>0.65</v>
      </c>
      <c r="M112" s="96">
        <v>0.45</v>
      </c>
      <c r="N112" s="96">
        <v>0.46</v>
      </c>
      <c r="O112" s="96">
        <v>0.57999999999999996</v>
      </c>
      <c r="P112" s="36">
        <v>54</v>
      </c>
      <c r="Q112" s="36">
        <v>9</v>
      </c>
      <c r="R112" s="92">
        <v>0.05</v>
      </c>
      <c r="S112" s="92">
        <v>0.54</v>
      </c>
      <c r="T112" s="92">
        <v>0.38</v>
      </c>
      <c r="U112" s="92">
        <v>0.03</v>
      </c>
      <c r="V112" s="92">
        <v>0.35</v>
      </c>
      <c r="W112" s="92">
        <v>0.41</v>
      </c>
      <c r="X112" s="92">
        <v>0.53</v>
      </c>
      <c r="Y112" s="92">
        <v>0.43</v>
      </c>
      <c r="Z112" s="92">
        <v>0.42</v>
      </c>
      <c r="AA112" s="92">
        <v>0.54</v>
      </c>
      <c r="AB112" s="16">
        <v>51</v>
      </c>
      <c r="AC112" s="16">
        <v>10</v>
      </c>
      <c r="AD112" s="96">
        <v>0.18</v>
      </c>
      <c r="AE112" s="96">
        <v>0.5</v>
      </c>
      <c r="AF112" s="96">
        <v>0.32</v>
      </c>
      <c r="AG112" s="96">
        <v>0</v>
      </c>
      <c r="AH112" s="96">
        <v>0.44</v>
      </c>
      <c r="AI112" s="96">
        <v>0.45</v>
      </c>
      <c r="AJ112" s="96">
        <v>0.39</v>
      </c>
      <c r="AK112" s="96">
        <v>0.47</v>
      </c>
      <c r="AL112" s="96">
        <v>0.53</v>
      </c>
      <c r="AM112" s="96">
        <v>0.47</v>
      </c>
      <c r="AN112" s="16">
        <v>49</v>
      </c>
      <c r="AO112" s="16">
        <v>9</v>
      </c>
      <c r="AP112" s="96">
        <v>0.16</v>
      </c>
      <c r="AQ112" s="96">
        <v>0.56999999999999995</v>
      </c>
      <c r="AR112" s="96">
        <v>0.24</v>
      </c>
      <c r="AS112" s="96">
        <v>0.03</v>
      </c>
      <c r="AT112" s="96">
        <v>0.51</v>
      </c>
      <c r="AU112" s="96">
        <v>0.48</v>
      </c>
      <c r="AV112" s="96">
        <v>0.43</v>
      </c>
      <c r="AW112" s="96">
        <v>0.46</v>
      </c>
      <c r="AX112" s="96">
        <v>0.48</v>
      </c>
      <c r="AY112" s="96">
        <v>0.46</v>
      </c>
      <c r="AZ112" s="61">
        <v>53</v>
      </c>
      <c r="BA112" s="61">
        <v>10</v>
      </c>
      <c r="BB112" s="66">
        <v>0.13</v>
      </c>
      <c r="BC112" s="66">
        <v>0.42</v>
      </c>
      <c r="BD112" s="66">
        <v>0.44</v>
      </c>
      <c r="BE112" s="66">
        <v>0</v>
      </c>
      <c r="BF112" s="66">
        <v>0.4</v>
      </c>
      <c r="BG112" s="66">
        <v>0.44</v>
      </c>
      <c r="BH112" s="66">
        <v>0.43</v>
      </c>
      <c r="BI112" s="66">
        <v>0.56000000000000005</v>
      </c>
      <c r="BJ112" s="66">
        <v>0.34</v>
      </c>
      <c r="BK112" s="66">
        <v>0.39</v>
      </c>
      <c r="BL112" s="349">
        <v>52</v>
      </c>
      <c r="BM112" s="348" t="s">
        <v>910</v>
      </c>
      <c r="BN112" s="349">
        <v>9</v>
      </c>
      <c r="BO112" s="348" t="s">
        <v>910</v>
      </c>
      <c r="BP112" s="371">
        <v>0.14000000000000001</v>
      </c>
      <c r="BQ112" s="371">
        <v>0.47</v>
      </c>
      <c r="BR112" s="371">
        <v>0.4</v>
      </c>
      <c r="BS112" s="371">
        <v>0</v>
      </c>
      <c r="BT112" s="371">
        <v>0.41</v>
      </c>
      <c r="BU112" s="371">
        <v>0.42</v>
      </c>
      <c r="BV112" s="371">
        <v>0.56999999999999995</v>
      </c>
      <c r="BW112" s="371">
        <v>0.41</v>
      </c>
      <c r="BX112" s="371">
        <v>0.41</v>
      </c>
      <c r="BY112" s="371">
        <v>0.49</v>
      </c>
      <c r="BZ112" s="469">
        <v>50</v>
      </c>
      <c r="CA112" s="471" t="s">
        <v>910</v>
      </c>
      <c r="CB112" s="469">
        <v>11</v>
      </c>
      <c r="CC112" s="471" t="s">
        <v>910</v>
      </c>
      <c r="CD112" s="501">
        <v>0.19</v>
      </c>
      <c r="CE112" s="501">
        <v>0.51</v>
      </c>
      <c r="CF112" s="501">
        <v>0.26</v>
      </c>
      <c r="CG112" s="501">
        <v>0.03</v>
      </c>
      <c r="CH112" s="501">
        <v>0.47</v>
      </c>
      <c r="CI112" s="501">
        <v>0.37</v>
      </c>
      <c r="CJ112" s="501">
        <v>0.61</v>
      </c>
      <c r="CK112" s="501">
        <v>0.53</v>
      </c>
      <c r="CL112" s="501">
        <v>0.48</v>
      </c>
      <c r="CM112" s="501">
        <v>0.56999999999999995</v>
      </c>
      <c r="CN112" s="630">
        <v>53</v>
      </c>
      <c r="CO112" s="640" t="s">
        <v>910</v>
      </c>
      <c r="CP112" s="630">
        <v>11</v>
      </c>
      <c r="CQ112" s="640" t="s">
        <v>910</v>
      </c>
      <c r="CR112" s="644">
        <v>0.11</v>
      </c>
      <c r="CS112" s="644">
        <v>0.46</v>
      </c>
      <c r="CT112" s="644">
        <v>0.39</v>
      </c>
      <c r="CU112" s="644">
        <v>0.04</v>
      </c>
      <c r="CV112" s="644">
        <v>0.3</v>
      </c>
      <c r="CW112" s="644">
        <v>0.53</v>
      </c>
      <c r="CX112" s="644">
        <v>0.56000000000000005</v>
      </c>
      <c r="CY112" s="644">
        <v>0.68</v>
      </c>
      <c r="CZ112" s="644">
        <v>0.45</v>
      </c>
      <c r="DA112" s="644">
        <v>0.42</v>
      </c>
    </row>
    <row r="113" spans="1:105" ht="24.9" customHeight="1" x14ac:dyDescent="0.25">
      <c r="A113" s="188" t="s">
        <v>88</v>
      </c>
      <c r="B113" s="1" t="s">
        <v>220</v>
      </c>
      <c r="C113" s="2">
        <v>2</v>
      </c>
      <c r="D113" s="16">
        <v>51</v>
      </c>
      <c r="E113" s="16">
        <v>8</v>
      </c>
      <c r="F113" s="96">
        <v>0.11</v>
      </c>
      <c r="G113" s="96">
        <v>0.63</v>
      </c>
      <c r="H113" s="96">
        <v>0.27</v>
      </c>
      <c r="I113" s="96">
        <v>0</v>
      </c>
      <c r="J113" s="96">
        <v>0.55000000000000004</v>
      </c>
      <c r="K113" s="96">
        <v>0.51</v>
      </c>
      <c r="L113" s="96">
        <v>0.59</v>
      </c>
      <c r="M113" s="96">
        <v>0.43</v>
      </c>
      <c r="N113" s="96">
        <v>0.46</v>
      </c>
      <c r="O113" s="96">
        <v>0.52</v>
      </c>
      <c r="P113" s="36">
        <v>51</v>
      </c>
      <c r="Q113" s="36">
        <v>10</v>
      </c>
      <c r="R113" s="92">
        <v>0.14000000000000001</v>
      </c>
      <c r="S113" s="92">
        <v>0.52</v>
      </c>
      <c r="T113" s="92">
        <v>0.31</v>
      </c>
      <c r="U113" s="92">
        <v>0.03</v>
      </c>
      <c r="V113" s="92">
        <v>0.41</v>
      </c>
      <c r="W113" s="92">
        <v>0.49</v>
      </c>
      <c r="X113" s="92">
        <v>0.54</v>
      </c>
      <c r="Y113" s="92">
        <v>0.44</v>
      </c>
      <c r="Z113" s="92">
        <v>0.44</v>
      </c>
      <c r="AA113" s="92">
        <v>0.5</v>
      </c>
      <c r="AB113" s="16">
        <v>49</v>
      </c>
      <c r="AC113" s="16">
        <v>10</v>
      </c>
      <c r="AD113" s="96">
        <v>0.22</v>
      </c>
      <c r="AE113" s="96">
        <v>0.5</v>
      </c>
      <c r="AF113" s="96">
        <v>0.28000000000000003</v>
      </c>
      <c r="AG113" s="96">
        <v>0.01</v>
      </c>
      <c r="AH113" s="96">
        <v>0.45</v>
      </c>
      <c r="AI113" s="96">
        <v>0.44</v>
      </c>
      <c r="AJ113" s="96">
        <v>0.42</v>
      </c>
      <c r="AK113" s="96">
        <v>0.52</v>
      </c>
      <c r="AL113" s="96">
        <v>0.54</v>
      </c>
      <c r="AM113" s="96">
        <v>0.52</v>
      </c>
      <c r="AN113" s="16">
        <v>48</v>
      </c>
      <c r="AO113" s="16">
        <v>11</v>
      </c>
      <c r="AP113" s="96">
        <v>0.28999999999999998</v>
      </c>
      <c r="AQ113" s="96">
        <v>0.44</v>
      </c>
      <c r="AR113" s="96">
        <v>0.26</v>
      </c>
      <c r="AS113" s="96">
        <v>0.01</v>
      </c>
      <c r="AT113" s="96">
        <v>0.55000000000000004</v>
      </c>
      <c r="AU113" s="96">
        <v>0.47</v>
      </c>
      <c r="AV113" s="96">
        <v>0.48</v>
      </c>
      <c r="AW113" s="96">
        <v>0.47</v>
      </c>
      <c r="AX113" s="96">
        <v>0.5</v>
      </c>
      <c r="AY113" s="96">
        <v>0.49</v>
      </c>
      <c r="AZ113" s="61">
        <v>49</v>
      </c>
      <c r="BA113" s="61">
        <v>10</v>
      </c>
      <c r="BB113" s="66">
        <v>0.19</v>
      </c>
      <c r="BC113" s="66">
        <v>0.53</v>
      </c>
      <c r="BD113" s="66">
        <v>0.28000000000000003</v>
      </c>
      <c r="BE113" s="66">
        <v>0.01</v>
      </c>
      <c r="BF113" s="66">
        <v>0.51</v>
      </c>
      <c r="BG113" s="66">
        <v>0.47</v>
      </c>
      <c r="BH113" s="66">
        <v>0.48</v>
      </c>
      <c r="BI113" s="66">
        <v>0.54</v>
      </c>
      <c r="BJ113" s="66">
        <v>0.45</v>
      </c>
      <c r="BK113" s="66">
        <v>0.42</v>
      </c>
      <c r="BL113" s="349">
        <v>48</v>
      </c>
      <c r="BM113" s="348" t="s">
        <v>910</v>
      </c>
      <c r="BN113" s="349">
        <v>10</v>
      </c>
      <c r="BO113" s="348" t="s">
        <v>910</v>
      </c>
      <c r="BP113" s="371">
        <v>0.25</v>
      </c>
      <c r="BQ113" s="371">
        <v>0.51</v>
      </c>
      <c r="BR113" s="371">
        <v>0.24</v>
      </c>
      <c r="BS113" s="371">
        <v>0</v>
      </c>
      <c r="BT113" s="371">
        <v>0.5</v>
      </c>
      <c r="BU113" s="371">
        <v>0.51</v>
      </c>
      <c r="BV113" s="371">
        <v>0.56000000000000005</v>
      </c>
      <c r="BW113" s="371">
        <v>0.46</v>
      </c>
      <c r="BX113" s="371">
        <v>0.5</v>
      </c>
      <c r="BY113" s="371">
        <v>0.55000000000000004</v>
      </c>
      <c r="BZ113" s="469">
        <v>47</v>
      </c>
      <c r="CA113" s="471" t="s">
        <v>910</v>
      </c>
      <c r="CB113" s="469">
        <v>11</v>
      </c>
      <c r="CC113" s="471" t="s">
        <v>910</v>
      </c>
      <c r="CD113" s="501">
        <v>0.31</v>
      </c>
      <c r="CE113" s="501">
        <v>0.49</v>
      </c>
      <c r="CF113" s="501">
        <v>0.18</v>
      </c>
      <c r="CG113" s="501">
        <v>0.02</v>
      </c>
      <c r="CH113" s="501">
        <v>0.56999999999999995</v>
      </c>
      <c r="CI113" s="501">
        <v>0.5</v>
      </c>
      <c r="CJ113" s="501">
        <v>0.6</v>
      </c>
      <c r="CK113" s="501">
        <v>0.56999999999999995</v>
      </c>
      <c r="CL113" s="501">
        <v>0.45</v>
      </c>
      <c r="CM113" s="501">
        <v>0.6</v>
      </c>
      <c r="CN113" s="630">
        <v>49</v>
      </c>
      <c r="CO113" s="640" t="s">
        <v>910</v>
      </c>
      <c r="CP113" s="630">
        <v>9</v>
      </c>
      <c r="CQ113" s="640" t="s">
        <v>910</v>
      </c>
      <c r="CR113" s="644">
        <v>0.18</v>
      </c>
      <c r="CS113" s="644">
        <v>0.54</v>
      </c>
      <c r="CT113" s="644">
        <v>0.27</v>
      </c>
      <c r="CU113" s="644">
        <v>0.01</v>
      </c>
      <c r="CV113" s="644">
        <v>0.37</v>
      </c>
      <c r="CW113" s="644">
        <v>0.59</v>
      </c>
      <c r="CX113" s="644">
        <v>0.57999999999999996</v>
      </c>
      <c r="CY113" s="644">
        <v>0.6</v>
      </c>
      <c r="CZ113" s="644">
        <v>0.56999999999999995</v>
      </c>
      <c r="DA113" s="644">
        <v>0.57999999999999996</v>
      </c>
    </row>
    <row r="114" spans="1:105" ht="24.9" customHeight="1" x14ac:dyDescent="0.25">
      <c r="A114" s="188" t="s">
        <v>281</v>
      </c>
      <c r="B114" s="1" t="s">
        <v>220</v>
      </c>
      <c r="C114" s="2">
        <v>4</v>
      </c>
      <c r="D114" s="16">
        <v>52</v>
      </c>
      <c r="E114" s="16">
        <v>9</v>
      </c>
      <c r="F114" s="96">
        <v>0.14000000000000001</v>
      </c>
      <c r="G114" s="96">
        <v>0.5</v>
      </c>
      <c r="H114" s="96">
        <v>0.34</v>
      </c>
      <c r="I114" s="96">
        <v>0.02</v>
      </c>
      <c r="J114" s="96">
        <v>0.52</v>
      </c>
      <c r="K114" s="96">
        <v>0.47</v>
      </c>
      <c r="L114" s="96">
        <v>0.56999999999999995</v>
      </c>
      <c r="M114" s="96">
        <v>0.41</v>
      </c>
      <c r="N114" s="96">
        <v>0.4</v>
      </c>
      <c r="O114" s="96">
        <v>0.53</v>
      </c>
      <c r="P114" s="36">
        <v>53</v>
      </c>
      <c r="Q114" s="36">
        <v>11</v>
      </c>
      <c r="R114" s="92">
        <v>0.11</v>
      </c>
      <c r="S114" s="92">
        <v>0.47</v>
      </c>
      <c r="T114" s="92">
        <v>0.36</v>
      </c>
      <c r="U114" s="92">
        <v>0.05</v>
      </c>
      <c r="V114" s="92">
        <v>0.4</v>
      </c>
      <c r="W114" s="92">
        <v>0.45</v>
      </c>
      <c r="X114" s="92">
        <v>0.52</v>
      </c>
      <c r="Y114" s="92">
        <v>0.43</v>
      </c>
      <c r="Z114" s="92">
        <v>0.39</v>
      </c>
      <c r="AA114" s="92">
        <v>0.46</v>
      </c>
      <c r="AB114" s="16">
        <v>48</v>
      </c>
      <c r="AC114" s="16">
        <v>10</v>
      </c>
      <c r="AD114" s="96">
        <v>0.19</v>
      </c>
      <c r="AE114" s="96">
        <v>0.57999999999999996</v>
      </c>
      <c r="AF114" s="96">
        <v>0.22</v>
      </c>
      <c r="AG114" s="96">
        <v>0.01</v>
      </c>
      <c r="AH114" s="96">
        <v>0.46</v>
      </c>
      <c r="AI114" s="96">
        <v>0.44</v>
      </c>
      <c r="AJ114" s="96">
        <v>0.44</v>
      </c>
      <c r="AK114" s="96">
        <v>0.54</v>
      </c>
      <c r="AL114" s="96">
        <v>0.56999999999999995</v>
      </c>
      <c r="AM114" s="96">
        <v>0.55000000000000004</v>
      </c>
      <c r="AN114" s="16">
        <v>47</v>
      </c>
      <c r="AO114" s="16">
        <v>11</v>
      </c>
      <c r="AP114" s="96">
        <v>0.32</v>
      </c>
      <c r="AQ114" s="96">
        <v>0.43</v>
      </c>
      <c r="AR114" s="96">
        <v>0.25</v>
      </c>
      <c r="AS114" s="96">
        <v>0</v>
      </c>
      <c r="AT114" s="96">
        <v>0.59</v>
      </c>
      <c r="AU114" s="96">
        <v>0.5</v>
      </c>
      <c r="AV114" s="96">
        <v>0.47</v>
      </c>
      <c r="AW114" s="96">
        <v>0.47</v>
      </c>
      <c r="AX114" s="96">
        <v>0.51</v>
      </c>
      <c r="AY114" s="96">
        <v>0.5</v>
      </c>
      <c r="AZ114" s="61">
        <v>49</v>
      </c>
      <c r="BA114" s="61">
        <v>10</v>
      </c>
      <c r="BB114" s="66">
        <v>0.17</v>
      </c>
      <c r="BC114" s="66">
        <v>0.57999999999999996</v>
      </c>
      <c r="BD114" s="66">
        <v>0.25</v>
      </c>
      <c r="BE114" s="66">
        <v>0.01</v>
      </c>
      <c r="BF114" s="66">
        <v>0.54</v>
      </c>
      <c r="BG114" s="66">
        <v>0.5</v>
      </c>
      <c r="BH114" s="66">
        <v>0.5</v>
      </c>
      <c r="BI114" s="66">
        <v>0.61</v>
      </c>
      <c r="BJ114" s="66">
        <v>0.43</v>
      </c>
      <c r="BK114" s="66">
        <v>0.42</v>
      </c>
      <c r="BL114" s="349">
        <v>46</v>
      </c>
      <c r="BM114" s="348" t="s">
        <v>910</v>
      </c>
      <c r="BN114" s="349">
        <v>10</v>
      </c>
      <c r="BO114" s="348" t="s">
        <v>910</v>
      </c>
      <c r="BP114" s="371">
        <v>0.28999999999999998</v>
      </c>
      <c r="BQ114" s="371">
        <v>0.54</v>
      </c>
      <c r="BR114" s="371">
        <v>0.16</v>
      </c>
      <c r="BS114" s="371">
        <v>0.01</v>
      </c>
      <c r="BT114" s="371">
        <v>0.47</v>
      </c>
      <c r="BU114" s="371">
        <v>0.56000000000000005</v>
      </c>
      <c r="BV114" s="371">
        <v>0.63</v>
      </c>
      <c r="BW114" s="371">
        <v>0.48</v>
      </c>
      <c r="BX114" s="371">
        <v>0.52</v>
      </c>
      <c r="BY114" s="371">
        <v>0.6</v>
      </c>
      <c r="BZ114" s="469">
        <v>46</v>
      </c>
      <c r="CA114" s="471" t="s">
        <v>910</v>
      </c>
      <c r="CB114" s="469">
        <v>9</v>
      </c>
      <c r="CC114" s="471" t="s">
        <v>910</v>
      </c>
      <c r="CD114" s="501">
        <v>0.3</v>
      </c>
      <c r="CE114" s="501">
        <v>0.54</v>
      </c>
      <c r="CF114" s="501">
        <v>0.16</v>
      </c>
      <c r="CG114" s="501">
        <v>0</v>
      </c>
      <c r="CH114" s="501">
        <v>0.52</v>
      </c>
      <c r="CI114" s="501">
        <v>0.42</v>
      </c>
      <c r="CJ114" s="501">
        <v>0.64</v>
      </c>
      <c r="CK114" s="501">
        <v>0.59</v>
      </c>
      <c r="CL114" s="501">
        <v>0.47</v>
      </c>
      <c r="CM114" s="501">
        <v>0.64</v>
      </c>
      <c r="CN114" s="630">
        <v>48</v>
      </c>
      <c r="CO114" s="640" t="s">
        <v>910</v>
      </c>
      <c r="CP114" s="630">
        <v>10</v>
      </c>
      <c r="CQ114" s="640" t="s">
        <v>910</v>
      </c>
      <c r="CR114" s="644">
        <v>0.27</v>
      </c>
      <c r="CS114" s="644">
        <v>0.48</v>
      </c>
      <c r="CT114" s="644">
        <v>0.25</v>
      </c>
      <c r="CU114" s="644">
        <v>0.01</v>
      </c>
      <c r="CV114" s="644">
        <v>0.39</v>
      </c>
      <c r="CW114" s="644">
        <v>0.61</v>
      </c>
      <c r="CX114" s="644">
        <v>0.6</v>
      </c>
      <c r="CY114" s="644">
        <v>0.68</v>
      </c>
      <c r="CZ114" s="644">
        <v>0.6</v>
      </c>
      <c r="DA114" s="644">
        <v>0.62</v>
      </c>
    </row>
    <row r="115" spans="1:105" ht="24.9" customHeight="1" x14ac:dyDescent="0.25">
      <c r="A115" s="189" t="s">
        <v>292</v>
      </c>
      <c r="B115" s="1" t="s">
        <v>222</v>
      </c>
      <c r="C115" s="2">
        <v>1</v>
      </c>
      <c r="D115" s="16">
        <v>47</v>
      </c>
      <c r="E115" s="16">
        <v>9</v>
      </c>
      <c r="F115" s="96">
        <v>0.33</v>
      </c>
      <c r="G115" s="96">
        <v>0.52</v>
      </c>
      <c r="H115" s="96">
        <v>0.14000000000000001</v>
      </c>
      <c r="I115" s="96">
        <v>0</v>
      </c>
      <c r="J115" s="96">
        <v>0.56999999999999995</v>
      </c>
      <c r="K115" s="96">
        <v>0.62</v>
      </c>
      <c r="L115" s="96">
        <v>0.6</v>
      </c>
      <c r="M115" s="96">
        <v>0.44</v>
      </c>
      <c r="N115" s="96">
        <v>0.55000000000000004</v>
      </c>
      <c r="O115" s="96">
        <v>0.56999999999999995</v>
      </c>
      <c r="P115" s="36">
        <v>46</v>
      </c>
      <c r="Q115" s="36">
        <v>12</v>
      </c>
      <c r="R115" s="92">
        <v>0.53</v>
      </c>
      <c r="S115" s="92">
        <v>0.18</v>
      </c>
      <c r="T115" s="92">
        <v>0.24</v>
      </c>
      <c r="U115" s="92">
        <v>0.06</v>
      </c>
      <c r="V115" s="92">
        <v>0.54</v>
      </c>
      <c r="W115" s="92">
        <v>0.49</v>
      </c>
      <c r="X115" s="92">
        <v>0.67</v>
      </c>
      <c r="Y115" s="92">
        <v>0.5</v>
      </c>
      <c r="Z115" s="92">
        <v>0.52</v>
      </c>
      <c r="AA115" s="92">
        <v>0.57999999999999996</v>
      </c>
      <c r="AB115" s="16">
        <v>44</v>
      </c>
      <c r="AC115" s="16">
        <v>9</v>
      </c>
      <c r="AD115" s="96">
        <v>0.5</v>
      </c>
      <c r="AE115" s="96">
        <v>0.28999999999999998</v>
      </c>
      <c r="AF115" s="96">
        <v>0.21</v>
      </c>
      <c r="AG115" s="96">
        <v>0</v>
      </c>
      <c r="AH115" s="96">
        <v>0.51</v>
      </c>
      <c r="AI115" s="96">
        <v>0.52</v>
      </c>
      <c r="AJ115" s="96">
        <v>0.54</v>
      </c>
      <c r="AK115" s="96">
        <v>0.61</v>
      </c>
      <c r="AL115" s="96">
        <v>0.67</v>
      </c>
      <c r="AM115" s="96">
        <v>0.56999999999999995</v>
      </c>
      <c r="AN115" s="16">
        <v>44</v>
      </c>
      <c r="AO115" s="16">
        <v>10</v>
      </c>
      <c r="AP115" s="96">
        <v>0.43</v>
      </c>
      <c r="AQ115" s="96">
        <v>0.43</v>
      </c>
      <c r="AR115" s="96">
        <v>0.13</v>
      </c>
      <c r="AS115" s="96">
        <v>0</v>
      </c>
      <c r="AT115" s="96">
        <v>0.53</v>
      </c>
      <c r="AU115" s="96">
        <v>0.49</v>
      </c>
      <c r="AV115" s="96">
        <v>0.57999999999999996</v>
      </c>
      <c r="AW115" s="96">
        <v>0.51</v>
      </c>
      <c r="AX115" s="96">
        <v>0.54</v>
      </c>
      <c r="AY115" s="96">
        <v>0.52</v>
      </c>
      <c r="AZ115" s="61">
        <v>51</v>
      </c>
      <c r="BA115" s="61">
        <v>9</v>
      </c>
      <c r="BB115" s="66">
        <v>0.15</v>
      </c>
      <c r="BC115" s="66">
        <v>0.5</v>
      </c>
      <c r="BD115" s="66">
        <v>0.35</v>
      </c>
      <c r="BE115" s="66">
        <v>0</v>
      </c>
      <c r="BF115" s="66">
        <v>0.56000000000000005</v>
      </c>
      <c r="BG115" s="66">
        <v>0.4</v>
      </c>
      <c r="BH115" s="66">
        <v>0.43</v>
      </c>
      <c r="BI115" s="66">
        <v>0.57999999999999996</v>
      </c>
      <c r="BJ115" s="66">
        <v>0.45</v>
      </c>
      <c r="BK115" s="66">
        <v>0.39</v>
      </c>
      <c r="BL115" s="349">
        <v>49</v>
      </c>
      <c r="BM115" s="348" t="s">
        <v>910</v>
      </c>
      <c r="BN115" s="349">
        <v>11</v>
      </c>
      <c r="BO115" s="348" t="s">
        <v>910</v>
      </c>
      <c r="BP115" s="371">
        <v>0.28999999999999998</v>
      </c>
      <c r="BQ115" s="371">
        <v>0.38</v>
      </c>
      <c r="BR115" s="371">
        <v>0.33</v>
      </c>
      <c r="BS115" s="371">
        <v>0</v>
      </c>
      <c r="BT115" s="371">
        <v>0.45</v>
      </c>
      <c r="BU115" s="371">
        <v>0.46</v>
      </c>
      <c r="BV115" s="371">
        <v>0.53</v>
      </c>
      <c r="BW115" s="371">
        <v>0.44</v>
      </c>
      <c r="BX115" s="371">
        <v>0.48</v>
      </c>
      <c r="BY115" s="371">
        <v>0.53</v>
      </c>
      <c r="BZ115" s="469">
        <v>49</v>
      </c>
      <c r="CA115" s="471" t="s">
        <v>910</v>
      </c>
      <c r="CB115" s="469">
        <v>11</v>
      </c>
      <c r="CC115" s="471" t="s">
        <v>910</v>
      </c>
      <c r="CD115" s="501">
        <v>0.24</v>
      </c>
      <c r="CE115" s="501">
        <v>0.38</v>
      </c>
      <c r="CF115" s="501">
        <v>0.38</v>
      </c>
      <c r="CG115" s="501">
        <v>0</v>
      </c>
      <c r="CH115" s="501">
        <v>0.68</v>
      </c>
      <c r="CI115" s="501">
        <v>0.62</v>
      </c>
      <c r="CJ115" s="501">
        <v>0.62</v>
      </c>
      <c r="CK115" s="501">
        <v>0.5</v>
      </c>
      <c r="CL115" s="501">
        <v>0.4</v>
      </c>
      <c r="CM115" s="501">
        <v>0.6</v>
      </c>
      <c r="CN115" s="630">
        <v>51</v>
      </c>
      <c r="CO115" s="640" t="s">
        <v>910</v>
      </c>
      <c r="CP115" s="630">
        <v>9</v>
      </c>
      <c r="CQ115" s="640" t="s">
        <v>910</v>
      </c>
      <c r="CR115" s="644">
        <v>0.2</v>
      </c>
      <c r="CS115" s="644">
        <v>0.44</v>
      </c>
      <c r="CT115" s="644">
        <v>0.36</v>
      </c>
      <c r="CU115" s="644">
        <v>0</v>
      </c>
      <c r="CV115" s="644">
        <v>0.28999999999999998</v>
      </c>
      <c r="CW115" s="644">
        <v>0.56000000000000005</v>
      </c>
      <c r="CX115" s="644">
        <v>0.54</v>
      </c>
      <c r="CY115" s="644">
        <v>0.33</v>
      </c>
      <c r="CZ115" s="644">
        <v>0.6</v>
      </c>
      <c r="DA115" s="644">
        <v>0.65</v>
      </c>
    </row>
    <row r="116" spans="1:105" ht="24.9" customHeight="1" x14ac:dyDescent="0.25">
      <c r="A116" s="188" t="s">
        <v>173</v>
      </c>
      <c r="B116" s="1" t="s">
        <v>220</v>
      </c>
      <c r="C116" s="2">
        <v>3</v>
      </c>
      <c r="D116" s="16">
        <v>50</v>
      </c>
      <c r="E116" s="16">
        <v>9</v>
      </c>
      <c r="F116" s="96">
        <v>0.18</v>
      </c>
      <c r="G116" s="96">
        <v>0.55000000000000004</v>
      </c>
      <c r="H116" s="96">
        <v>0.25</v>
      </c>
      <c r="I116" s="96">
        <v>0.02</v>
      </c>
      <c r="J116" s="96">
        <v>0.56000000000000005</v>
      </c>
      <c r="K116" s="96">
        <v>0.51</v>
      </c>
      <c r="L116" s="96">
        <v>0.65</v>
      </c>
      <c r="M116" s="96">
        <v>0.47</v>
      </c>
      <c r="N116" s="96">
        <v>0.45</v>
      </c>
      <c r="O116" s="96">
        <v>0.54</v>
      </c>
      <c r="P116" s="36">
        <v>50</v>
      </c>
      <c r="Q116" s="36">
        <v>9</v>
      </c>
      <c r="R116" s="92">
        <v>0.18</v>
      </c>
      <c r="S116" s="92">
        <v>0.55000000000000004</v>
      </c>
      <c r="T116" s="92">
        <v>0.27</v>
      </c>
      <c r="U116" s="92">
        <v>0</v>
      </c>
      <c r="V116" s="92">
        <v>0.46</v>
      </c>
      <c r="W116" s="92">
        <v>0.5</v>
      </c>
      <c r="X116" s="92">
        <v>0.59</v>
      </c>
      <c r="Y116" s="92">
        <v>0.48</v>
      </c>
      <c r="Z116" s="92">
        <v>0.45</v>
      </c>
      <c r="AA116" s="92">
        <v>0.52</v>
      </c>
      <c r="AB116" s="16">
        <v>50</v>
      </c>
      <c r="AC116" s="16">
        <v>10</v>
      </c>
      <c r="AD116" s="96">
        <v>0.2</v>
      </c>
      <c r="AE116" s="96">
        <v>0.51</v>
      </c>
      <c r="AF116" s="96">
        <v>0.28000000000000003</v>
      </c>
      <c r="AG116" s="96">
        <v>0.01</v>
      </c>
      <c r="AH116" s="96">
        <v>0.44</v>
      </c>
      <c r="AI116" s="96">
        <v>0.42</v>
      </c>
      <c r="AJ116" s="96">
        <v>0.42</v>
      </c>
      <c r="AK116" s="96">
        <v>0.51</v>
      </c>
      <c r="AL116" s="96">
        <v>0.55000000000000004</v>
      </c>
      <c r="AM116" s="96">
        <v>0.52</v>
      </c>
      <c r="AN116" s="16">
        <v>47</v>
      </c>
      <c r="AO116" s="16">
        <v>10</v>
      </c>
      <c r="AP116" s="96">
        <v>0.3</v>
      </c>
      <c r="AQ116" s="96">
        <v>0.49</v>
      </c>
      <c r="AR116" s="96">
        <v>0.2</v>
      </c>
      <c r="AS116" s="96">
        <v>0.01</v>
      </c>
      <c r="AT116" s="96">
        <v>0.56000000000000005</v>
      </c>
      <c r="AU116" s="96">
        <v>0.51</v>
      </c>
      <c r="AV116" s="96">
        <v>0.48</v>
      </c>
      <c r="AW116" s="96">
        <v>0.49</v>
      </c>
      <c r="AX116" s="96">
        <v>0.51</v>
      </c>
      <c r="AY116" s="96">
        <v>0.5</v>
      </c>
      <c r="AZ116" s="61">
        <v>47</v>
      </c>
      <c r="BA116" s="61">
        <v>10</v>
      </c>
      <c r="BB116" s="66">
        <v>0.26</v>
      </c>
      <c r="BC116" s="66">
        <v>0.5</v>
      </c>
      <c r="BD116" s="66">
        <v>0.24</v>
      </c>
      <c r="BE116" s="66">
        <v>0</v>
      </c>
      <c r="BF116" s="66">
        <v>0.56999999999999995</v>
      </c>
      <c r="BG116" s="66">
        <v>0.51</v>
      </c>
      <c r="BH116" s="66">
        <v>0.52</v>
      </c>
      <c r="BI116" s="66">
        <v>0.61</v>
      </c>
      <c r="BJ116" s="66">
        <v>0.5</v>
      </c>
      <c r="BK116" s="66">
        <v>0.45</v>
      </c>
      <c r="BL116" s="349">
        <v>47</v>
      </c>
      <c r="BM116" s="348" t="s">
        <v>910</v>
      </c>
      <c r="BN116" s="349">
        <v>10</v>
      </c>
      <c r="BO116" s="348" t="s">
        <v>910</v>
      </c>
      <c r="BP116" s="371">
        <v>0.28000000000000003</v>
      </c>
      <c r="BQ116" s="371">
        <v>0.5</v>
      </c>
      <c r="BR116" s="371">
        <v>0.22</v>
      </c>
      <c r="BS116" s="371">
        <v>0</v>
      </c>
      <c r="BT116" s="371">
        <v>0.48</v>
      </c>
      <c r="BU116" s="371">
        <v>0.53</v>
      </c>
      <c r="BV116" s="371">
        <v>0.56999999999999995</v>
      </c>
      <c r="BW116" s="371">
        <v>0.45</v>
      </c>
      <c r="BX116" s="371">
        <v>0.48</v>
      </c>
      <c r="BY116" s="371">
        <v>0.6</v>
      </c>
      <c r="BZ116" s="469">
        <v>48</v>
      </c>
      <c r="CA116" s="471" t="s">
        <v>910</v>
      </c>
      <c r="CB116" s="469">
        <v>10</v>
      </c>
      <c r="CC116" s="471" t="s">
        <v>910</v>
      </c>
      <c r="CD116" s="501">
        <v>0.23</v>
      </c>
      <c r="CE116" s="501">
        <v>0.53</v>
      </c>
      <c r="CF116" s="501">
        <v>0.23</v>
      </c>
      <c r="CG116" s="501">
        <v>0.01</v>
      </c>
      <c r="CH116" s="501">
        <v>0.49</v>
      </c>
      <c r="CI116" s="501">
        <v>0.47</v>
      </c>
      <c r="CJ116" s="501">
        <v>0.63</v>
      </c>
      <c r="CK116" s="501">
        <v>0.55000000000000004</v>
      </c>
      <c r="CL116" s="501">
        <v>0.44</v>
      </c>
      <c r="CM116" s="501">
        <v>0.61</v>
      </c>
      <c r="CN116" s="630">
        <v>48</v>
      </c>
      <c r="CO116" s="640" t="s">
        <v>910</v>
      </c>
      <c r="CP116" s="630">
        <v>9</v>
      </c>
      <c r="CQ116" s="640" t="s">
        <v>910</v>
      </c>
      <c r="CR116" s="644">
        <v>0.24</v>
      </c>
      <c r="CS116" s="644">
        <v>0.54</v>
      </c>
      <c r="CT116" s="644">
        <v>0.21</v>
      </c>
      <c r="CU116" s="644">
        <v>0</v>
      </c>
      <c r="CV116" s="644">
        <v>0.37</v>
      </c>
      <c r="CW116" s="644">
        <v>0.6</v>
      </c>
      <c r="CX116" s="644">
        <v>0.59</v>
      </c>
      <c r="CY116" s="644">
        <v>0.65</v>
      </c>
      <c r="CZ116" s="644">
        <v>0.55000000000000004</v>
      </c>
      <c r="DA116" s="644">
        <v>0.59</v>
      </c>
    </row>
    <row r="117" spans="1:105" ht="24.9" customHeight="1" x14ac:dyDescent="0.25">
      <c r="A117" s="188" t="s">
        <v>33</v>
      </c>
      <c r="B117" s="1" t="s">
        <v>220</v>
      </c>
      <c r="C117" s="2">
        <v>6</v>
      </c>
      <c r="D117" s="16">
        <v>51</v>
      </c>
      <c r="E117" s="16">
        <v>9</v>
      </c>
      <c r="F117" s="96">
        <v>0.13</v>
      </c>
      <c r="G117" s="96">
        <v>0.56999999999999995</v>
      </c>
      <c r="H117" s="96">
        <v>0.28999999999999998</v>
      </c>
      <c r="I117" s="96">
        <v>0.01</v>
      </c>
      <c r="J117" s="96">
        <v>0.56999999999999995</v>
      </c>
      <c r="K117" s="96">
        <v>0.48</v>
      </c>
      <c r="L117" s="96">
        <v>0.68</v>
      </c>
      <c r="M117" s="96">
        <v>0.45</v>
      </c>
      <c r="N117" s="96">
        <v>0.42</v>
      </c>
      <c r="O117" s="96">
        <v>0.47</v>
      </c>
      <c r="P117" s="36">
        <v>51</v>
      </c>
      <c r="Q117" s="36">
        <v>10</v>
      </c>
      <c r="R117" s="92">
        <v>0.14000000000000001</v>
      </c>
      <c r="S117" s="92">
        <v>0.47</v>
      </c>
      <c r="T117" s="92">
        <v>0.36</v>
      </c>
      <c r="U117" s="92">
        <v>0.03</v>
      </c>
      <c r="V117" s="92">
        <v>0.42</v>
      </c>
      <c r="W117" s="92">
        <v>0.47</v>
      </c>
      <c r="X117" s="92">
        <v>0.55000000000000004</v>
      </c>
      <c r="Y117" s="92">
        <v>0.45</v>
      </c>
      <c r="Z117" s="92">
        <v>0.41</v>
      </c>
      <c r="AA117" s="92">
        <v>0.51</v>
      </c>
      <c r="AB117" s="16">
        <v>50</v>
      </c>
      <c r="AC117" s="16">
        <v>11</v>
      </c>
      <c r="AD117" s="96">
        <v>0.21</v>
      </c>
      <c r="AE117" s="96">
        <v>0.49</v>
      </c>
      <c r="AF117" s="96">
        <v>0.28000000000000003</v>
      </c>
      <c r="AG117" s="96">
        <v>0.03</v>
      </c>
      <c r="AH117" s="96">
        <v>0.42</v>
      </c>
      <c r="AI117" s="96">
        <v>0.41</v>
      </c>
      <c r="AJ117" s="96">
        <v>0.4</v>
      </c>
      <c r="AK117" s="96">
        <v>0.49</v>
      </c>
      <c r="AL117" s="96">
        <v>0.51</v>
      </c>
      <c r="AM117" s="96">
        <v>0.5</v>
      </c>
      <c r="AN117" s="16">
        <v>46</v>
      </c>
      <c r="AO117" s="16">
        <v>11</v>
      </c>
      <c r="AP117" s="96">
        <v>0.3</v>
      </c>
      <c r="AQ117" s="96">
        <v>0.5</v>
      </c>
      <c r="AR117" s="96">
        <v>0.18</v>
      </c>
      <c r="AS117" s="96">
        <v>0.02</v>
      </c>
      <c r="AT117" s="96">
        <v>0.56000000000000005</v>
      </c>
      <c r="AU117" s="96">
        <v>0.53</v>
      </c>
      <c r="AV117" s="96">
        <v>0.48</v>
      </c>
      <c r="AW117" s="96">
        <v>0.5</v>
      </c>
      <c r="AX117" s="96">
        <v>0.51</v>
      </c>
      <c r="AY117" s="96">
        <v>0.52</v>
      </c>
      <c r="AZ117" s="61">
        <v>50</v>
      </c>
      <c r="BA117" s="61">
        <v>10</v>
      </c>
      <c r="BB117" s="66">
        <v>0.2</v>
      </c>
      <c r="BC117" s="66">
        <v>0.46</v>
      </c>
      <c r="BD117" s="66">
        <v>0.32</v>
      </c>
      <c r="BE117" s="66">
        <v>0.02</v>
      </c>
      <c r="BF117" s="66">
        <v>0.51</v>
      </c>
      <c r="BG117" s="66">
        <v>0.49</v>
      </c>
      <c r="BH117" s="66">
        <v>0.48</v>
      </c>
      <c r="BI117" s="66">
        <v>0.53</v>
      </c>
      <c r="BJ117" s="66">
        <v>0.42</v>
      </c>
      <c r="BK117" s="66">
        <v>0.42</v>
      </c>
      <c r="BL117" s="349">
        <v>46</v>
      </c>
      <c r="BM117" s="348" t="s">
        <v>910</v>
      </c>
      <c r="BN117" s="349">
        <v>10</v>
      </c>
      <c r="BO117" s="348" t="s">
        <v>910</v>
      </c>
      <c r="BP117" s="371">
        <v>0.28999999999999998</v>
      </c>
      <c r="BQ117" s="371">
        <v>0.55000000000000004</v>
      </c>
      <c r="BR117" s="371">
        <v>0.16</v>
      </c>
      <c r="BS117" s="371">
        <v>0.01</v>
      </c>
      <c r="BT117" s="371">
        <v>0.5</v>
      </c>
      <c r="BU117" s="371">
        <v>0.54</v>
      </c>
      <c r="BV117" s="371">
        <v>0.64</v>
      </c>
      <c r="BW117" s="371">
        <v>0.47</v>
      </c>
      <c r="BX117" s="371">
        <v>0.52</v>
      </c>
      <c r="BY117" s="371">
        <v>0.56999999999999995</v>
      </c>
      <c r="BZ117" s="469">
        <v>47</v>
      </c>
      <c r="CA117" s="471" t="s">
        <v>910</v>
      </c>
      <c r="CB117" s="469">
        <v>10</v>
      </c>
      <c r="CC117" s="471" t="s">
        <v>910</v>
      </c>
      <c r="CD117" s="501">
        <v>0.28999999999999998</v>
      </c>
      <c r="CE117" s="501">
        <v>0.49</v>
      </c>
      <c r="CF117" s="501">
        <v>0.21</v>
      </c>
      <c r="CG117" s="501">
        <v>0</v>
      </c>
      <c r="CH117" s="501">
        <v>0.52</v>
      </c>
      <c r="CI117" s="501">
        <v>0.47</v>
      </c>
      <c r="CJ117" s="501">
        <v>0.6</v>
      </c>
      <c r="CK117" s="501">
        <v>0.59</v>
      </c>
      <c r="CL117" s="501">
        <v>0.48</v>
      </c>
      <c r="CM117" s="501">
        <v>0.62</v>
      </c>
      <c r="CN117" s="630">
        <v>47</v>
      </c>
      <c r="CO117" s="640" t="s">
        <v>910</v>
      </c>
      <c r="CP117" s="630">
        <v>10</v>
      </c>
      <c r="CQ117" s="640" t="s">
        <v>910</v>
      </c>
      <c r="CR117" s="644">
        <v>0.28000000000000003</v>
      </c>
      <c r="CS117" s="644">
        <v>0.49</v>
      </c>
      <c r="CT117" s="644">
        <v>0.23</v>
      </c>
      <c r="CU117" s="644">
        <v>0</v>
      </c>
      <c r="CV117" s="644">
        <v>0.4</v>
      </c>
      <c r="CW117" s="644">
        <v>0.57999999999999996</v>
      </c>
      <c r="CX117" s="644">
        <v>0.62</v>
      </c>
      <c r="CY117" s="644">
        <v>0.68</v>
      </c>
      <c r="CZ117" s="644">
        <v>0.63</v>
      </c>
      <c r="DA117" s="644">
        <v>0.53</v>
      </c>
    </row>
    <row r="118" spans="1:105" ht="24.9" customHeight="1" x14ac:dyDescent="0.25">
      <c r="A118" s="188" t="s">
        <v>65</v>
      </c>
      <c r="B118" s="1" t="s">
        <v>220</v>
      </c>
      <c r="C118" s="2">
        <v>3</v>
      </c>
      <c r="D118" s="16">
        <v>51</v>
      </c>
      <c r="E118" s="16">
        <v>8</v>
      </c>
      <c r="F118" s="96">
        <v>0.12</v>
      </c>
      <c r="G118" s="96">
        <v>0.56999999999999995</v>
      </c>
      <c r="H118" s="96">
        <v>0.31</v>
      </c>
      <c r="I118" s="96">
        <v>0.01</v>
      </c>
      <c r="J118" s="96">
        <v>0.52</v>
      </c>
      <c r="K118" s="96">
        <v>0.5</v>
      </c>
      <c r="L118" s="96">
        <v>0.55000000000000004</v>
      </c>
      <c r="M118" s="96">
        <v>0.47</v>
      </c>
      <c r="N118" s="96">
        <v>0.49</v>
      </c>
      <c r="O118" s="96">
        <v>0.54</v>
      </c>
      <c r="P118" s="36">
        <v>51</v>
      </c>
      <c r="Q118" s="36">
        <v>10</v>
      </c>
      <c r="R118" s="92">
        <v>0.14000000000000001</v>
      </c>
      <c r="S118" s="92">
        <v>0.52</v>
      </c>
      <c r="T118" s="92">
        <v>0.33</v>
      </c>
      <c r="U118" s="92">
        <v>0.01</v>
      </c>
      <c r="V118" s="92">
        <v>0.43</v>
      </c>
      <c r="W118" s="92">
        <v>0.49</v>
      </c>
      <c r="X118" s="92">
        <v>0.55000000000000004</v>
      </c>
      <c r="Y118" s="92">
        <v>0.45</v>
      </c>
      <c r="Z118" s="92">
        <v>0.42</v>
      </c>
      <c r="AA118" s="92">
        <v>0.5</v>
      </c>
      <c r="AB118" s="16">
        <v>49</v>
      </c>
      <c r="AC118" s="16">
        <v>10</v>
      </c>
      <c r="AD118" s="96">
        <v>0.23</v>
      </c>
      <c r="AE118" s="96">
        <v>0.49</v>
      </c>
      <c r="AF118" s="96">
        <v>0.27</v>
      </c>
      <c r="AG118" s="96">
        <v>0.01</v>
      </c>
      <c r="AH118" s="96">
        <v>0.44</v>
      </c>
      <c r="AI118" s="96">
        <v>0.45</v>
      </c>
      <c r="AJ118" s="96">
        <v>0.41</v>
      </c>
      <c r="AK118" s="96">
        <v>0.52</v>
      </c>
      <c r="AL118" s="96">
        <v>0.55000000000000004</v>
      </c>
      <c r="AM118" s="96">
        <v>0.52</v>
      </c>
      <c r="AN118" s="16">
        <v>48</v>
      </c>
      <c r="AO118" s="16">
        <v>10</v>
      </c>
      <c r="AP118" s="96">
        <v>0.25</v>
      </c>
      <c r="AQ118" s="96">
        <v>0.5</v>
      </c>
      <c r="AR118" s="96">
        <v>0.24</v>
      </c>
      <c r="AS118" s="96">
        <v>0.01</v>
      </c>
      <c r="AT118" s="96">
        <v>0.53</v>
      </c>
      <c r="AU118" s="96">
        <v>0.47</v>
      </c>
      <c r="AV118" s="96">
        <v>0.46</v>
      </c>
      <c r="AW118" s="96">
        <v>0.47</v>
      </c>
      <c r="AX118" s="96">
        <v>0.49</v>
      </c>
      <c r="AY118" s="96">
        <v>0.48</v>
      </c>
      <c r="AZ118" s="61">
        <v>50</v>
      </c>
      <c r="BA118" s="61">
        <v>10</v>
      </c>
      <c r="BB118" s="66">
        <v>0.18</v>
      </c>
      <c r="BC118" s="66">
        <v>0.46</v>
      </c>
      <c r="BD118" s="66">
        <v>0.35</v>
      </c>
      <c r="BE118" s="66">
        <v>0.02</v>
      </c>
      <c r="BF118" s="66">
        <v>0.45</v>
      </c>
      <c r="BG118" s="66">
        <v>0.46</v>
      </c>
      <c r="BH118" s="66">
        <v>0.47</v>
      </c>
      <c r="BI118" s="66">
        <v>0.54</v>
      </c>
      <c r="BJ118" s="66">
        <v>0.43</v>
      </c>
      <c r="BK118" s="66">
        <v>0.41</v>
      </c>
      <c r="BL118" s="349">
        <v>46</v>
      </c>
      <c r="BM118" s="348" t="s">
        <v>910</v>
      </c>
      <c r="BN118" s="349">
        <v>10</v>
      </c>
      <c r="BO118" s="348" t="s">
        <v>910</v>
      </c>
      <c r="BP118" s="371">
        <v>0.33</v>
      </c>
      <c r="BQ118" s="371">
        <v>0.45</v>
      </c>
      <c r="BR118" s="371">
        <v>0.21</v>
      </c>
      <c r="BS118" s="371">
        <v>0.01</v>
      </c>
      <c r="BT118" s="371">
        <v>0.52</v>
      </c>
      <c r="BU118" s="371">
        <v>0.52</v>
      </c>
      <c r="BV118" s="371">
        <v>0.6</v>
      </c>
      <c r="BW118" s="371">
        <v>0.46</v>
      </c>
      <c r="BX118" s="371">
        <v>0.52</v>
      </c>
      <c r="BY118" s="371">
        <v>0.59</v>
      </c>
      <c r="BZ118" s="469">
        <v>47</v>
      </c>
      <c r="CA118" s="471" t="s">
        <v>910</v>
      </c>
      <c r="CB118" s="469">
        <v>9</v>
      </c>
      <c r="CC118" s="471" t="s">
        <v>910</v>
      </c>
      <c r="CD118" s="501">
        <v>0.24</v>
      </c>
      <c r="CE118" s="501">
        <v>0.59</v>
      </c>
      <c r="CF118" s="501">
        <v>0.17</v>
      </c>
      <c r="CG118" s="501">
        <v>0</v>
      </c>
      <c r="CH118" s="501">
        <v>0.52</v>
      </c>
      <c r="CI118" s="501">
        <v>0.43</v>
      </c>
      <c r="CJ118" s="501">
        <v>0.61</v>
      </c>
      <c r="CK118" s="501">
        <v>0.59</v>
      </c>
      <c r="CL118" s="501">
        <v>0.46</v>
      </c>
      <c r="CM118" s="501">
        <v>0.57999999999999996</v>
      </c>
      <c r="CN118" s="630">
        <v>47</v>
      </c>
      <c r="CO118" s="640" t="s">
        <v>910</v>
      </c>
      <c r="CP118" s="630">
        <v>10</v>
      </c>
      <c r="CQ118" s="640" t="s">
        <v>910</v>
      </c>
      <c r="CR118" s="644">
        <v>0.3</v>
      </c>
      <c r="CS118" s="644">
        <v>0.51</v>
      </c>
      <c r="CT118" s="644">
        <v>0.19</v>
      </c>
      <c r="CU118" s="644">
        <v>0.01</v>
      </c>
      <c r="CV118" s="644">
        <v>0.41</v>
      </c>
      <c r="CW118" s="644">
        <v>0.61</v>
      </c>
      <c r="CX118" s="644">
        <v>0.62</v>
      </c>
      <c r="CY118" s="644">
        <v>0.65</v>
      </c>
      <c r="CZ118" s="644">
        <v>0.62</v>
      </c>
      <c r="DA118" s="644">
        <v>0.57999999999999996</v>
      </c>
    </row>
    <row r="119" spans="1:105" ht="24.9" customHeight="1" x14ac:dyDescent="0.25">
      <c r="A119" s="188" t="s">
        <v>106</v>
      </c>
      <c r="B119" s="1" t="s">
        <v>222</v>
      </c>
      <c r="C119" s="2">
        <v>1</v>
      </c>
      <c r="D119" s="16">
        <v>56</v>
      </c>
      <c r="E119" s="16">
        <v>8</v>
      </c>
      <c r="F119" s="96">
        <v>0.1</v>
      </c>
      <c r="G119" s="96">
        <v>0.28999999999999998</v>
      </c>
      <c r="H119" s="96">
        <v>0.61</v>
      </c>
      <c r="I119" s="96">
        <v>0</v>
      </c>
      <c r="J119" s="96">
        <v>0.44</v>
      </c>
      <c r="K119" s="96">
        <v>0.41</v>
      </c>
      <c r="L119" s="96">
        <v>0.56000000000000005</v>
      </c>
      <c r="M119" s="96">
        <v>0.3</v>
      </c>
      <c r="N119" s="96">
        <v>0.38</v>
      </c>
      <c r="O119" s="96">
        <v>0.46</v>
      </c>
      <c r="P119" s="36">
        <v>55</v>
      </c>
      <c r="Q119" s="36">
        <v>9</v>
      </c>
      <c r="R119" s="92">
        <v>0.05</v>
      </c>
      <c r="S119" s="92">
        <v>0.34</v>
      </c>
      <c r="T119" s="92">
        <v>0.55000000000000004</v>
      </c>
      <c r="U119" s="92">
        <v>0.05</v>
      </c>
      <c r="V119" s="92">
        <v>0.37</v>
      </c>
      <c r="W119" s="92">
        <v>0.42</v>
      </c>
      <c r="X119" s="92">
        <v>0.53</v>
      </c>
      <c r="Y119" s="92">
        <v>0.34</v>
      </c>
      <c r="Z119" s="92">
        <v>0.38</v>
      </c>
      <c r="AA119" s="92">
        <v>0.38</v>
      </c>
      <c r="AB119" s="16">
        <v>50</v>
      </c>
      <c r="AC119" s="16">
        <v>10</v>
      </c>
      <c r="AD119" s="96">
        <v>0.24</v>
      </c>
      <c r="AE119" s="96">
        <v>0.43</v>
      </c>
      <c r="AF119" s="96">
        <v>0.33</v>
      </c>
      <c r="AG119" s="96">
        <v>0</v>
      </c>
      <c r="AH119" s="96">
        <v>0.41</v>
      </c>
      <c r="AI119" s="96">
        <v>0.42</v>
      </c>
      <c r="AJ119" s="96">
        <v>0.4</v>
      </c>
      <c r="AK119" s="96">
        <v>0.51</v>
      </c>
      <c r="AL119" s="96">
        <v>0.56000000000000005</v>
      </c>
      <c r="AM119" s="96">
        <v>0.53</v>
      </c>
      <c r="AN119" s="16">
        <v>44</v>
      </c>
      <c r="AO119" s="16">
        <v>11</v>
      </c>
      <c r="AP119" s="96">
        <v>0.41</v>
      </c>
      <c r="AQ119" s="96">
        <v>0.41</v>
      </c>
      <c r="AR119" s="96">
        <v>0.19</v>
      </c>
      <c r="AS119" s="96">
        <v>0</v>
      </c>
      <c r="AT119" s="96">
        <v>0.71</v>
      </c>
      <c r="AU119" s="96">
        <v>0.56000000000000005</v>
      </c>
      <c r="AV119" s="96">
        <v>0.54</v>
      </c>
      <c r="AW119" s="96">
        <v>0.57999999999999996</v>
      </c>
      <c r="AX119" s="96">
        <v>0.52</v>
      </c>
      <c r="AY119" s="96">
        <v>0.53</v>
      </c>
      <c r="AZ119" s="61">
        <v>50</v>
      </c>
      <c r="BA119" s="61">
        <v>10</v>
      </c>
      <c r="BB119" s="66">
        <v>0.14000000000000001</v>
      </c>
      <c r="BC119" s="66">
        <v>0.55000000000000004</v>
      </c>
      <c r="BD119" s="66">
        <v>0.32</v>
      </c>
      <c r="BE119" s="66">
        <v>0</v>
      </c>
      <c r="BF119" s="66">
        <v>0.48</v>
      </c>
      <c r="BG119" s="66">
        <v>0.49</v>
      </c>
      <c r="BH119" s="66">
        <v>0.48</v>
      </c>
      <c r="BI119" s="66">
        <v>0.57999999999999996</v>
      </c>
      <c r="BJ119" s="66">
        <v>0.42</v>
      </c>
      <c r="BK119" s="66">
        <v>0.41</v>
      </c>
      <c r="BL119" s="349">
        <v>48</v>
      </c>
      <c r="BM119" s="348" t="s">
        <v>910</v>
      </c>
      <c r="BN119" s="349">
        <v>10</v>
      </c>
      <c r="BO119" s="348" t="s">
        <v>910</v>
      </c>
      <c r="BP119" s="371">
        <v>0.3</v>
      </c>
      <c r="BQ119" s="371">
        <v>0.46</v>
      </c>
      <c r="BR119" s="371">
        <v>0.24</v>
      </c>
      <c r="BS119" s="371">
        <v>0</v>
      </c>
      <c r="BT119" s="371">
        <v>0.41</v>
      </c>
      <c r="BU119" s="371">
        <v>0.51</v>
      </c>
      <c r="BV119" s="371">
        <v>0.59</v>
      </c>
      <c r="BW119" s="371">
        <v>0.47</v>
      </c>
      <c r="BX119" s="371">
        <v>0.47</v>
      </c>
      <c r="BY119" s="371">
        <v>0.52</v>
      </c>
      <c r="BZ119" s="469">
        <v>52</v>
      </c>
      <c r="CA119" s="471" t="s">
        <v>910</v>
      </c>
      <c r="CB119" s="469">
        <v>9</v>
      </c>
      <c r="CC119" s="471" t="s">
        <v>910</v>
      </c>
      <c r="CD119" s="501">
        <v>0.09</v>
      </c>
      <c r="CE119" s="501">
        <v>0.56000000000000005</v>
      </c>
      <c r="CF119" s="501">
        <v>0.35</v>
      </c>
      <c r="CG119" s="501">
        <v>0</v>
      </c>
      <c r="CH119" s="501">
        <v>0.49</v>
      </c>
      <c r="CI119" s="501">
        <v>0.45</v>
      </c>
      <c r="CJ119" s="501">
        <v>0.56000000000000005</v>
      </c>
      <c r="CK119" s="501">
        <v>0.53</v>
      </c>
      <c r="CL119" s="501">
        <v>0.33</v>
      </c>
      <c r="CM119" s="501">
        <v>0.53</v>
      </c>
      <c r="CN119" s="630">
        <v>53</v>
      </c>
      <c r="CO119" s="640" t="s">
        <v>910</v>
      </c>
      <c r="CP119" s="630">
        <v>11</v>
      </c>
      <c r="CQ119" s="640" t="s">
        <v>910</v>
      </c>
      <c r="CR119" s="644">
        <v>0.17</v>
      </c>
      <c r="CS119" s="644">
        <v>0.31</v>
      </c>
      <c r="CT119" s="644">
        <v>0.5</v>
      </c>
      <c r="CU119" s="644">
        <v>0.02</v>
      </c>
      <c r="CV119" s="644">
        <v>0.33</v>
      </c>
      <c r="CW119" s="644">
        <v>0.44</v>
      </c>
      <c r="CX119" s="644">
        <v>0.54</v>
      </c>
      <c r="CY119" s="644">
        <v>0.65</v>
      </c>
      <c r="CZ119" s="644">
        <v>0.5</v>
      </c>
      <c r="DA119" s="644">
        <v>0.54</v>
      </c>
    </row>
    <row r="120" spans="1:105" ht="24.9" customHeight="1" x14ac:dyDescent="0.25">
      <c r="A120" s="188" t="s">
        <v>188</v>
      </c>
      <c r="B120" s="1" t="s">
        <v>220</v>
      </c>
      <c r="C120" s="2">
        <v>4</v>
      </c>
      <c r="D120" s="16">
        <v>48</v>
      </c>
      <c r="E120" s="16">
        <v>8</v>
      </c>
      <c r="F120" s="96">
        <v>0.2</v>
      </c>
      <c r="G120" s="96">
        <v>0.56999999999999995</v>
      </c>
      <c r="H120" s="96">
        <v>0.23</v>
      </c>
      <c r="I120" s="96">
        <v>0</v>
      </c>
      <c r="J120" s="96">
        <v>0.56999999999999995</v>
      </c>
      <c r="K120" s="96">
        <v>0.52</v>
      </c>
      <c r="L120" s="96">
        <v>0.64</v>
      </c>
      <c r="M120" s="96">
        <v>0.53</v>
      </c>
      <c r="N120" s="96">
        <v>0.41</v>
      </c>
      <c r="O120" s="96">
        <v>0.6</v>
      </c>
      <c r="P120" s="36">
        <v>48</v>
      </c>
      <c r="Q120" s="36">
        <v>10</v>
      </c>
      <c r="R120" s="92">
        <v>0.28000000000000003</v>
      </c>
      <c r="S120" s="92">
        <v>0.44</v>
      </c>
      <c r="T120" s="92">
        <v>0.26</v>
      </c>
      <c r="U120" s="92">
        <v>0.03</v>
      </c>
      <c r="V120" s="92">
        <v>0.5</v>
      </c>
      <c r="W120" s="92">
        <v>0.55000000000000004</v>
      </c>
      <c r="X120" s="92">
        <v>0.62</v>
      </c>
      <c r="Y120" s="92">
        <v>0.5</v>
      </c>
      <c r="Z120" s="92">
        <v>0.47</v>
      </c>
      <c r="AA120" s="92">
        <v>0.56000000000000005</v>
      </c>
      <c r="AB120" s="16">
        <v>44</v>
      </c>
      <c r="AC120" s="16">
        <v>9</v>
      </c>
      <c r="AD120" s="96">
        <v>0.42</v>
      </c>
      <c r="AE120" s="96">
        <v>0.45</v>
      </c>
      <c r="AF120" s="96">
        <v>0.12</v>
      </c>
      <c r="AG120" s="96">
        <v>0</v>
      </c>
      <c r="AH120" s="96">
        <v>0.51</v>
      </c>
      <c r="AI120" s="96">
        <v>0.54</v>
      </c>
      <c r="AJ120" s="96">
        <v>0.51</v>
      </c>
      <c r="AK120" s="96">
        <v>0.59</v>
      </c>
      <c r="AL120" s="96">
        <v>0.7</v>
      </c>
      <c r="AM120" s="96">
        <v>0.62</v>
      </c>
      <c r="AN120" s="16">
        <v>43</v>
      </c>
      <c r="AO120" s="16">
        <v>11</v>
      </c>
      <c r="AP120" s="96">
        <v>0.44</v>
      </c>
      <c r="AQ120" s="96">
        <v>0.39</v>
      </c>
      <c r="AR120" s="96">
        <v>0.17</v>
      </c>
      <c r="AS120" s="96">
        <v>0</v>
      </c>
      <c r="AT120" s="96">
        <v>0.67</v>
      </c>
      <c r="AU120" s="96">
        <v>0.49</v>
      </c>
      <c r="AV120" s="96">
        <v>0.5</v>
      </c>
      <c r="AW120" s="96">
        <v>0.55000000000000004</v>
      </c>
      <c r="AX120" s="96">
        <v>0.55000000000000004</v>
      </c>
      <c r="AY120" s="96">
        <v>0.56999999999999995</v>
      </c>
      <c r="AZ120" s="61">
        <v>45</v>
      </c>
      <c r="BA120" s="61">
        <v>8</v>
      </c>
      <c r="BB120" s="66">
        <v>0.22</v>
      </c>
      <c r="BC120" s="66">
        <v>0.66</v>
      </c>
      <c r="BD120" s="66">
        <v>0.13</v>
      </c>
      <c r="BE120" s="66">
        <v>0</v>
      </c>
      <c r="BF120" s="66">
        <v>0.59</v>
      </c>
      <c r="BG120" s="66">
        <v>0.55000000000000004</v>
      </c>
      <c r="BH120" s="66">
        <v>0.53</v>
      </c>
      <c r="BI120" s="66">
        <v>0.65</v>
      </c>
      <c r="BJ120" s="66">
        <v>0.53</v>
      </c>
      <c r="BK120" s="66">
        <v>0.51</v>
      </c>
      <c r="BL120" s="349">
        <v>46</v>
      </c>
      <c r="BM120" s="348" t="s">
        <v>910</v>
      </c>
      <c r="BN120" s="349">
        <v>11</v>
      </c>
      <c r="BO120" s="348" t="s">
        <v>910</v>
      </c>
      <c r="BP120" s="371">
        <v>0.33</v>
      </c>
      <c r="BQ120" s="371">
        <v>0.4</v>
      </c>
      <c r="BR120" s="371">
        <v>0.27</v>
      </c>
      <c r="BS120" s="371">
        <v>0</v>
      </c>
      <c r="BT120" s="371">
        <v>0.56999999999999995</v>
      </c>
      <c r="BU120" s="371">
        <v>0.45</v>
      </c>
      <c r="BV120" s="371">
        <v>0.77</v>
      </c>
      <c r="BW120" s="371">
        <v>0.47</v>
      </c>
      <c r="BX120" s="371">
        <v>0.55000000000000004</v>
      </c>
      <c r="BY120" s="371">
        <v>0.56000000000000005</v>
      </c>
      <c r="BZ120" s="469">
        <v>47</v>
      </c>
      <c r="CA120" s="471" t="s">
        <v>910</v>
      </c>
      <c r="CB120" s="469">
        <v>10</v>
      </c>
      <c r="CC120" s="471" t="s">
        <v>910</v>
      </c>
      <c r="CD120" s="501">
        <v>0.28000000000000003</v>
      </c>
      <c r="CE120" s="501">
        <v>0.56000000000000005</v>
      </c>
      <c r="CF120" s="501">
        <v>0.17</v>
      </c>
      <c r="CG120" s="501">
        <v>0</v>
      </c>
      <c r="CH120" s="501">
        <v>0.49</v>
      </c>
      <c r="CI120" s="501">
        <v>0.44</v>
      </c>
      <c r="CJ120" s="501">
        <v>0.62</v>
      </c>
      <c r="CK120" s="501">
        <v>0.63</v>
      </c>
      <c r="CL120" s="501">
        <v>0.36</v>
      </c>
      <c r="CM120" s="501">
        <v>0.68</v>
      </c>
      <c r="CN120" s="630">
        <v>47</v>
      </c>
      <c r="CO120" s="640" t="s">
        <v>910</v>
      </c>
      <c r="CP120" s="630">
        <v>10</v>
      </c>
      <c r="CQ120" s="640" t="s">
        <v>910</v>
      </c>
      <c r="CR120" s="644">
        <v>0.25</v>
      </c>
      <c r="CS120" s="644">
        <v>0.59</v>
      </c>
      <c r="CT120" s="644">
        <v>0.16</v>
      </c>
      <c r="CU120" s="644">
        <v>0</v>
      </c>
      <c r="CV120" s="644">
        <v>0.47</v>
      </c>
      <c r="CW120" s="644">
        <v>0.59</v>
      </c>
      <c r="CX120" s="644">
        <v>0.56000000000000005</v>
      </c>
      <c r="CY120" s="644">
        <v>0.74</v>
      </c>
      <c r="CZ120" s="644">
        <v>0.56000000000000005</v>
      </c>
      <c r="DA120" s="644">
        <v>0.57999999999999996</v>
      </c>
    </row>
    <row r="121" spans="1:105" s="461" customFormat="1" ht="24.9" customHeight="1" x14ac:dyDescent="0.25">
      <c r="A121" s="470" t="s">
        <v>964</v>
      </c>
      <c r="B121" s="1" t="s">
        <v>220</v>
      </c>
      <c r="C121" s="471">
        <v>2</v>
      </c>
      <c r="D121" s="502"/>
      <c r="E121" s="502"/>
      <c r="F121" s="501"/>
      <c r="G121" s="501"/>
      <c r="H121" s="501"/>
      <c r="I121" s="501"/>
      <c r="J121" s="501"/>
      <c r="K121" s="501"/>
      <c r="L121" s="501"/>
      <c r="M121" s="501"/>
      <c r="N121" s="501"/>
      <c r="O121" s="501"/>
      <c r="P121" s="512"/>
      <c r="Q121" s="512"/>
      <c r="R121" s="504"/>
      <c r="S121" s="504"/>
      <c r="T121" s="504"/>
      <c r="U121" s="504"/>
      <c r="V121" s="504"/>
      <c r="W121" s="504"/>
      <c r="X121" s="504"/>
      <c r="Y121" s="504"/>
      <c r="Z121" s="504"/>
      <c r="AA121" s="504"/>
      <c r="AB121" s="502"/>
      <c r="AC121" s="502"/>
      <c r="AD121" s="501"/>
      <c r="AE121" s="501"/>
      <c r="AF121" s="501"/>
      <c r="AG121" s="501"/>
      <c r="AH121" s="501"/>
      <c r="AI121" s="501"/>
      <c r="AJ121" s="501"/>
      <c r="AK121" s="501"/>
      <c r="AL121" s="501"/>
      <c r="AM121" s="501"/>
      <c r="AN121" s="502"/>
      <c r="AO121" s="502"/>
      <c r="AP121" s="501"/>
      <c r="AQ121" s="501"/>
      <c r="AR121" s="501"/>
      <c r="AS121" s="501"/>
      <c r="AT121" s="501"/>
      <c r="AU121" s="501"/>
      <c r="AV121" s="501"/>
      <c r="AW121" s="501"/>
      <c r="AX121" s="501"/>
      <c r="AY121" s="501"/>
      <c r="AZ121" s="472"/>
      <c r="BA121" s="472"/>
      <c r="BB121" s="506"/>
      <c r="BC121" s="506"/>
      <c r="BD121" s="506"/>
      <c r="BE121" s="506"/>
      <c r="BF121" s="506"/>
      <c r="BG121" s="506"/>
      <c r="BH121" s="506"/>
      <c r="BI121" s="506"/>
      <c r="BJ121" s="506"/>
      <c r="BK121" s="506"/>
      <c r="BL121" s="475"/>
      <c r="BM121" s="493"/>
      <c r="BN121" s="475"/>
      <c r="BO121" s="493"/>
      <c r="BP121" s="507"/>
      <c r="BQ121" s="507"/>
      <c r="BR121" s="507"/>
      <c r="BS121" s="507"/>
      <c r="BT121" s="507"/>
      <c r="BU121" s="507"/>
      <c r="BV121" s="507"/>
      <c r="BW121" s="507"/>
      <c r="BX121" s="507"/>
      <c r="BY121" s="507"/>
      <c r="BZ121" s="469">
        <v>50</v>
      </c>
      <c r="CA121" s="471" t="s">
        <v>910</v>
      </c>
      <c r="CB121" s="469">
        <v>10</v>
      </c>
      <c r="CC121" s="471" t="s">
        <v>910</v>
      </c>
      <c r="CD121" s="501">
        <v>0.18</v>
      </c>
      <c r="CE121" s="501">
        <v>0.45</v>
      </c>
      <c r="CF121" s="501">
        <v>0.37</v>
      </c>
      <c r="CG121" s="501">
        <v>0</v>
      </c>
      <c r="CH121" s="501">
        <v>0.55000000000000004</v>
      </c>
      <c r="CI121" s="501">
        <v>0.33</v>
      </c>
      <c r="CJ121" s="501">
        <v>0.51</v>
      </c>
      <c r="CK121" s="501">
        <v>0.55000000000000004</v>
      </c>
      <c r="CL121" s="501">
        <v>0.51</v>
      </c>
      <c r="CM121" s="501">
        <v>0.55000000000000004</v>
      </c>
      <c r="CN121" s="630">
        <v>49</v>
      </c>
      <c r="CO121" s="640" t="s">
        <v>910</v>
      </c>
      <c r="CP121" s="630">
        <v>11</v>
      </c>
      <c r="CQ121" s="640" t="s">
        <v>910</v>
      </c>
      <c r="CR121" s="644">
        <v>0.25</v>
      </c>
      <c r="CS121" s="644">
        <v>0.47</v>
      </c>
      <c r="CT121" s="644">
        <v>0.26</v>
      </c>
      <c r="CU121" s="644">
        <v>0.03</v>
      </c>
      <c r="CV121" s="644">
        <v>0.36</v>
      </c>
      <c r="CW121" s="644">
        <v>0.54</v>
      </c>
      <c r="CX121" s="644">
        <v>0.59</v>
      </c>
      <c r="CY121" s="644">
        <v>0.61</v>
      </c>
      <c r="CZ121" s="644">
        <v>0.61</v>
      </c>
      <c r="DA121" s="644">
        <v>0.63</v>
      </c>
    </row>
    <row r="122" spans="1:105" ht="24.9" customHeight="1" x14ac:dyDescent="0.25">
      <c r="A122" s="188" t="s">
        <v>130</v>
      </c>
      <c r="B122" s="1" t="s">
        <v>220</v>
      </c>
      <c r="C122" s="2">
        <v>3</v>
      </c>
      <c r="D122" s="16">
        <v>51</v>
      </c>
      <c r="E122" s="16">
        <v>10</v>
      </c>
      <c r="F122" s="96">
        <v>0.16</v>
      </c>
      <c r="G122" s="96">
        <v>0.55000000000000004</v>
      </c>
      <c r="H122" s="96">
        <v>0.28999999999999998</v>
      </c>
      <c r="I122" s="96">
        <v>0.01</v>
      </c>
      <c r="J122" s="96">
        <v>0.56000000000000005</v>
      </c>
      <c r="K122" s="96">
        <v>0.5</v>
      </c>
      <c r="L122" s="96">
        <v>0.6</v>
      </c>
      <c r="M122" s="96">
        <v>0.4</v>
      </c>
      <c r="N122" s="96">
        <v>0.41</v>
      </c>
      <c r="O122" s="96">
        <v>0.47</v>
      </c>
      <c r="P122" s="36">
        <v>51</v>
      </c>
      <c r="Q122" s="36">
        <v>9</v>
      </c>
      <c r="R122" s="92">
        <v>0.14000000000000001</v>
      </c>
      <c r="S122" s="92">
        <v>0.55000000000000004</v>
      </c>
      <c r="T122" s="92">
        <v>0.3</v>
      </c>
      <c r="U122" s="92">
        <v>0.01</v>
      </c>
      <c r="V122" s="92">
        <v>0.42</v>
      </c>
      <c r="W122" s="92">
        <v>0.48</v>
      </c>
      <c r="X122" s="92">
        <v>0.59</v>
      </c>
      <c r="Y122" s="92">
        <v>0.46</v>
      </c>
      <c r="Z122" s="92">
        <v>0.43</v>
      </c>
      <c r="AA122" s="92">
        <v>0.48</v>
      </c>
      <c r="AB122" s="16">
        <v>50</v>
      </c>
      <c r="AC122" s="16">
        <v>10</v>
      </c>
      <c r="AD122" s="96">
        <v>0.17</v>
      </c>
      <c r="AE122" s="96">
        <v>0.5</v>
      </c>
      <c r="AF122" s="96">
        <v>0.31</v>
      </c>
      <c r="AG122" s="96">
        <v>0.01</v>
      </c>
      <c r="AH122" s="96">
        <v>0.42</v>
      </c>
      <c r="AI122" s="96">
        <v>0.4</v>
      </c>
      <c r="AJ122" s="96">
        <v>0.41</v>
      </c>
      <c r="AK122" s="96">
        <v>0.49</v>
      </c>
      <c r="AL122" s="96">
        <v>0.57999999999999996</v>
      </c>
      <c r="AM122" s="96">
        <v>0.52</v>
      </c>
      <c r="AN122" s="16">
        <v>44</v>
      </c>
      <c r="AO122" s="16">
        <v>10</v>
      </c>
      <c r="AP122" s="96">
        <v>0.39</v>
      </c>
      <c r="AQ122" s="96">
        <v>0.45</v>
      </c>
      <c r="AR122" s="96">
        <v>0.16</v>
      </c>
      <c r="AS122" s="96">
        <v>0</v>
      </c>
      <c r="AT122" s="96">
        <v>0.59</v>
      </c>
      <c r="AU122" s="96">
        <v>0.53</v>
      </c>
      <c r="AV122" s="96">
        <v>0.52</v>
      </c>
      <c r="AW122" s="96">
        <v>0.54</v>
      </c>
      <c r="AX122" s="96">
        <v>0.56999999999999995</v>
      </c>
      <c r="AY122" s="96">
        <v>0.54</v>
      </c>
      <c r="AZ122" s="61">
        <v>49</v>
      </c>
      <c r="BA122" s="61">
        <v>10</v>
      </c>
      <c r="BB122" s="66">
        <v>0.17</v>
      </c>
      <c r="BC122" s="66">
        <v>0.54</v>
      </c>
      <c r="BD122" s="66">
        <v>0.28000000000000003</v>
      </c>
      <c r="BE122" s="66">
        <v>0.01</v>
      </c>
      <c r="BF122" s="66">
        <v>0.52</v>
      </c>
      <c r="BG122" s="66">
        <v>0.46</v>
      </c>
      <c r="BH122" s="66">
        <v>0.5</v>
      </c>
      <c r="BI122" s="66">
        <v>0.56999999999999995</v>
      </c>
      <c r="BJ122" s="66">
        <v>0.46</v>
      </c>
      <c r="BK122" s="66">
        <v>0.42</v>
      </c>
      <c r="BL122" s="349">
        <v>48</v>
      </c>
      <c r="BM122" s="348" t="s">
        <v>910</v>
      </c>
      <c r="BN122" s="349">
        <v>10</v>
      </c>
      <c r="BO122" s="348" t="s">
        <v>910</v>
      </c>
      <c r="BP122" s="371">
        <v>0.23</v>
      </c>
      <c r="BQ122" s="371">
        <v>0.56999999999999995</v>
      </c>
      <c r="BR122" s="371">
        <v>0.21</v>
      </c>
      <c r="BS122" s="371">
        <v>0</v>
      </c>
      <c r="BT122" s="371">
        <v>0.5</v>
      </c>
      <c r="BU122" s="371">
        <v>0.54</v>
      </c>
      <c r="BV122" s="371">
        <v>0.55000000000000004</v>
      </c>
      <c r="BW122" s="371">
        <v>0.43</v>
      </c>
      <c r="BX122" s="371">
        <v>0.48</v>
      </c>
      <c r="BY122" s="371">
        <v>0.56000000000000005</v>
      </c>
      <c r="BZ122" s="469">
        <v>49</v>
      </c>
      <c r="CA122" s="471" t="s">
        <v>910</v>
      </c>
      <c r="CB122" s="469">
        <v>10</v>
      </c>
      <c r="CC122" s="471" t="s">
        <v>910</v>
      </c>
      <c r="CD122" s="501">
        <v>0.19</v>
      </c>
      <c r="CE122" s="501">
        <v>0.55000000000000004</v>
      </c>
      <c r="CF122" s="501">
        <v>0.22</v>
      </c>
      <c r="CG122" s="501">
        <v>0.03</v>
      </c>
      <c r="CH122" s="501">
        <v>0.43</v>
      </c>
      <c r="CI122" s="501">
        <v>0.41</v>
      </c>
      <c r="CJ122" s="501">
        <v>0.56999999999999995</v>
      </c>
      <c r="CK122" s="501">
        <v>0.56999999999999995</v>
      </c>
      <c r="CL122" s="501">
        <v>0.45</v>
      </c>
      <c r="CM122" s="501">
        <v>0.61</v>
      </c>
      <c r="CN122" s="630">
        <v>49</v>
      </c>
      <c r="CO122" s="640" t="s">
        <v>910</v>
      </c>
      <c r="CP122" s="630">
        <v>10</v>
      </c>
      <c r="CQ122" s="640" t="s">
        <v>910</v>
      </c>
      <c r="CR122" s="644">
        <v>0.23</v>
      </c>
      <c r="CS122" s="644">
        <v>0.5</v>
      </c>
      <c r="CT122" s="644">
        <v>0.27</v>
      </c>
      <c r="CU122" s="644">
        <v>0</v>
      </c>
      <c r="CV122" s="644">
        <v>0.35</v>
      </c>
      <c r="CW122" s="644">
        <v>0.53</v>
      </c>
      <c r="CX122" s="644">
        <v>0.56000000000000005</v>
      </c>
      <c r="CY122" s="644">
        <v>0.64</v>
      </c>
      <c r="CZ122" s="644">
        <v>0.57999999999999996</v>
      </c>
      <c r="DA122" s="644">
        <v>0.55000000000000004</v>
      </c>
    </row>
    <row r="123" spans="1:105" s="461" customFormat="1" ht="24.9" customHeight="1" x14ac:dyDescent="0.25">
      <c r="A123" s="470" t="s">
        <v>966</v>
      </c>
      <c r="B123" s="1" t="s">
        <v>220</v>
      </c>
      <c r="C123" s="471">
        <v>1</v>
      </c>
      <c r="D123" s="502"/>
      <c r="E123" s="502"/>
      <c r="F123" s="501"/>
      <c r="G123" s="501"/>
      <c r="H123" s="501"/>
      <c r="I123" s="501"/>
      <c r="J123" s="501"/>
      <c r="K123" s="501"/>
      <c r="L123" s="501"/>
      <c r="M123" s="501"/>
      <c r="N123" s="501"/>
      <c r="O123" s="501"/>
      <c r="P123" s="512"/>
      <c r="Q123" s="512"/>
      <c r="R123" s="504"/>
      <c r="S123" s="504"/>
      <c r="T123" s="504"/>
      <c r="U123" s="504"/>
      <c r="V123" s="504"/>
      <c r="W123" s="504"/>
      <c r="X123" s="504"/>
      <c r="Y123" s="504"/>
      <c r="Z123" s="504"/>
      <c r="AA123" s="504"/>
      <c r="AB123" s="502"/>
      <c r="AC123" s="502"/>
      <c r="AD123" s="501"/>
      <c r="AE123" s="501"/>
      <c r="AF123" s="501"/>
      <c r="AG123" s="501"/>
      <c r="AH123" s="501"/>
      <c r="AI123" s="501"/>
      <c r="AJ123" s="501"/>
      <c r="AK123" s="501"/>
      <c r="AL123" s="501"/>
      <c r="AM123" s="501"/>
      <c r="AN123" s="502"/>
      <c r="AO123" s="502"/>
      <c r="AP123" s="501"/>
      <c r="AQ123" s="501"/>
      <c r="AR123" s="501"/>
      <c r="AS123" s="501"/>
      <c r="AT123" s="501"/>
      <c r="AU123" s="501"/>
      <c r="AV123" s="501"/>
      <c r="AW123" s="501"/>
      <c r="AX123" s="501"/>
      <c r="AY123" s="501"/>
      <c r="AZ123" s="472"/>
      <c r="BA123" s="472"/>
      <c r="BB123" s="506"/>
      <c r="BC123" s="506"/>
      <c r="BD123" s="506"/>
      <c r="BE123" s="506"/>
      <c r="BF123" s="506"/>
      <c r="BG123" s="506"/>
      <c r="BH123" s="506"/>
      <c r="BI123" s="506"/>
      <c r="BJ123" s="506"/>
      <c r="BK123" s="506"/>
      <c r="BL123" s="475"/>
      <c r="BM123" s="493"/>
      <c r="BN123" s="475"/>
      <c r="BO123" s="493"/>
      <c r="BP123" s="507"/>
      <c r="BQ123" s="507"/>
      <c r="BR123" s="507"/>
      <c r="BS123" s="507"/>
      <c r="BT123" s="507"/>
      <c r="BU123" s="507"/>
      <c r="BV123" s="507"/>
      <c r="BW123" s="507"/>
      <c r="BX123" s="507"/>
      <c r="BY123" s="507"/>
      <c r="BZ123" s="469">
        <v>47</v>
      </c>
      <c r="CA123" s="471" t="s">
        <v>910</v>
      </c>
      <c r="CB123" s="469">
        <v>12</v>
      </c>
      <c r="CC123" s="471" t="s">
        <v>910</v>
      </c>
      <c r="CD123" s="501">
        <v>0.27</v>
      </c>
      <c r="CE123" s="501">
        <v>0.49</v>
      </c>
      <c r="CF123" s="501">
        <v>0.22</v>
      </c>
      <c r="CG123" s="501">
        <v>0.03</v>
      </c>
      <c r="CH123" s="501">
        <v>0.51</v>
      </c>
      <c r="CI123" s="501">
        <v>0.39</v>
      </c>
      <c r="CJ123" s="501">
        <v>0.64</v>
      </c>
      <c r="CK123" s="501">
        <v>0.55000000000000004</v>
      </c>
      <c r="CL123" s="501">
        <v>0.46</v>
      </c>
      <c r="CM123" s="501">
        <v>0.59</v>
      </c>
      <c r="CN123" s="630">
        <v>49</v>
      </c>
      <c r="CO123" s="640" t="s">
        <v>910</v>
      </c>
      <c r="CP123" s="630">
        <v>9</v>
      </c>
      <c r="CQ123" s="640" t="s">
        <v>910</v>
      </c>
      <c r="CR123" s="644">
        <v>0.19</v>
      </c>
      <c r="CS123" s="644">
        <v>0.57999999999999996</v>
      </c>
      <c r="CT123" s="644">
        <v>0.22</v>
      </c>
      <c r="CU123" s="644">
        <v>0</v>
      </c>
      <c r="CV123" s="644">
        <v>0.42</v>
      </c>
      <c r="CW123" s="644">
        <v>0.61</v>
      </c>
      <c r="CX123" s="644">
        <v>0.59</v>
      </c>
      <c r="CY123" s="644">
        <v>0.62</v>
      </c>
      <c r="CZ123" s="644">
        <v>0.62</v>
      </c>
      <c r="DA123" s="644">
        <v>0.62</v>
      </c>
    </row>
    <row r="124" spans="1:105" ht="24.9" customHeight="1" x14ac:dyDescent="0.25">
      <c r="A124" s="188" t="s">
        <v>90</v>
      </c>
      <c r="B124" s="1" t="s">
        <v>220</v>
      </c>
      <c r="C124" s="2">
        <v>1</v>
      </c>
      <c r="D124" s="16">
        <v>53</v>
      </c>
      <c r="E124" s="16">
        <v>9</v>
      </c>
      <c r="F124" s="96">
        <v>0.08</v>
      </c>
      <c r="G124" s="96">
        <v>0.54</v>
      </c>
      <c r="H124" s="96">
        <v>0.37</v>
      </c>
      <c r="I124" s="96">
        <v>0</v>
      </c>
      <c r="J124" s="96">
        <v>0.51</v>
      </c>
      <c r="K124" s="96">
        <v>0.49</v>
      </c>
      <c r="L124" s="96">
        <v>0.55000000000000004</v>
      </c>
      <c r="M124" s="96">
        <v>0.35</v>
      </c>
      <c r="N124" s="96">
        <v>0.4</v>
      </c>
      <c r="O124" s="96">
        <v>0.53</v>
      </c>
      <c r="P124" s="36">
        <v>55</v>
      </c>
      <c r="Q124" s="36">
        <v>8</v>
      </c>
      <c r="R124" s="92">
        <v>0.03</v>
      </c>
      <c r="S124" s="92">
        <v>0.52</v>
      </c>
      <c r="T124" s="92">
        <v>0.44</v>
      </c>
      <c r="U124" s="92">
        <v>0.01</v>
      </c>
      <c r="V124" s="92">
        <v>0.35</v>
      </c>
      <c r="W124" s="92">
        <v>0.42</v>
      </c>
      <c r="X124" s="92">
        <v>0.54</v>
      </c>
      <c r="Y124" s="92">
        <v>0.38</v>
      </c>
      <c r="Z124" s="92">
        <v>0.36</v>
      </c>
      <c r="AA124" s="92">
        <v>0.39</v>
      </c>
      <c r="AB124" s="16">
        <v>50</v>
      </c>
      <c r="AC124" s="16">
        <v>10</v>
      </c>
      <c r="AD124" s="96">
        <v>0.24</v>
      </c>
      <c r="AE124" s="96">
        <v>0.45</v>
      </c>
      <c r="AF124" s="96">
        <v>0.28999999999999998</v>
      </c>
      <c r="AG124" s="96">
        <v>0.02</v>
      </c>
      <c r="AH124" s="96">
        <v>0.42</v>
      </c>
      <c r="AI124" s="96">
        <v>0.44</v>
      </c>
      <c r="AJ124" s="96">
        <v>0.4</v>
      </c>
      <c r="AK124" s="96">
        <v>0.49</v>
      </c>
      <c r="AL124" s="96">
        <v>0.56000000000000005</v>
      </c>
      <c r="AM124" s="96">
        <v>0.53</v>
      </c>
      <c r="AN124" s="16">
        <v>48</v>
      </c>
      <c r="AO124" s="16">
        <v>11</v>
      </c>
      <c r="AP124" s="96">
        <v>0.28000000000000003</v>
      </c>
      <c r="AQ124" s="96">
        <v>0.47</v>
      </c>
      <c r="AR124" s="96">
        <v>0.24</v>
      </c>
      <c r="AS124" s="96">
        <v>0.02</v>
      </c>
      <c r="AT124" s="96">
        <v>0.56000000000000005</v>
      </c>
      <c r="AU124" s="96">
        <v>0.48</v>
      </c>
      <c r="AV124" s="96">
        <v>0.46</v>
      </c>
      <c r="AW124" s="96">
        <v>0.47</v>
      </c>
      <c r="AX124" s="96">
        <v>0.49</v>
      </c>
      <c r="AY124" s="96">
        <v>0.45</v>
      </c>
      <c r="AZ124" s="61">
        <v>53</v>
      </c>
      <c r="BA124" s="61">
        <v>9</v>
      </c>
      <c r="BB124" s="66">
        <v>0.15</v>
      </c>
      <c r="BC124" s="66">
        <v>0.48</v>
      </c>
      <c r="BD124" s="66">
        <v>0.33</v>
      </c>
      <c r="BE124" s="66">
        <v>0.04</v>
      </c>
      <c r="BF124" s="66">
        <v>0.4</v>
      </c>
      <c r="BG124" s="66">
        <v>0.43</v>
      </c>
      <c r="BH124" s="66">
        <v>0.45</v>
      </c>
      <c r="BI124" s="66">
        <v>0.53</v>
      </c>
      <c r="BJ124" s="66">
        <v>0.32</v>
      </c>
      <c r="BK124" s="66">
        <v>0.36</v>
      </c>
      <c r="BL124" s="349">
        <v>48</v>
      </c>
      <c r="BM124" s="348" t="s">
        <v>910</v>
      </c>
      <c r="BN124" s="349">
        <v>11</v>
      </c>
      <c r="BO124" s="348" t="s">
        <v>910</v>
      </c>
      <c r="BP124" s="371">
        <v>0.28999999999999998</v>
      </c>
      <c r="BQ124" s="371">
        <v>0.44</v>
      </c>
      <c r="BR124" s="371">
        <v>0.24</v>
      </c>
      <c r="BS124" s="371">
        <v>0.03</v>
      </c>
      <c r="BT124" s="371">
        <v>0.47</v>
      </c>
      <c r="BU124" s="371">
        <v>0.52</v>
      </c>
      <c r="BV124" s="371">
        <v>0.56000000000000005</v>
      </c>
      <c r="BW124" s="371">
        <v>0.44</v>
      </c>
      <c r="BX124" s="371">
        <v>0.49</v>
      </c>
      <c r="BY124" s="371">
        <v>0.54</v>
      </c>
      <c r="BZ124" s="469">
        <v>49</v>
      </c>
      <c r="CA124" s="471" t="s">
        <v>910</v>
      </c>
      <c r="CB124" s="469">
        <v>10</v>
      </c>
      <c r="CC124" s="471" t="s">
        <v>910</v>
      </c>
      <c r="CD124" s="501">
        <v>0.21</v>
      </c>
      <c r="CE124" s="501">
        <v>0.54</v>
      </c>
      <c r="CF124" s="501">
        <v>0.24</v>
      </c>
      <c r="CG124" s="501">
        <v>0.01</v>
      </c>
      <c r="CH124" s="501">
        <v>0.53</v>
      </c>
      <c r="CI124" s="501">
        <v>0.45</v>
      </c>
      <c r="CJ124" s="501">
        <v>0.59</v>
      </c>
      <c r="CK124" s="501">
        <v>0.57999999999999996</v>
      </c>
      <c r="CL124" s="501">
        <v>0.49</v>
      </c>
      <c r="CM124" s="501">
        <v>0.61</v>
      </c>
      <c r="CN124" s="630">
        <v>50</v>
      </c>
      <c r="CO124" s="640" t="s">
        <v>910</v>
      </c>
      <c r="CP124" s="630">
        <v>10</v>
      </c>
      <c r="CQ124" s="640" t="s">
        <v>910</v>
      </c>
      <c r="CR124" s="644">
        <v>0.19</v>
      </c>
      <c r="CS124" s="644">
        <v>0.49</v>
      </c>
      <c r="CT124" s="644">
        <v>0.31</v>
      </c>
      <c r="CU124" s="644">
        <v>0.01</v>
      </c>
      <c r="CV124" s="644">
        <v>0.38</v>
      </c>
      <c r="CW124" s="644">
        <v>0.5</v>
      </c>
      <c r="CX124" s="644">
        <v>0.6</v>
      </c>
      <c r="CY124" s="644">
        <v>0.55000000000000004</v>
      </c>
      <c r="CZ124" s="644">
        <v>0.56000000000000005</v>
      </c>
      <c r="DA124" s="644">
        <v>0.61</v>
      </c>
    </row>
    <row r="125" spans="1:105" ht="24.9" customHeight="1" x14ac:dyDescent="0.25">
      <c r="A125" s="188" t="s">
        <v>50</v>
      </c>
      <c r="B125" s="1" t="s">
        <v>222</v>
      </c>
      <c r="C125" s="2">
        <v>1</v>
      </c>
      <c r="D125" s="16">
        <v>52</v>
      </c>
      <c r="E125" s="16">
        <v>10</v>
      </c>
      <c r="F125" s="96">
        <v>0.15</v>
      </c>
      <c r="G125" s="96">
        <v>0.49</v>
      </c>
      <c r="H125" s="96">
        <v>0.35</v>
      </c>
      <c r="I125" s="96">
        <v>0.01</v>
      </c>
      <c r="J125" s="96">
        <v>0.53</v>
      </c>
      <c r="K125" s="96">
        <v>0.47</v>
      </c>
      <c r="L125" s="96">
        <v>0.59</v>
      </c>
      <c r="M125" s="96">
        <v>0.39</v>
      </c>
      <c r="N125" s="96">
        <v>0.44</v>
      </c>
      <c r="O125" s="96">
        <v>0.5</v>
      </c>
      <c r="P125" s="36">
        <v>51</v>
      </c>
      <c r="Q125" s="36">
        <v>10</v>
      </c>
      <c r="R125" s="92">
        <v>0.13</v>
      </c>
      <c r="S125" s="92">
        <v>0.5</v>
      </c>
      <c r="T125" s="92">
        <v>0.36</v>
      </c>
      <c r="U125" s="92">
        <v>0.01</v>
      </c>
      <c r="V125" s="92">
        <v>0.41</v>
      </c>
      <c r="W125" s="92">
        <v>0.49</v>
      </c>
      <c r="X125" s="92">
        <v>0.59</v>
      </c>
      <c r="Y125" s="92">
        <v>0.43</v>
      </c>
      <c r="Z125" s="92">
        <v>0.41</v>
      </c>
      <c r="AA125" s="92">
        <v>0.54</v>
      </c>
      <c r="AB125" s="16">
        <v>50</v>
      </c>
      <c r="AC125" s="16">
        <v>11</v>
      </c>
      <c r="AD125" s="96">
        <v>0.22</v>
      </c>
      <c r="AE125" s="96">
        <v>0.47</v>
      </c>
      <c r="AF125" s="96">
        <v>0.3</v>
      </c>
      <c r="AG125" s="96">
        <v>0.01</v>
      </c>
      <c r="AH125" s="96">
        <v>0.41</v>
      </c>
      <c r="AI125" s="96">
        <v>0.41</v>
      </c>
      <c r="AJ125" s="96">
        <v>0.41</v>
      </c>
      <c r="AK125" s="96">
        <v>0.47</v>
      </c>
      <c r="AL125" s="96">
        <v>0.51</v>
      </c>
      <c r="AM125" s="96">
        <v>0.53</v>
      </c>
      <c r="AN125" s="16">
        <v>48</v>
      </c>
      <c r="AO125" s="16">
        <v>9</v>
      </c>
      <c r="AP125" s="96">
        <v>0.23</v>
      </c>
      <c r="AQ125" s="96">
        <v>0.57999999999999996</v>
      </c>
      <c r="AR125" s="96">
        <v>0.18</v>
      </c>
      <c r="AS125" s="96">
        <v>0.02</v>
      </c>
      <c r="AT125" s="96">
        <v>0.63</v>
      </c>
      <c r="AU125" s="96">
        <v>0.43</v>
      </c>
      <c r="AV125" s="96">
        <v>0.48</v>
      </c>
      <c r="AW125" s="96">
        <v>0.47</v>
      </c>
      <c r="AX125" s="96">
        <v>0.47</v>
      </c>
      <c r="AY125" s="96">
        <v>0.49</v>
      </c>
      <c r="AZ125" s="61">
        <v>51</v>
      </c>
      <c r="BA125" s="61">
        <v>10</v>
      </c>
      <c r="BB125" s="66">
        <v>0.13</v>
      </c>
      <c r="BC125" s="66">
        <v>0.57999999999999996</v>
      </c>
      <c r="BD125" s="66">
        <v>0.28000000000000003</v>
      </c>
      <c r="BE125" s="66">
        <v>0</v>
      </c>
      <c r="BF125" s="66">
        <v>0.48</v>
      </c>
      <c r="BG125" s="66">
        <v>0.48</v>
      </c>
      <c r="BH125" s="66">
        <v>0.47</v>
      </c>
      <c r="BI125" s="66">
        <v>0.52</v>
      </c>
      <c r="BJ125" s="66">
        <v>0.41</v>
      </c>
      <c r="BK125" s="66">
        <v>0.4</v>
      </c>
      <c r="BL125" s="349">
        <v>47</v>
      </c>
      <c r="BM125" s="348" t="s">
        <v>910</v>
      </c>
      <c r="BN125" s="349">
        <v>12</v>
      </c>
      <c r="BO125" s="348" t="s">
        <v>910</v>
      </c>
      <c r="BP125" s="371">
        <v>0.31</v>
      </c>
      <c r="BQ125" s="371">
        <v>0.46</v>
      </c>
      <c r="BR125" s="371">
        <v>0.21</v>
      </c>
      <c r="BS125" s="371">
        <v>0.02</v>
      </c>
      <c r="BT125" s="371">
        <v>0.5</v>
      </c>
      <c r="BU125" s="371">
        <v>0.51</v>
      </c>
      <c r="BV125" s="371">
        <v>0.56000000000000005</v>
      </c>
      <c r="BW125" s="371">
        <v>0.43</v>
      </c>
      <c r="BX125" s="371">
        <v>0.51</v>
      </c>
      <c r="BY125" s="371">
        <v>0.56000000000000005</v>
      </c>
      <c r="BZ125" s="469">
        <v>51</v>
      </c>
      <c r="CA125" s="471" t="s">
        <v>910</v>
      </c>
      <c r="CB125" s="469">
        <v>10</v>
      </c>
      <c r="CC125" s="471" t="s">
        <v>910</v>
      </c>
      <c r="CD125" s="501">
        <v>0.22</v>
      </c>
      <c r="CE125" s="501">
        <v>0.41</v>
      </c>
      <c r="CF125" s="501">
        <v>0.36</v>
      </c>
      <c r="CG125" s="501">
        <v>0</v>
      </c>
      <c r="CH125" s="501">
        <v>0.5</v>
      </c>
      <c r="CI125" s="501">
        <v>0.36</v>
      </c>
      <c r="CJ125" s="501">
        <v>0.55000000000000004</v>
      </c>
      <c r="CK125" s="501">
        <v>0.52</v>
      </c>
      <c r="CL125" s="501">
        <v>0.45</v>
      </c>
      <c r="CM125" s="501">
        <v>0.52</v>
      </c>
    </row>
    <row r="126" spans="1:105" s="461" customFormat="1" ht="24.9" customHeight="1" x14ac:dyDescent="0.25">
      <c r="A126" s="470" t="s">
        <v>968</v>
      </c>
      <c r="B126" s="1" t="s">
        <v>220</v>
      </c>
      <c r="C126" s="471">
        <v>3</v>
      </c>
      <c r="D126" s="502"/>
      <c r="E126" s="502"/>
      <c r="F126" s="501"/>
      <c r="G126" s="501"/>
      <c r="H126" s="501"/>
      <c r="I126" s="501"/>
      <c r="J126" s="501"/>
      <c r="K126" s="501"/>
      <c r="L126" s="501"/>
      <c r="M126" s="501"/>
      <c r="N126" s="501"/>
      <c r="O126" s="501"/>
      <c r="P126" s="512"/>
      <c r="Q126" s="512"/>
      <c r="R126" s="504"/>
      <c r="S126" s="504"/>
      <c r="T126" s="504"/>
      <c r="U126" s="504"/>
      <c r="V126" s="504"/>
      <c r="W126" s="504"/>
      <c r="X126" s="504"/>
      <c r="Y126" s="504"/>
      <c r="Z126" s="504"/>
      <c r="AA126" s="504"/>
      <c r="AB126" s="502"/>
      <c r="AC126" s="502"/>
      <c r="AD126" s="501"/>
      <c r="AE126" s="501"/>
      <c r="AF126" s="501"/>
      <c r="AG126" s="501"/>
      <c r="AH126" s="501"/>
      <c r="AI126" s="501"/>
      <c r="AJ126" s="501"/>
      <c r="AK126" s="501"/>
      <c r="AL126" s="501"/>
      <c r="AM126" s="501"/>
      <c r="AN126" s="502"/>
      <c r="AO126" s="502"/>
      <c r="AP126" s="501"/>
      <c r="AQ126" s="501"/>
      <c r="AR126" s="501"/>
      <c r="AS126" s="501"/>
      <c r="AT126" s="501"/>
      <c r="AU126" s="501"/>
      <c r="AV126" s="501"/>
      <c r="AW126" s="501"/>
      <c r="AX126" s="501"/>
      <c r="AY126" s="501"/>
      <c r="AZ126" s="472"/>
      <c r="BA126" s="472"/>
      <c r="BB126" s="506"/>
      <c r="BC126" s="506"/>
      <c r="BD126" s="506"/>
      <c r="BE126" s="506"/>
      <c r="BF126" s="506"/>
      <c r="BG126" s="506"/>
      <c r="BH126" s="506"/>
      <c r="BI126" s="506"/>
      <c r="BJ126" s="506"/>
      <c r="BK126" s="506"/>
      <c r="BL126" s="475"/>
      <c r="BM126" s="493"/>
      <c r="BN126" s="475"/>
      <c r="BO126" s="493"/>
      <c r="BP126" s="507"/>
      <c r="BQ126" s="507"/>
      <c r="BR126" s="507"/>
      <c r="BS126" s="507"/>
      <c r="BT126" s="507"/>
      <c r="BU126" s="507"/>
      <c r="BV126" s="507"/>
      <c r="BW126" s="507"/>
      <c r="BX126" s="507"/>
      <c r="BY126" s="507"/>
      <c r="BZ126" s="469">
        <v>50</v>
      </c>
      <c r="CA126" s="471" t="s">
        <v>910</v>
      </c>
      <c r="CB126" s="469">
        <v>11</v>
      </c>
      <c r="CC126" s="471" t="s">
        <v>910</v>
      </c>
      <c r="CD126" s="501">
        <v>0.2</v>
      </c>
      <c r="CE126" s="501">
        <v>0.46</v>
      </c>
      <c r="CF126" s="501">
        <v>0.32</v>
      </c>
      <c r="CG126" s="501">
        <v>0.02</v>
      </c>
      <c r="CH126" s="501">
        <v>0.47</v>
      </c>
      <c r="CI126" s="501">
        <v>0.45</v>
      </c>
      <c r="CJ126" s="501">
        <v>0.56000000000000005</v>
      </c>
      <c r="CK126" s="501">
        <v>0.52</v>
      </c>
      <c r="CL126" s="501">
        <v>0.48</v>
      </c>
      <c r="CM126" s="501">
        <v>0.54</v>
      </c>
      <c r="CN126" s="630">
        <v>51</v>
      </c>
      <c r="CO126" s="640" t="s">
        <v>910</v>
      </c>
      <c r="CP126" s="630">
        <v>10</v>
      </c>
      <c r="CQ126" s="640" t="s">
        <v>910</v>
      </c>
      <c r="CR126" s="644">
        <v>0.17</v>
      </c>
      <c r="CS126" s="644">
        <v>0.48</v>
      </c>
      <c r="CT126" s="644">
        <v>0.35</v>
      </c>
      <c r="CU126" s="644">
        <v>0.01</v>
      </c>
      <c r="CV126" s="644">
        <v>0.34</v>
      </c>
      <c r="CW126" s="644">
        <v>0.56000000000000005</v>
      </c>
      <c r="CX126" s="644">
        <v>0.56000000000000005</v>
      </c>
      <c r="CY126" s="644">
        <v>0.69</v>
      </c>
      <c r="CZ126" s="644">
        <v>0.56999999999999995</v>
      </c>
      <c r="DA126" s="644">
        <v>0.53</v>
      </c>
    </row>
    <row r="127" spans="1:105" ht="24.9" customHeight="1" x14ac:dyDescent="0.25">
      <c r="A127" s="188" t="s">
        <v>290</v>
      </c>
      <c r="B127" s="1" t="s">
        <v>222</v>
      </c>
      <c r="C127" s="2">
        <v>6</v>
      </c>
      <c r="D127" s="16">
        <v>50</v>
      </c>
      <c r="E127" s="16">
        <v>8</v>
      </c>
      <c r="F127" s="96">
        <v>0.14000000000000001</v>
      </c>
      <c r="G127" s="96">
        <v>0.61</v>
      </c>
      <c r="H127" s="96">
        <v>0.24</v>
      </c>
      <c r="I127" s="96">
        <v>0.01</v>
      </c>
      <c r="J127" s="96">
        <v>0.54</v>
      </c>
      <c r="K127" s="96">
        <v>0.49</v>
      </c>
      <c r="L127" s="96">
        <v>0.59</v>
      </c>
      <c r="M127" s="96">
        <v>0.44</v>
      </c>
      <c r="N127" s="96">
        <v>0.43</v>
      </c>
      <c r="O127" s="96">
        <v>0.55000000000000004</v>
      </c>
      <c r="P127" s="36">
        <v>50</v>
      </c>
      <c r="Q127" s="36">
        <v>10</v>
      </c>
      <c r="R127" s="92">
        <v>0.17</v>
      </c>
      <c r="S127" s="92">
        <v>0.5</v>
      </c>
      <c r="T127" s="92">
        <v>0.31</v>
      </c>
      <c r="U127" s="92">
        <v>0.02</v>
      </c>
      <c r="V127" s="92">
        <v>0.41</v>
      </c>
      <c r="W127" s="92">
        <v>0.49</v>
      </c>
      <c r="X127" s="92">
        <v>0.57999999999999996</v>
      </c>
      <c r="Y127" s="92">
        <v>0.45</v>
      </c>
      <c r="Z127" s="92">
        <v>0.48</v>
      </c>
      <c r="AA127" s="92">
        <v>0.49</v>
      </c>
      <c r="AB127" s="16">
        <v>48</v>
      </c>
      <c r="AC127" s="16">
        <v>10</v>
      </c>
      <c r="AD127" s="96">
        <v>0.23</v>
      </c>
      <c r="AE127" s="96">
        <v>0.52</v>
      </c>
      <c r="AF127" s="96">
        <v>0.24</v>
      </c>
      <c r="AG127" s="96">
        <v>0.01</v>
      </c>
      <c r="AH127" s="96">
        <v>0.45</v>
      </c>
      <c r="AI127" s="96">
        <v>0.46</v>
      </c>
      <c r="AJ127" s="96">
        <v>0.44</v>
      </c>
      <c r="AK127" s="96">
        <v>0.52</v>
      </c>
      <c r="AL127" s="96">
        <v>0.56999999999999995</v>
      </c>
      <c r="AM127" s="96">
        <v>0.56000000000000005</v>
      </c>
      <c r="AN127" s="16">
        <v>46</v>
      </c>
      <c r="AO127" s="16">
        <v>9</v>
      </c>
      <c r="AP127" s="96">
        <v>0.32</v>
      </c>
      <c r="AQ127" s="96">
        <v>0.53</v>
      </c>
      <c r="AR127" s="96">
        <v>0.15</v>
      </c>
      <c r="AS127" s="96">
        <v>0</v>
      </c>
      <c r="AT127" s="96">
        <v>0.57999999999999996</v>
      </c>
      <c r="AU127" s="96">
        <v>0.49</v>
      </c>
      <c r="AV127" s="96">
        <v>0.49</v>
      </c>
      <c r="AW127" s="96">
        <v>0.51</v>
      </c>
      <c r="AX127" s="96">
        <v>0.53</v>
      </c>
      <c r="AY127" s="96">
        <v>0.52</v>
      </c>
      <c r="AZ127" s="61">
        <v>48</v>
      </c>
      <c r="BA127" s="61">
        <v>10</v>
      </c>
      <c r="BB127" s="66">
        <v>0.23</v>
      </c>
      <c r="BC127" s="66">
        <v>0.54</v>
      </c>
      <c r="BD127" s="66">
        <v>0.22</v>
      </c>
      <c r="BE127" s="66">
        <v>0.01</v>
      </c>
      <c r="BF127" s="66">
        <v>0.51</v>
      </c>
      <c r="BG127" s="66">
        <v>0.5</v>
      </c>
      <c r="BH127" s="66">
        <v>0.53</v>
      </c>
      <c r="BI127" s="66">
        <v>0.64</v>
      </c>
      <c r="BJ127" s="66">
        <v>0.45</v>
      </c>
      <c r="BK127" s="66">
        <v>0.48</v>
      </c>
      <c r="BL127" s="349">
        <v>46</v>
      </c>
      <c r="BM127" s="348" t="s">
        <v>910</v>
      </c>
      <c r="BN127" s="349">
        <v>10</v>
      </c>
      <c r="BO127" s="348" t="s">
        <v>910</v>
      </c>
      <c r="BP127" s="371">
        <v>0.31</v>
      </c>
      <c r="BQ127" s="371">
        <v>0.53</v>
      </c>
      <c r="BR127" s="371">
        <v>0.17</v>
      </c>
      <c r="BS127" s="371">
        <v>0</v>
      </c>
      <c r="BT127" s="371">
        <v>0.5</v>
      </c>
      <c r="BU127" s="371">
        <v>0.52</v>
      </c>
      <c r="BV127" s="371">
        <v>0.62</v>
      </c>
      <c r="BW127" s="371">
        <v>0.49</v>
      </c>
      <c r="BX127" s="371">
        <v>0.52</v>
      </c>
      <c r="BY127" s="371">
        <v>0.56999999999999995</v>
      </c>
      <c r="BZ127" s="469">
        <v>46</v>
      </c>
      <c r="CA127" s="471" t="s">
        <v>910</v>
      </c>
      <c r="CB127" s="469">
        <v>11</v>
      </c>
      <c r="CC127" s="471" t="s">
        <v>910</v>
      </c>
      <c r="CD127" s="501">
        <v>0.36</v>
      </c>
      <c r="CE127" s="501">
        <v>0.42</v>
      </c>
      <c r="CF127" s="501">
        <v>0.21</v>
      </c>
      <c r="CG127" s="501">
        <v>0.01</v>
      </c>
      <c r="CH127" s="501">
        <v>0.52</v>
      </c>
      <c r="CI127" s="501">
        <v>0.45</v>
      </c>
      <c r="CJ127" s="501">
        <v>0.63</v>
      </c>
      <c r="CK127" s="501">
        <v>0.63</v>
      </c>
      <c r="CL127" s="501">
        <v>0.44</v>
      </c>
      <c r="CM127" s="501">
        <v>0.6</v>
      </c>
      <c r="CN127" s="630">
        <v>48</v>
      </c>
      <c r="CO127" s="640" t="s">
        <v>910</v>
      </c>
      <c r="CP127" s="630">
        <v>10</v>
      </c>
      <c r="CQ127" s="640" t="s">
        <v>910</v>
      </c>
      <c r="CR127" s="644">
        <v>0.27</v>
      </c>
      <c r="CS127" s="644">
        <v>0.45</v>
      </c>
      <c r="CT127" s="644">
        <v>0.28000000000000003</v>
      </c>
      <c r="CU127" s="644">
        <v>0</v>
      </c>
      <c r="CV127" s="644">
        <v>0.47</v>
      </c>
      <c r="CW127" s="644">
        <v>0.56000000000000005</v>
      </c>
      <c r="CX127" s="644">
        <v>0.57999999999999996</v>
      </c>
      <c r="CY127" s="644">
        <v>0.68</v>
      </c>
      <c r="CZ127" s="644">
        <v>0.6</v>
      </c>
      <c r="DA127" s="644">
        <v>0.64</v>
      </c>
    </row>
    <row r="128" spans="1:105" s="461" customFormat="1" ht="24.9" customHeight="1" x14ac:dyDescent="0.25">
      <c r="A128" s="470" t="s">
        <v>970</v>
      </c>
      <c r="B128" s="1" t="s">
        <v>220</v>
      </c>
      <c r="C128" s="471">
        <v>2</v>
      </c>
      <c r="D128" s="502"/>
      <c r="E128" s="502"/>
      <c r="F128" s="501"/>
      <c r="G128" s="501"/>
      <c r="H128" s="501"/>
      <c r="I128" s="501"/>
      <c r="J128" s="501"/>
      <c r="K128" s="501"/>
      <c r="L128" s="501"/>
      <c r="M128" s="501"/>
      <c r="N128" s="501"/>
      <c r="O128" s="501"/>
      <c r="P128" s="512"/>
      <c r="Q128" s="512"/>
      <c r="R128" s="504"/>
      <c r="S128" s="504"/>
      <c r="T128" s="504"/>
      <c r="U128" s="504"/>
      <c r="V128" s="504"/>
      <c r="W128" s="504"/>
      <c r="X128" s="504"/>
      <c r="Y128" s="504"/>
      <c r="Z128" s="504"/>
      <c r="AA128" s="504"/>
      <c r="AB128" s="502"/>
      <c r="AC128" s="502"/>
      <c r="AD128" s="501"/>
      <c r="AE128" s="501"/>
      <c r="AF128" s="501"/>
      <c r="AG128" s="501"/>
      <c r="AH128" s="501"/>
      <c r="AI128" s="501"/>
      <c r="AJ128" s="501"/>
      <c r="AK128" s="501"/>
      <c r="AL128" s="501"/>
      <c r="AM128" s="501"/>
      <c r="AN128" s="502"/>
      <c r="AO128" s="502"/>
      <c r="AP128" s="501"/>
      <c r="AQ128" s="501"/>
      <c r="AR128" s="501"/>
      <c r="AS128" s="501"/>
      <c r="AT128" s="501"/>
      <c r="AU128" s="501"/>
      <c r="AV128" s="501"/>
      <c r="AW128" s="501"/>
      <c r="AX128" s="501"/>
      <c r="AY128" s="501"/>
      <c r="AZ128" s="472"/>
      <c r="BA128" s="472"/>
      <c r="BB128" s="506"/>
      <c r="BC128" s="506"/>
      <c r="BD128" s="506"/>
      <c r="BE128" s="506"/>
      <c r="BF128" s="506"/>
      <c r="BG128" s="506"/>
      <c r="BH128" s="506"/>
      <c r="BI128" s="506"/>
      <c r="BJ128" s="506"/>
      <c r="BK128" s="506"/>
      <c r="BL128" s="475"/>
      <c r="BM128" s="493"/>
      <c r="BN128" s="475"/>
      <c r="BO128" s="493"/>
      <c r="BP128" s="507"/>
      <c r="BQ128" s="507"/>
      <c r="BR128" s="507"/>
      <c r="BS128" s="507"/>
      <c r="BT128" s="507"/>
      <c r="BU128" s="507"/>
      <c r="BV128" s="507"/>
      <c r="BW128" s="507"/>
      <c r="BX128" s="507"/>
      <c r="BY128" s="507"/>
      <c r="BZ128" s="469">
        <v>47</v>
      </c>
      <c r="CA128" s="471" t="s">
        <v>910</v>
      </c>
      <c r="CB128" s="469">
        <v>10</v>
      </c>
      <c r="CC128" s="471" t="s">
        <v>910</v>
      </c>
      <c r="CD128" s="501">
        <v>0.28999999999999998</v>
      </c>
      <c r="CE128" s="501">
        <v>0.51</v>
      </c>
      <c r="CF128" s="501">
        <v>0.2</v>
      </c>
      <c r="CG128" s="501">
        <v>0</v>
      </c>
      <c r="CH128" s="501">
        <v>0.46</v>
      </c>
      <c r="CI128" s="501">
        <v>0.57999999999999996</v>
      </c>
      <c r="CJ128" s="501">
        <v>0.63</v>
      </c>
      <c r="CK128" s="501">
        <v>0.59</v>
      </c>
      <c r="CL128" s="501">
        <v>0.44</v>
      </c>
      <c r="CM128" s="501">
        <v>0.63</v>
      </c>
      <c r="CN128" s="630">
        <v>48</v>
      </c>
      <c r="CO128" s="640" t="s">
        <v>910</v>
      </c>
      <c r="CP128" s="630">
        <v>10</v>
      </c>
      <c r="CQ128" s="640" t="s">
        <v>910</v>
      </c>
      <c r="CR128" s="644">
        <v>0.24</v>
      </c>
      <c r="CS128" s="644">
        <v>0.52</v>
      </c>
      <c r="CT128" s="644">
        <v>0.24</v>
      </c>
      <c r="CU128" s="644">
        <v>0</v>
      </c>
      <c r="CV128" s="644">
        <v>0.4</v>
      </c>
      <c r="CW128" s="644">
        <v>0.61</v>
      </c>
      <c r="CX128" s="644">
        <v>0.61</v>
      </c>
      <c r="CY128" s="644">
        <v>0.68</v>
      </c>
      <c r="CZ128" s="644">
        <v>0.57999999999999996</v>
      </c>
      <c r="DA128" s="644">
        <v>0.6</v>
      </c>
    </row>
    <row r="129" spans="1:105" ht="24.9" customHeight="1" x14ac:dyDescent="0.25">
      <c r="A129" s="188" t="s">
        <v>193</v>
      </c>
      <c r="B129" s="1" t="s">
        <v>222</v>
      </c>
      <c r="C129" s="2">
        <v>2</v>
      </c>
      <c r="D129" s="16">
        <v>48</v>
      </c>
      <c r="E129" s="16">
        <v>7</v>
      </c>
      <c r="F129" s="96">
        <v>0</v>
      </c>
      <c r="G129" s="96">
        <v>1</v>
      </c>
      <c r="H129" s="96">
        <v>0</v>
      </c>
      <c r="I129" s="96">
        <v>0</v>
      </c>
      <c r="J129" s="96">
        <v>0.67</v>
      </c>
      <c r="K129" s="96">
        <v>0.61</v>
      </c>
      <c r="L129" s="96">
        <v>0.63</v>
      </c>
      <c r="M129" s="96">
        <v>0.36</v>
      </c>
      <c r="N129" s="96">
        <v>0.56000000000000005</v>
      </c>
      <c r="O129" s="96">
        <v>0.67</v>
      </c>
      <c r="P129" s="13" t="s">
        <v>226</v>
      </c>
      <c r="Q129" s="13" t="s">
        <v>226</v>
      </c>
      <c r="R129" s="92"/>
      <c r="S129" s="92"/>
      <c r="T129" s="92"/>
      <c r="U129" s="92"/>
      <c r="V129" s="92"/>
      <c r="W129" s="92"/>
      <c r="X129" s="92"/>
      <c r="Y129" s="92"/>
      <c r="Z129" s="92"/>
      <c r="AA129" s="92"/>
      <c r="AB129" s="13" t="s">
        <v>226</v>
      </c>
      <c r="AC129" s="13" t="s">
        <v>226</v>
      </c>
      <c r="AD129" s="2"/>
      <c r="AE129" s="2"/>
      <c r="AF129" s="2"/>
      <c r="AG129" s="2"/>
      <c r="AH129" s="2"/>
      <c r="AI129" s="2"/>
      <c r="AJ129" s="2"/>
      <c r="AK129" s="2"/>
      <c r="AL129" s="2"/>
      <c r="AM129" s="2"/>
      <c r="AN129" s="13" t="s">
        <v>226</v>
      </c>
      <c r="AO129" s="13" t="s">
        <v>226</v>
      </c>
      <c r="AP129" s="2"/>
      <c r="AQ129" s="2"/>
      <c r="AR129" s="2"/>
      <c r="AS129" s="2"/>
      <c r="AT129" s="2"/>
      <c r="AU129" s="2"/>
      <c r="AV129" s="2"/>
      <c r="AW129" s="2"/>
      <c r="AX129" s="2"/>
      <c r="AY129" s="2"/>
      <c r="AZ129" s="61">
        <v>45</v>
      </c>
      <c r="BA129" s="61">
        <v>9</v>
      </c>
      <c r="BB129" s="66">
        <v>0.38</v>
      </c>
      <c r="BC129" s="66">
        <v>0.48</v>
      </c>
      <c r="BD129" s="66">
        <v>0.15</v>
      </c>
      <c r="BE129" s="66">
        <v>0</v>
      </c>
      <c r="BF129" s="66">
        <v>0.55000000000000004</v>
      </c>
      <c r="BG129" s="66">
        <v>0.55000000000000004</v>
      </c>
      <c r="BH129" s="66">
        <v>0.56999999999999995</v>
      </c>
      <c r="BI129" s="66">
        <v>0.63</v>
      </c>
      <c r="BJ129" s="66">
        <v>0.54</v>
      </c>
      <c r="BK129" s="66">
        <v>0.5</v>
      </c>
      <c r="BL129" s="349">
        <v>36</v>
      </c>
      <c r="BM129" s="348" t="s">
        <v>912</v>
      </c>
      <c r="BN129" s="349">
        <v>8</v>
      </c>
      <c r="BO129" s="348" t="s">
        <v>910</v>
      </c>
      <c r="BP129" s="371">
        <v>0.78</v>
      </c>
      <c r="BQ129" s="371">
        <v>0.22</v>
      </c>
      <c r="BR129" s="371">
        <v>0</v>
      </c>
      <c r="BS129" s="371">
        <v>0</v>
      </c>
      <c r="BT129" s="371">
        <v>0.56000000000000005</v>
      </c>
      <c r="BU129" s="371">
        <v>0.81</v>
      </c>
      <c r="BV129" s="371">
        <v>0.75</v>
      </c>
      <c r="BW129" s="371">
        <v>0.59</v>
      </c>
      <c r="BX129" s="371">
        <v>0.63</v>
      </c>
      <c r="BY129" s="371">
        <v>0.68</v>
      </c>
    </row>
    <row r="130" spans="1:105" ht="24.9" customHeight="1" x14ac:dyDescent="0.25">
      <c r="A130" s="188" t="s">
        <v>233</v>
      </c>
      <c r="B130" s="1" t="s">
        <v>222</v>
      </c>
      <c r="C130" s="2">
        <v>4</v>
      </c>
      <c r="D130" s="13" t="s">
        <v>226</v>
      </c>
      <c r="E130" s="13" t="s">
        <v>226</v>
      </c>
      <c r="F130" s="13"/>
      <c r="G130" s="13"/>
      <c r="H130" s="13"/>
      <c r="I130" s="13"/>
      <c r="J130" s="13"/>
      <c r="K130" s="13"/>
      <c r="L130" s="13"/>
      <c r="M130" s="13"/>
      <c r="N130" s="13"/>
      <c r="O130" s="13"/>
      <c r="P130" s="13" t="s">
        <v>226</v>
      </c>
      <c r="Q130" s="13" t="s">
        <v>226</v>
      </c>
      <c r="R130" s="92"/>
      <c r="S130" s="92"/>
      <c r="T130" s="92"/>
      <c r="U130" s="92"/>
      <c r="V130" s="92"/>
      <c r="W130" s="92"/>
      <c r="X130" s="92"/>
      <c r="Y130" s="92"/>
      <c r="Z130" s="92"/>
      <c r="AA130" s="92"/>
      <c r="AB130" s="16">
        <v>54</v>
      </c>
      <c r="AC130" s="16">
        <v>2</v>
      </c>
      <c r="AD130" s="96">
        <v>0</v>
      </c>
      <c r="AE130" s="96">
        <v>1</v>
      </c>
      <c r="AF130" s="96">
        <v>0</v>
      </c>
      <c r="AG130" s="96">
        <v>0</v>
      </c>
      <c r="AH130" s="96">
        <v>0.33</v>
      </c>
      <c r="AI130" s="96">
        <v>0.2</v>
      </c>
      <c r="AJ130" s="96">
        <v>0.47</v>
      </c>
      <c r="AK130" s="96">
        <v>0.3</v>
      </c>
      <c r="AL130" s="96">
        <v>0.6</v>
      </c>
      <c r="AM130" s="96">
        <v>0.28999999999999998</v>
      </c>
      <c r="AN130" s="13" t="s">
        <v>226</v>
      </c>
      <c r="AO130" s="13" t="s">
        <v>226</v>
      </c>
      <c r="AP130" s="2"/>
      <c r="AQ130" s="2"/>
      <c r="AR130" s="2"/>
      <c r="AS130" s="2"/>
      <c r="AT130" s="2"/>
      <c r="AU130" s="2"/>
      <c r="AV130" s="2"/>
      <c r="AW130" s="2"/>
      <c r="AX130" s="2"/>
      <c r="AY130" s="2"/>
      <c r="AZ130" s="61"/>
      <c r="BA130" s="61"/>
      <c r="BB130" s="66"/>
      <c r="BC130" s="66"/>
      <c r="BD130" s="66"/>
      <c r="BE130" s="66"/>
      <c r="BF130" s="66"/>
      <c r="BG130" s="66"/>
      <c r="BH130" s="66"/>
      <c r="BI130" s="66"/>
      <c r="BJ130" s="66"/>
      <c r="BK130" s="66"/>
    </row>
    <row r="131" spans="1:105" ht="24.9" customHeight="1" x14ac:dyDescent="0.25">
      <c r="A131" s="188" t="s">
        <v>158</v>
      </c>
      <c r="B131" s="1" t="s">
        <v>222</v>
      </c>
      <c r="C131" s="2">
        <v>5</v>
      </c>
      <c r="D131" s="16">
        <v>53</v>
      </c>
      <c r="E131" s="16">
        <v>10</v>
      </c>
      <c r="F131" s="96">
        <v>0.14000000000000001</v>
      </c>
      <c r="G131" s="96">
        <v>0.49</v>
      </c>
      <c r="H131" s="96">
        <v>0.35</v>
      </c>
      <c r="I131" s="96">
        <v>0.02</v>
      </c>
      <c r="J131" s="96">
        <v>0.52</v>
      </c>
      <c r="K131" s="96">
        <v>0.44</v>
      </c>
      <c r="L131" s="96">
        <v>0.6</v>
      </c>
      <c r="M131" s="96">
        <v>0.38</v>
      </c>
      <c r="N131" s="96">
        <v>0.37</v>
      </c>
      <c r="O131" s="96">
        <v>0.49</v>
      </c>
      <c r="P131" s="13">
        <v>55</v>
      </c>
      <c r="Q131" s="13">
        <v>9</v>
      </c>
      <c r="R131" s="92">
        <v>7.0000000000000007E-2</v>
      </c>
      <c r="S131" s="92">
        <v>0.44</v>
      </c>
      <c r="T131" s="92">
        <v>0.47</v>
      </c>
      <c r="U131" s="92">
        <v>0.02</v>
      </c>
      <c r="V131" s="92">
        <v>0.33</v>
      </c>
      <c r="W131" s="92">
        <v>0.41</v>
      </c>
      <c r="X131" s="92">
        <v>0.51</v>
      </c>
      <c r="Y131" s="92">
        <v>0.39</v>
      </c>
      <c r="Z131" s="92">
        <v>0.41</v>
      </c>
      <c r="AA131" s="92">
        <v>0.5</v>
      </c>
      <c r="AB131" s="16">
        <v>50</v>
      </c>
      <c r="AC131" s="16">
        <v>11</v>
      </c>
      <c r="AD131" s="96">
        <v>0.19</v>
      </c>
      <c r="AE131" s="96">
        <v>0.4</v>
      </c>
      <c r="AF131" s="96">
        <v>0.38</v>
      </c>
      <c r="AG131" s="96">
        <v>0.02</v>
      </c>
      <c r="AH131" s="96">
        <v>0.45</v>
      </c>
      <c r="AI131" s="96">
        <v>0.39</v>
      </c>
      <c r="AJ131" s="96">
        <v>0.37</v>
      </c>
      <c r="AK131" s="96">
        <v>0.49</v>
      </c>
      <c r="AL131" s="96">
        <v>0.57999999999999996</v>
      </c>
      <c r="AM131" s="96">
        <v>0.51</v>
      </c>
      <c r="AN131" s="13">
        <v>47</v>
      </c>
      <c r="AO131" s="13">
        <v>9</v>
      </c>
      <c r="AP131" s="96">
        <v>0.21</v>
      </c>
      <c r="AQ131" s="96">
        <v>0.6</v>
      </c>
      <c r="AR131" s="96">
        <v>0.19</v>
      </c>
      <c r="AS131" s="96">
        <v>0</v>
      </c>
      <c r="AT131" s="96">
        <v>0.59</v>
      </c>
      <c r="AU131" s="96">
        <v>0.46</v>
      </c>
      <c r="AV131" s="96">
        <v>0.48</v>
      </c>
      <c r="AW131" s="96">
        <v>0.47</v>
      </c>
      <c r="AX131" s="96">
        <v>0.5</v>
      </c>
      <c r="AY131" s="96">
        <v>0.51</v>
      </c>
      <c r="AZ131" s="61">
        <v>53</v>
      </c>
      <c r="BA131" s="61">
        <v>10</v>
      </c>
      <c r="BB131" s="66">
        <v>0.13</v>
      </c>
      <c r="BC131" s="66">
        <v>0.38</v>
      </c>
      <c r="BD131" s="66">
        <v>0.49</v>
      </c>
      <c r="BE131" s="66">
        <v>0</v>
      </c>
      <c r="BF131" s="66">
        <v>0.47</v>
      </c>
      <c r="BG131" s="66">
        <v>0.42</v>
      </c>
      <c r="BH131" s="66">
        <v>0.41</v>
      </c>
      <c r="BI131" s="66">
        <v>0.48</v>
      </c>
      <c r="BJ131" s="66">
        <v>0.34</v>
      </c>
      <c r="BK131" s="66">
        <v>0.35</v>
      </c>
      <c r="BL131" s="349">
        <v>50</v>
      </c>
      <c r="BM131" s="348" t="s">
        <v>910</v>
      </c>
      <c r="BN131" s="349">
        <v>11</v>
      </c>
      <c r="BO131" s="348" t="s">
        <v>910</v>
      </c>
      <c r="BP131" s="371">
        <v>0.26</v>
      </c>
      <c r="BQ131" s="371">
        <v>0.38</v>
      </c>
      <c r="BR131" s="371">
        <v>0.34</v>
      </c>
      <c r="BS131" s="371">
        <v>0.02</v>
      </c>
      <c r="BT131" s="371">
        <v>0.49</v>
      </c>
      <c r="BU131" s="371">
        <v>0.48</v>
      </c>
      <c r="BV131" s="371">
        <v>0.5</v>
      </c>
      <c r="BW131" s="371">
        <v>0.43</v>
      </c>
      <c r="BX131" s="371">
        <v>0.46</v>
      </c>
      <c r="BY131" s="371">
        <v>0.51</v>
      </c>
      <c r="BZ131" s="469">
        <v>50</v>
      </c>
      <c r="CA131" s="471" t="s">
        <v>910</v>
      </c>
      <c r="CB131" s="469">
        <v>11</v>
      </c>
      <c r="CC131" s="471" t="s">
        <v>910</v>
      </c>
      <c r="CD131" s="501">
        <v>0.16</v>
      </c>
      <c r="CE131" s="501">
        <v>0.52</v>
      </c>
      <c r="CF131" s="501">
        <v>0.28999999999999998</v>
      </c>
      <c r="CG131" s="501">
        <v>0.02</v>
      </c>
      <c r="CH131" s="501">
        <v>0.56000000000000005</v>
      </c>
      <c r="CI131" s="501">
        <v>0.46</v>
      </c>
      <c r="CJ131" s="501">
        <v>0.56000000000000005</v>
      </c>
      <c r="CK131" s="501">
        <v>0.54</v>
      </c>
      <c r="CL131" s="501">
        <v>0.43</v>
      </c>
      <c r="CM131" s="501">
        <v>0.56000000000000005</v>
      </c>
      <c r="CN131" s="630">
        <v>53</v>
      </c>
      <c r="CO131" s="640" t="s">
        <v>910</v>
      </c>
      <c r="CP131" s="630">
        <v>10</v>
      </c>
      <c r="CQ131" s="640" t="s">
        <v>910</v>
      </c>
      <c r="CR131" s="644">
        <v>0.13</v>
      </c>
      <c r="CS131" s="644">
        <v>0.43</v>
      </c>
      <c r="CT131" s="644">
        <v>0.39</v>
      </c>
      <c r="CU131" s="644">
        <v>0.06</v>
      </c>
      <c r="CV131" s="644">
        <v>0.31</v>
      </c>
      <c r="CW131" s="644">
        <v>0.48</v>
      </c>
      <c r="CX131" s="644">
        <v>0.54</v>
      </c>
      <c r="CY131" s="644">
        <v>0.55000000000000004</v>
      </c>
      <c r="CZ131" s="644">
        <v>0.44</v>
      </c>
      <c r="DA131" s="644">
        <v>0.55000000000000004</v>
      </c>
    </row>
    <row r="132" spans="1:105" ht="24.9" customHeight="1" x14ac:dyDescent="0.25">
      <c r="A132" s="188" t="s">
        <v>216</v>
      </c>
      <c r="B132" s="1" t="s">
        <v>222</v>
      </c>
      <c r="C132" s="2">
        <v>6</v>
      </c>
      <c r="D132" s="16">
        <v>30</v>
      </c>
      <c r="E132" s="16">
        <v>0</v>
      </c>
      <c r="F132" s="96">
        <v>1</v>
      </c>
      <c r="G132" s="96">
        <v>0</v>
      </c>
      <c r="H132" s="96">
        <v>0</v>
      </c>
      <c r="I132" s="96">
        <v>0</v>
      </c>
      <c r="J132" s="96">
        <v>0.67</v>
      </c>
      <c r="K132" s="96">
        <v>0.78</v>
      </c>
      <c r="L132" s="96">
        <v>0.5</v>
      </c>
      <c r="M132" s="96">
        <v>1</v>
      </c>
      <c r="N132" s="96">
        <v>0.78</v>
      </c>
      <c r="O132" s="96">
        <v>0.67</v>
      </c>
      <c r="P132" s="13" t="s">
        <v>228</v>
      </c>
      <c r="Q132" s="13" t="s">
        <v>228</v>
      </c>
      <c r="R132" s="92"/>
      <c r="S132" s="92"/>
      <c r="T132" s="92"/>
      <c r="U132" s="92"/>
      <c r="V132" s="92"/>
      <c r="W132" s="92"/>
      <c r="X132" s="92"/>
      <c r="Y132" s="92"/>
      <c r="Z132" s="92"/>
      <c r="AA132" s="92"/>
      <c r="AB132" s="13" t="s">
        <v>226</v>
      </c>
      <c r="AC132" s="13" t="s">
        <v>226</v>
      </c>
      <c r="AD132" s="2"/>
      <c r="AE132" s="2"/>
      <c r="AF132" s="2"/>
      <c r="AG132" s="2"/>
      <c r="AH132" s="2"/>
      <c r="AI132" s="2"/>
      <c r="AJ132" s="2"/>
      <c r="AK132" s="2"/>
      <c r="AL132" s="2"/>
      <c r="AM132" s="2"/>
      <c r="AN132" s="13" t="s">
        <v>226</v>
      </c>
      <c r="AO132" s="13" t="s">
        <v>226</v>
      </c>
      <c r="AP132" s="2"/>
      <c r="AQ132" s="2"/>
      <c r="AR132" s="2"/>
      <c r="AS132" s="2"/>
      <c r="AT132" s="2"/>
      <c r="AU132" s="2"/>
      <c r="AV132" s="2"/>
      <c r="AW132" s="2"/>
      <c r="AX132" s="2"/>
      <c r="AY132" s="2"/>
      <c r="AZ132" s="61"/>
      <c r="BA132" s="61"/>
      <c r="BB132" s="66"/>
      <c r="BC132" s="66"/>
      <c r="BD132" s="66"/>
      <c r="BE132" s="66"/>
      <c r="BF132" s="66"/>
      <c r="BG132" s="66"/>
      <c r="BH132" s="66"/>
      <c r="BI132" s="66"/>
      <c r="BJ132" s="66"/>
      <c r="BK132" s="66"/>
      <c r="BL132" s="349">
        <v>55</v>
      </c>
      <c r="BM132" s="348" t="s">
        <v>910</v>
      </c>
      <c r="BN132" s="349">
        <v>0</v>
      </c>
      <c r="BO132" s="348" t="s">
        <v>912</v>
      </c>
      <c r="BP132" s="371">
        <v>0</v>
      </c>
      <c r="BQ132" s="371">
        <v>1</v>
      </c>
      <c r="BR132" s="371">
        <v>0</v>
      </c>
      <c r="BS132" s="371">
        <v>0</v>
      </c>
      <c r="BT132" s="371">
        <v>0</v>
      </c>
      <c r="BU132" s="371">
        <v>0.33</v>
      </c>
      <c r="BV132" s="371">
        <v>0</v>
      </c>
      <c r="BW132" s="371">
        <v>0.36</v>
      </c>
      <c r="BX132" s="371">
        <v>0.56000000000000005</v>
      </c>
      <c r="BY132" s="371">
        <v>0.6</v>
      </c>
    </row>
    <row r="133" spans="1:105" ht="24.9" customHeight="1" x14ac:dyDescent="0.25">
      <c r="A133" s="188" t="s">
        <v>120</v>
      </c>
      <c r="B133" s="1" t="s">
        <v>222</v>
      </c>
      <c r="C133" s="2">
        <v>4</v>
      </c>
      <c r="D133" s="16">
        <v>55</v>
      </c>
      <c r="E133" s="16">
        <v>8</v>
      </c>
      <c r="F133" s="96">
        <v>0.06</v>
      </c>
      <c r="G133" s="96">
        <v>0.5</v>
      </c>
      <c r="H133" s="96">
        <v>0.44</v>
      </c>
      <c r="I133" s="96">
        <v>0</v>
      </c>
      <c r="J133" s="96">
        <v>0.44</v>
      </c>
      <c r="K133" s="96">
        <v>0.45</v>
      </c>
      <c r="L133" s="96">
        <v>0.46</v>
      </c>
      <c r="M133" s="96">
        <v>0.39</v>
      </c>
      <c r="N133" s="96">
        <v>0.31</v>
      </c>
      <c r="O133" s="96">
        <v>0.41</v>
      </c>
      <c r="P133" s="16">
        <v>54</v>
      </c>
      <c r="Q133" s="16">
        <v>8</v>
      </c>
      <c r="R133" s="92">
        <v>0.05</v>
      </c>
      <c r="S133" s="92">
        <v>0.5</v>
      </c>
      <c r="T133" s="92">
        <v>0.45</v>
      </c>
      <c r="U133" s="92">
        <v>0</v>
      </c>
      <c r="V133" s="92">
        <v>0.38</v>
      </c>
      <c r="W133" s="92">
        <v>0.44</v>
      </c>
      <c r="X133" s="92">
        <v>0.47</v>
      </c>
      <c r="Y133" s="92">
        <v>0.44</v>
      </c>
      <c r="Z133" s="92">
        <v>0.39</v>
      </c>
      <c r="AA133" s="92">
        <v>0.36</v>
      </c>
      <c r="AB133" s="16">
        <v>57</v>
      </c>
      <c r="AC133" s="16">
        <v>6</v>
      </c>
      <c r="AD133" s="96">
        <v>0</v>
      </c>
      <c r="AE133" s="96">
        <v>0.36</v>
      </c>
      <c r="AF133" s="96">
        <v>0.64</v>
      </c>
      <c r="AG133" s="96">
        <v>0</v>
      </c>
      <c r="AH133" s="96">
        <v>0.32</v>
      </c>
      <c r="AI133" s="96">
        <v>0.32</v>
      </c>
      <c r="AJ133" s="96">
        <v>0.27</v>
      </c>
      <c r="AK133" s="96">
        <v>0.35</v>
      </c>
      <c r="AL133" s="96">
        <v>0.47</v>
      </c>
      <c r="AM133" s="96">
        <v>0.45</v>
      </c>
      <c r="AN133" s="16">
        <v>53</v>
      </c>
      <c r="AO133" s="16">
        <v>10</v>
      </c>
      <c r="AP133" s="96">
        <v>0.15</v>
      </c>
      <c r="AQ133" s="96">
        <v>0.38</v>
      </c>
      <c r="AR133" s="96">
        <v>0.46</v>
      </c>
      <c r="AS133" s="96">
        <v>0</v>
      </c>
      <c r="AT133" s="96">
        <v>0.52</v>
      </c>
      <c r="AU133" s="96">
        <v>0.41</v>
      </c>
      <c r="AV133" s="96">
        <v>0.38</v>
      </c>
      <c r="AW133" s="96">
        <v>0.35</v>
      </c>
      <c r="AX133" s="96">
        <v>0.46</v>
      </c>
      <c r="AY133" s="96">
        <v>0.39</v>
      </c>
      <c r="AZ133" s="61">
        <v>52</v>
      </c>
      <c r="BA133" s="61">
        <v>10</v>
      </c>
      <c r="BB133" s="66">
        <v>0.17</v>
      </c>
      <c r="BC133" s="66">
        <v>0.33</v>
      </c>
      <c r="BD133" s="66">
        <v>0.5</v>
      </c>
      <c r="BE133" s="66">
        <v>0</v>
      </c>
      <c r="BF133" s="66">
        <v>0.42</v>
      </c>
      <c r="BG133" s="66">
        <v>0.43</v>
      </c>
      <c r="BH133" s="66">
        <v>0.37</v>
      </c>
      <c r="BI133" s="66">
        <v>0.56000000000000005</v>
      </c>
      <c r="BJ133" s="66">
        <v>0.46</v>
      </c>
      <c r="BK133" s="66">
        <v>0.4</v>
      </c>
      <c r="BL133" s="349">
        <v>48</v>
      </c>
      <c r="BM133" s="348" t="s">
        <v>910</v>
      </c>
      <c r="BN133" s="349">
        <v>11</v>
      </c>
      <c r="BO133" s="348" t="s">
        <v>910</v>
      </c>
      <c r="BP133" s="371">
        <v>0.23</v>
      </c>
      <c r="BQ133" s="371">
        <v>0.5</v>
      </c>
      <c r="BR133" s="371">
        <v>0.27</v>
      </c>
      <c r="BS133" s="371">
        <v>0</v>
      </c>
      <c r="BT133" s="371">
        <v>0.4</v>
      </c>
      <c r="BU133" s="371">
        <v>0.56000000000000005</v>
      </c>
      <c r="BV133" s="371">
        <v>0.56000000000000005</v>
      </c>
      <c r="BW133" s="371">
        <v>0.39</v>
      </c>
      <c r="BX133" s="371">
        <v>0.47</v>
      </c>
      <c r="BY133" s="371">
        <v>0.5</v>
      </c>
      <c r="BZ133" s="469">
        <v>57</v>
      </c>
      <c r="CA133" s="471" t="s">
        <v>910</v>
      </c>
      <c r="CB133" s="469">
        <v>10</v>
      </c>
      <c r="CC133" s="471" t="s">
        <v>910</v>
      </c>
      <c r="CD133" s="501">
        <v>0.06</v>
      </c>
      <c r="CE133" s="501">
        <v>0.35</v>
      </c>
      <c r="CF133" s="501">
        <v>0.53</v>
      </c>
      <c r="CG133" s="501">
        <v>0.06</v>
      </c>
      <c r="CH133" s="501">
        <v>0.24</v>
      </c>
      <c r="CI133" s="501">
        <v>0.35</v>
      </c>
      <c r="CJ133" s="501">
        <v>0.38</v>
      </c>
      <c r="CK133" s="501">
        <v>0.46</v>
      </c>
      <c r="CL133" s="501">
        <v>0.46</v>
      </c>
      <c r="CM133" s="501">
        <v>0.45</v>
      </c>
      <c r="CN133" s="630">
        <v>47</v>
      </c>
      <c r="CO133" s="640" t="s">
        <v>910</v>
      </c>
      <c r="CP133" s="630">
        <v>10</v>
      </c>
      <c r="CQ133" s="640" t="s">
        <v>910</v>
      </c>
      <c r="CR133" s="644">
        <v>0.27</v>
      </c>
      <c r="CS133" s="644">
        <v>0.45</v>
      </c>
      <c r="CT133" s="644">
        <v>0.27</v>
      </c>
      <c r="CU133" s="644">
        <v>0</v>
      </c>
      <c r="CV133" s="644">
        <v>0.37</v>
      </c>
      <c r="CW133" s="644">
        <v>0.66</v>
      </c>
      <c r="CX133" s="644">
        <v>0.56999999999999995</v>
      </c>
      <c r="CY133" s="644">
        <v>0.6</v>
      </c>
      <c r="CZ133" s="644">
        <v>0.66</v>
      </c>
      <c r="DA133" s="644">
        <v>0.71</v>
      </c>
    </row>
    <row r="134" spans="1:105" ht="24.9" customHeight="1" x14ac:dyDescent="0.25">
      <c r="A134" s="188" t="s">
        <v>52</v>
      </c>
      <c r="B134" s="1" t="s">
        <v>222</v>
      </c>
      <c r="C134" s="2">
        <v>6</v>
      </c>
      <c r="D134" s="16">
        <v>54</v>
      </c>
      <c r="E134" s="16">
        <v>9</v>
      </c>
      <c r="F134" s="96">
        <v>0.09</v>
      </c>
      <c r="G134" s="96">
        <v>0.52</v>
      </c>
      <c r="H134" s="96">
        <v>0.36</v>
      </c>
      <c r="I134" s="96">
        <v>0.03</v>
      </c>
      <c r="J134" s="96">
        <v>0.47</v>
      </c>
      <c r="K134" s="96">
        <v>0.48</v>
      </c>
      <c r="L134" s="96">
        <v>0.59</v>
      </c>
      <c r="M134" s="96">
        <v>0.41</v>
      </c>
      <c r="N134" s="96">
        <v>0.4</v>
      </c>
      <c r="O134" s="96">
        <v>0.48</v>
      </c>
      <c r="P134" s="16">
        <v>53</v>
      </c>
      <c r="Q134" s="16">
        <v>9</v>
      </c>
      <c r="R134" s="92">
        <v>0.11</v>
      </c>
      <c r="S134" s="92">
        <v>0.45</v>
      </c>
      <c r="T134" s="92">
        <v>0.45</v>
      </c>
      <c r="U134" s="92">
        <v>0</v>
      </c>
      <c r="V134" s="92">
        <v>0.38</v>
      </c>
      <c r="W134" s="92">
        <v>0.43</v>
      </c>
      <c r="X134" s="92">
        <v>0.54</v>
      </c>
      <c r="Y134" s="92">
        <v>0.42</v>
      </c>
      <c r="Z134" s="92">
        <v>0.41</v>
      </c>
      <c r="AA134" s="92">
        <v>0.49</v>
      </c>
      <c r="AB134" s="16">
        <v>51</v>
      </c>
      <c r="AC134" s="16">
        <v>10</v>
      </c>
      <c r="AD134" s="96">
        <v>0.16</v>
      </c>
      <c r="AE134" s="96">
        <v>0.51</v>
      </c>
      <c r="AF134" s="96">
        <v>0.31</v>
      </c>
      <c r="AG134" s="96">
        <v>0.02</v>
      </c>
      <c r="AH134" s="96">
        <v>0.45</v>
      </c>
      <c r="AI134" s="96">
        <v>0.4</v>
      </c>
      <c r="AJ134" s="96">
        <v>0.4</v>
      </c>
      <c r="AK134" s="96">
        <v>0.47</v>
      </c>
      <c r="AL134" s="96">
        <v>0.55000000000000004</v>
      </c>
      <c r="AM134" s="96">
        <v>0.53</v>
      </c>
      <c r="AN134" s="16">
        <v>50</v>
      </c>
      <c r="AO134" s="16">
        <v>13</v>
      </c>
      <c r="AP134" s="96">
        <v>0.27</v>
      </c>
      <c r="AQ134" s="96">
        <v>0.35</v>
      </c>
      <c r="AR134" s="96">
        <v>0.36</v>
      </c>
      <c r="AS134" s="96">
        <v>0.02</v>
      </c>
      <c r="AT134" s="96">
        <v>0.56000000000000005</v>
      </c>
      <c r="AU134" s="96">
        <v>0.43</v>
      </c>
      <c r="AV134" s="96">
        <v>0.41</v>
      </c>
      <c r="AW134" s="96">
        <v>0.45</v>
      </c>
      <c r="AX134" s="96">
        <v>0.46</v>
      </c>
      <c r="AY134" s="96">
        <v>0.48</v>
      </c>
      <c r="AZ134" s="61">
        <v>52</v>
      </c>
      <c r="BA134" s="61">
        <v>10</v>
      </c>
      <c r="BB134" s="66">
        <v>0.12</v>
      </c>
      <c r="BC134" s="66">
        <v>0.49</v>
      </c>
      <c r="BD134" s="66">
        <v>0.39</v>
      </c>
      <c r="BE134" s="66">
        <v>0</v>
      </c>
      <c r="BF134" s="66">
        <v>0.48</v>
      </c>
      <c r="BG134" s="66">
        <v>0.46</v>
      </c>
      <c r="BH134" s="66">
        <v>0.43</v>
      </c>
      <c r="BI134" s="66">
        <v>0.55000000000000004</v>
      </c>
      <c r="BJ134" s="66">
        <v>0.38</v>
      </c>
      <c r="BK134" s="66">
        <v>0.34</v>
      </c>
      <c r="BL134" s="349">
        <v>49</v>
      </c>
      <c r="BM134" s="348" t="s">
        <v>910</v>
      </c>
      <c r="BN134" s="349">
        <v>11</v>
      </c>
      <c r="BO134" s="348" t="s">
        <v>910</v>
      </c>
      <c r="BP134" s="371">
        <v>0.25</v>
      </c>
      <c r="BQ134" s="371">
        <v>0.38</v>
      </c>
      <c r="BR134" s="371">
        <v>0.38</v>
      </c>
      <c r="BS134" s="371">
        <v>0</v>
      </c>
      <c r="BT134" s="371">
        <v>0.51</v>
      </c>
      <c r="BU134" s="371">
        <v>0.43</v>
      </c>
      <c r="BV134" s="371">
        <v>0.5</v>
      </c>
      <c r="BW134" s="371">
        <v>0.41</v>
      </c>
      <c r="BX134" s="371">
        <v>0.51</v>
      </c>
      <c r="BY134" s="371">
        <v>0.53</v>
      </c>
      <c r="BZ134" s="469">
        <v>54</v>
      </c>
      <c r="CA134" s="471" t="s">
        <v>910</v>
      </c>
      <c r="CB134" s="469">
        <v>10</v>
      </c>
      <c r="CC134" s="471" t="s">
        <v>910</v>
      </c>
      <c r="CD134" s="501">
        <v>0.11</v>
      </c>
      <c r="CE134" s="501">
        <v>0.45</v>
      </c>
      <c r="CF134" s="501">
        <v>0.39</v>
      </c>
      <c r="CG134" s="501">
        <v>0.05</v>
      </c>
      <c r="CH134" s="501">
        <v>0.49</v>
      </c>
      <c r="CI134" s="501">
        <v>0.28000000000000003</v>
      </c>
      <c r="CJ134" s="501">
        <v>0.51</v>
      </c>
      <c r="CK134" s="501">
        <v>0.53</v>
      </c>
      <c r="CL134" s="501">
        <v>0.42</v>
      </c>
      <c r="CM134" s="501">
        <v>0.6</v>
      </c>
      <c r="CN134" s="630">
        <v>52</v>
      </c>
      <c r="CO134" s="640" t="s">
        <v>910</v>
      </c>
      <c r="CP134" s="630">
        <v>9</v>
      </c>
      <c r="CQ134" s="640" t="s">
        <v>910</v>
      </c>
      <c r="CR134" s="644">
        <v>0.05</v>
      </c>
      <c r="CS134" s="644">
        <v>0.56000000000000005</v>
      </c>
      <c r="CT134" s="644">
        <v>0.37</v>
      </c>
      <c r="CU134" s="644">
        <v>0.02</v>
      </c>
      <c r="CV134" s="644">
        <v>0.32</v>
      </c>
      <c r="CW134" s="644">
        <v>0.52</v>
      </c>
      <c r="CX134" s="644">
        <v>0.55000000000000004</v>
      </c>
      <c r="CY134" s="644">
        <v>0.8</v>
      </c>
      <c r="CZ134" s="644">
        <v>0.52</v>
      </c>
      <c r="DA134" s="644">
        <v>0.42</v>
      </c>
    </row>
    <row r="135" spans="1:105" ht="24.9" customHeight="1" x14ac:dyDescent="0.25">
      <c r="A135" s="188" t="s">
        <v>40</v>
      </c>
      <c r="B135" s="1" t="s">
        <v>222</v>
      </c>
      <c r="C135" s="2">
        <v>2</v>
      </c>
      <c r="D135" s="16">
        <v>50</v>
      </c>
      <c r="E135" s="16">
        <v>8</v>
      </c>
      <c r="F135" s="96">
        <v>0.18</v>
      </c>
      <c r="G135" s="96">
        <v>0.54</v>
      </c>
      <c r="H135" s="96">
        <v>0.28000000000000003</v>
      </c>
      <c r="I135" s="96">
        <v>0</v>
      </c>
      <c r="J135" s="96">
        <v>0.57999999999999996</v>
      </c>
      <c r="K135" s="96">
        <v>0.53</v>
      </c>
      <c r="L135" s="96">
        <v>0.64</v>
      </c>
      <c r="M135" s="96">
        <v>0.4</v>
      </c>
      <c r="N135" s="96">
        <v>0.47</v>
      </c>
      <c r="O135" s="96">
        <v>0.49</v>
      </c>
      <c r="P135" s="16">
        <v>51</v>
      </c>
      <c r="Q135" s="16">
        <v>9</v>
      </c>
      <c r="R135" s="92">
        <v>0.14000000000000001</v>
      </c>
      <c r="S135" s="92">
        <v>0.56000000000000005</v>
      </c>
      <c r="T135" s="92">
        <v>0.28000000000000003</v>
      </c>
      <c r="U135" s="92">
        <v>0.02</v>
      </c>
      <c r="V135" s="92">
        <v>0.41</v>
      </c>
      <c r="W135" s="92">
        <v>0.47</v>
      </c>
      <c r="X135" s="92">
        <v>0.57999999999999996</v>
      </c>
      <c r="Y135" s="92">
        <v>0.46</v>
      </c>
      <c r="Z135" s="92">
        <v>0.48</v>
      </c>
      <c r="AA135" s="92">
        <v>0.52</v>
      </c>
      <c r="AB135" s="16">
        <v>47</v>
      </c>
      <c r="AC135" s="16">
        <v>10</v>
      </c>
      <c r="AD135" s="96">
        <v>0.26</v>
      </c>
      <c r="AE135" s="96">
        <v>0.51</v>
      </c>
      <c r="AF135" s="96">
        <v>0.23</v>
      </c>
      <c r="AG135" s="96">
        <v>0</v>
      </c>
      <c r="AH135" s="96">
        <v>0.48</v>
      </c>
      <c r="AI135" s="96">
        <v>0.47</v>
      </c>
      <c r="AJ135" s="96">
        <v>0.49</v>
      </c>
      <c r="AK135" s="96">
        <v>0.53</v>
      </c>
      <c r="AL135" s="96">
        <v>0.55000000000000004</v>
      </c>
      <c r="AM135" s="96">
        <v>0.55000000000000004</v>
      </c>
      <c r="AN135" s="16">
        <v>47</v>
      </c>
      <c r="AO135" s="16">
        <v>11</v>
      </c>
      <c r="AP135" s="96">
        <v>0.33</v>
      </c>
      <c r="AQ135" s="96">
        <v>0.39</v>
      </c>
      <c r="AR135" s="96">
        <v>0.28000000000000003</v>
      </c>
      <c r="AS135" s="96">
        <v>0</v>
      </c>
      <c r="AT135" s="96">
        <v>0.53</v>
      </c>
      <c r="AU135" s="96">
        <v>0.48</v>
      </c>
      <c r="AV135" s="96">
        <v>0.5</v>
      </c>
      <c r="AW135" s="96">
        <v>0.49</v>
      </c>
      <c r="AX135" s="96">
        <v>0.52</v>
      </c>
      <c r="AY135" s="96">
        <v>0.51</v>
      </c>
      <c r="AZ135" s="61">
        <v>49</v>
      </c>
      <c r="BA135" s="61">
        <v>11</v>
      </c>
      <c r="BB135" s="66">
        <v>0.28999999999999998</v>
      </c>
      <c r="BC135" s="66">
        <v>0.41</v>
      </c>
      <c r="BD135" s="66">
        <v>0.28999999999999998</v>
      </c>
      <c r="BE135" s="66">
        <v>0.02</v>
      </c>
      <c r="BF135" s="66">
        <v>0.51</v>
      </c>
      <c r="BG135" s="66">
        <v>0.52</v>
      </c>
      <c r="BH135" s="66">
        <v>0.49</v>
      </c>
      <c r="BI135" s="66">
        <v>0.61</v>
      </c>
      <c r="BJ135" s="66">
        <v>0.44</v>
      </c>
      <c r="BK135" s="66">
        <v>0.42</v>
      </c>
      <c r="BL135" s="349">
        <v>49</v>
      </c>
      <c r="BM135" s="348" t="s">
        <v>910</v>
      </c>
      <c r="BN135" s="349">
        <v>11</v>
      </c>
      <c r="BO135" s="348" t="s">
        <v>910</v>
      </c>
      <c r="BP135" s="371">
        <v>0.28999999999999998</v>
      </c>
      <c r="BQ135" s="371">
        <v>0.47</v>
      </c>
      <c r="BR135" s="371">
        <v>0.24</v>
      </c>
      <c r="BS135" s="371">
        <v>0</v>
      </c>
      <c r="BT135" s="371">
        <v>0.5</v>
      </c>
      <c r="BU135" s="371">
        <v>0.42</v>
      </c>
      <c r="BV135" s="371">
        <v>0.62</v>
      </c>
      <c r="BW135" s="371">
        <v>0.44</v>
      </c>
      <c r="BX135" s="371">
        <v>0.47</v>
      </c>
      <c r="BY135" s="371">
        <v>0.56000000000000005</v>
      </c>
      <c r="BZ135" s="469">
        <v>47</v>
      </c>
      <c r="CA135" s="471" t="s">
        <v>910</v>
      </c>
      <c r="CB135" s="469">
        <v>10</v>
      </c>
      <c r="CC135" s="471" t="s">
        <v>910</v>
      </c>
      <c r="CD135" s="501">
        <v>0.31</v>
      </c>
      <c r="CE135" s="501">
        <v>0.46</v>
      </c>
      <c r="CF135" s="501">
        <v>0.24</v>
      </c>
      <c r="CG135" s="501">
        <v>0</v>
      </c>
      <c r="CH135" s="501">
        <v>0.53</v>
      </c>
      <c r="CI135" s="501">
        <v>0.39</v>
      </c>
      <c r="CJ135" s="501">
        <v>0.59</v>
      </c>
      <c r="CK135" s="501">
        <v>0.54</v>
      </c>
      <c r="CL135" s="501">
        <v>0.49</v>
      </c>
      <c r="CM135" s="501">
        <v>0.6</v>
      </c>
      <c r="CN135" s="630">
        <v>49</v>
      </c>
      <c r="CO135" s="640" t="s">
        <v>910</v>
      </c>
      <c r="CP135" s="630">
        <v>11</v>
      </c>
      <c r="CQ135" s="640" t="s">
        <v>910</v>
      </c>
      <c r="CR135" s="644">
        <v>0.16</v>
      </c>
      <c r="CS135" s="644">
        <v>0.54</v>
      </c>
      <c r="CT135" s="644">
        <v>0.3</v>
      </c>
      <c r="CU135" s="644">
        <v>0</v>
      </c>
      <c r="CV135" s="644">
        <v>0.39</v>
      </c>
      <c r="CW135" s="644">
        <v>0.59</v>
      </c>
      <c r="CX135" s="644">
        <v>0.59</v>
      </c>
      <c r="CY135" s="644">
        <v>0.66</v>
      </c>
      <c r="CZ135" s="644">
        <v>0.55000000000000004</v>
      </c>
      <c r="DA135" s="644">
        <v>0.47</v>
      </c>
    </row>
    <row r="136" spans="1:105" ht="24.9" customHeight="1" x14ac:dyDescent="0.25">
      <c r="A136" s="188" t="s">
        <v>229</v>
      </c>
      <c r="B136" s="1" t="s">
        <v>222</v>
      </c>
      <c r="C136" s="2">
        <v>2</v>
      </c>
      <c r="D136" s="13" t="s">
        <v>226</v>
      </c>
      <c r="E136" s="13" t="s">
        <v>226</v>
      </c>
      <c r="F136" s="13"/>
      <c r="G136" s="13"/>
      <c r="H136" s="13"/>
      <c r="I136" s="13"/>
      <c r="J136" s="13"/>
      <c r="K136" s="13"/>
      <c r="L136" s="13"/>
      <c r="M136" s="13"/>
      <c r="N136" s="13"/>
      <c r="O136" s="13"/>
      <c r="P136" s="16">
        <v>44</v>
      </c>
      <c r="Q136" s="16">
        <v>11</v>
      </c>
      <c r="R136" s="92">
        <v>0.5</v>
      </c>
      <c r="S136" s="92">
        <v>0.33</v>
      </c>
      <c r="T136" s="92">
        <v>0.17</v>
      </c>
      <c r="U136" s="92">
        <v>0</v>
      </c>
      <c r="V136" s="92">
        <v>0.59</v>
      </c>
      <c r="W136" s="92">
        <v>0.56000000000000005</v>
      </c>
      <c r="X136" s="92">
        <v>0.6</v>
      </c>
      <c r="Y136" s="92">
        <v>0.59</v>
      </c>
      <c r="Z136" s="92">
        <v>0.51</v>
      </c>
      <c r="AA136" s="92">
        <v>0.56000000000000005</v>
      </c>
      <c r="AB136" s="13" t="s">
        <v>226</v>
      </c>
      <c r="AC136" s="13" t="s">
        <v>226</v>
      </c>
      <c r="AD136" s="2"/>
      <c r="AE136" s="2"/>
      <c r="AF136" s="2"/>
      <c r="AG136" s="2"/>
      <c r="AH136" s="2"/>
      <c r="AI136" s="2"/>
      <c r="AJ136" s="2"/>
      <c r="AK136" s="2"/>
      <c r="AL136" s="2"/>
      <c r="AM136" s="2"/>
      <c r="AN136" s="13" t="s">
        <v>226</v>
      </c>
      <c r="AO136" s="13" t="s">
        <v>226</v>
      </c>
      <c r="AP136" s="2"/>
      <c r="AQ136" s="2"/>
      <c r="AR136" s="2"/>
      <c r="AS136" s="2"/>
      <c r="AT136" s="2"/>
      <c r="AU136" s="2"/>
      <c r="AV136" s="2"/>
      <c r="AW136" s="2"/>
      <c r="AX136" s="2"/>
      <c r="AY136" s="2"/>
      <c r="AZ136" s="61"/>
      <c r="BA136" s="61"/>
      <c r="BB136" s="66"/>
      <c r="BC136" s="66"/>
      <c r="BD136" s="66"/>
      <c r="BE136" s="66"/>
      <c r="BF136" s="66"/>
      <c r="BG136" s="66"/>
      <c r="BH136" s="66"/>
      <c r="BI136" s="66"/>
      <c r="BJ136" s="66"/>
      <c r="BK136" s="66"/>
      <c r="BZ136" s="469">
        <v>52</v>
      </c>
      <c r="CA136" s="471" t="s">
        <v>910</v>
      </c>
      <c r="CB136" s="469">
        <v>0</v>
      </c>
      <c r="CC136" s="471" t="s">
        <v>912</v>
      </c>
      <c r="CD136" s="501">
        <v>0</v>
      </c>
      <c r="CE136" s="501">
        <v>1</v>
      </c>
      <c r="CF136" s="501">
        <v>0</v>
      </c>
      <c r="CG136" s="501">
        <v>0</v>
      </c>
      <c r="CH136" s="471" t="s">
        <v>287</v>
      </c>
      <c r="CI136" s="501">
        <v>0</v>
      </c>
      <c r="CJ136" s="501">
        <v>0.75</v>
      </c>
      <c r="CK136" s="501">
        <v>0.33</v>
      </c>
      <c r="CL136" s="501">
        <v>0.75</v>
      </c>
      <c r="CM136" s="501">
        <v>0.4</v>
      </c>
      <c r="CN136" s="630">
        <v>41</v>
      </c>
      <c r="CO136" s="640" t="s">
        <v>912</v>
      </c>
      <c r="CP136" s="630">
        <v>8</v>
      </c>
      <c r="CQ136" s="640" t="s">
        <v>910</v>
      </c>
      <c r="CR136" s="644">
        <v>0.62</v>
      </c>
      <c r="CS136" s="644">
        <v>0.31</v>
      </c>
      <c r="CT136" s="644">
        <v>0.08</v>
      </c>
      <c r="CU136" s="644">
        <v>0</v>
      </c>
      <c r="CV136" s="644">
        <v>0.55000000000000004</v>
      </c>
      <c r="CW136" s="644">
        <v>0.76</v>
      </c>
      <c r="CX136" s="644">
        <v>0.7</v>
      </c>
      <c r="CY136" s="644">
        <v>1</v>
      </c>
      <c r="CZ136" s="644">
        <v>0.66</v>
      </c>
      <c r="DA136" s="644">
        <v>0.75</v>
      </c>
    </row>
    <row r="137" spans="1:105" s="461" customFormat="1" ht="24.9" customHeight="1" x14ac:dyDescent="0.25">
      <c r="A137" s="470" t="s">
        <v>972</v>
      </c>
      <c r="B137" s="1" t="s">
        <v>222</v>
      </c>
      <c r="C137" s="471">
        <v>4</v>
      </c>
      <c r="D137" s="505"/>
      <c r="E137" s="505"/>
      <c r="F137" s="505"/>
      <c r="G137" s="505"/>
      <c r="H137" s="505"/>
      <c r="I137" s="505"/>
      <c r="J137" s="505"/>
      <c r="K137" s="505"/>
      <c r="L137" s="505"/>
      <c r="M137" s="505"/>
      <c r="N137" s="505"/>
      <c r="O137" s="505"/>
      <c r="P137" s="502"/>
      <c r="Q137" s="502"/>
      <c r="R137" s="504"/>
      <c r="S137" s="504"/>
      <c r="T137" s="504"/>
      <c r="U137" s="504"/>
      <c r="V137" s="504"/>
      <c r="W137" s="504"/>
      <c r="X137" s="504"/>
      <c r="Y137" s="504"/>
      <c r="Z137" s="504"/>
      <c r="AA137" s="504"/>
      <c r="AB137" s="505"/>
      <c r="AC137" s="505"/>
      <c r="AD137" s="471"/>
      <c r="AE137" s="471"/>
      <c r="AF137" s="471"/>
      <c r="AG137" s="471"/>
      <c r="AH137" s="471"/>
      <c r="AI137" s="471"/>
      <c r="AJ137" s="471"/>
      <c r="AK137" s="471"/>
      <c r="AL137" s="471"/>
      <c r="AM137" s="471"/>
      <c r="AN137" s="505"/>
      <c r="AO137" s="505"/>
      <c r="AP137" s="471"/>
      <c r="AQ137" s="471"/>
      <c r="AR137" s="471"/>
      <c r="AS137" s="471"/>
      <c r="AT137" s="471"/>
      <c r="AU137" s="471"/>
      <c r="AV137" s="471"/>
      <c r="AW137" s="471"/>
      <c r="AX137" s="471"/>
      <c r="AY137" s="471"/>
      <c r="AZ137" s="472"/>
      <c r="BA137" s="472"/>
      <c r="BB137" s="506"/>
      <c r="BC137" s="506"/>
      <c r="BD137" s="506"/>
      <c r="BE137" s="506"/>
      <c r="BF137" s="506"/>
      <c r="BG137" s="506"/>
      <c r="BH137" s="506"/>
      <c r="BI137" s="506"/>
      <c r="BJ137" s="506"/>
      <c r="BK137" s="506"/>
      <c r="BZ137" s="469">
        <v>43</v>
      </c>
      <c r="CA137" s="471" t="s">
        <v>910</v>
      </c>
      <c r="CB137" s="469">
        <v>10</v>
      </c>
      <c r="CC137" s="471" t="s">
        <v>910</v>
      </c>
      <c r="CD137" s="501">
        <v>0.53</v>
      </c>
      <c r="CE137" s="501">
        <v>0.4</v>
      </c>
      <c r="CF137" s="501">
        <v>7.0000000000000007E-2</v>
      </c>
      <c r="CG137" s="501">
        <v>0</v>
      </c>
      <c r="CH137" s="501">
        <v>0.57999999999999996</v>
      </c>
      <c r="CI137" s="501">
        <v>0.6</v>
      </c>
      <c r="CJ137" s="501">
        <v>0.56000000000000005</v>
      </c>
      <c r="CK137" s="501">
        <v>0.75</v>
      </c>
      <c r="CL137" s="501">
        <v>0.5</v>
      </c>
      <c r="CM137" s="501">
        <v>0.53</v>
      </c>
      <c r="CN137" s="630">
        <v>40</v>
      </c>
      <c r="CO137" s="640" t="s">
        <v>912</v>
      </c>
      <c r="CP137" s="630">
        <v>8</v>
      </c>
      <c r="CQ137" s="640" t="s">
        <v>910</v>
      </c>
      <c r="CR137" s="644">
        <v>0.54</v>
      </c>
      <c r="CS137" s="644">
        <v>0.46</v>
      </c>
      <c r="CT137" s="644">
        <v>0</v>
      </c>
      <c r="CU137" s="644">
        <v>0</v>
      </c>
      <c r="CV137" s="644">
        <v>0.45</v>
      </c>
      <c r="CW137" s="644">
        <v>0.72</v>
      </c>
      <c r="CX137" s="644">
        <v>0.73</v>
      </c>
      <c r="CY137" s="644">
        <v>0.8</v>
      </c>
      <c r="CZ137" s="644">
        <v>0.57999999999999996</v>
      </c>
      <c r="DA137" s="644">
        <v>0.71</v>
      </c>
    </row>
    <row r="138" spans="1:105" ht="24.9" customHeight="1" x14ac:dyDescent="0.25">
      <c r="A138" s="188" t="s">
        <v>155</v>
      </c>
      <c r="B138" s="1" t="s">
        <v>222</v>
      </c>
      <c r="C138" s="2">
        <v>5</v>
      </c>
      <c r="D138" s="16">
        <v>52</v>
      </c>
      <c r="E138" s="16">
        <v>12</v>
      </c>
      <c r="F138" s="96">
        <v>0</v>
      </c>
      <c r="G138" s="96">
        <v>0.67</v>
      </c>
      <c r="H138" s="96">
        <v>0.33</v>
      </c>
      <c r="I138" s="96">
        <v>0</v>
      </c>
      <c r="J138" s="96">
        <v>0.52</v>
      </c>
      <c r="K138" s="96">
        <v>0.37</v>
      </c>
      <c r="L138" s="96">
        <v>0.67</v>
      </c>
      <c r="M138" s="96">
        <v>0.48</v>
      </c>
      <c r="N138" s="96">
        <v>0.48</v>
      </c>
      <c r="O138" s="96">
        <v>0.33</v>
      </c>
      <c r="P138" s="16">
        <v>52</v>
      </c>
      <c r="Q138" s="16">
        <v>12</v>
      </c>
      <c r="R138" s="92">
        <v>0.17</v>
      </c>
      <c r="S138" s="92">
        <v>0.57999999999999996</v>
      </c>
      <c r="T138" s="92">
        <v>0.08</v>
      </c>
      <c r="U138" s="92">
        <v>0.17</v>
      </c>
      <c r="V138" s="92">
        <v>0.43</v>
      </c>
      <c r="W138" s="92">
        <v>0.45</v>
      </c>
      <c r="X138" s="92">
        <v>0.48</v>
      </c>
      <c r="Y138" s="92">
        <v>0.4</v>
      </c>
      <c r="Z138" s="92">
        <v>0.42</v>
      </c>
      <c r="AA138" s="92">
        <v>0.49</v>
      </c>
      <c r="AB138" s="13">
        <v>50</v>
      </c>
      <c r="AC138" s="13">
        <v>8</v>
      </c>
      <c r="AD138" s="96">
        <v>0</v>
      </c>
      <c r="AE138" s="96">
        <v>0.5</v>
      </c>
      <c r="AF138" s="96">
        <v>0.5</v>
      </c>
      <c r="AG138" s="96">
        <v>0</v>
      </c>
      <c r="AH138" s="96">
        <v>0.64</v>
      </c>
      <c r="AI138" s="96">
        <v>0.69</v>
      </c>
      <c r="AJ138" s="96">
        <v>0.35</v>
      </c>
      <c r="AK138" s="96">
        <v>0.32</v>
      </c>
      <c r="AL138" s="96">
        <v>0.43</v>
      </c>
      <c r="AM138" s="96">
        <v>0.71</v>
      </c>
      <c r="AN138" s="16">
        <v>43</v>
      </c>
      <c r="AO138" s="16">
        <v>6</v>
      </c>
      <c r="AP138" s="96">
        <v>0.2</v>
      </c>
      <c r="AQ138" s="96">
        <v>0.8</v>
      </c>
      <c r="AR138" s="96">
        <v>0</v>
      </c>
      <c r="AS138" s="96">
        <v>0</v>
      </c>
      <c r="AT138" s="96">
        <v>0.47</v>
      </c>
      <c r="AU138" s="96">
        <v>0.56000000000000005</v>
      </c>
      <c r="AV138" s="96">
        <v>0.52</v>
      </c>
      <c r="AW138" s="96">
        <v>0.64</v>
      </c>
      <c r="AX138" s="96">
        <v>0.53</v>
      </c>
      <c r="AY138" s="96">
        <v>0.68</v>
      </c>
      <c r="AZ138" s="61">
        <v>58</v>
      </c>
      <c r="BA138" s="61">
        <v>5</v>
      </c>
      <c r="BB138" s="66">
        <v>0</v>
      </c>
      <c r="BC138" s="66">
        <v>0.33</v>
      </c>
      <c r="BD138" s="66">
        <v>0.67</v>
      </c>
      <c r="BE138" s="66">
        <v>0</v>
      </c>
      <c r="BF138" s="66">
        <v>0.11</v>
      </c>
      <c r="BG138" s="66">
        <v>0.39</v>
      </c>
      <c r="BH138" s="66">
        <v>0.28999999999999998</v>
      </c>
      <c r="BI138" s="66">
        <v>0.22</v>
      </c>
      <c r="BJ138" s="66">
        <v>0.3</v>
      </c>
      <c r="BK138" s="66">
        <v>0.33</v>
      </c>
      <c r="BL138" s="349">
        <v>55</v>
      </c>
      <c r="BM138" s="348" t="s">
        <v>910</v>
      </c>
      <c r="BN138" s="349">
        <v>5</v>
      </c>
      <c r="BO138" s="348" t="s">
        <v>912</v>
      </c>
      <c r="BP138" s="371">
        <v>0</v>
      </c>
      <c r="BQ138" s="371">
        <v>0.5</v>
      </c>
      <c r="BR138" s="371">
        <v>0.5</v>
      </c>
      <c r="BS138" s="371">
        <v>0</v>
      </c>
      <c r="BT138" s="371">
        <v>0.22</v>
      </c>
      <c r="BU138" s="371">
        <v>0.35</v>
      </c>
      <c r="BV138" s="371">
        <v>0.33</v>
      </c>
      <c r="BW138" s="371">
        <v>0.39</v>
      </c>
      <c r="BX138" s="371">
        <v>0.41</v>
      </c>
      <c r="BY138" s="371">
        <v>0.5</v>
      </c>
      <c r="BZ138" s="469">
        <v>47</v>
      </c>
      <c r="CA138" s="471" t="s">
        <v>910</v>
      </c>
      <c r="CB138" s="469">
        <v>7</v>
      </c>
      <c r="CC138" s="471" t="s">
        <v>912</v>
      </c>
      <c r="CD138" s="501">
        <v>0.25</v>
      </c>
      <c r="CE138" s="501">
        <v>0.75</v>
      </c>
      <c r="CF138" s="501">
        <v>0</v>
      </c>
      <c r="CG138" s="501">
        <v>0</v>
      </c>
      <c r="CH138" s="501">
        <v>0.75</v>
      </c>
      <c r="CI138" s="501">
        <v>0.43</v>
      </c>
      <c r="CJ138" s="501">
        <v>0.47</v>
      </c>
      <c r="CK138" s="501">
        <v>0.63</v>
      </c>
      <c r="CL138" s="501">
        <v>0.5</v>
      </c>
      <c r="CM138" s="501">
        <v>0.31</v>
      </c>
      <c r="CN138" s="630">
        <v>52</v>
      </c>
      <c r="CO138" s="640" t="s">
        <v>910</v>
      </c>
      <c r="CP138" s="630">
        <v>11</v>
      </c>
      <c r="CQ138" s="640" t="s">
        <v>910</v>
      </c>
      <c r="CR138" s="644">
        <v>0</v>
      </c>
      <c r="CS138" s="644">
        <v>0.5</v>
      </c>
      <c r="CT138" s="644">
        <v>0.5</v>
      </c>
      <c r="CU138" s="644">
        <v>0</v>
      </c>
      <c r="CV138" s="644">
        <v>0.4</v>
      </c>
      <c r="CW138" s="644">
        <v>0.5</v>
      </c>
      <c r="CX138" s="644">
        <v>0.45</v>
      </c>
      <c r="CY138" s="644">
        <v>0.67</v>
      </c>
      <c r="CZ138" s="644">
        <v>0.45</v>
      </c>
      <c r="DA138" s="644">
        <v>0.33</v>
      </c>
    </row>
    <row r="139" spans="1:105" ht="24.9" customHeight="1" x14ac:dyDescent="0.25">
      <c r="A139" s="188" t="s">
        <v>235</v>
      </c>
      <c r="B139" s="1" t="s">
        <v>222</v>
      </c>
      <c r="C139" s="2">
        <v>2</v>
      </c>
      <c r="D139" s="13" t="s">
        <v>226</v>
      </c>
      <c r="E139" s="13" t="s">
        <v>226</v>
      </c>
      <c r="F139" s="13"/>
      <c r="G139" s="13"/>
      <c r="H139" s="13"/>
      <c r="I139" s="13"/>
      <c r="J139" s="13"/>
      <c r="K139" s="13"/>
      <c r="L139" s="13"/>
      <c r="M139" s="13"/>
      <c r="N139" s="13"/>
      <c r="O139" s="13"/>
      <c r="P139" s="13" t="s">
        <v>226</v>
      </c>
      <c r="Q139" s="13" t="s">
        <v>226</v>
      </c>
      <c r="R139" s="92"/>
      <c r="S139" s="92"/>
      <c r="T139" s="92"/>
      <c r="U139" s="92"/>
      <c r="V139" s="92"/>
      <c r="W139" s="92"/>
      <c r="X139" s="92"/>
      <c r="Y139" s="92"/>
      <c r="Z139" s="92"/>
      <c r="AA139" s="92"/>
      <c r="AB139" s="13" t="s">
        <v>226</v>
      </c>
      <c r="AC139" s="13" t="s">
        <v>226</v>
      </c>
      <c r="AD139" s="2"/>
      <c r="AE139" s="2"/>
      <c r="AF139" s="2"/>
      <c r="AG139" s="2"/>
      <c r="AH139" s="2"/>
      <c r="AI139" s="2"/>
      <c r="AJ139" s="2"/>
      <c r="AK139" s="2"/>
      <c r="AL139" s="2"/>
      <c r="AM139" s="2"/>
      <c r="AN139" s="16">
        <v>49</v>
      </c>
      <c r="AO139" s="16">
        <v>5</v>
      </c>
      <c r="AP139" s="96">
        <v>0</v>
      </c>
      <c r="AQ139" s="96">
        <v>0.83</v>
      </c>
      <c r="AR139" s="96">
        <v>0.17</v>
      </c>
      <c r="AS139" s="96">
        <v>0</v>
      </c>
      <c r="AT139" s="96">
        <v>0.44</v>
      </c>
      <c r="AU139" s="96">
        <v>0.28999999999999998</v>
      </c>
      <c r="AV139" s="96">
        <v>0.38</v>
      </c>
      <c r="AW139" s="96">
        <v>0.4</v>
      </c>
      <c r="AX139" s="96">
        <v>0.42</v>
      </c>
      <c r="AY139" s="96">
        <v>0.56000000000000005</v>
      </c>
      <c r="AZ139" s="61">
        <v>53</v>
      </c>
      <c r="BA139" s="61">
        <v>12</v>
      </c>
      <c r="BB139" s="66">
        <v>0</v>
      </c>
      <c r="BC139" s="66">
        <v>0.67</v>
      </c>
      <c r="BD139" s="66">
        <v>0.33</v>
      </c>
      <c r="BE139" s="66">
        <v>0</v>
      </c>
      <c r="BF139" s="66">
        <v>0.28999999999999998</v>
      </c>
      <c r="BG139" s="66">
        <v>0.39</v>
      </c>
      <c r="BH139" s="66">
        <v>0.5</v>
      </c>
      <c r="BI139" s="66">
        <v>0.56000000000000005</v>
      </c>
      <c r="BJ139" s="66">
        <v>0.38</v>
      </c>
      <c r="BK139" s="66">
        <v>0.31</v>
      </c>
      <c r="BL139" s="349">
        <v>47</v>
      </c>
      <c r="BM139" s="348" t="s">
        <v>910</v>
      </c>
      <c r="BN139" s="349">
        <v>12</v>
      </c>
      <c r="BO139" s="348" t="s">
        <v>910</v>
      </c>
      <c r="BP139" s="371">
        <v>0.28999999999999998</v>
      </c>
      <c r="BQ139" s="371">
        <v>0.43</v>
      </c>
      <c r="BR139" s="371">
        <v>0.28999999999999998</v>
      </c>
      <c r="BS139" s="371">
        <v>0</v>
      </c>
      <c r="BT139" s="371">
        <v>0.52</v>
      </c>
      <c r="BU139" s="371">
        <v>0.47</v>
      </c>
      <c r="BV139" s="371">
        <v>0.86</v>
      </c>
      <c r="BW139" s="371">
        <v>0.48</v>
      </c>
      <c r="BX139" s="371">
        <v>0.45</v>
      </c>
      <c r="BY139" s="371">
        <v>0.59</v>
      </c>
      <c r="BZ139" s="469">
        <v>47</v>
      </c>
      <c r="CA139" s="471" t="s">
        <v>910</v>
      </c>
      <c r="CB139" s="469">
        <v>8</v>
      </c>
      <c r="CC139" s="471" t="s">
        <v>910</v>
      </c>
      <c r="CD139" s="501">
        <v>0.19</v>
      </c>
      <c r="CE139" s="501">
        <v>0.62</v>
      </c>
      <c r="CF139" s="501">
        <v>0.19</v>
      </c>
      <c r="CG139" s="501">
        <v>0</v>
      </c>
      <c r="CH139" s="501">
        <v>0.51</v>
      </c>
      <c r="CI139" s="501">
        <v>0.5</v>
      </c>
      <c r="CJ139" s="501">
        <v>0.65</v>
      </c>
      <c r="CK139" s="501">
        <v>0.67</v>
      </c>
      <c r="CL139" s="501">
        <v>0.47</v>
      </c>
      <c r="CM139" s="501">
        <v>0.65</v>
      </c>
      <c r="CN139" s="630">
        <v>46</v>
      </c>
      <c r="CO139" s="640" t="s">
        <v>910</v>
      </c>
      <c r="CP139" s="630">
        <v>10</v>
      </c>
      <c r="CQ139" s="640" t="s">
        <v>910</v>
      </c>
      <c r="CR139" s="644">
        <v>0.32</v>
      </c>
      <c r="CS139" s="644">
        <v>0.53</v>
      </c>
      <c r="CT139" s="644">
        <v>0.16</v>
      </c>
      <c r="CU139" s="644">
        <v>0</v>
      </c>
      <c r="CV139" s="644">
        <v>0.41</v>
      </c>
      <c r="CW139" s="644">
        <v>0.6</v>
      </c>
      <c r="CX139" s="644">
        <v>0.64</v>
      </c>
      <c r="CY139" s="644">
        <v>0.9</v>
      </c>
      <c r="CZ139" s="644">
        <v>0.6</v>
      </c>
      <c r="DA139" s="644">
        <v>0.7</v>
      </c>
    </row>
    <row r="140" spans="1:105" ht="24.9" customHeight="1" x14ac:dyDescent="0.25">
      <c r="A140" s="188" t="s">
        <v>144</v>
      </c>
      <c r="B140" s="1" t="s">
        <v>222</v>
      </c>
      <c r="C140" s="2">
        <v>2</v>
      </c>
      <c r="D140" s="16">
        <v>52</v>
      </c>
      <c r="E140" s="16">
        <v>9</v>
      </c>
      <c r="F140" s="96">
        <v>0.14000000000000001</v>
      </c>
      <c r="G140" s="96">
        <v>0.56999999999999995</v>
      </c>
      <c r="H140" s="96">
        <v>0.28999999999999998</v>
      </c>
      <c r="I140" s="96">
        <v>0</v>
      </c>
      <c r="J140" s="96">
        <v>0.54</v>
      </c>
      <c r="K140" s="96">
        <v>0.56000000000000005</v>
      </c>
      <c r="L140" s="96">
        <v>0.61</v>
      </c>
      <c r="M140" s="96">
        <v>0.47</v>
      </c>
      <c r="N140" s="96">
        <v>0.43</v>
      </c>
      <c r="O140" s="96">
        <v>0.46</v>
      </c>
      <c r="P140" s="16">
        <v>57</v>
      </c>
      <c r="Q140" s="16">
        <v>8</v>
      </c>
      <c r="R140" s="92">
        <v>0.03</v>
      </c>
      <c r="S140" s="92">
        <v>0.44</v>
      </c>
      <c r="T140" s="92">
        <v>0.54</v>
      </c>
      <c r="U140" s="92">
        <v>0</v>
      </c>
      <c r="V140" s="92">
        <v>0.3</v>
      </c>
      <c r="W140" s="92">
        <v>0.36</v>
      </c>
      <c r="X140" s="92">
        <v>0.51</v>
      </c>
      <c r="Y140" s="92">
        <v>0.41</v>
      </c>
      <c r="Z140" s="92">
        <v>0.34</v>
      </c>
      <c r="AA140" s="92">
        <v>0.39</v>
      </c>
      <c r="AB140" s="16">
        <v>52</v>
      </c>
      <c r="AC140" s="16">
        <v>11</v>
      </c>
      <c r="AD140" s="96">
        <v>0.2</v>
      </c>
      <c r="AE140" s="96">
        <v>0.43</v>
      </c>
      <c r="AF140" s="96">
        <v>0.33</v>
      </c>
      <c r="AG140" s="96">
        <v>0.04</v>
      </c>
      <c r="AH140" s="96">
        <v>0.39</v>
      </c>
      <c r="AI140" s="96">
        <v>0.35</v>
      </c>
      <c r="AJ140" s="96">
        <v>0.35</v>
      </c>
      <c r="AK140" s="96">
        <v>0.5</v>
      </c>
      <c r="AL140" s="96">
        <v>0.5</v>
      </c>
      <c r="AM140" s="96">
        <v>0.49</v>
      </c>
      <c r="AN140" s="16">
        <v>50</v>
      </c>
      <c r="AO140" s="16">
        <v>9</v>
      </c>
      <c r="AP140" s="96">
        <v>0.14000000000000001</v>
      </c>
      <c r="AQ140" s="96">
        <v>0.59</v>
      </c>
      <c r="AR140" s="96">
        <v>0.27</v>
      </c>
      <c r="AS140" s="96">
        <v>0</v>
      </c>
      <c r="AT140" s="96">
        <v>0.5</v>
      </c>
      <c r="AU140" s="96">
        <v>0.39</v>
      </c>
      <c r="AV140" s="96">
        <v>0.44</v>
      </c>
      <c r="AW140" s="96">
        <v>0.42</v>
      </c>
      <c r="AX140" s="96">
        <v>0.45</v>
      </c>
      <c r="AY140" s="96">
        <v>0.46</v>
      </c>
      <c r="AZ140" s="61">
        <v>54</v>
      </c>
      <c r="BA140" s="61">
        <v>11</v>
      </c>
      <c r="BB140" s="66">
        <v>0.11</v>
      </c>
      <c r="BC140" s="66">
        <v>0.46</v>
      </c>
      <c r="BD140" s="66">
        <v>0.34</v>
      </c>
      <c r="BE140" s="66">
        <v>0.09</v>
      </c>
      <c r="BF140" s="66">
        <v>0.34</v>
      </c>
      <c r="BG140" s="66">
        <v>0.43</v>
      </c>
      <c r="BH140" s="66">
        <v>0.39</v>
      </c>
      <c r="BI140" s="66">
        <v>0.46</v>
      </c>
      <c r="BJ140" s="66">
        <v>0.34</v>
      </c>
      <c r="BK140" s="66">
        <v>0.32</v>
      </c>
      <c r="BL140" s="349">
        <v>51</v>
      </c>
      <c r="BM140" s="348" t="s">
        <v>910</v>
      </c>
      <c r="BN140" s="349">
        <v>10</v>
      </c>
      <c r="BO140" s="348" t="s">
        <v>910</v>
      </c>
      <c r="BP140" s="371">
        <v>0.24</v>
      </c>
      <c r="BQ140" s="371">
        <v>0.36</v>
      </c>
      <c r="BR140" s="371">
        <v>0.41</v>
      </c>
      <c r="BS140" s="371">
        <v>0</v>
      </c>
      <c r="BT140" s="371">
        <v>0.47</v>
      </c>
      <c r="BU140" s="371">
        <v>0.44</v>
      </c>
      <c r="BV140" s="371">
        <v>0.62</v>
      </c>
      <c r="BW140" s="371">
        <v>0.42</v>
      </c>
      <c r="BX140" s="371">
        <v>0.42</v>
      </c>
      <c r="BY140" s="371">
        <v>0.49</v>
      </c>
      <c r="BZ140" s="469">
        <v>50</v>
      </c>
      <c r="CA140" s="471" t="s">
        <v>910</v>
      </c>
      <c r="CB140" s="469">
        <v>10</v>
      </c>
      <c r="CC140" s="471" t="s">
        <v>910</v>
      </c>
      <c r="CD140" s="501">
        <v>0.17</v>
      </c>
      <c r="CE140" s="501">
        <v>0.49</v>
      </c>
      <c r="CF140" s="501">
        <v>0.32</v>
      </c>
      <c r="CG140" s="501">
        <v>0.02</v>
      </c>
      <c r="CH140" s="501">
        <v>0.47</v>
      </c>
      <c r="CI140" s="501">
        <v>0.45</v>
      </c>
      <c r="CJ140" s="501">
        <v>0.56000000000000005</v>
      </c>
      <c r="CK140" s="501">
        <v>0.53</v>
      </c>
      <c r="CL140" s="501">
        <v>0.45</v>
      </c>
      <c r="CM140" s="501">
        <v>0.62</v>
      </c>
      <c r="CN140" s="630">
        <v>52</v>
      </c>
      <c r="CO140" s="640" t="s">
        <v>910</v>
      </c>
      <c r="CP140" s="630">
        <v>11</v>
      </c>
      <c r="CQ140" s="640" t="s">
        <v>910</v>
      </c>
      <c r="CR140" s="644">
        <v>0.15</v>
      </c>
      <c r="CS140" s="644">
        <v>0.5</v>
      </c>
      <c r="CT140" s="644">
        <v>0.34</v>
      </c>
      <c r="CU140" s="644">
        <v>0.02</v>
      </c>
      <c r="CV140" s="644">
        <v>0.37</v>
      </c>
      <c r="CW140" s="644">
        <v>0.5</v>
      </c>
      <c r="CX140" s="644">
        <v>0.53</v>
      </c>
      <c r="CY140" s="644">
        <v>0.68</v>
      </c>
      <c r="CZ140" s="644">
        <v>0.49</v>
      </c>
      <c r="DA140" s="644">
        <v>0.6</v>
      </c>
    </row>
    <row r="141" spans="1:105" ht="24.9" customHeight="1" x14ac:dyDescent="0.25">
      <c r="A141" s="188" t="s">
        <v>210</v>
      </c>
      <c r="B141" s="1" t="s">
        <v>222</v>
      </c>
      <c r="C141" s="2">
        <v>1</v>
      </c>
      <c r="D141" s="16">
        <v>54</v>
      </c>
      <c r="E141" s="16">
        <v>7</v>
      </c>
      <c r="F141" s="96">
        <v>0</v>
      </c>
      <c r="G141" s="96">
        <v>0.64</v>
      </c>
      <c r="H141" s="96">
        <v>0.36</v>
      </c>
      <c r="I141" s="96">
        <v>0</v>
      </c>
      <c r="J141" s="96">
        <v>0.47</v>
      </c>
      <c r="K141" s="96">
        <v>0.45</v>
      </c>
      <c r="L141" s="96">
        <v>0.73</v>
      </c>
      <c r="M141" s="96">
        <v>0.38</v>
      </c>
      <c r="N141" s="96">
        <v>0.4</v>
      </c>
      <c r="O141" s="96">
        <v>0.28999999999999998</v>
      </c>
      <c r="P141" s="16">
        <v>52</v>
      </c>
      <c r="Q141" s="16">
        <v>8</v>
      </c>
      <c r="R141" s="92">
        <v>0.1</v>
      </c>
      <c r="S141" s="92">
        <v>0.56999999999999995</v>
      </c>
      <c r="T141" s="92">
        <v>0.33</v>
      </c>
      <c r="U141" s="92">
        <v>0</v>
      </c>
      <c r="V141" s="92">
        <v>0.39</v>
      </c>
      <c r="W141" s="92">
        <v>0.45</v>
      </c>
      <c r="X141" s="92">
        <v>0.49</v>
      </c>
      <c r="Y141" s="92">
        <v>0.43</v>
      </c>
      <c r="Z141" s="92">
        <v>0.43</v>
      </c>
      <c r="AA141" s="92">
        <v>0.51</v>
      </c>
      <c r="AB141" s="16">
        <v>53</v>
      </c>
      <c r="AC141" s="16">
        <v>14</v>
      </c>
      <c r="AD141" s="96">
        <v>0.13</v>
      </c>
      <c r="AE141" s="96">
        <v>0.5</v>
      </c>
      <c r="AF141" s="96">
        <v>0.25</v>
      </c>
      <c r="AG141" s="96">
        <v>0.13</v>
      </c>
      <c r="AH141" s="96">
        <v>0.38</v>
      </c>
      <c r="AI141" s="96">
        <v>0.45</v>
      </c>
      <c r="AJ141" s="96">
        <v>0.39</v>
      </c>
      <c r="AK141" s="96">
        <v>0.42</v>
      </c>
      <c r="AL141" s="96">
        <v>0.65</v>
      </c>
      <c r="AM141" s="96">
        <v>0.44</v>
      </c>
      <c r="AN141" s="16">
        <v>50</v>
      </c>
      <c r="AO141" s="16">
        <v>9</v>
      </c>
      <c r="AP141" s="96">
        <v>0.22</v>
      </c>
      <c r="AQ141" s="96">
        <v>0.5</v>
      </c>
      <c r="AR141" s="96">
        <v>0.28000000000000003</v>
      </c>
      <c r="AS141" s="96">
        <v>0</v>
      </c>
      <c r="AT141" s="96">
        <v>0.54</v>
      </c>
      <c r="AU141" s="96">
        <v>0.44</v>
      </c>
      <c r="AV141" s="96">
        <v>0.41</v>
      </c>
      <c r="AW141" s="96">
        <v>0.45</v>
      </c>
      <c r="AX141" s="96">
        <v>0.41</v>
      </c>
      <c r="AY141" s="96">
        <v>0.47</v>
      </c>
      <c r="AZ141" s="61">
        <v>56</v>
      </c>
      <c r="BA141" s="61">
        <v>11</v>
      </c>
      <c r="BB141" s="66">
        <v>0.16</v>
      </c>
      <c r="BC141" s="66">
        <v>0.24</v>
      </c>
      <c r="BD141" s="66">
        <v>0.52</v>
      </c>
      <c r="BE141" s="66">
        <v>0.08</v>
      </c>
      <c r="BF141" s="66">
        <v>0.38</v>
      </c>
      <c r="BG141" s="66">
        <v>0.39</v>
      </c>
      <c r="BH141" s="66">
        <v>0.38</v>
      </c>
      <c r="BI141" s="66">
        <v>0.47</v>
      </c>
      <c r="BJ141" s="66">
        <v>0.32</v>
      </c>
      <c r="BK141" s="66">
        <v>0.31</v>
      </c>
      <c r="BL141" s="349">
        <v>49</v>
      </c>
      <c r="BM141" s="348" t="s">
        <v>910</v>
      </c>
      <c r="BN141" s="349">
        <v>9</v>
      </c>
      <c r="BO141" s="348" t="s">
        <v>910</v>
      </c>
      <c r="BP141" s="371">
        <v>0.08</v>
      </c>
      <c r="BQ141" s="371">
        <v>0.71</v>
      </c>
      <c r="BR141" s="371">
        <v>0.21</v>
      </c>
      <c r="BS141" s="371">
        <v>0</v>
      </c>
      <c r="BT141" s="371">
        <v>0.4</v>
      </c>
      <c r="BU141" s="371">
        <v>0.44</v>
      </c>
      <c r="BV141" s="371">
        <v>0.6</v>
      </c>
      <c r="BW141" s="371">
        <v>0.46</v>
      </c>
      <c r="BX141" s="371">
        <v>0.49</v>
      </c>
      <c r="BY141" s="371">
        <v>0.52</v>
      </c>
      <c r="BZ141" s="469">
        <v>54</v>
      </c>
      <c r="CA141" s="471" t="s">
        <v>910</v>
      </c>
      <c r="CB141" s="469">
        <v>11</v>
      </c>
      <c r="CC141" s="471" t="s">
        <v>910</v>
      </c>
      <c r="CD141" s="501">
        <v>0.14000000000000001</v>
      </c>
      <c r="CE141" s="501">
        <v>0.28000000000000003</v>
      </c>
      <c r="CF141" s="501">
        <v>0.59</v>
      </c>
      <c r="CG141" s="501">
        <v>0</v>
      </c>
      <c r="CH141" s="501">
        <v>0.47</v>
      </c>
      <c r="CI141" s="501">
        <v>0.28999999999999998</v>
      </c>
      <c r="CJ141" s="501">
        <v>0.56000000000000005</v>
      </c>
      <c r="CK141" s="501">
        <v>0.48</v>
      </c>
      <c r="CL141" s="501">
        <v>0.39</v>
      </c>
      <c r="CM141" s="501">
        <v>0.53</v>
      </c>
      <c r="CN141" s="630">
        <v>53</v>
      </c>
      <c r="CO141" s="640" t="s">
        <v>910</v>
      </c>
      <c r="CP141" s="630">
        <v>10</v>
      </c>
      <c r="CQ141" s="640" t="s">
        <v>910</v>
      </c>
      <c r="CR141" s="644">
        <v>0.13</v>
      </c>
      <c r="CS141" s="644">
        <v>0.45</v>
      </c>
      <c r="CT141" s="644">
        <v>0.43</v>
      </c>
      <c r="CU141" s="644">
        <v>0</v>
      </c>
      <c r="CV141" s="644">
        <v>0.31</v>
      </c>
      <c r="CW141" s="644">
        <v>0.48</v>
      </c>
      <c r="CX141" s="644">
        <v>0.53</v>
      </c>
      <c r="CY141" s="644">
        <v>0.65</v>
      </c>
      <c r="CZ141" s="644">
        <v>0.42</v>
      </c>
      <c r="DA141" s="644">
        <v>0.48</v>
      </c>
    </row>
    <row r="142" spans="1:105" ht="24.9" customHeight="1" x14ac:dyDescent="0.25">
      <c r="A142" s="188" t="s">
        <v>67</v>
      </c>
      <c r="B142" s="1" t="s">
        <v>222</v>
      </c>
      <c r="C142" s="2">
        <v>1</v>
      </c>
      <c r="D142" s="16">
        <v>52</v>
      </c>
      <c r="E142" s="16">
        <v>9</v>
      </c>
      <c r="F142" s="96">
        <v>0.12</v>
      </c>
      <c r="G142" s="96">
        <v>0.52</v>
      </c>
      <c r="H142" s="96">
        <v>0.36</v>
      </c>
      <c r="I142" s="96">
        <v>0</v>
      </c>
      <c r="J142" s="96">
        <v>0.54</v>
      </c>
      <c r="K142" s="96">
        <v>0.49</v>
      </c>
      <c r="L142" s="96">
        <v>0.62</v>
      </c>
      <c r="M142" s="96">
        <v>0.4</v>
      </c>
      <c r="N142" s="96">
        <v>0.41</v>
      </c>
      <c r="O142" s="96">
        <v>0.61</v>
      </c>
      <c r="P142" s="16">
        <v>55</v>
      </c>
      <c r="Q142" s="16">
        <v>10</v>
      </c>
      <c r="R142" s="92">
        <v>0.05</v>
      </c>
      <c r="S142" s="92">
        <v>0.46</v>
      </c>
      <c r="T142" s="92">
        <v>0.44</v>
      </c>
      <c r="U142" s="92">
        <v>0.05</v>
      </c>
      <c r="V142" s="92">
        <v>0.38</v>
      </c>
      <c r="W142" s="92">
        <v>0.4</v>
      </c>
      <c r="X142" s="92">
        <v>0.51</v>
      </c>
      <c r="Y142" s="92">
        <v>0.39</v>
      </c>
      <c r="Z142" s="92">
        <v>0.34</v>
      </c>
      <c r="AA142" s="92">
        <v>0.4</v>
      </c>
      <c r="AB142" s="16">
        <v>51</v>
      </c>
      <c r="AC142" s="16">
        <v>10</v>
      </c>
      <c r="AD142" s="96">
        <v>0.12</v>
      </c>
      <c r="AE142" s="96">
        <v>0.52</v>
      </c>
      <c r="AF142" s="96">
        <v>0.33</v>
      </c>
      <c r="AG142" s="96">
        <v>0.03</v>
      </c>
      <c r="AH142" s="96">
        <v>0.41</v>
      </c>
      <c r="AI142" s="96">
        <v>0.39</v>
      </c>
      <c r="AJ142" s="96">
        <v>0.38</v>
      </c>
      <c r="AK142" s="96">
        <v>0.48</v>
      </c>
      <c r="AL142" s="96">
        <v>0.52</v>
      </c>
      <c r="AM142" s="96">
        <v>0.47</v>
      </c>
      <c r="AN142" s="16">
        <v>51</v>
      </c>
      <c r="AO142" s="16">
        <v>10</v>
      </c>
      <c r="AP142" s="96">
        <v>0.15</v>
      </c>
      <c r="AQ142" s="96">
        <v>0.5</v>
      </c>
      <c r="AR142" s="96">
        <v>0.34</v>
      </c>
      <c r="AS142" s="96">
        <v>0.01</v>
      </c>
      <c r="AT142" s="96">
        <v>0.51</v>
      </c>
      <c r="AU142" s="96">
        <v>0.45</v>
      </c>
      <c r="AV142" s="96">
        <v>0.41</v>
      </c>
      <c r="AW142" s="96">
        <v>0.45</v>
      </c>
      <c r="AX142" s="96">
        <v>0.43</v>
      </c>
      <c r="AY142" s="96">
        <v>0.44</v>
      </c>
      <c r="AZ142" s="61">
        <v>54</v>
      </c>
      <c r="BA142" s="61">
        <v>11</v>
      </c>
      <c r="BB142" s="66">
        <v>0.11</v>
      </c>
      <c r="BC142" s="66">
        <v>0.41</v>
      </c>
      <c r="BD142" s="66">
        <v>0.42</v>
      </c>
      <c r="BE142" s="66">
        <v>0.06</v>
      </c>
      <c r="BF142" s="66">
        <v>0.43</v>
      </c>
      <c r="BG142" s="66">
        <v>0.41</v>
      </c>
      <c r="BH142" s="66">
        <v>0.4</v>
      </c>
      <c r="BI142" s="66">
        <v>0.48</v>
      </c>
      <c r="BJ142" s="66">
        <v>0.34</v>
      </c>
      <c r="BK142" s="66">
        <v>0.32</v>
      </c>
      <c r="BL142" s="349">
        <v>52</v>
      </c>
      <c r="BM142" s="348" t="s">
        <v>910</v>
      </c>
      <c r="BN142" s="349">
        <v>11</v>
      </c>
      <c r="BO142" s="348" t="s">
        <v>910</v>
      </c>
      <c r="BP142" s="371">
        <v>0.15</v>
      </c>
      <c r="BQ142" s="371">
        <v>0.48</v>
      </c>
      <c r="BR142" s="371">
        <v>0.31</v>
      </c>
      <c r="BS142" s="371">
        <v>0.05</v>
      </c>
      <c r="BT142" s="371">
        <v>0.39</v>
      </c>
      <c r="BU142" s="371">
        <v>0.44</v>
      </c>
      <c r="BV142" s="371">
        <v>0.55000000000000004</v>
      </c>
      <c r="BW142" s="371">
        <v>0.39</v>
      </c>
      <c r="BX142" s="371">
        <v>0.41</v>
      </c>
      <c r="BY142" s="371">
        <v>0.49</v>
      </c>
      <c r="BZ142" s="469">
        <v>53</v>
      </c>
      <c r="CA142" s="471" t="s">
        <v>910</v>
      </c>
      <c r="CB142" s="469">
        <v>10</v>
      </c>
      <c r="CC142" s="471" t="s">
        <v>910</v>
      </c>
      <c r="CD142" s="501">
        <v>0.14000000000000001</v>
      </c>
      <c r="CE142" s="501">
        <v>0.38</v>
      </c>
      <c r="CF142" s="501">
        <v>0.43</v>
      </c>
      <c r="CG142" s="501">
        <v>0.04</v>
      </c>
      <c r="CH142" s="501">
        <v>0.5</v>
      </c>
      <c r="CI142" s="501">
        <v>0.35</v>
      </c>
      <c r="CJ142" s="501">
        <v>0.48</v>
      </c>
      <c r="CK142" s="501">
        <v>0.53</v>
      </c>
      <c r="CL142" s="501">
        <v>0.4</v>
      </c>
      <c r="CM142" s="501">
        <v>0.53</v>
      </c>
      <c r="CN142" s="630">
        <v>55</v>
      </c>
      <c r="CO142" s="640" t="s">
        <v>910</v>
      </c>
      <c r="CP142" s="630">
        <v>10</v>
      </c>
      <c r="CQ142" s="640" t="s">
        <v>910</v>
      </c>
      <c r="CR142" s="644">
        <v>0.09</v>
      </c>
      <c r="CS142" s="644">
        <v>0.41</v>
      </c>
      <c r="CT142" s="644">
        <v>0.44</v>
      </c>
      <c r="CU142" s="644">
        <v>0.05</v>
      </c>
      <c r="CV142" s="644">
        <v>0.32</v>
      </c>
      <c r="CW142" s="644">
        <v>0.42</v>
      </c>
      <c r="CX142" s="644">
        <v>0.49</v>
      </c>
      <c r="CY142" s="644">
        <v>0.59</v>
      </c>
      <c r="CZ142" s="644">
        <v>0.49</v>
      </c>
      <c r="DA142" s="644">
        <v>0.56000000000000005</v>
      </c>
    </row>
    <row r="143" spans="1:105" s="461" customFormat="1" ht="24.9" customHeight="1" x14ac:dyDescent="0.25">
      <c r="A143" s="470" t="s">
        <v>928</v>
      </c>
      <c r="B143" s="1" t="s">
        <v>222</v>
      </c>
      <c r="C143" s="471">
        <v>6</v>
      </c>
      <c r="D143" s="502"/>
      <c r="E143" s="502"/>
      <c r="F143" s="501"/>
      <c r="G143" s="501"/>
      <c r="H143" s="501"/>
      <c r="I143" s="501"/>
      <c r="J143" s="501"/>
      <c r="K143" s="501"/>
      <c r="L143" s="501"/>
      <c r="M143" s="501"/>
      <c r="N143" s="501"/>
      <c r="O143" s="501"/>
      <c r="P143" s="502"/>
      <c r="Q143" s="502"/>
      <c r="R143" s="504"/>
      <c r="S143" s="504"/>
      <c r="T143" s="504"/>
      <c r="U143" s="504"/>
      <c r="V143" s="504"/>
      <c r="W143" s="504"/>
      <c r="X143" s="504"/>
      <c r="Y143" s="504"/>
      <c r="Z143" s="504"/>
      <c r="AA143" s="504"/>
      <c r="AB143" s="502"/>
      <c r="AC143" s="502"/>
      <c r="AD143" s="501"/>
      <c r="AE143" s="501"/>
      <c r="AF143" s="501"/>
      <c r="AG143" s="501"/>
      <c r="AH143" s="501"/>
      <c r="AI143" s="501"/>
      <c r="AJ143" s="501"/>
      <c r="AK143" s="501"/>
      <c r="AL143" s="501"/>
      <c r="AM143" s="501"/>
      <c r="AN143" s="502"/>
      <c r="AO143" s="502"/>
      <c r="AP143" s="501"/>
      <c r="AQ143" s="501"/>
      <c r="AR143" s="501"/>
      <c r="AS143" s="501"/>
      <c r="AT143" s="501"/>
      <c r="AU143" s="501"/>
      <c r="AV143" s="501"/>
      <c r="AW143" s="501"/>
      <c r="AX143" s="501"/>
      <c r="AY143" s="501"/>
      <c r="AZ143" s="472"/>
      <c r="BA143" s="472"/>
      <c r="BB143" s="506"/>
      <c r="BC143" s="506"/>
      <c r="BD143" s="506"/>
      <c r="BE143" s="506"/>
      <c r="BF143" s="506"/>
      <c r="BG143" s="506"/>
      <c r="BH143" s="506"/>
      <c r="BI143" s="506"/>
      <c r="BJ143" s="506"/>
      <c r="BK143" s="506"/>
      <c r="BL143" s="475"/>
      <c r="BM143" s="493"/>
      <c r="BN143" s="475"/>
      <c r="BO143" s="493"/>
      <c r="BP143" s="507"/>
      <c r="BQ143" s="507"/>
      <c r="BR143" s="507"/>
      <c r="BS143" s="507"/>
      <c r="BT143" s="507"/>
      <c r="BU143" s="507"/>
      <c r="BV143" s="507"/>
      <c r="BW143" s="507"/>
      <c r="BX143" s="507"/>
      <c r="BY143" s="507"/>
      <c r="BZ143" s="469">
        <v>47</v>
      </c>
      <c r="CA143" s="471" t="s">
        <v>910</v>
      </c>
      <c r="CB143" s="469">
        <v>12</v>
      </c>
      <c r="CC143" s="471" t="s">
        <v>910</v>
      </c>
      <c r="CD143" s="501">
        <v>0.28999999999999998</v>
      </c>
      <c r="CE143" s="501">
        <v>0.28999999999999998</v>
      </c>
      <c r="CF143" s="501">
        <v>0.43</v>
      </c>
      <c r="CG143" s="501">
        <v>0</v>
      </c>
      <c r="CH143" s="501">
        <v>0.53</v>
      </c>
      <c r="CI143" s="501">
        <v>0.25</v>
      </c>
      <c r="CJ143" s="501">
        <v>0.68</v>
      </c>
      <c r="CK143" s="501">
        <v>0.56999999999999995</v>
      </c>
      <c r="CL143" s="501">
        <v>0.53</v>
      </c>
      <c r="CM143" s="501">
        <v>0.5</v>
      </c>
      <c r="CN143" s="630">
        <v>41</v>
      </c>
      <c r="CO143" s="640" t="s">
        <v>912</v>
      </c>
      <c r="CP143" s="630">
        <v>8</v>
      </c>
      <c r="CQ143" s="640" t="s">
        <v>910</v>
      </c>
      <c r="CR143" s="644">
        <v>0.67</v>
      </c>
      <c r="CS143" s="644">
        <v>0.33</v>
      </c>
      <c r="CT143" s="644">
        <v>0</v>
      </c>
      <c r="CU143" s="644">
        <v>0</v>
      </c>
      <c r="CV143" s="644">
        <v>0.5</v>
      </c>
      <c r="CW143" s="644">
        <v>0.69</v>
      </c>
      <c r="CX143" s="644">
        <v>0.84</v>
      </c>
      <c r="CY143" s="644">
        <v>1</v>
      </c>
      <c r="CZ143" s="644">
        <v>0.83</v>
      </c>
      <c r="DA143" s="644">
        <v>0.67</v>
      </c>
    </row>
    <row r="144" spans="1:105" ht="24.9" customHeight="1" x14ac:dyDescent="0.25">
      <c r="A144" s="188" t="s">
        <v>31</v>
      </c>
      <c r="B144" s="1" t="s">
        <v>222</v>
      </c>
      <c r="C144" s="2">
        <v>6</v>
      </c>
      <c r="D144" s="16">
        <v>54</v>
      </c>
      <c r="E144" s="16">
        <v>9</v>
      </c>
      <c r="F144" s="96">
        <v>0</v>
      </c>
      <c r="G144" s="96">
        <v>0.64</v>
      </c>
      <c r="H144" s="96">
        <v>0.36</v>
      </c>
      <c r="I144" s="96">
        <v>0</v>
      </c>
      <c r="J144" s="96">
        <v>0.5</v>
      </c>
      <c r="K144" s="96">
        <v>0.51</v>
      </c>
      <c r="L144" s="96">
        <v>0.56999999999999995</v>
      </c>
      <c r="M144" s="96">
        <v>0.39</v>
      </c>
      <c r="N144" s="96">
        <v>0.39</v>
      </c>
      <c r="O144" s="96">
        <v>0.44</v>
      </c>
      <c r="P144" s="16">
        <v>44</v>
      </c>
      <c r="Q144" s="16">
        <v>8</v>
      </c>
      <c r="R144" s="92">
        <v>0.42</v>
      </c>
      <c r="S144" s="92">
        <v>0.42</v>
      </c>
      <c r="T144" s="92">
        <v>0.17</v>
      </c>
      <c r="U144" s="92">
        <v>0</v>
      </c>
      <c r="V144" s="92">
        <v>0.51</v>
      </c>
      <c r="W144" s="92">
        <v>0.64</v>
      </c>
      <c r="X144" s="92">
        <v>0.59</v>
      </c>
      <c r="Y144" s="92">
        <v>0.57999999999999996</v>
      </c>
      <c r="Z144" s="92">
        <v>0.57999999999999996</v>
      </c>
      <c r="AA144" s="92">
        <v>0.62</v>
      </c>
      <c r="AB144" s="16">
        <v>53</v>
      </c>
      <c r="AC144" s="16">
        <v>11</v>
      </c>
      <c r="AD144" s="96">
        <v>0.13</v>
      </c>
      <c r="AE144" s="96">
        <v>0.63</v>
      </c>
      <c r="AF144" s="96">
        <v>0.13</v>
      </c>
      <c r="AG144" s="96">
        <v>0.13</v>
      </c>
      <c r="AH144" s="96">
        <v>0.45</v>
      </c>
      <c r="AI144" s="96">
        <v>0.42</v>
      </c>
      <c r="AJ144" s="96">
        <v>0.28000000000000003</v>
      </c>
      <c r="AK144" s="96">
        <v>0.34</v>
      </c>
      <c r="AL144" s="96">
        <v>0.43</v>
      </c>
      <c r="AM144" s="96">
        <v>0.65</v>
      </c>
      <c r="AN144" s="16">
        <v>48</v>
      </c>
      <c r="AO144" s="16">
        <v>9</v>
      </c>
      <c r="AP144" s="96">
        <v>0.25</v>
      </c>
      <c r="AQ144" s="96">
        <v>0.75</v>
      </c>
      <c r="AR144" s="96">
        <v>0</v>
      </c>
      <c r="AS144" s="96">
        <v>0</v>
      </c>
      <c r="AT144" s="96">
        <v>0.62</v>
      </c>
      <c r="AU144" s="96">
        <v>0.5</v>
      </c>
      <c r="AV144" s="96">
        <v>0.5</v>
      </c>
      <c r="AW144" s="96">
        <v>0.49</v>
      </c>
      <c r="AX144" s="96">
        <v>0.47</v>
      </c>
      <c r="AY144" s="96">
        <v>0.47</v>
      </c>
      <c r="AZ144" s="61">
        <v>49</v>
      </c>
      <c r="BA144" s="61">
        <v>5</v>
      </c>
      <c r="BB144" s="66">
        <v>0</v>
      </c>
      <c r="BC144" s="66">
        <v>1</v>
      </c>
      <c r="BD144" s="66">
        <v>0</v>
      </c>
      <c r="BE144" s="66">
        <v>0</v>
      </c>
      <c r="BF144" s="66">
        <v>0.57999999999999996</v>
      </c>
      <c r="BG144" s="66">
        <v>0.42</v>
      </c>
      <c r="BH144" s="66">
        <v>0.43</v>
      </c>
      <c r="BI144" s="66">
        <v>0.75</v>
      </c>
      <c r="BJ144" s="66">
        <v>0.36</v>
      </c>
      <c r="BK144" s="66">
        <v>0.47</v>
      </c>
      <c r="BL144" s="349">
        <v>49</v>
      </c>
      <c r="BM144" s="348" t="s">
        <v>910</v>
      </c>
      <c r="BN144" s="349">
        <v>10</v>
      </c>
      <c r="BO144" s="348" t="s">
        <v>910</v>
      </c>
      <c r="BP144" s="371">
        <v>0.2</v>
      </c>
      <c r="BQ144" s="371">
        <v>0.4</v>
      </c>
      <c r="BR144" s="371">
        <v>0.4</v>
      </c>
      <c r="BS144" s="371">
        <v>0</v>
      </c>
      <c r="BT144" s="371">
        <v>0.32</v>
      </c>
      <c r="BU144" s="371">
        <v>0.55000000000000004</v>
      </c>
      <c r="BV144" s="371">
        <v>0.75</v>
      </c>
      <c r="BW144" s="371">
        <v>0.45</v>
      </c>
      <c r="BX144" s="371">
        <v>0.52</v>
      </c>
      <c r="BY144" s="371">
        <v>0.56000000000000005</v>
      </c>
      <c r="BZ144" s="469">
        <v>48</v>
      </c>
      <c r="CA144" s="471" t="s">
        <v>910</v>
      </c>
      <c r="CB144" s="469">
        <v>12</v>
      </c>
      <c r="CC144" s="471" t="s">
        <v>910</v>
      </c>
      <c r="CD144" s="501">
        <v>0.3</v>
      </c>
      <c r="CE144" s="501">
        <v>0.4</v>
      </c>
      <c r="CF144" s="501">
        <v>0.3</v>
      </c>
      <c r="CG144" s="501">
        <v>0</v>
      </c>
      <c r="CH144" s="501">
        <v>0.23</v>
      </c>
      <c r="CI144" s="501">
        <v>0.43</v>
      </c>
      <c r="CJ144" s="501">
        <v>0.6</v>
      </c>
      <c r="CK144" s="501">
        <v>0.62</v>
      </c>
      <c r="CL144" s="501">
        <v>0.36</v>
      </c>
      <c r="CM144" s="501">
        <v>0.49</v>
      </c>
      <c r="CN144" s="630">
        <v>52</v>
      </c>
      <c r="CO144" s="640" t="s">
        <v>910</v>
      </c>
      <c r="CP144" s="630">
        <v>4</v>
      </c>
      <c r="CQ144" s="640" t="s">
        <v>912</v>
      </c>
      <c r="CR144" s="644">
        <v>0</v>
      </c>
      <c r="CS144" s="644">
        <v>0.86</v>
      </c>
      <c r="CT144" s="644">
        <v>0.14000000000000001</v>
      </c>
      <c r="CU144" s="644">
        <v>0</v>
      </c>
      <c r="CV144" s="644">
        <v>0.21</v>
      </c>
      <c r="CW144" s="644">
        <v>0.42</v>
      </c>
      <c r="CX144" s="644">
        <v>0.53</v>
      </c>
      <c r="CY144" s="644">
        <v>0.5</v>
      </c>
      <c r="CZ144" s="644">
        <v>0.45</v>
      </c>
      <c r="DA144" s="644">
        <v>0.38</v>
      </c>
    </row>
    <row r="145" spans="1:105" ht="24.9" customHeight="1" x14ac:dyDescent="0.25">
      <c r="A145" s="188" t="s">
        <v>54</v>
      </c>
      <c r="B145" s="1" t="s">
        <v>222</v>
      </c>
      <c r="C145" s="2">
        <v>6</v>
      </c>
      <c r="D145" s="16">
        <v>59</v>
      </c>
      <c r="E145" s="16">
        <v>7</v>
      </c>
      <c r="F145" s="96">
        <v>0</v>
      </c>
      <c r="G145" s="96">
        <v>0.42</v>
      </c>
      <c r="H145" s="96">
        <v>0.56000000000000005</v>
      </c>
      <c r="I145" s="96">
        <v>0.03</v>
      </c>
      <c r="J145" s="96">
        <v>0.4</v>
      </c>
      <c r="K145" s="96">
        <v>0.43</v>
      </c>
      <c r="L145" s="96">
        <v>0.45</v>
      </c>
      <c r="M145" s="96">
        <v>0.2</v>
      </c>
      <c r="N145" s="96">
        <v>0.34</v>
      </c>
      <c r="O145" s="96">
        <v>0.44</v>
      </c>
      <c r="P145" s="16">
        <v>58</v>
      </c>
      <c r="Q145" s="16">
        <v>8</v>
      </c>
      <c r="R145" s="92">
        <v>0</v>
      </c>
      <c r="S145" s="92">
        <v>0.37</v>
      </c>
      <c r="T145" s="92">
        <v>0.56999999999999995</v>
      </c>
      <c r="U145" s="92">
        <v>0.06</v>
      </c>
      <c r="V145" s="92">
        <v>0.23</v>
      </c>
      <c r="W145" s="92">
        <v>0.35</v>
      </c>
      <c r="X145" s="92">
        <v>0.44</v>
      </c>
      <c r="Y145" s="92">
        <v>0.34</v>
      </c>
      <c r="Z145" s="92">
        <v>0.38</v>
      </c>
      <c r="AA145" s="92">
        <v>0.31</v>
      </c>
      <c r="AB145" s="16">
        <v>56</v>
      </c>
      <c r="AC145" s="16">
        <v>8</v>
      </c>
      <c r="AD145" s="96">
        <v>0</v>
      </c>
      <c r="AE145" s="96">
        <v>0.6</v>
      </c>
      <c r="AF145" s="96">
        <v>0.36</v>
      </c>
      <c r="AG145" s="96">
        <v>0.04</v>
      </c>
      <c r="AH145" s="96">
        <v>0.31</v>
      </c>
      <c r="AI145" s="96">
        <v>0.33</v>
      </c>
      <c r="AJ145" s="96">
        <v>0.27</v>
      </c>
      <c r="AK145" s="96">
        <v>0.44</v>
      </c>
      <c r="AL145" s="96">
        <v>0.42</v>
      </c>
      <c r="AM145" s="96">
        <v>0.41</v>
      </c>
      <c r="AN145" s="16">
        <v>56</v>
      </c>
      <c r="AO145" s="16">
        <v>11</v>
      </c>
      <c r="AP145" s="96">
        <v>0.1</v>
      </c>
      <c r="AQ145" s="96">
        <v>0.23</v>
      </c>
      <c r="AR145" s="96">
        <v>0.67</v>
      </c>
      <c r="AS145" s="96">
        <v>0</v>
      </c>
      <c r="AT145" s="96">
        <v>0.39</v>
      </c>
      <c r="AU145" s="96">
        <v>0.37</v>
      </c>
      <c r="AV145" s="96">
        <v>0.35</v>
      </c>
      <c r="AW145" s="96">
        <v>0.34</v>
      </c>
      <c r="AX145" s="96">
        <v>0.34</v>
      </c>
      <c r="AY145" s="96">
        <v>0.32</v>
      </c>
      <c r="AZ145" s="61">
        <v>55</v>
      </c>
      <c r="BA145" s="61">
        <v>12</v>
      </c>
      <c r="BB145" s="66">
        <v>0.16</v>
      </c>
      <c r="BC145" s="66">
        <v>0.36</v>
      </c>
      <c r="BD145" s="66">
        <v>0.4</v>
      </c>
      <c r="BE145" s="66">
        <v>0.08</v>
      </c>
      <c r="BF145" s="66">
        <v>0.41</v>
      </c>
      <c r="BG145" s="66">
        <v>0.42</v>
      </c>
      <c r="BH145" s="66">
        <v>0.37</v>
      </c>
      <c r="BI145" s="66">
        <v>0.51</v>
      </c>
      <c r="BJ145" s="66">
        <v>0.36</v>
      </c>
      <c r="BK145" s="66">
        <v>0.34</v>
      </c>
      <c r="BL145" s="349">
        <v>56</v>
      </c>
      <c r="BM145" s="348" t="s">
        <v>910</v>
      </c>
      <c r="BN145" s="349">
        <v>8</v>
      </c>
      <c r="BO145" s="348" t="s">
        <v>910</v>
      </c>
      <c r="BP145" s="371">
        <v>0.03</v>
      </c>
      <c r="BQ145" s="371">
        <v>0.52</v>
      </c>
      <c r="BR145" s="371">
        <v>0.42</v>
      </c>
      <c r="BS145" s="371">
        <v>0.03</v>
      </c>
      <c r="BT145" s="371">
        <v>0.38</v>
      </c>
      <c r="BU145" s="371">
        <v>0.38</v>
      </c>
      <c r="BV145" s="371">
        <v>0.45</v>
      </c>
      <c r="BW145" s="371">
        <v>0.38</v>
      </c>
      <c r="BX145" s="371">
        <v>0.37</v>
      </c>
      <c r="BY145" s="371">
        <v>0.39</v>
      </c>
      <c r="BZ145" s="469">
        <v>55</v>
      </c>
      <c r="CA145" s="471" t="s">
        <v>910</v>
      </c>
      <c r="CB145" s="469">
        <v>9</v>
      </c>
      <c r="CC145" s="471" t="s">
        <v>910</v>
      </c>
      <c r="CD145" s="501">
        <v>0.04</v>
      </c>
      <c r="CE145" s="501">
        <v>0.57999999999999996</v>
      </c>
      <c r="CF145" s="501">
        <v>0.35</v>
      </c>
      <c r="CG145" s="501">
        <v>0.04</v>
      </c>
      <c r="CH145" s="501">
        <v>0.54</v>
      </c>
      <c r="CI145" s="501">
        <v>0.28000000000000003</v>
      </c>
      <c r="CJ145" s="501">
        <v>0.56000000000000005</v>
      </c>
      <c r="CK145" s="501">
        <v>0.44</v>
      </c>
      <c r="CL145" s="501">
        <v>0.36</v>
      </c>
      <c r="CM145" s="501">
        <v>0.46</v>
      </c>
      <c r="CN145" s="630">
        <v>60</v>
      </c>
      <c r="CO145" s="640" t="s">
        <v>911</v>
      </c>
      <c r="CP145" s="630">
        <v>8</v>
      </c>
      <c r="CQ145" s="640" t="s">
        <v>910</v>
      </c>
      <c r="CR145" s="644">
        <v>0</v>
      </c>
      <c r="CS145" s="644">
        <v>0.35</v>
      </c>
      <c r="CT145" s="644">
        <v>0.61</v>
      </c>
      <c r="CU145" s="644">
        <v>0.04</v>
      </c>
      <c r="CV145" s="644">
        <v>0.17</v>
      </c>
      <c r="CW145" s="644">
        <v>0.37</v>
      </c>
      <c r="CX145" s="644">
        <v>0.39</v>
      </c>
      <c r="CY145" s="644">
        <v>0.5</v>
      </c>
      <c r="CZ145" s="644">
        <v>0.42</v>
      </c>
      <c r="DA145" s="644">
        <v>0.33</v>
      </c>
    </row>
    <row r="146" spans="1:105" s="219" customFormat="1" ht="24.9" customHeight="1" x14ac:dyDescent="0.25">
      <c r="A146" s="188" t="s">
        <v>878</v>
      </c>
      <c r="B146" s="1" t="s">
        <v>222</v>
      </c>
      <c r="C146" s="2">
        <v>4</v>
      </c>
      <c r="D146" s="16"/>
      <c r="E146" s="16"/>
      <c r="F146" s="96"/>
      <c r="G146" s="96"/>
      <c r="H146" s="96"/>
      <c r="I146" s="96"/>
      <c r="J146" s="96"/>
      <c r="K146" s="96"/>
      <c r="L146" s="96"/>
      <c r="M146" s="96"/>
      <c r="N146" s="96"/>
      <c r="O146" s="96"/>
      <c r="P146" s="16"/>
      <c r="Q146" s="16"/>
      <c r="R146" s="92"/>
      <c r="S146" s="92"/>
      <c r="T146" s="92"/>
      <c r="U146" s="92"/>
      <c r="V146" s="92"/>
      <c r="W146" s="92"/>
      <c r="X146" s="92"/>
      <c r="Y146" s="92"/>
      <c r="Z146" s="92"/>
      <c r="AA146" s="92"/>
      <c r="AB146" s="16"/>
      <c r="AC146" s="16"/>
      <c r="AD146" s="96"/>
      <c r="AE146" s="96"/>
      <c r="AF146" s="96"/>
      <c r="AG146" s="96"/>
      <c r="AH146" s="96"/>
      <c r="AI146" s="96"/>
      <c r="AJ146" s="96"/>
      <c r="AK146" s="96"/>
      <c r="AL146" s="96"/>
      <c r="AM146" s="96"/>
      <c r="AN146" s="16"/>
      <c r="AO146" s="16"/>
      <c r="AP146" s="96"/>
      <c r="AQ146" s="96"/>
      <c r="AR146" s="96"/>
      <c r="AS146" s="96"/>
      <c r="AT146" s="96"/>
      <c r="AU146" s="96"/>
      <c r="AV146" s="96"/>
      <c r="AW146" s="96"/>
      <c r="AX146" s="96"/>
      <c r="AY146" s="96"/>
      <c r="AZ146" s="61"/>
      <c r="BA146" s="61"/>
      <c r="BB146" s="66"/>
      <c r="BC146" s="66"/>
      <c r="BD146" s="66"/>
      <c r="BE146" s="66"/>
      <c r="BF146" s="66"/>
      <c r="BG146" s="66"/>
      <c r="BH146" s="66"/>
      <c r="BI146" s="66"/>
      <c r="BJ146" s="66"/>
      <c r="BK146" s="66"/>
      <c r="BM146" s="336"/>
      <c r="BO146" s="336"/>
      <c r="CN146" s="630">
        <v>51</v>
      </c>
      <c r="CO146" s="640" t="s">
        <v>910</v>
      </c>
      <c r="CP146" s="630">
        <v>8</v>
      </c>
      <c r="CQ146" s="640" t="s">
        <v>910</v>
      </c>
      <c r="CR146" s="644">
        <v>0</v>
      </c>
      <c r="CS146" s="644">
        <v>0.75</v>
      </c>
      <c r="CT146" s="644">
        <v>0.25</v>
      </c>
      <c r="CU146" s="644">
        <v>0</v>
      </c>
      <c r="CV146" s="644">
        <v>0.36</v>
      </c>
      <c r="CW146" s="644">
        <v>0.54</v>
      </c>
      <c r="CX146" s="644">
        <v>0.54</v>
      </c>
      <c r="CY146" s="644">
        <v>0.67</v>
      </c>
      <c r="CZ146" s="644">
        <v>0.59</v>
      </c>
      <c r="DA146" s="644">
        <v>0.67</v>
      </c>
    </row>
    <row r="147" spans="1:105" ht="24.9" customHeight="1" x14ac:dyDescent="0.25">
      <c r="A147" s="188" t="s">
        <v>142</v>
      </c>
      <c r="B147" s="1" t="s">
        <v>222</v>
      </c>
      <c r="C147" s="2">
        <v>2</v>
      </c>
      <c r="D147" s="16">
        <v>44</v>
      </c>
      <c r="E147" s="16">
        <v>10</v>
      </c>
      <c r="F147" s="96">
        <v>0.38</v>
      </c>
      <c r="G147" s="96">
        <v>0.38</v>
      </c>
      <c r="H147" s="96">
        <v>0.25</v>
      </c>
      <c r="I147" s="96">
        <v>0</v>
      </c>
      <c r="J147" s="96">
        <v>0.59</v>
      </c>
      <c r="K147" s="96">
        <v>0.6</v>
      </c>
      <c r="L147" s="96">
        <v>0.72</v>
      </c>
      <c r="M147" s="96">
        <v>0.44</v>
      </c>
      <c r="N147" s="96">
        <v>0.56000000000000005</v>
      </c>
      <c r="O147" s="96">
        <v>0.64</v>
      </c>
      <c r="P147" s="16">
        <v>53</v>
      </c>
      <c r="Q147" s="16">
        <v>10</v>
      </c>
      <c r="R147" s="92">
        <v>0</v>
      </c>
      <c r="S147" s="92">
        <v>0.78</v>
      </c>
      <c r="T147" s="92">
        <v>0.11</v>
      </c>
      <c r="U147" s="92">
        <v>0.11</v>
      </c>
      <c r="V147" s="92">
        <v>0.38</v>
      </c>
      <c r="W147" s="92">
        <v>0.54</v>
      </c>
      <c r="X147" s="92">
        <v>0.56999999999999995</v>
      </c>
      <c r="Y147" s="92">
        <v>0.39</v>
      </c>
      <c r="Z147" s="92">
        <v>0.41</v>
      </c>
      <c r="AA147" s="92">
        <v>0.47</v>
      </c>
      <c r="AB147" s="16">
        <v>49</v>
      </c>
      <c r="AC147" s="16">
        <v>8</v>
      </c>
      <c r="AD147" s="96">
        <v>0.27</v>
      </c>
      <c r="AE147" s="96">
        <v>0.47</v>
      </c>
      <c r="AF147" s="96">
        <v>0.27</v>
      </c>
      <c r="AG147" s="96">
        <v>0</v>
      </c>
      <c r="AH147" s="96">
        <v>0.49</v>
      </c>
      <c r="AI147" s="96">
        <v>0.47</v>
      </c>
      <c r="AJ147" s="96">
        <v>0.34</v>
      </c>
      <c r="AK147" s="96">
        <v>0.53</v>
      </c>
      <c r="AL147" s="96">
        <v>0.67</v>
      </c>
      <c r="AM147" s="96">
        <v>0.44</v>
      </c>
      <c r="AN147" s="16">
        <v>40</v>
      </c>
      <c r="AO147" s="16">
        <v>10</v>
      </c>
      <c r="AP147" s="96">
        <v>0.55000000000000004</v>
      </c>
      <c r="AQ147" s="96">
        <v>0.45</v>
      </c>
      <c r="AR147" s="96">
        <v>0</v>
      </c>
      <c r="AS147" s="96">
        <v>0</v>
      </c>
      <c r="AT147" s="96">
        <v>0.82</v>
      </c>
      <c r="AU147" s="96">
        <v>0.61</v>
      </c>
      <c r="AV147" s="96">
        <v>0.65</v>
      </c>
      <c r="AW147" s="96">
        <v>0.52</v>
      </c>
      <c r="AX147" s="96">
        <v>0.62</v>
      </c>
      <c r="AY147" s="96">
        <v>0.52</v>
      </c>
      <c r="AZ147" s="61">
        <v>45</v>
      </c>
      <c r="BA147" s="61">
        <v>11</v>
      </c>
      <c r="BB147" s="66">
        <v>0.36</v>
      </c>
      <c r="BC147" s="66">
        <v>0.5</v>
      </c>
      <c r="BD147" s="66">
        <v>7.0000000000000007E-2</v>
      </c>
      <c r="BE147" s="66">
        <v>7.0000000000000007E-2</v>
      </c>
      <c r="BF147" s="66">
        <v>0.56000000000000005</v>
      </c>
      <c r="BG147" s="66">
        <v>0.6</v>
      </c>
      <c r="BH147" s="66">
        <v>0.65</v>
      </c>
      <c r="BI147" s="66">
        <v>0.56999999999999995</v>
      </c>
      <c r="BJ147" s="66">
        <v>0.52</v>
      </c>
      <c r="BK147" s="66">
        <v>0.44</v>
      </c>
      <c r="BL147" s="349">
        <v>50</v>
      </c>
      <c r="BM147" s="348" t="s">
        <v>910</v>
      </c>
      <c r="BN147" s="349">
        <v>10</v>
      </c>
      <c r="BO147" s="348" t="s">
        <v>910</v>
      </c>
      <c r="BP147" s="371">
        <v>0.15</v>
      </c>
      <c r="BQ147" s="371">
        <v>0.54</v>
      </c>
      <c r="BR147" s="371">
        <v>0.31</v>
      </c>
      <c r="BS147" s="371">
        <v>0</v>
      </c>
      <c r="BT147" s="371">
        <v>0.47</v>
      </c>
      <c r="BU147" s="371">
        <v>0.41</v>
      </c>
      <c r="BV147" s="371">
        <v>0.62</v>
      </c>
      <c r="BW147" s="371">
        <v>0.45</v>
      </c>
      <c r="BX147" s="371">
        <v>0.52</v>
      </c>
      <c r="BY147" s="371">
        <v>0.48</v>
      </c>
      <c r="BZ147" s="469">
        <v>54</v>
      </c>
      <c r="CA147" s="471" t="s">
        <v>910</v>
      </c>
      <c r="CB147" s="469">
        <v>7</v>
      </c>
      <c r="CC147" s="471" t="s">
        <v>912</v>
      </c>
      <c r="CD147" s="501">
        <v>0</v>
      </c>
      <c r="CE147" s="501">
        <v>0.64</v>
      </c>
      <c r="CF147" s="501">
        <v>0.36</v>
      </c>
      <c r="CG147" s="501">
        <v>0</v>
      </c>
      <c r="CH147" s="501">
        <v>0.62</v>
      </c>
      <c r="CI147" s="501">
        <v>0.26</v>
      </c>
      <c r="CJ147" s="501">
        <v>0.56999999999999995</v>
      </c>
      <c r="CK147" s="501">
        <v>0.56000000000000005</v>
      </c>
      <c r="CL147" s="501">
        <v>0.35</v>
      </c>
      <c r="CM147" s="501">
        <v>0.49</v>
      </c>
      <c r="CN147" s="630">
        <v>54</v>
      </c>
      <c r="CO147" s="640" t="s">
        <v>910</v>
      </c>
      <c r="CP147" s="630">
        <v>9</v>
      </c>
      <c r="CQ147" s="640" t="s">
        <v>910</v>
      </c>
      <c r="CR147" s="644">
        <v>0.16</v>
      </c>
      <c r="CS147" s="644">
        <v>0.32</v>
      </c>
      <c r="CT147" s="644">
        <v>0.53</v>
      </c>
      <c r="CU147" s="644">
        <v>0</v>
      </c>
      <c r="CV147" s="644">
        <v>0.34</v>
      </c>
      <c r="CW147" s="644">
        <v>0.46</v>
      </c>
      <c r="CX147" s="644">
        <v>0.48</v>
      </c>
      <c r="CY147" s="644">
        <v>0.55000000000000004</v>
      </c>
      <c r="CZ147" s="644">
        <v>0.46</v>
      </c>
      <c r="DA147" s="644">
        <v>0.37</v>
      </c>
    </row>
    <row r="148" spans="1:105" ht="24.9" customHeight="1" x14ac:dyDescent="0.25">
      <c r="A148" s="188" t="s">
        <v>149</v>
      </c>
      <c r="B148" s="1" t="s">
        <v>222</v>
      </c>
      <c r="C148" s="2">
        <v>5</v>
      </c>
      <c r="D148" s="16">
        <v>52</v>
      </c>
      <c r="E148" s="16">
        <v>9</v>
      </c>
      <c r="F148" s="96">
        <v>0.12</v>
      </c>
      <c r="G148" s="96">
        <v>0.55000000000000004</v>
      </c>
      <c r="H148" s="96">
        <v>0.33</v>
      </c>
      <c r="I148" s="96">
        <v>0</v>
      </c>
      <c r="J148" s="96">
        <v>0.53</v>
      </c>
      <c r="K148" s="96">
        <v>0.51</v>
      </c>
      <c r="L148" s="96">
        <v>0.65</v>
      </c>
      <c r="M148" s="96">
        <v>0.37</v>
      </c>
      <c r="N148" s="96">
        <v>0.4</v>
      </c>
      <c r="O148" s="96">
        <v>0.47</v>
      </c>
      <c r="P148" s="16">
        <v>47</v>
      </c>
      <c r="Q148" s="16">
        <v>11</v>
      </c>
      <c r="R148" s="92">
        <v>0.32</v>
      </c>
      <c r="S148" s="92">
        <v>0.49</v>
      </c>
      <c r="T148" s="92">
        <v>0.2</v>
      </c>
      <c r="U148" s="92">
        <v>0</v>
      </c>
      <c r="V148" s="92">
        <v>0.46</v>
      </c>
      <c r="W148" s="92">
        <v>0.59</v>
      </c>
      <c r="X148" s="92">
        <v>0.56000000000000005</v>
      </c>
      <c r="Y148" s="92">
        <v>0.51</v>
      </c>
      <c r="Z148" s="92">
        <v>0.47</v>
      </c>
      <c r="AA148" s="92">
        <v>0.57999999999999996</v>
      </c>
      <c r="AB148" s="16">
        <v>45</v>
      </c>
      <c r="AC148" s="16">
        <v>8</v>
      </c>
      <c r="AD148" s="96">
        <v>0.34</v>
      </c>
      <c r="AE148" s="96">
        <v>0.5</v>
      </c>
      <c r="AF148" s="96">
        <v>0.16</v>
      </c>
      <c r="AG148" s="96">
        <v>0</v>
      </c>
      <c r="AH148" s="96">
        <v>0.53</v>
      </c>
      <c r="AI148" s="96">
        <v>0.49</v>
      </c>
      <c r="AJ148" s="96">
        <v>0.5</v>
      </c>
      <c r="AK148" s="96">
        <v>0.57999999999999996</v>
      </c>
      <c r="AL148" s="96">
        <v>0.63</v>
      </c>
      <c r="AM148" s="96">
        <v>0.62</v>
      </c>
      <c r="AN148" s="16">
        <v>49</v>
      </c>
      <c r="AO148" s="16">
        <v>11</v>
      </c>
      <c r="AP148" s="96">
        <v>0.28999999999999998</v>
      </c>
      <c r="AQ148" s="96">
        <v>0.38</v>
      </c>
      <c r="AR148" s="96">
        <v>0.33</v>
      </c>
      <c r="AS148" s="96">
        <v>0</v>
      </c>
      <c r="AT148" s="96">
        <v>0.49</v>
      </c>
      <c r="AU148" s="96">
        <v>0.47</v>
      </c>
      <c r="AV148" s="96">
        <v>0.45</v>
      </c>
      <c r="AW148" s="96">
        <v>0.45</v>
      </c>
      <c r="AX148" s="96">
        <v>0.53</v>
      </c>
      <c r="AY148" s="96">
        <v>0.39</v>
      </c>
      <c r="AZ148" s="61">
        <v>46</v>
      </c>
      <c r="BA148" s="61">
        <v>11</v>
      </c>
      <c r="BB148" s="66">
        <v>0.22</v>
      </c>
      <c r="BC148" s="66">
        <v>0.61</v>
      </c>
      <c r="BD148" s="66">
        <v>0.17</v>
      </c>
      <c r="BE148" s="66">
        <v>0</v>
      </c>
      <c r="BF148" s="66">
        <v>0.62</v>
      </c>
      <c r="BG148" s="66">
        <v>0.55000000000000004</v>
      </c>
      <c r="BH148" s="66">
        <v>0.48</v>
      </c>
      <c r="BI148" s="66">
        <v>0.59</v>
      </c>
      <c r="BJ148" s="66">
        <v>0.49</v>
      </c>
      <c r="BK148" s="66">
        <v>0.49</v>
      </c>
      <c r="BL148" s="349">
        <v>45</v>
      </c>
      <c r="BM148" s="348" t="s">
        <v>910</v>
      </c>
      <c r="BN148" s="349">
        <v>10</v>
      </c>
      <c r="BO148" s="348" t="s">
        <v>910</v>
      </c>
      <c r="BP148" s="371">
        <v>0.41</v>
      </c>
      <c r="BQ148" s="371">
        <v>0.45</v>
      </c>
      <c r="BR148" s="371">
        <v>0.14000000000000001</v>
      </c>
      <c r="BS148" s="371">
        <v>0</v>
      </c>
      <c r="BT148" s="371">
        <v>0.55000000000000004</v>
      </c>
      <c r="BU148" s="371">
        <v>0.55000000000000004</v>
      </c>
      <c r="BV148" s="371">
        <v>0.48</v>
      </c>
      <c r="BW148" s="371">
        <v>0.5</v>
      </c>
      <c r="BX148" s="371">
        <v>0.54</v>
      </c>
      <c r="BY148" s="371">
        <v>0.6</v>
      </c>
      <c r="BZ148" s="469">
        <v>46</v>
      </c>
      <c r="CA148" s="471" t="s">
        <v>910</v>
      </c>
      <c r="CB148" s="469">
        <v>10</v>
      </c>
      <c r="CC148" s="471" t="s">
        <v>910</v>
      </c>
      <c r="CD148" s="501">
        <v>0.31</v>
      </c>
      <c r="CE148" s="501">
        <v>0.54</v>
      </c>
      <c r="CF148" s="501">
        <v>0.15</v>
      </c>
      <c r="CG148" s="501">
        <v>0</v>
      </c>
      <c r="CH148" s="501">
        <v>0.46</v>
      </c>
      <c r="CI148" s="501">
        <v>0.47</v>
      </c>
      <c r="CJ148" s="501">
        <v>0.63</v>
      </c>
      <c r="CK148" s="501">
        <v>0.56999999999999995</v>
      </c>
      <c r="CL148" s="501">
        <v>0.4</v>
      </c>
      <c r="CM148" s="501">
        <v>0.55000000000000004</v>
      </c>
      <c r="CN148" s="630">
        <v>46</v>
      </c>
      <c r="CO148" s="640" t="s">
        <v>910</v>
      </c>
      <c r="CP148" s="630">
        <v>9</v>
      </c>
      <c r="CQ148" s="640" t="s">
        <v>910</v>
      </c>
      <c r="CR148" s="644">
        <v>0.28999999999999998</v>
      </c>
      <c r="CS148" s="644">
        <v>0.49</v>
      </c>
      <c r="CT148" s="644">
        <v>0.23</v>
      </c>
      <c r="CU148" s="644">
        <v>0</v>
      </c>
      <c r="CV148" s="644">
        <v>0.49</v>
      </c>
      <c r="CW148" s="644">
        <v>0.6</v>
      </c>
      <c r="CX148" s="644">
        <v>0.63</v>
      </c>
      <c r="CY148" s="644">
        <v>0.67</v>
      </c>
      <c r="CZ148" s="644">
        <v>0.56000000000000005</v>
      </c>
      <c r="DA148" s="644">
        <v>0.72</v>
      </c>
    </row>
    <row r="149" spans="1:105" ht="24.9" customHeight="1" x14ac:dyDescent="0.25">
      <c r="A149" s="188" t="s">
        <v>140</v>
      </c>
      <c r="B149" s="1" t="s">
        <v>222</v>
      </c>
      <c r="C149" s="2">
        <v>2</v>
      </c>
      <c r="D149" s="16">
        <v>49</v>
      </c>
      <c r="E149" s="16">
        <v>11</v>
      </c>
      <c r="F149" s="96">
        <v>0.38</v>
      </c>
      <c r="G149" s="96">
        <v>0.25</v>
      </c>
      <c r="H149" s="96">
        <v>0.38</v>
      </c>
      <c r="I149" s="96">
        <v>0</v>
      </c>
      <c r="J149" s="96">
        <v>0.56000000000000005</v>
      </c>
      <c r="K149" s="96">
        <v>0.61</v>
      </c>
      <c r="L149" s="96">
        <v>0.56000000000000005</v>
      </c>
      <c r="M149" s="96">
        <v>0.41</v>
      </c>
      <c r="N149" s="96">
        <v>0.44</v>
      </c>
      <c r="O149" s="96">
        <v>0.63</v>
      </c>
      <c r="P149" s="16">
        <v>55</v>
      </c>
      <c r="Q149" s="16">
        <v>7</v>
      </c>
      <c r="R149" s="92">
        <v>0</v>
      </c>
      <c r="S149" s="92">
        <v>0.55000000000000004</v>
      </c>
      <c r="T149" s="92">
        <v>0.45</v>
      </c>
      <c r="U149" s="92">
        <v>0</v>
      </c>
      <c r="V149" s="92">
        <v>0.34</v>
      </c>
      <c r="W149" s="92">
        <v>0.4</v>
      </c>
      <c r="X149" s="92">
        <v>0.52</v>
      </c>
      <c r="Y149" s="92">
        <v>0.49</v>
      </c>
      <c r="Z149" s="92">
        <v>0.33</v>
      </c>
      <c r="AA149" s="92">
        <v>0.38</v>
      </c>
      <c r="AB149" s="16">
        <v>54</v>
      </c>
      <c r="AC149" s="16">
        <v>9</v>
      </c>
      <c r="AD149" s="96">
        <v>0.09</v>
      </c>
      <c r="AE149" s="96">
        <v>0.48</v>
      </c>
      <c r="AF149" s="96">
        <v>0.39</v>
      </c>
      <c r="AG149" s="96">
        <v>0.04</v>
      </c>
      <c r="AH149" s="96">
        <v>0.4</v>
      </c>
      <c r="AI149" s="96">
        <v>0.33</v>
      </c>
      <c r="AJ149" s="96">
        <v>0.34</v>
      </c>
      <c r="AK149" s="96">
        <v>0.41</v>
      </c>
      <c r="AL149" s="96">
        <v>0.43</v>
      </c>
      <c r="AM149" s="96">
        <v>0.42</v>
      </c>
      <c r="AN149" s="16">
        <v>49</v>
      </c>
      <c r="AO149" s="16">
        <v>9</v>
      </c>
      <c r="AP149" s="96">
        <v>0.15</v>
      </c>
      <c r="AQ149" s="96">
        <v>0.57999999999999996</v>
      </c>
      <c r="AR149" s="96">
        <v>0.27</v>
      </c>
      <c r="AS149" s="96">
        <v>0</v>
      </c>
      <c r="AT149" s="96">
        <v>0.56000000000000005</v>
      </c>
      <c r="AU149" s="96">
        <v>0.45</v>
      </c>
      <c r="AV149" s="96">
        <v>0.42</v>
      </c>
      <c r="AW149" s="96">
        <v>0.44</v>
      </c>
      <c r="AX149" s="96">
        <v>0.45</v>
      </c>
      <c r="AY149" s="96">
        <v>0.47</v>
      </c>
      <c r="AZ149" s="61">
        <v>50</v>
      </c>
      <c r="BA149" s="61">
        <v>9</v>
      </c>
      <c r="BB149" s="66">
        <v>0.13</v>
      </c>
      <c r="BC149" s="66">
        <v>0.61</v>
      </c>
      <c r="BD149" s="66">
        <v>0.23</v>
      </c>
      <c r="BE149" s="66">
        <v>0.03</v>
      </c>
      <c r="BF149" s="66">
        <v>0.51</v>
      </c>
      <c r="BG149" s="66">
        <v>0.55000000000000004</v>
      </c>
      <c r="BH149" s="66">
        <v>0.44</v>
      </c>
      <c r="BI149" s="66">
        <v>0.54</v>
      </c>
      <c r="BJ149" s="66">
        <v>0.44</v>
      </c>
      <c r="BK149" s="66">
        <v>0.36</v>
      </c>
      <c r="BL149" s="349">
        <v>46</v>
      </c>
      <c r="BM149" s="348" t="s">
        <v>910</v>
      </c>
      <c r="BN149" s="349">
        <v>8</v>
      </c>
      <c r="BO149" s="348" t="s">
        <v>910</v>
      </c>
      <c r="BP149" s="371">
        <v>0.18</v>
      </c>
      <c r="BQ149" s="371">
        <v>0.71</v>
      </c>
      <c r="BR149" s="371">
        <v>0.12</v>
      </c>
      <c r="BS149" s="371">
        <v>0</v>
      </c>
      <c r="BT149" s="371">
        <v>0.49</v>
      </c>
      <c r="BU149" s="371">
        <v>0.57999999999999996</v>
      </c>
      <c r="BV149" s="371">
        <v>0.63</v>
      </c>
      <c r="BW149" s="371">
        <v>0.5</v>
      </c>
      <c r="BX149" s="371">
        <v>0.47</v>
      </c>
      <c r="BY149" s="371">
        <v>0.56999999999999995</v>
      </c>
      <c r="BZ149" s="469">
        <v>47</v>
      </c>
      <c r="CA149" s="471" t="s">
        <v>910</v>
      </c>
      <c r="CB149" s="469">
        <v>11</v>
      </c>
      <c r="CC149" s="471" t="s">
        <v>910</v>
      </c>
      <c r="CD149" s="501">
        <v>0.35</v>
      </c>
      <c r="CE149" s="501">
        <v>0.38</v>
      </c>
      <c r="CF149" s="501">
        <v>0.25</v>
      </c>
      <c r="CG149" s="501">
        <v>0.03</v>
      </c>
      <c r="CH149" s="501">
        <v>0.52</v>
      </c>
      <c r="CI149" s="501">
        <v>0.46</v>
      </c>
      <c r="CJ149" s="501">
        <v>0.61</v>
      </c>
      <c r="CK149" s="501">
        <v>0.55000000000000004</v>
      </c>
      <c r="CL149" s="501">
        <v>0.5</v>
      </c>
      <c r="CM149" s="501">
        <v>0.57999999999999996</v>
      </c>
      <c r="CN149" s="630">
        <v>50</v>
      </c>
      <c r="CO149" s="640" t="s">
        <v>910</v>
      </c>
      <c r="CP149" s="630">
        <v>11</v>
      </c>
      <c r="CQ149" s="640" t="s">
        <v>910</v>
      </c>
      <c r="CR149" s="644">
        <v>0.24</v>
      </c>
      <c r="CS149" s="644">
        <v>0.39</v>
      </c>
      <c r="CT149" s="644">
        <v>0.32</v>
      </c>
      <c r="CU149" s="644">
        <v>0.05</v>
      </c>
      <c r="CV149" s="644">
        <v>0.32</v>
      </c>
      <c r="CW149" s="644">
        <v>0.48</v>
      </c>
      <c r="CX149" s="644">
        <v>0.55000000000000004</v>
      </c>
      <c r="CY149" s="644">
        <v>0.5</v>
      </c>
      <c r="CZ149" s="644">
        <v>0.52</v>
      </c>
      <c r="DA149" s="644">
        <v>0.47</v>
      </c>
    </row>
    <row r="150" spans="1:105" ht="24.9" customHeight="1" x14ac:dyDescent="0.25">
      <c r="A150" s="188" t="s">
        <v>122</v>
      </c>
      <c r="B150" s="1" t="s">
        <v>222</v>
      </c>
      <c r="C150" s="2">
        <v>6</v>
      </c>
      <c r="D150" s="16">
        <v>53</v>
      </c>
      <c r="E150" s="16">
        <v>9</v>
      </c>
      <c r="F150" s="96">
        <v>0.08</v>
      </c>
      <c r="G150" s="96">
        <v>0.48</v>
      </c>
      <c r="H150" s="96">
        <v>0.42</v>
      </c>
      <c r="I150" s="96">
        <v>0.02</v>
      </c>
      <c r="J150" s="96">
        <v>0.49</v>
      </c>
      <c r="K150" s="96">
        <v>0.46</v>
      </c>
      <c r="L150" s="96">
        <v>0.57999999999999996</v>
      </c>
      <c r="M150" s="96">
        <v>0.44</v>
      </c>
      <c r="N150" s="96">
        <v>0.41</v>
      </c>
      <c r="O150" s="96">
        <v>0.5</v>
      </c>
      <c r="P150" s="16">
        <v>53</v>
      </c>
      <c r="Q150" s="16">
        <v>9</v>
      </c>
      <c r="R150" s="92">
        <v>0.08</v>
      </c>
      <c r="S150" s="92">
        <v>0.53</v>
      </c>
      <c r="T150" s="92">
        <v>0.37</v>
      </c>
      <c r="U150" s="92">
        <v>0.02</v>
      </c>
      <c r="V150" s="92">
        <v>0.37</v>
      </c>
      <c r="W150" s="92">
        <v>0.43</v>
      </c>
      <c r="X150" s="92">
        <v>0.55000000000000004</v>
      </c>
      <c r="Y150" s="92">
        <v>0.43</v>
      </c>
      <c r="Z150" s="92">
        <v>0.4</v>
      </c>
      <c r="AA150" s="92">
        <v>0.47</v>
      </c>
      <c r="AB150" s="16">
        <v>52</v>
      </c>
      <c r="AC150" s="16">
        <v>10</v>
      </c>
      <c r="AD150" s="96">
        <v>0.13</v>
      </c>
      <c r="AE150" s="96">
        <v>0.5</v>
      </c>
      <c r="AF150" s="96">
        <v>0.34</v>
      </c>
      <c r="AG150" s="96">
        <v>0.03</v>
      </c>
      <c r="AH150" s="96">
        <v>0.38</v>
      </c>
      <c r="AI150" s="96">
        <v>0.41</v>
      </c>
      <c r="AJ150" s="96">
        <v>0.37</v>
      </c>
      <c r="AK150" s="96">
        <v>0.44</v>
      </c>
      <c r="AL150" s="96">
        <v>0.54</v>
      </c>
      <c r="AM150" s="96">
        <v>0.47</v>
      </c>
      <c r="AN150" s="16">
        <v>49</v>
      </c>
      <c r="AO150" s="16">
        <v>11</v>
      </c>
      <c r="AP150" s="96">
        <v>0.24</v>
      </c>
      <c r="AQ150" s="96">
        <v>0.45</v>
      </c>
      <c r="AR150" s="96">
        <v>0.28999999999999998</v>
      </c>
      <c r="AS150" s="96">
        <v>0.02</v>
      </c>
      <c r="AT150" s="96">
        <v>0.53</v>
      </c>
      <c r="AU150" s="96">
        <v>0.48</v>
      </c>
      <c r="AV150" s="96">
        <v>0.45</v>
      </c>
      <c r="AW150" s="96">
        <v>0.46</v>
      </c>
      <c r="AX150" s="96">
        <v>0.44</v>
      </c>
      <c r="AY150" s="96">
        <v>0.44</v>
      </c>
      <c r="AZ150" s="61">
        <v>49</v>
      </c>
      <c r="BA150" s="61">
        <v>11</v>
      </c>
      <c r="BB150" s="66">
        <v>0.24</v>
      </c>
      <c r="BC150" s="66">
        <v>0.44</v>
      </c>
      <c r="BD150" s="66">
        <v>0.3</v>
      </c>
      <c r="BE150" s="66">
        <v>0.02</v>
      </c>
      <c r="BF150" s="66">
        <v>0.49</v>
      </c>
      <c r="BG150" s="66">
        <v>0.48</v>
      </c>
      <c r="BH150" s="66">
        <v>0.48</v>
      </c>
      <c r="BI150" s="66">
        <v>0.56000000000000005</v>
      </c>
      <c r="BJ150" s="66">
        <v>0.47</v>
      </c>
      <c r="BK150" s="66">
        <v>0.42</v>
      </c>
      <c r="BL150" s="349">
        <v>48</v>
      </c>
      <c r="BM150" s="348" t="s">
        <v>910</v>
      </c>
      <c r="BN150" s="349">
        <v>12</v>
      </c>
      <c r="BO150" s="348" t="s">
        <v>910</v>
      </c>
      <c r="BP150" s="371">
        <v>0.28000000000000003</v>
      </c>
      <c r="BQ150" s="371">
        <v>0.36</v>
      </c>
      <c r="BR150" s="371">
        <v>0.34</v>
      </c>
      <c r="BS150" s="371">
        <v>0.01</v>
      </c>
      <c r="BT150" s="371">
        <v>0.48</v>
      </c>
      <c r="BU150" s="371">
        <v>0.5</v>
      </c>
      <c r="BV150" s="371">
        <v>0.55000000000000004</v>
      </c>
      <c r="BW150" s="371">
        <v>0.45</v>
      </c>
      <c r="BX150" s="371">
        <v>0.45</v>
      </c>
      <c r="BY150" s="371">
        <v>0.52</v>
      </c>
      <c r="BZ150" s="469">
        <v>50</v>
      </c>
      <c r="CA150" s="471" t="s">
        <v>910</v>
      </c>
      <c r="CB150" s="469">
        <v>11</v>
      </c>
      <c r="CC150" s="471" t="s">
        <v>910</v>
      </c>
      <c r="CD150" s="501">
        <v>0.21</v>
      </c>
      <c r="CE150" s="501">
        <v>0.47</v>
      </c>
      <c r="CF150" s="501">
        <v>0.28000000000000003</v>
      </c>
      <c r="CG150" s="501">
        <v>0.04</v>
      </c>
      <c r="CH150" s="501">
        <v>0.51</v>
      </c>
      <c r="CI150" s="501">
        <v>0.35</v>
      </c>
      <c r="CJ150" s="501">
        <v>0.55000000000000004</v>
      </c>
      <c r="CK150" s="501">
        <v>0.54</v>
      </c>
      <c r="CL150" s="501">
        <v>0.43</v>
      </c>
      <c r="CM150" s="501">
        <v>0.57999999999999996</v>
      </c>
      <c r="CN150" s="630">
        <v>51</v>
      </c>
      <c r="CO150" s="640" t="s">
        <v>910</v>
      </c>
      <c r="CP150" s="630">
        <v>11</v>
      </c>
      <c r="CQ150" s="640" t="s">
        <v>910</v>
      </c>
      <c r="CR150" s="644">
        <v>0.17</v>
      </c>
      <c r="CS150" s="644">
        <v>0.45</v>
      </c>
      <c r="CT150" s="644">
        <v>0.36</v>
      </c>
      <c r="CU150" s="644">
        <v>0.02</v>
      </c>
      <c r="CV150" s="644">
        <v>0.35</v>
      </c>
      <c r="CW150" s="644">
        <v>0.54</v>
      </c>
      <c r="CX150" s="644">
        <v>0.55000000000000004</v>
      </c>
      <c r="CY150" s="644">
        <v>0.55000000000000004</v>
      </c>
      <c r="CZ150" s="644">
        <v>0.56000000000000005</v>
      </c>
      <c r="DA150" s="644">
        <v>0.47</v>
      </c>
    </row>
    <row r="151" spans="1:105" ht="24.9" customHeight="1" x14ac:dyDescent="0.25">
      <c r="A151" s="188" t="s">
        <v>198</v>
      </c>
      <c r="B151" s="1" t="s">
        <v>222</v>
      </c>
      <c r="C151" s="2">
        <v>5</v>
      </c>
      <c r="D151" s="16">
        <v>60</v>
      </c>
      <c r="E151" s="16">
        <v>8</v>
      </c>
      <c r="F151" s="96">
        <v>0</v>
      </c>
      <c r="G151" s="96">
        <v>0.3</v>
      </c>
      <c r="H151" s="96">
        <v>0.63</v>
      </c>
      <c r="I151" s="96">
        <v>7.0000000000000007E-2</v>
      </c>
      <c r="J151" s="96">
        <v>0.42</v>
      </c>
      <c r="K151" s="96">
        <v>0.43</v>
      </c>
      <c r="L151" s="96">
        <v>0.42</v>
      </c>
      <c r="M151" s="96">
        <v>0.31</v>
      </c>
      <c r="N151" s="96">
        <v>0.26</v>
      </c>
      <c r="O151" s="96">
        <v>0.36</v>
      </c>
      <c r="P151" s="16">
        <v>59</v>
      </c>
      <c r="Q151" s="16">
        <v>8</v>
      </c>
      <c r="R151" s="92">
        <v>0.04</v>
      </c>
      <c r="S151" s="92">
        <v>0.17</v>
      </c>
      <c r="T151" s="92">
        <v>0.78</v>
      </c>
      <c r="U151" s="92">
        <v>0</v>
      </c>
      <c r="V151" s="92">
        <v>0.28999999999999998</v>
      </c>
      <c r="W151" s="92">
        <v>0.31</v>
      </c>
      <c r="X151" s="92">
        <v>0.43</v>
      </c>
      <c r="Y151" s="92">
        <v>0.33</v>
      </c>
      <c r="Z151" s="92">
        <v>0.35</v>
      </c>
      <c r="AA151" s="92">
        <v>0.4</v>
      </c>
      <c r="AB151" s="16">
        <v>59</v>
      </c>
      <c r="AC151" s="16">
        <v>11</v>
      </c>
      <c r="AD151" s="96">
        <v>0</v>
      </c>
      <c r="AE151" s="96">
        <v>0.46</v>
      </c>
      <c r="AF151" s="96">
        <v>0.43</v>
      </c>
      <c r="AG151" s="96">
        <v>0.11</v>
      </c>
      <c r="AH151" s="96">
        <v>0.31</v>
      </c>
      <c r="AI151" s="96">
        <v>0.28000000000000003</v>
      </c>
      <c r="AJ151" s="96">
        <v>0.27</v>
      </c>
      <c r="AK151" s="96">
        <v>0.32</v>
      </c>
      <c r="AL151" s="96">
        <v>0.35</v>
      </c>
      <c r="AM151" s="96">
        <v>0.33</v>
      </c>
      <c r="AN151" s="16">
        <v>52</v>
      </c>
      <c r="AO151" s="16">
        <v>10</v>
      </c>
      <c r="AP151" s="96">
        <v>0.13</v>
      </c>
      <c r="AQ151" s="96">
        <v>0.5</v>
      </c>
      <c r="AR151" s="96">
        <v>0.3</v>
      </c>
      <c r="AS151" s="96">
        <v>7.0000000000000007E-2</v>
      </c>
      <c r="AT151" s="96">
        <v>0.48</v>
      </c>
      <c r="AU151" s="96">
        <v>0.37</v>
      </c>
      <c r="AV151" s="96">
        <v>0.43</v>
      </c>
      <c r="AW151" s="96">
        <v>0.39</v>
      </c>
      <c r="AX151" s="96">
        <v>0.41</v>
      </c>
      <c r="AY151" s="96">
        <v>0.43</v>
      </c>
      <c r="AZ151" s="61">
        <v>54</v>
      </c>
      <c r="BA151" s="61">
        <v>10</v>
      </c>
      <c r="BB151" s="66">
        <v>0.1</v>
      </c>
      <c r="BC151" s="66">
        <v>0.5</v>
      </c>
      <c r="BD151" s="66">
        <v>0.35</v>
      </c>
      <c r="BE151" s="66">
        <v>0.06</v>
      </c>
      <c r="BF151" s="66">
        <v>0.42</v>
      </c>
      <c r="BG151" s="66">
        <v>0.4</v>
      </c>
      <c r="BH151" s="66">
        <v>0.41</v>
      </c>
      <c r="BI151" s="66">
        <v>0.47</v>
      </c>
      <c r="BJ151" s="66">
        <v>0.37</v>
      </c>
      <c r="BK151" s="66">
        <v>0.36</v>
      </c>
      <c r="BL151" s="349">
        <v>54</v>
      </c>
      <c r="BM151" s="348" t="s">
        <v>910</v>
      </c>
      <c r="BN151" s="349">
        <v>13</v>
      </c>
      <c r="BO151" s="348" t="s">
        <v>910</v>
      </c>
      <c r="BP151" s="371">
        <v>0.15</v>
      </c>
      <c r="BQ151" s="371">
        <v>0.35</v>
      </c>
      <c r="BR151" s="371">
        <v>0.48</v>
      </c>
      <c r="BS151" s="371">
        <v>0.02</v>
      </c>
      <c r="BT151" s="371">
        <v>0.34</v>
      </c>
      <c r="BU151" s="371">
        <v>0.44</v>
      </c>
      <c r="BV151" s="371">
        <v>0.44</v>
      </c>
      <c r="BW151" s="371">
        <v>0.35</v>
      </c>
      <c r="BX151" s="371">
        <v>0.38</v>
      </c>
      <c r="BY151" s="371">
        <v>0.46</v>
      </c>
      <c r="BZ151" s="469">
        <v>58</v>
      </c>
      <c r="CA151" s="471" t="s">
        <v>911</v>
      </c>
      <c r="CB151" s="469">
        <v>11</v>
      </c>
      <c r="CC151" s="471" t="s">
        <v>910</v>
      </c>
      <c r="CD151" s="501">
        <v>0.06</v>
      </c>
      <c r="CE151" s="501">
        <v>0.26</v>
      </c>
      <c r="CF151" s="501">
        <v>0.6</v>
      </c>
      <c r="CG151" s="501">
        <v>0.09</v>
      </c>
      <c r="CH151" s="501">
        <v>0.39</v>
      </c>
      <c r="CI151" s="501">
        <v>0.26</v>
      </c>
      <c r="CJ151" s="501">
        <v>0.51</v>
      </c>
      <c r="CK151" s="501">
        <v>0.39</v>
      </c>
      <c r="CL151" s="501">
        <v>0.25</v>
      </c>
      <c r="CM151" s="501">
        <v>0.41</v>
      </c>
      <c r="CN151" s="630">
        <v>56</v>
      </c>
      <c r="CO151" s="640" t="s">
        <v>910</v>
      </c>
      <c r="CP151" s="630">
        <v>11</v>
      </c>
      <c r="CQ151" s="640" t="s">
        <v>910</v>
      </c>
      <c r="CR151" s="644">
        <v>0.09</v>
      </c>
      <c r="CS151" s="644">
        <v>0.39</v>
      </c>
      <c r="CT151" s="644">
        <v>0.43</v>
      </c>
      <c r="CU151" s="644">
        <v>0.09</v>
      </c>
      <c r="CV151" s="644">
        <v>0.3</v>
      </c>
      <c r="CW151" s="644">
        <v>0.42</v>
      </c>
      <c r="CX151" s="644">
        <v>0.51</v>
      </c>
      <c r="CY151" s="644">
        <v>0.51</v>
      </c>
      <c r="CZ151" s="644">
        <v>0.43</v>
      </c>
      <c r="DA151" s="644">
        <v>0.49</v>
      </c>
    </row>
    <row r="152" spans="1:105" ht="24.9" customHeight="1" x14ac:dyDescent="0.25">
      <c r="A152" s="188" t="s">
        <v>165</v>
      </c>
      <c r="B152" s="1" t="s">
        <v>222</v>
      </c>
      <c r="C152" s="2">
        <v>1</v>
      </c>
      <c r="D152" s="16">
        <v>52</v>
      </c>
      <c r="E152" s="16">
        <v>8</v>
      </c>
      <c r="F152" s="96">
        <v>0.11</v>
      </c>
      <c r="G152" s="96">
        <v>0.61</v>
      </c>
      <c r="H152" s="96">
        <v>0.28999999999999998</v>
      </c>
      <c r="I152" s="96">
        <v>0</v>
      </c>
      <c r="J152" s="96">
        <v>0.51</v>
      </c>
      <c r="K152" s="96">
        <v>0.49</v>
      </c>
      <c r="L152" s="96">
        <v>0.65</v>
      </c>
      <c r="M152" s="96">
        <v>0.36</v>
      </c>
      <c r="N152" s="96">
        <v>0.43</v>
      </c>
      <c r="O152" s="96">
        <v>0.51</v>
      </c>
      <c r="P152" s="16">
        <v>50</v>
      </c>
      <c r="Q152" s="16">
        <v>9</v>
      </c>
      <c r="R152" s="92">
        <v>0.13</v>
      </c>
      <c r="S152" s="92">
        <v>0.61</v>
      </c>
      <c r="T152" s="92">
        <v>0.23</v>
      </c>
      <c r="U152" s="92">
        <v>0.03</v>
      </c>
      <c r="V152" s="92">
        <v>0.42</v>
      </c>
      <c r="W152" s="92">
        <v>0.48</v>
      </c>
      <c r="X152" s="92">
        <v>0.57999999999999996</v>
      </c>
      <c r="Y152" s="92">
        <v>0.43</v>
      </c>
      <c r="Z152" s="92">
        <v>0.46</v>
      </c>
      <c r="AA152" s="92">
        <v>0.59</v>
      </c>
      <c r="AB152" s="16">
        <v>45</v>
      </c>
      <c r="AC152" s="16">
        <v>9</v>
      </c>
      <c r="AD152" s="96">
        <v>0.3</v>
      </c>
      <c r="AE152" s="96">
        <v>0.55000000000000004</v>
      </c>
      <c r="AF152" s="96">
        <v>0.15</v>
      </c>
      <c r="AG152" s="96">
        <v>0</v>
      </c>
      <c r="AH152" s="96">
        <v>0.44</v>
      </c>
      <c r="AI152" s="96">
        <v>0.63</v>
      </c>
      <c r="AJ152" s="96">
        <v>0.48</v>
      </c>
      <c r="AK152" s="96">
        <v>0.55000000000000004</v>
      </c>
      <c r="AL152" s="96">
        <v>0.61</v>
      </c>
      <c r="AM152" s="96">
        <v>0.65</v>
      </c>
      <c r="AN152" s="16">
        <v>47</v>
      </c>
      <c r="AO152" s="16">
        <v>9</v>
      </c>
      <c r="AP152" s="96">
        <v>0.2</v>
      </c>
      <c r="AQ152" s="96">
        <v>0.68</v>
      </c>
      <c r="AR152" s="96">
        <v>0.12</v>
      </c>
      <c r="AS152" s="96">
        <v>0</v>
      </c>
      <c r="AT152" s="96">
        <v>0.59</v>
      </c>
      <c r="AU152" s="96">
        <v>0.53</v>
      </c>
      <c r="AV152" s="96">
        <v>0.51</v>
      </c>
      <c r="AW152" s="96">
        <v>0.48</v>
      </c>
      <c r="AX152" s="96">
        <v>0.48</v>
      </c>
      <c r="AY152" s="96">
        <v>0.5</v>
      </c>
      <c r="AZ152" s="61">
        <v>47</v>
      </c>
      <c r="BA152" s="61">
        <v>10</v>
      </c>
      <c r="BB152" s="66">
        <v>0.32</v>
      </c>
      <c r="BC152" s="66">
        <v>0.45</v>
      </c>
      <c r="BD152" s="66">
        <v>0.23</v>
      </c>
      <c r="BE152" s="66">
        <v>0</v>
      </c>
      <c r="BF152" s="66">
        <v>0.59</v>
      </c>
      <c r="BG152" s="66">
        <v>0.51</v>
      </c>
      <c r="BH152" s="66">
        <v>0.54</v>
      </c>
      <c r="BI152" s="66">
        <v>0.56000000000000005</v>
      </c>
      <c r="BJ152" s="66">
        <v>0.49</v>
      </c>
      <c r="BK152" s="66">
        <v>0.44</v>
      </c>
      <c r="BL152" s="349">
        <v>47</v>
      </c>
      <c r="BM152" s="348" t="s">
        <v>910</v>
      </c>
      <c r="BN152" s="349">
        <v>11</v>
      </c>
      <c r="BO152" s="348" t="s">
        <v>910</v>
      </c>
      <c r="BP152" s="371">
        <v>0.32</v>
      </c>
      <c r="BQ152" s="371">
        <v>0.39</v>
      </c>
      <c r="BR152" s="371">
        <v>0.28999999999999998</v>
      </c>
      <c r="BS152" s="371">
        <v>0</v>
      </c>
      <c r="BT152" s="371">
        <v>0.53</v>
      </c>
      <c r="BU152" s="371">
        <v>0.47</v>
      </c>
      <c r="BV152" s="371">
        <v>0.63</v>
      </c>
      <c r="BW152" s="371">
        <v>0.47</v>
      </c>
      <c r="BX152" s="371">
        <v>0.5</v>
      </c>
      <c r="BY152" s="371">
        <v>0.56999999999999995</v>
      </c>
      <c r="BZ152" s="469">
        <v>51</v>
      </c>
      <c r="CA152" s="471" t="s">
        <v>910</v>
      </c>
      <c r="CB152" s="469">
        <v>11</v>
      </c>
      <c r="CC152" s="471" t="s">
        <v>910</v>
      </c>
      <c r="CD152" s="501">
        <v>0.19</v>
      </c>
      <c r="CE152" s="501">
        <v>0.38</v>
      </c>
      <c r="CF152" s="501">
        <v>0.42</v>
      </c>
      <c r="CG152" s="501">
        <v>0</v>
      </c>
      <c r="CH152" s="501">
        <v>0.46</v>
      </c>
      <c r="CI152" s="501">
        <v>0.38</v>
      </c>
      <c r="CJ152" s="501">
        <v>0.56999999999999995</v>
      </c>
      <c r="CK152" s="501">
        <v>0.54</v>
      </c>
      <c r="CL152" s="501">
        <v>0.41</v>
      </c>
      <c r="CM152" s="501">
        <v>0.57999999999999996</v>
      </c>
      <c r="CN152" s="630">
        <v>50</v>
      </c>
      <c r="CO152" s="640" t="s">
        <v>910</v>
      </c>
      <c r="CP152" s="630">
        <v>10</v>
      </c>
      <c r="CQ152" s="640" t="s">
        <v>910</v>
      </c>
      <c r="CR152" s="644">
        <v>0.19</v>
      </c>
      <c r="CS152" s="644">
        <v>0.52</v>
      </c>
      <c r="CT152" s="644">
        <v>0.27</v>
      </c>
      <c r="CU152" s="644">
        <v>0.02</v>
      </c>
      <c r="CV152" s="644">
        <v>0.35</v>
      </c>
      <c r="CW152" s="644">
        <v>0.57999999999999996</v>
      </c>
      <c r="CX152" s="644">
        <v>0.55000000000000004</v>
      </c>
      <c r="CY152" s="644">
        <v>0.67</v>
      </c>
      <c r="CZ152" s="644">
        <v>0.54</v>
      </c>
      <c r="DA152" s="644">
        <v>0.65</v>
      </c>
    </row>
    <row r="153" spans="1:105" ht="24.9" customHeight="1" x14ac:dyDescent="0.25">
      <c r="A153" s="188" t="s">
        <v>230</v>
      </c>
      <c r="B153" s="1" t="s">
        <v>222</v>
      </c>
      <c r="C153" s="2">
        <v>6</v>
      </c>
      <c r="D153" s="13" t="s">
        <v>226</v>
      </c>
      <c r="E153" s="13" t="s">
        <v>226</v>
      </c>
      <c r="F153" s="13"/>
      <c r="G153" s="13"/>
      <c r="H153" s="13"/>
      <c r="I153" s="13"/>
      <c r="J153" s="13"/>
      <c r="K153" s="13"/>
      <c r="L153" s="13"/>
      <c r="M153" s="13"/>
      <c r="N153" s="13"/>
      <c r="O153" s="13"/>
      <c r="P153" s="16">
        <v>48</v>
      </c>
      <c r="Q153" s="16">
        <v>15</v>
      </c>
      <c r="R153" s="92">
        <v>0.33</v>
      </c>
      <c r="S153" s="92">
        <v>0.33</v>
      </c>
      <c r="T153" s="92">
        <v>0.33</v>
      </c>
      <c r="U153" s="92">
        <v>0</v>
      </c>
      <c r="V153" s="92">
        <v>0.42</v>
      </c>
      <c r="W153" s="92">
        <v>0.5</v>
      </c>
      <c r="X153" s="92">
        <v>0.59</v>
      </c>
      <c r="Y153" s="92">
        <v>0.53</v>
      </c>
      <c r="Z153" s="92">
        <v>0.5</v>
      </c>
      <c r="AA153" s="92">
        <v>0.57999999999999996</v>
      </c>
      <c r="AB153" s="16">
        <v>48</v>
      </c>
      <c r="AC153" s="16">
        <v>10</v>
      </c>
      <c r="AD153" s="96">
        <v>0.25</v>
      </c>
      <c r="AE153" s="96">
        <v>0.5</v>
      </c>
      <c r="AF153" s="96">
        <v>0.25</v>
      </c>
      <c r="AG153" s="96">
        <v>0</v>
      </c>
      <c r="AH153" s="96">
        <v>0.38</v>
      </c>
      <c r="AI153" s="96">
        <v>0.46</v>
      </c>
      <c r="AJ153" s="96">
        <v>0.31</v>
      </c>
      <c r="AK153" s="96">
        <v>0.53</v>
      </c>
      <c r="AL153" s="96">
        <v>0.67</v>
      </c>
      <c r="AM153" s="96">
        <v>0.88</v>
      </c>
      <c r="AN153" s="16">
        <v>49</v>
      </c>
      <c r="AO153" s="16">
        <v>5</v>
      </c>
      <c r="AP153" s="96">
        <v>0</v>
      </c>
      <c r="AQ153" s="96">
        <v>1</v>
      </c>
      <c r="AR153" s="96">
        <v>0</v>
      </c>
      <c r="AS153" s="96">
        <v>0</v>
      </c>
      <c r="AT153" s="96">
        <v>0.75</v>
      </c>
      <c r="AU153" s="96">
        <v>0.5</v>
      </c>
      <c r="AV153" s="96">
        <v>0.45</v>
      </c>
      <c r="AW153" s="96">
        <v>0.33</v>
      </c>
      <c r="AX153" s="96">
        <v>0.42</v>
      </c>
      <c r="AY153" s="96">
        <v>0.54</v>
      </c>
      <c r="AZ153" s="61">
        <v>39</v>
      </c>
      <c r="BA153" s="61">
        <v>2</v>
      </c>
      <c r="BB153" s="66">
        <v>1</v>
      </c>
      <c r="BC153" s="66">
        <v>0</v>
      </c>
      <c r="BD153" s="66">
        <v>0</v>
      </c>
      <c r="BE153" s="66">
        <v>0</v>
      </c>
      <c r="BF153" s="66">
        <v>0.6</v>
      </c>
      <c r="BG153" s="66">
        <v>0.42</v>
      </c>
      <c r="BH153" s="66">
        <v>0.78</v>
      </c>
      <c r="BI153" s="66">
        <v>0.5</v>
      </c>
      <c r="BJ153" s="66">
        <v>0.62</v>
      </c>
      <c r="BK153" s="66">
        <v>0.67</v>
      </c>
    </row>
    <row r="154" spans="1:105" ht="24.9" customHeight="1" x14ac:dyDescent="0.25">
      <c r="A154" s="188" t="s">
        <v>212</v>
      </c>
      <c r="B154" s="1" t="s">
        <v>222</v>
      </c>
      <c r="C154" s="2">
        <v>3</v>
      </c>
      <c r="D154" s="16">
        <v>55</v>
      </c>
      <c r="E154" s="16">
        <v>10</v>
      </c>
      <c r="F154" s="96">
        <v>0.13</v>
      </c>
      <c r="G154" s="96">
        <v>0.31</v>
      </c>
      <c r="H154" s="96">
        <v>0.56000000000000005</v>
      </c>
      <c r="I154" s="96">
        <v>0</v>
      </c>
      <c r="J154" s="96">
        <v>0.53</v>
      </c>
      <c r="K154" s="96">
        <v>0.43</v>
      </c>
      <c r="L154" s="96">
        <v>0.56000000000000005</v>
      </c>
      <c r="M154" s="96">
        <v>0.41</v>
      </c>
      <c r="N154" s="96">
        <v>0.36</v>
      </c>
      <c r="O154" s="96">
        <v>0.31</v>
      </c>
      <c r="P154" s="16">
        <v>49</v>
      </c>
      <c r="Q154" s="16">
        <v>5</v>
      </c>
      <c r="R154" s="92">
        <v>7.0000000000000007E-2</v>
      </c>
      <c r="S154" s="92">
        <v>0.8</v>
      </c>
      <c r="T154" s="92">
        <v>0.13</v>
      </c>
      <c r="U154" s="92">
        <v>0</v>
      </c>
      <c r="V154" s="92">
        <v>0.41</v>
      </c>
      <c r="W154" s="92">
        <v>0.54</v>
      </c>
      <c r="X154" s="92">
        <v>0.6</v>
      </c>
      <c r="Y154" s="92">
        <v>0.57999999999999996</v>
      </c>
      <c r="Z154" s="92">
        <v>0.45</v>
      </c>
      <c r="AA154" s="92">
        <v>0.44</v>
      </c>
      <c r="AB154" s="16">
        <v>51</v>
      </c>
      <c r="AC154" s="16">
        <v>10</v>
      </c>
      <c r="AD154" s="96">
        <v>0.13</v>
      </c>
      <c r="AE154" s="96">
        <v>0.56000000000000005</v>
      </c>
      <c r="AF154" s="96">
        <v>0.31</v>
      </c>
      <c r="AG154" s="96">
        <v>0</v>
      </c>
      <c r="AH154" s="96">
        <v>0.38</v>
      </c>
      <c r="AI154" s="96">
        <v>0.45</v>
      </c>
      <c r="AJ154" s="96">
        <v>0.43</v>
      </c>
      <c r="AK154" s="96">
        <v>0.47</v>
      </c>
      <c r="AL154" s="96">
        <v>0.64</v>
      </c>
      <c r="AM154" s="96">
        <v>0.56000000000000005</v>
      </c>
      <c r="AN154" s="16">
        <v>48</v>
      </c>
      <c r="AO154" s="16">
        <v>10</v>
      </c>
      <c r="AP154" s="96">
        <v>0.2</v>
      </c>
      <c r="AQ154" s="96">
        <v>0.55000000000000004</v>
      </c>
      <c r="AR154" s="96">
        <v>0.25</v>
      </c>
      <c r="AS154" s="96">
        <v>0</v>
      </c>
      <c r="AT154" s="96">
        <v>0.55000000000000004</v>
      </c>
      <c r="AU154" s="96">
        <v>0.5</v>
      </c>
      <c r="AV154" s="96">
        <v>0.47</v>
      </c>
      <c r="AW154" s="96">
        <v>0.46</v>
      </c>
      <c r="AX154" s="96">
        <v>0.48</v>
      </c>
      <c r="AY154" s="96">
        <v>0.41</v>
      </c>
      <c r="AZ154" s="61">
        <v>52</v>
      </c>
      <c r="BA154" s="61">
        <v>11</v>
      </c>
      <c r="BB154" s="66">
        <v>0.15</v>
      </c>
      <c r="BC154" s="66">
        <v>0.35</v>
      </c>
      <c r="BD154" s="66">
        <v>0.5</v>
      </c>
      <c r="BE154" s="66">
        <v>0</v>
      </c>
      <c r="BF154" s="66">
        <v>0.47</v>
      </c>
      <c r="BG154" s="66">
        <v>0.41</v>
      </c>
      <c r="BH154" s="66">
        <v>0.4</v>
      </c>
      <c r="BI154" s="66">
        <v>0.51</v>
      </c>
      <c r="BJ154" s="66">
        <v>0.41</v>
      </c>
      <c r="BK154" s="66">
        <v>0.38</v>
      </c>
      <c r="BL154" s="349">
        <v>50</v>
      </c>
      <c r="BM154" s="348" t="s">
        <v>910</v>
      </c>
      <c r="BN154" s="349">
        <v>9</v>
      </c>
      <c r="BO154" s="348" t="s">
        <v>910</v>
      </c>
      <c r="BP154" s="371">
        <v>0.16</v>
      </c>
      <c r="BQ154" s="371">
        <v>0.44</v>
      </c>
      <c r="BR154" s="371">
        <v>0.4</v>
      </c>
      <c r="BS154" s="371">
        <v>0</v>
      </c>
      <c r="BT154" s="371">
        <v>0.4</v>
      </c>
      <c r="BU154" s="371">
        <v>0.46</v>
      </c>
      <c r="BV154" s="371">
        <v>0.59</v>
      </c>
      <c r="BW154" s="371">
        <v>0.44</v>
      </c>
      <c r="BX154" s="371">
        <v>0.44</v>
      </c>
      <c r="BY154" s="371">
        <v>0.5</v>
      </c>
      <c r="BZ154" s="469">
        <v>47</v>
      </c>
      <c r="CA154" s="471" t="s">
        <v>910</v>
      </c>
      <c r="CB154" s="469">
        <v>11</v>
      </c>
      <c r="CC154" s="471" t="s">
        <v>910</v>
      </c>
      <c r="CD154" s="501">
        <v>0.39</v>
      </c>
      <c r="CE154" s="501">
        <v>0.36</v>
      </c>
      <c r="CF154" s="501">
        <v>0.25</v>
      </c>
      <c r="CG154" s="501">
        <v>0</v>
      </c>
      <c r="CH154" s="501">
        <v>0.52</v>
      </c>
      <c r="CI154" s="501">
        <v>0.5</v>
      </c>
      <c r="CJ154" s="501">
        <v>0.6</v>
      </c>
      <c r="CK154" s="501">
        <v>0.54</v>
      </c>
      <c r="CL154" s="501">
        <v>0.34</v>
      </c>
      <c r="CM154" s="501">
        <v>0.51</v>
      </c>
      <c r="CN154" s="630">
        <v>48</v>
      </c>
      <c r="CO154" s="640" t="s">
        <v>910</v>
      </c>
      <c r="CP154" s="630">
        <v>9</v>
      </c>
      <c r="CQ154" s="640" t="s">
        <v>910</v>
      </c>
      <c r="CR154" s="644">
        <v>0.19</v>
      </c>
      <c r="CS154" s="644">
        <v>0.57999999999999996</v>
      </c>
      <c r="CT154" s="644">
        <v>0.23</v>
      </c>
      <c r="CU154" s="644">
        <v>0</v>
      </c>
      <c r="CV154" s="644">
        <v>0.42</v>
      </c>
      <c r="CW154" s="644">
        <v>0.6</v>
      </c>
      <c r="CX154" s="644">
        <v>0.6</v>
      </c>
      <c r="CY154" s="644">
        <v>0.85</v>
      </c>
      <c r="CZ154" s="644">
        <v>0.51</v>
      </c>
      <c r="DA154" s="644">
        <v>0.7</v>
      </c>
    </row>
    <row r="155" spans="1:105" ht="24.9" customHeight="1" x14ac:dyDescent="0.25">
      <c r="A155" s="188" t="s">
        <v>57</v>
      </c>
      <c r="B155" s="1" t="s">
        <v>222</v>
      </c>
      <c r="C155" s="2">
        <v>3</v>
      </c>
      <c r="D155" s="16">
        <v>48</v>
      </c>
      <c r="E155" s="16">
        <v>9</v>
      </c>
      <c r="F155" s="96">
        <v>0.23</v>
      </c>
      <c r="G155" s="96">
        <v>0.51</v>
      </c>
      <c r="H155" s="96">
        <v>0.26</v>
      </c>
      <c r="I155" s="96">
        <v>0</v>
      </c>
      <c r="J155" s="96">
        <v>0.6</v>
      </c>
      <c r="K155" s="96">
        <v>0.55000000000000004</v>
      </c>
      <c r="L155" s="96">
        <v>0.61</v>
      </c>
      <c r="M155" s="96">
        <v>0.44</v>
      </c>
      <c r="N155" s="96">
        <v>0.47</v>
      </c>
      <c r="O155" s="96">
        <v>0.54</v>
      </c>
      <c r="P155" s="16">
        <v>54</v>
      </c>
      <c r="Q155" s="16">
        <v>10</v>
      </c>
      <c r="R155" s="92">
        <v>0.08</v>
      </c>
      <c r="S155" s="92">
        <v>0.42</v>
      </c>
      <c r="T155" s="92">
        <v>0.46</v>
      </c>
      <c r="U155" s="92">
        <v>0.04</v>
      </c>
      <c r="V155" s="92">
        <v>0.36</v>
      </c>
      <c r="W155" s="92">
        <v>0.44</v>
      </c>
      <c r="X155" s="92">
        <v>0.52</v>
      </c>
      <c r="Y155" s="92">
        <v>0.39</v>
      </c>
      <c r="Z155" s="92">
        <v>0.41</v>
      </c>
      <c r="AA155" s="92">
        <v>0.48</v>
      </c>
      <c r="AB155" s="16">
        <v>48</v>
      </c>
      <c r="AC155" s="16">
        <v>11</v>
      </c>
      <c r="AD155" s="96">
        <v>0.32</v>
      </c>
      <c r="AE155" s="96">
        <v>0.38</v>
      </c>
      <c r="AF155" s="96">
        <v>0.26</v>
      </c>
      <c r="AG155" s="96">
        <v>0.03</v>
      </c>
      <c r="AH155" s="96">
        <v>0.48</v>
      </c>
      <c r="AI155" s="96">
        <v>0.46</v>
      </c>
      <c r="AJ155" s="96">
        <v>0.43</v>
      </c>
      <c r="AK155" s="96">
        <v>0.5</v>
      </c>
      <c r="AL155" s="96">
        <v>0.56999999999999995</v>
      </c>
      <c r="AM155" s="96">
        <v>0.57999999999999996</v>
      </c>
      <c r="AN155" s="16">
        <v>47</v>
      </c>
      <c r="AO155" s="16">
        <v>13</v>
      </c>
      <c r="AP155" s="96">
        <v>0.39</v>
      </c>
      <c r="AQ155" s="96">
        <v>0.33</v>
      </c>
      <c r="AR155" s="96">
        <v>0.22</v>
      </c>
      <c r="AS155" s="96">
        <v>0.06</v>
      </c>
      <c r="AT155" s="96">
        <v>0.65</v>
      </c>
      <c r="AU155" s="96">
        <v>0.56000000000000005</v>
      </c>
      <c r="AV155" s="96">
        <v>0.48</v>
      </c>
      <c r="AW155" s="96">
        <v>0.49</v>
      </c>
      <c r="AX155" s="96">
        <v>0.48</v>
      </c>
      <c r="AY155" s="96">
        <v>0.53</v>
      </c>
      <c r="AZ155" s="61">
        <v>52</v>
      </c>
      <c r="BA155" s="61">
        <v>9</v>
      </c>
      <c r="BB155" s="66">
        <v>0.13</v>
      </c>
      <c r="BC155" s="66">
        <v>0.5</v>
      </c>
      <c r="BD155" s="66">
        <v>0.38</v>
      </c>
      <c r="BE155" s="66">
        <v>0</v>
      </c>
      <c r="BF155" s="66">
        <v>0.41</v>
      </c>
      <c r="BG155" s="66">
        <v>0.51</v>
      </c>
      <c r="BH155" s="66">
        <v>0.39</v>
      </c>
      <c r="BI155" s="66">
        <v>0.57999999999999996</v>
      </c>
      <c r="BJ155" s="66">
        <v>0.38</v>
      </c>
      <c r="BK155" s="66">
        <v>0.41</v>
      </c>
      <c r="BL155" s="349">
        <v>45</v>
      </c>
      <c r="BM155" s="348" t="s">
        <v>910</v>
      </c>
      <c r="BN155" s="349">
        <v>11</v>
      </c>
      <c r="BO155" s="348" t="s">
        <v>910</v>
      </c>
      <c r="BP155" s="371">
        <v>0.28999999999999998</v>
      </c>
      <c r="BQ155" s="371">
        <v>0.61</v>
      </c>
      <c r="BR155" s="371">
        <v>0.11</v>
      </c>
      <c r="BS155" s="371">
        <v>0</v>
      </c>
      <c r="BT155" s="371">
        <v>0.47</v>
      </c>
      <c r="BU155" s="371">
        <v>0.53</v>
      </c>
      <c r="BV155" s="371">
        <v>0.75</v>
      </c>
      <c r="BW155" s="371">
        <v>0.49</v>
      </c>
      <c r="BX155" s="371">
        <v>0.55000000000000004</v>
      </c>
      <c r="BY155" s="371">
        <v>0.62</v>
      </c>
      <c r="BZ155" s="469">
        <v>51</v>
      </c>
      <c r="CA155" s="471" t="s">
        <v>910</v>
      </c>
      <c r="CB155" s="469">
        <v>9</v>
      </c>
      <c r="CC155" s="471" t="s">
        <v>910</v>
      </c>
      <c r="CD155" s="501">
        <v>0.11</v>
      </c>
      <c r="CE155" s="501">
        <v>0.56999999999999995</v>
      </c>
      <c r="CF155" s="501">
        <v>0.32</v>
      </c>
      <c r="CG155" s="501">
        <v>0</v>
      </c>
      <c r="CH155" s="501">
        <v>0.63</v>
      </c>
      <c r="CI155" s="501">
        <v>0.47</v>
      </c>
      <c r="CJ155" s="501">
        <v>0.54</v>
      </c>
      <c r="CK155" s="501">
        <v>0.53</v>
      </c>
      <c r="CL155" s="501">
        <v>0.46</v>
      </c>
      <c r="CM155" s="501">
        <v>0.61</v>
      </c>
      <c r="CN155" s="630">
        <v>52</v>
      </c>
      <c r="CO155" s="640" t="s">
        <v>910</v>
      </c>
      <c r="CP155" s="630">
        <v>10</v>
      </c>
      <c r="CQ155" s="640" t="s">
        <v>910</v>
      </c>
      <c r="CR155" s="644">
        <v>0.15</v>
      </c>
      <c r="CS155" s="644">
        <v>0.5</v>
      </c>
      <c r="CT155" s="644">
        <v>0.35</v>
      </c>
      <c r="CU155" s="644">
        <v>0</v>
      </c>
      <c r="CV155" s="644">
        <v>0.26</v>
      </c>
      <c r="CW155" s="644">
        <v>0.53</v>
      </c>
      <c r="CX155" s="644">
        <v>0.61</v>
      </c>
      <c r="CY155" s="644">
        <v>0.71</v>
      </c>
      <c r="CZ155" s="644">
        <v>0.56999999999999995</v>
      </c>
      <c r="DA155" s="644">
        <v>0.47</v>
      </c>
    </row>
    <row r="156" spans="1:105" ht="24.9" customHeight="1" x14ac:dyDescent="0.25">
      <c r="A156" s="188" t="s">
        <v>196</v>
      </c>
      <c r="B156" s="1" t="s">
        <v>222</v>
      </c>
      <c r="C156" s="2">
        <v>5</v>
      </c>
      <c r="D156" s="16">
        <v>56</v>
      </c>
      <c r="E156" s="16">
        <v>8</v>
      </c>
      <c r="F156" s="96">
        <v>7.0000000000000007E-2</v>
      </c>
      <c r="G156" s="96">
        <v>0.47</v>
      </c>
      <c r="H156" s="96">
        <v>0.47</v>
      </c>
      <c r="I156" s="96">
        <v>0</v>
      </c>
      <c r="J156" s="96">
        <v>0.42</v>
      </c>
      <c r="K156" s="96">
        <v>0.42</v>
      </c>
      <c r="L156" s="96">
        <v>0.6</v>
      </c>
      <c r="M156" s="96">
        <v>0.37</v>
      </c>
      <c r="N156" s="96">
        <v>0.41</v>
      </c>
      <c r="O156" s="96">
        <v>0.44</v>
      </c>
      <c r="P156" s="16">
        <v>58</v>
      </c>
      <c r="Q156" s="16">
        <v>7</v>
      </c>
      <c r="R156" s="92">
        <v>0</v>
      </c>
      <c r="S156" s="92">
        <v>0.35</v>
      </c>
      <c r="T156" s="92">
        <v>0.65</v>
      </c>
      <c r="U156" s="92">
        <v>0</v>
      </c>
      <c r="V156" s="92">
        <v>0.28999999999999998</v>
      </c>
      <c r="W156" s="92">
        <v>0.32</v>
      </c>
      <c r="X156" s="92">
        <v>0.51</v>
      </c>
      <c r="Y156" s="92">
        <v>0.37</v>
      </c>
      <c r="Z156" s="92">
        <v>0.35</v>
      </c>
      <c r="AA156" s="92">
        <v>0.31</v>
      </c>
      <c r="AB156" s="16">
        <v>58</v>
      </c>
      <c r="AC156" s="16">
        <v>11</v>
      </c>
      <c r="AD156" s="96">
        <v>0</v>
      </c>
      <c r="AE156" s="96">
        <v>0.47</v>
      </c>
      <c r="AF156" s="96">
        <v>0.37</v>
      </c>
      <c r="AG156" s="96">
        <v>0.16</v>
      </c>
      <c r="AH156" s="96">
        <v>0.31</v>
      </c>
      <c r="AI156" s="96">
        <v>0.27</v>
      </c>
      <c r="AJ156" s="96">
        <v>0.28000000000000003</v>
      </c>
      <c r="AK156" s="96">
        <v>0.35</v>
      </c>
      <c r="AL156" s="96">
        <v>0.28000000000000003</v>
      </c>
      <c r="AM156" s="96">
        <v>0.32</v>
      </c>
      <c r="AN156" s="16">
        <v>54</v>
      </c>
      <c r="AO156" s="16">
        <v>11</v>
      </c>
      <c r="AP156" s="96">
        <v>0.13</v>
      </c>
      <c r="AQ156" s="96">
        <v>0.38</v>
      </c>
      <c r="AR156" s="96">
        <v>0.42</v>
      </c>
      <c r="AS156" s="96">
        <v>0.08</v>
      </c>
      <c r="AT156" s="96">
        <v>0.48</v>
      </c>
      <c r="AU156" s="96">
        <v>0.44</v>
      </c>
      <c r="AV156" s="96">
        <v>0.34</v>
      </c>
      <c r="AW156" s="96">
        <v>0.39</v>
      </c>
      <c r="AX156" s="96">
        <v>0.37</v>
      </c>
      <c r="AY156" s="96">
        <v>0.35</v>
      </c>
      <c r="AZ156" s="61">
        <v>58</v>
      </c>
      <c r="BA156" s="61">
        <v>8</v>
      </c>
      <c r="BB156" s="66">
        <v>0</v>
      </c>
      <c r="BC156" s="66">
        <v>0.41</v>
      </c>
      <c r="BD156" s="66">
        <v>0.53</v>
      </c>
      <c r="BE156" s="66">
        <v>0.06</v>
      </c>
      <c r="BF156" s="66">
        <v>0.41</v>
      </c>
      <c r="BG156" s="66">
        <v>0.39</v>
      </c>
      <c r="BH156" s="66">
        <v>0.31</v>
      </c>
      <c r="BI156" s="66">
        <v>0.43</v>
      </c>
      <c r="BJ156" s="66">
        <v>0.28999999999999998</v>
      </c>
      <c r="BK156" s="66">
        <v>0.28999999999999998</v>
      </c>
      <c r="BL156" s="349">
        <v>58</v>
      </c>
      <c r="BM156" s="348" t="s">
        <v>911</v>
      </c>
      <c r="BN156" s="349">
        <v>9</v>
      </c>
      <c r="BO156" s="348" t="s">
        <v>910</v>
      </c>
      <c r="BP156" s="371">
        <v>0</v>
      </c>
      <c r="BQ156" s="371">
        <v>0.35</v>
      </c>
      <c r="BR156" s="371">
        <v>0.54</v>
      </c>
      <c r="BS156" s="371">
        <v>0.11</v>
      </c>
      <c r="BT156" s="371">
        <v>0.34</v>
      </c>
      <c r="BU156" s="371">
        <v>0.33</v>
      </c>
      <c r="BV156" s="371">
        <v>0.42</v>
      </c>
      <c r="BW156" s="371">
        <v>0.33</v>
      </c>
      <c r="BX156" s="371">
        <v>0.3</v>
      </c>
      <c r="BY156" s="371">
        <v>0.39</v>
      </c>
      <c r="BZ156" s="469">
        <v>57</v>
      </c>
      <c r="CA156" s="471" t="s">
        <v>910</v>
      </c>
      <c r="CB156" s="469">
        <v>12</v>
      </c>
      <c r="CC156" s="471" t="s">
        <v>910</v>
      </c>
      <c r="CD156" s="501">
        <v>0.09</v>
      </c>
      <c r="CE156" s="501">
        <v>0.45</v>
      </c>
      <c r="CF156" s="501">
        <v>0.36</v>
      </c>
      <c r="CG156" s="501">
        <v>0.09</v>
      </c>
      <c r="CH156" s="501">
        <v>0.43</v>
      </c>
      <c r="CI156" s="501">
        <v>0.31</v>
      </c>
      <c r="CJ156" s="501">
        <v>0.42</v>
      </c>
      <c r="CK156" s="501">
        <v>0.37</v>
      </c>
      <c r="CL156" s="501">
        <v>0.34</v>
      </c>
      <c r="CM156" s="501">
        <v>0.63</v>
      </c>
      <c r="CN156" s="630">
        <v>62</v>
      </c>
      <c r="CO156" s="640" t="s">
        <v>911</v>
      </c>
      <c r="CP156" s="630">
        <v>8</v>
      </c>
      <c r="CQ156" s="640" t="s">
        <v>910</v>
      </c>
      <c r="CR156" s="644">
        <v>0</v>
      </c>
      <c r="CS156" s="644">
        <v>0.24</v>
      </c>
      <c r="CT156" s="644">
        <v>0.65</v>
      </c>
      <c r="CU156" s="644">
        <v>0.12</v>
      </c>
      <c r="CV156" s="644">
        <v>0.2</v>
      </c>
      <c r="CW156" s="644">
        <v>0.39</v>
      </c>
      <c r="CX156" s="644">
        <v>0.42</v>
      </c>
      <c r="CY156" s="644">
        <v>0.38</v>
      </c>
      <c r="CZ156" s="644">
        <v>0.34</v>
      </c>
      <c r="DA156" s="644">
        <v>0.41</v>
      </c>
    </row>
    <row r="157" spans="1:105" ht="24.9" customHeight="1" x14ac:dyDescent="0.25">
      <c r="A157" s="188" t="s">
        <v>19</v>
      </c>
      <c r="B157" s="1" t="s">
        <v>222</v>
      </c>
      <c r="C157" s="2">
        <v>5</v>
      </c>
      <c r="D157" s="16">
        <v>57</v>
      </c>
      <c r="E157" s="16">
        <v>7</v>
      </c>
      <c r="F157" s="96">
        <v>0.02</v>
      </c>
      <c r="G157" s="96">
        <v>0.55000000000000004</v>
      </c>
      <c r="H157" s="96">
        <v>0.41</v>
      </c>
      <c r="I157" s="96">
        <v>0.03</v>
      </c>
      <c r="J157" s="96">
        <v>0.37</v>
      </c>
      <c r="K157" s="96">
        <v>0.38</v>
      </c>
      <c r="L157" s="96">
        <v>0.37</v>
      </c>
      <c r="M157" s="96">
        <v>0.25</v>
      </c>
      <c r="N157" s="96">
        <v>0.37</v>
      </c>
      <c r="O157" s="96">
        <v>0.5</v>
      </c>
      <c r="P157" s="16">
        <v>58</v>
      </c>
      <c r="Q157" s="16">
        <v>9</v>
      </c>
      <c r="R157" s="92">
        <v>0.03</v>
      </c>
      <c r="S157" s="92">
        <v>0.36</v>
      </c>
      <c r="T157" s="92">
        <v>0.54</v>
      </c>
      <c r="U157" s="92">
        <v>7.0000000000000007E-2</v>
      </c>
      <c r="V157" s="92">
        <v>0.26</v>
      </c>
      <c r="W157" s="92">
        <v>0.38</v>
      </c>
      <c r="X157" s="92">
        <v>0.45</v>
      </c>
      <c r="Y157" s="92">
        <v>0.35</v>
      </c>
      <c r="Z157" s="92">
        <v>0.33</v>
      </c>
      <c r="AA157" s="92">
        <v>0.4</v>
      </c>
      <c r="AB157" s="16">
        <v>56</v>
      </c>
      <c r="AC157" s="16">
        <v>9</v>
      </c>
      <c r="AD157" s="96">
        <v>0.08</v>
      </c>
      <c r="AE157" s="96">
        <v>0.39</v>
      </c>
      <c r="AF157" s="96">
        <v>0.47</v>
      </c>
      <c r="AG157" s="96">
        <v>0.06</v>
      </c>
      <c r="AH157" s="96">
        <v>0.35</v>
      </c>
      <c r="AI157" s="96">
        <v>0.31</v>
      </c>
      <c r="AJ157" s="96">
        <v>0.3</v>
      </c>
      <c r="AK157" s="96">
        <v>0.39</v>
      </c>
      <c r="AL157" s="96">
        <v>0.46</v>
      </c>
      <c r="AM157" s="96">
        <v>0.4</v>
      </c>
      <c r="AN157" s="16">
        <v>55</v>
      </c>
      <c r="AO157" s="16">
        <v>10</v>
      </c>
      <c r="AP157" s="96">
        <v>0.13</v>
      </c>
      <c r="AQ157" s="96">
        <v>0.38</v>
      </c>
      <c r="AR157" s="96">
        <v>0.43</v>
      </c>
      <c r="AS157" s="96">
        <v>7.0000000000000007E-2</v>
      </c>
      <c r="AT157" s="96">
        <v>0.41</v>
      </c>
      <c r="AU157" s="96">
        <v>0.34</v>
      </c>
      <c r="AV157" s="96">
        <v>0.35</v>
      </c>
      <c r="AW157" s="96">
        <v>0.42</v>
      </c>
      <c r="AX157" s="96">
        <v>0.31</v>
      </c>
      <c r="AY157" s="96">
        <v>0.36</v>
      </c>
      <c r="AZ157" s="61">
        <v>57</v>
      </c>
      <c r="BA157" s="61">
        <v>9</v>
      </c>
      <c r="BB157" s="66">
        <v>0.08</v>
      </c>
      <c r="BC157" s="66">
        <v>0.38</v>
      </c>
      <c r="BD157" s="66">
        <v>0.49</v>
      </c>
      <c r="BE157" s="66">
        <v>0.06</v>
      </c>
      <c r="BF157" s="66">
        <v>0.36</v>
      </c>
      <c r="BG157" s="66">
        <v>0.34</v>
      </c>
      <c r="BH157" s="66">
        <v>0.36</v>
      </c>
      <c r="BI157" s="66">
        <v>0.42</v>
      </c>
      <c r="BJ157" s="66">
        <v>0.3</v>
      </c>
      <c r="BK157" s="66">
        <v>0.32</v>
      </c>
      <c r="BL157" s="349">
        <v>56</v>
      </c>
      <c r="BM157" s="348" t="s">
        <v>910</v>
      </c>
      <c r="BN157" s="349">
        <v>10</v>
      </c>
      <c r="BO157" s="348" t="s">
        <v>910</v>
      </c>
      <c r="BP157" s="371">
        <v>0.04</v>
      </c>
      <c r="BQ157" s="371">
        <v>0.44</v>
      </c>
      <c r="BR157" s="371">
        <v>0.46</v>
      </c>
      <c r="BS157" s="371">
        <v>0.06</v>
      </c>
      <c r="BT157" s="371">
        <v>0.34</v>
      </c>
      <c r="BU157" s="371">
        <v>0.38</v>
      </c>
      <c r="BV157" s="371">
        <v>0.38</v>
      </c>
      <c r="BW157" s="371">
        <v>0.31</v>
      </c>
      <c r="BX157" s="371">
        <v>0.34</v>
      </c>
      <c r="BY157" s="371">
        <v>0.41</v>
      </c>
      <c r="BZ157" s="469">
        <v>55</v>
      </c>
      <c r="CA157" s="471" t="s">
        <v>910</v>
      </c>
      <c r="CB157" s="469">
        <v>10</v>
      </c>
      <c r="CC157" s="471" t="s">
        <v>910</v>
      </c>
      <c r="CD157" s="501">
        <v>0.08</v>
      </c>
      <c r="CE157" s="501">
        <v>0.48</v>
      </c>
      <c r="CF157" s="501">
        <v>0.4</v>
      </c>
      <c r="CG157" s="501">
        <v>0.04</v>
      </c>
      <c r="CH157" s="501">
        <v>0.4</v>
      </c>
      <c r="CI157" s="501">
        <v>0.28000000000000003</v>
      </c>
      <c r="CJ157" s="501">
        <v>0.54</v>
      </c>
      <c r="CK157" s="501">
        <v>0.46</v>
      </c>
      <c r="CL157" s="501">
        <v>0.4</v>
      </c>
      <c r="CM157" s="501">
        <v>0.51</v>
      </c>
      <c r="CN157" s="630">
        <v>58</v>
      </c>
      <c r="CO157" s="640" t="s">
        <v>911</v>
      </c>
      <c r="CP157" s="630">
        <v>11</v>
      </c>
      <c r="CQ157" s="640" t="s">
        <v>910</v>
      </c>
      <c r="CR157" s="644">
        <v>0.08</v>
      </c>
      <c r="CS157" s="644">
        <v>0.3</v>
      </c>
      <c r="CT157" s="644">
        <v>0.54</v>
      </c>
      <c r="CU157" s="644">
        <v>0.08</v>
      </c>
      <c r="CV157" s="644">
        <v>0.25</v>
      </c>
      <c r="CW157" s="644">
        <v>0.36</v>
      </c>
      <c r="CX157" s="644">
        <v>0.42</v>
      </c>
      <c r="CY157" s="644">
        <v>0.62</v>
      </c>
      <c r="CZ157" s="644">
        <v>0.43</v>
      </c>
      <c r="DA157" s="644">
        <v>0.36</v>
      </c>
    </row>
    <row r="158" spans="1:105" ht="24.9" customHeight="1" x14ac:dyDescent="0.25">
      <c r="A158" s="188" t="s">
        <v>118</v>
      </c>
      <c r="B158" s="1" t="s">
        <v>222</v>
      </c>
      <c r="C158" s="2">
        <v>3</v>
      </c>
      <c r="D158" s="16">
        <v>53</v>
      </c>
      <c r="E158" s="16">
        <v>10</v>
      </c>
      <c r="F158" s="96">
        <v>0.1</v>
      </c>
      <c r="G158" s="96">
        <v>0.5</v>
      </c>
      <c r="H158" s="96">
        <v>0.37</v>
      </c>
      <c r="I158" s="96">
        <v>0.03</v>
      </c>
      <c r="J158" s="96">
        <v>0.5</v>
      </c>
      <c r="K158" s="96">
        <v>0.51</v>
      </c>
      <c r="L158" s="96">
        <v>0.61</v>
      </c>
      <c r="M158" s="96">
        <v>0.39</v>
      </c>
      <c r="N158" s="96">
        <v>0.34</v>
      </c>
      <c r="O158" s="96">
        <v>0.41</v>
      </c>
      <c r="P158" s="16">
        <v>50</v>
      </c>
      <c r="Q158" s="16">
        <v>8</v>
      </c>
      <c r="R158" s="92">
        <v>0.11</v>
      </c>
      <c r="S158" s="92">
        <v>0.61</v>
      </c>
      <c r="T158" s="92">
        <v>0.28999999999999998</v>
      </c>
      <c r="U158" s="92">
        <v>0</v>
      </c>
      <c r="V158" s="92">
        <v>0.44</v>
      </c>
      <c r="W158" s="92">
        <v>0.48</v>
      </c>
      <c r="X158" s="92">
        <v>0.55000000000000004</v>
      </c>
      <c r="Y158" s="92">
        <v>0.5</v>
      </c>
      <c r="Z158" s="92">
        <v>0.44</v>
      </c>
      <c r="AA158" s="92">
        <v>0.45</v>
      </c>
      <c r="AB158" s="16">
        <v>50</v>
      </c>
      <c r="AC158" s="16">
        <v>10</v>
      </c>
      <c r="AD158" s="96">
        <v>0.14000000000000001</v>
      </c>
      <c r="AE158" s="96">
        <v>0.64</v>
      </c>
      <c r="AF158" s="96">
        <v>0.18</v>
      </c>
      <c r="AG158" s="96">
        <v>0.04</v>
      </c>
      <c r="AH158" s="96">
        <v>0.39</v>
      </c>
      <c r="AI158" s="96">
        <v>0.4</v>
      </c>
      <c r="AJ158" s="96">
        <v>0.43</v>
      </c>
      <c r="AK158" s="96">
        <v>0.49</v>
      </c>
      <c r="AL158" s="96">
        <v>0.51</v>
      </c>
      <c r="AM158" s="96">
        <v>0.55000000000000004</v>
      </c>
      <c r="AN158" s="16">
        <v>49</v>
      </c>
      <c r="AO158" s="16">
        <v>11</v>
      </c>
      <c r="AP158" s="96">
        <v>0.28000000000000003</v>
      </c>
      <c r="AQ158" s="96">
        <v>0.48</v>
      </c>
      <c r="AR158" s="96">
        <v>0.24</v>
      </c>
      <c r="AS158" s="96">
        <v>0</v>
      </c>
      <c r="AT158" s="96">
        <v>0.42</v>
      </c>
      <c r="AU158" s="96">
        <v>0.45</v>
      </c>
      <c r="AV158" s="96">
        <v>0.43</v>
      </c>
      <c r="AW158" s="96">
        <v>0.51</v>
      </c>
      <c r="AX158" s="96">
        <v>0.49</v>
      </c>
      <c r="AY158" s="96">
        <v>0.44</v>
      </c>
      <c r="AZ158" s="61">
        <v>45</v>
      </c>
      <c r="BA158" s="61">
        <v>11</v>
      </c>
      <c r="BB158" s="66">
        <v>0.34</v>
      </c>
      <c r="BC158" s="66">
        <v>0.41</v>
      </c>
      <c r="BD158" s="66">
        <v>0.24</v>
      </c>
      <c r="BE158" s="66">
        <v>0</v>
      </c>
      <c r="BF158" s="66">
        <v>0.56000000000000005</v>
      </c>
      <c r="BG158" s="66">
        <v>0.53</v>
      </c>
      <c r="BH158" s="66">
        <v>0.59</v>
      </c>
      <c r="BI158" s="66">
        <v>0.7</v>
      </c>
      <c r="BJ158" s="66">
        <v>0.53</v>
      </c>
      <c r="BK158" s="66">
        <v>0.51</v>
      </c>
      <c r="BL158" s="349">
        <v>50</v>
      </c>
      <c r="BM158" s="348" t="s">
        <v>910</v>
      </c>
      <c r="BN158" s="349">
        <v>11</v>
      </c>
      <c r="BO158" s="348" t="s">
        <v>910</v>
      </c>
      <c r="BP158" s="371">
        <v>0.24</v>
      </c>
      <c r="BQ158" s="371">
        <v>0.49</v>
      </c>
      <c r="BR158" s="371">
        <v>0.22</v>
      </c>
      <c r="BS158" s="371">
        <v>0.05</v>
      </c>
      <c r="BT158" s="371">
        <v>0.49</v>
      </c>
      <c r="BU158" s="371">
        <v>0.48</v>
      </c>
      <c r="BV158" s="371">
        <v>0.69</v>
      </c>
      <c r="BW158" s="371">
        <v>0.42</v>
      </c>
      <c r="BX158" s="371">
        <v>0.45</v>
      </c>
      <c r="BY158" s="371">
        <v>0.49</v>
      </c>
      <c r="BZ158" s="469">
        <v>53</v>
      </c>
      <c r="CA158" s="471" t="s">
        <v>910</v>
      </c>
      <c r="CB158" s="469">
        <v>10</v>
      </c>
      <c r="CC158" s="471" t="s">
        <v>910</v>
      </c>
      <c r="CD158" s="501">
        <v>0.13</v>
      </c>
      <c r="CE158" s="501">
        <v>0.4</v>
      </c>
      <c r="CF158" s="501">
        <v>0.48</v>
      </c>
      <c r="CG158" s="501">
        <v>0</v>
      </c>
      <c r="CH158" s="501">
        <v>0.55000000000000004</v>
      </c>
      <c r="CI158" s="501">
        <v>0.41</v>
      </c>
      <c r="CJ158" s="501">
        <v>0.6</v>
      </c>
      <c r="CK158" s="501">
        <v>0.5</v>
      </c>
      <c r="CL158" s="501">
        <v>0.37</v>
      </c>
      <c r="CM158" s="501">
        <v>0.56000000000000005</v>
      </c>
      <c r="CN158" s="630">
        <v>50</v>
      </c>
      <c r="CO158" s="640" t="s">
        <v>910</v>
      </c>
      <c r="CP158" s="630">
        <v>10</v>
      </c>
      <c r="CQ158" s="640" t="s">
        <v>910</v>
      </c>
      <c r="CR158" s="644">
        <v>0.23</v>
      </c>
      <c r="CS158" s="644">
        <v>0.5</v>
      </c>
      <c r="CT158" s="644">
        <v>0.23</v>
      </c>
      <c r="CU158" s="644">
        <v>0.03</v>
      </c>
      <c r="CV158" s="644">
        <v>0.28999999999999998</v>
      </c>
      <c r="CW158" s="644">
        <v>0.6</v>
      </c>
      <c r="CX158" s="644">
        <v>0.55000000000000004</v>
      </c>
      <c r="CY158" s="644">
        <v>0.61</v>
      </c>
      <c r="CZ158" s="644">
        <v>0.63</v>
      </c>
      <c r="DA158" s="644">
        <v>0.59</v>
      </c>
    </row>
    <row r="159" spans="1:105" ht="24.9" customHeight="1" x14ac:dyDescent="0.25">
      <c r="A159" s="188" t="s">
        <v>206</v>
      </c>
      <c r="B159" s="1" t="s">
        <v>222</v>
      </c>
      <c r="C159" s="2">
        <v>5</v>
      </c>
      <c r="D159" s="16">
        <v>50</v>
      </c>
      <c r="E159" s="16">
        <v>10</v>
      </c>
      <c r="F159" s="96">
        <v>0.13</v>
      </c>
      <c r="G159" s="96">
        <v>0.69</v>
      </c>
      <c r="H159" s="96">
        <v>0.19</v>
      </c>
      <c r="I159" s="96">
        <v>0</v>
      </c>
      <c r="J159" s="96">
        <v>0.6</v>
      </c>
      <c r="K159" s="96">
        <v>0.51</v>
      </c>
      <c r="L159" s="96">
        <v>0.66</v>
      </c>
      <c r="M159" s="96">
        <v>0.42</v>
      </c>
      <c r="N159" s="96">
        <v>0.47</v>
      </c>
      <c r="O159" s="96">
        <v>0.5</v>
      </c>
      <c r="P159" s="16">
        <v>54</v>
      </c>
      <c r="Q159" s="16">
        <v>10</v>
      </c>
      <c r="R159" s="92">
        <v>0.13</v>
      </c>
      <c r="S159" s="92">
        <v>0.4</v>
      </c>
      <c r="T159" s="92">
        <v>0.48</v>
      </c>
      <c r="U159" s="92">
        <v>0</v>
      </c>
      <c r="V159" s="92">
        <v>0.34</v>
      </c>
      <c r="W159" s="92">
        <v>0.43</v>
      </c>
      <c r="X159" s="92">
        <v>0.51</v>
      </c>
      <c r="Y159" s="92">
        <v>0.39</v>
      </c>
      <c r="Z159" s="92">
        <v>0.41</v>
      </c>
      <c r="AA159" s="92">
        <v>0.46</v>
      </c>
      <c r="AB159" s="16">
        <v>52</v>
      </c>
      <c r="AC159" s="16">
        <v>11</v>
      </c>
      <c r="AD159" s="96">
        <v>0.16</v>
      </c>
      <c r="AE159" s="96">
        <v>0.45</v>
      </c>
      <c r="AF159" s="96">
        <v>0.37</v>
      </c>
      <c r="AG159" s="96">
        <v>0.02</v>
      </c>
      <c r="AH159" s="96">
        <v>0.41</v>
      </c>
      <c r="AI159" s="96">
        <v>0.37</v>
      </c>
      <c r="AJ159" s="96">
        <v>0.39</v>
      </c>
      <c r="AK159" s="96">
        <v>0.48</v>
      </c>
      <c r="AL159" s="96">
        <v>0.53</v>
      </c>
      <c r="AM159" s="96">
        <v>0.47</v>
      </c>
      <c r="AN159" s="16">
        <v>50</v>
      </c>
      <c r="AO159" s="16">
        <v>11</v>
      </c>
      <c r="AP159" s="96">
        <v>0.22</v>
      </c>
      <c r="AQ159" s="96">
        <v>0.4</v>
      </c>
      <c r="AR159" s="96">
        <v>0.38</v>
      </c>
      <c r="AS159" s="96">
        <v>0</v>
      </c>
      <c r="AT159" s="96">
        <v>0.51</v>
      </c>
      <c r="AU159" s="96">
        <v>0.5</v>
      </c>
      <c r="AV159" s="96">
        <v>0.42</v>
      </c>
      <c r="AW159" s="96">
        <v>0.42</v>
      </c>
      <c r="AX159" s="96">
        <v>0.46</v>
      </c>
      <c r="AY159" s="96">
        <v>0.44</v>
      </c>
      <c r="AZ159" s="61">
        <v>55</v>
      </c>
      <c r="BA159" s="61">
        <v>9</v>
      </c>
      <c r="BB159" s="66">
        <v>0.08</v>
      </c>
      <c r="BC159" s="66">
        <v>0.35</v>
      </c>
      <c r="BD159" s="66">
        <v>0.54</v>
      </c>
      <c r="BE159" s="66">
        <v>0.03</v>
      </c>
      <c r="BF159" s="66">
        <v>0.41</v>
      </c>
      <c r="BG159" s="66">
        <v>0.41</v>
      </c>
      <c r="BH159" s="66">
        <v>0.37</v>
      </c>
      <c r="BI159" s="66">
        <v>0.45</v>
      </c>
      <c r="BJ159" s="66">
        <v>0.33</v>
      </c>
      <c r="BK159" s="66">
        <v>0.33</v>
      </c>
      <c r="BL159" s="349">
        <v>50</v>
      </c>
      <c r="BM159" s="348" t="s">
        <v>910</v>
      </c>
      <c r="BN159" s="349">
        <v>11</v>
      </c>
      <c r="BO159" s="348" t="s">
        <v>910</v>
      </c>
      <c r="BP159" s="371">
        <v>0.24</v>
      </c>
      <c r="BQ159" s="371">
        <v>0.41</v>
      </c>
      <c r="BR159" s="371">
        <v>0.34</v>
      </c>
      <c r="BS159" s="371">
        <v>0</v>
      </c>
      <c r="BT159" s="371">
        <v>0.44</v>
      </c>
      <c r="BU159" s="371">
        <v>0.42</v>
      </c>
      <c r="BV159" s="371">
        <v>0.6</v>
      </c>
      <c r="BW159" s="371">
        <v>0.44</v>
      </c>
      <c r="BX159" s="371">
        <v>0.44</v>
      </c>
      <c r="BY159" s="371">
        <v>0.55000000000000004</v>
      </c>
      <c r="BZ159" s="469">
        <v>54</v>
      </c>
      <c r="CA159" s="471" t="s">
        <v>910</v>
      </c>
      <c r="CB159" s="469">
        <v>9</v>
      </c>
      <c r="CC159" s="471" t="s">
        <v>910</v>
      </c>
      <c r="CD159" s="501">
        <v>0.15</v>
      </c>
      <c r="CE159" s="501">
        <v>0.36</v>
      </c>
      <c r="CF159" s="501">
        <v>0.47</v>
      </c>
      <c r="CG159" s="501">
        <v>0.02</v>
      </c>
      <c r="CH159" s="501">
        <v>0.43</v>
      </c>
      <c r="CI159" s="501">
        <v>0.39</v>
      </c>
      <c r="CJ159" s="501">
        <v>0.51</v>
      </c>
      <c r="CK159" s="501">
        <v>0.53</v>
      </c>
      <c r="CL159" s="501">
        <v>0.43</v>
      </c>
      <c r="CM159" s="501">
        <v>0.53</v>
      </c>
      <c r="CN159" s="630">
        <v>52</v>
      </c>
      <c r="CO159" s="640" t="s">
        <v>910</v>
      </c>
      <c r="CP159" s="630">
        <v>9</v>
      </c>
      <c r="CQ159" s="640" t="s">
        <v>910</v>
      </c>
      <c r="CR159" s="644">
        <v>7.0000000000000007E-2</v>
      </c>
      <c r="CS159" s="644">
        <v>0.67</v>
      </c>
      <c r="CT159" s="644">
        <v>0.24</v>
      </c>
      <c r="CU159" s="644">
        <v>0.02</v>
      </c>
      <c r="CV159" s="644">
        <v>0.35</v>
      </c>
      <c r="CW159" s="644">
        <v>0.51</v>
      </c>
      <c r="CX159" s="644">
        <v>0.55000000000000004</v>
      </c>
      <c r="CY159" s="644">
        <v>0.68</v>
      </c>
      <c r="CZ159" s="644">
        <v>0.54</v>
      </c>
      <c r="DA159" s="644">
        <v>0.57999999999999996</v>
      </c>
    </row>
    <row r="160" spans="1:105" ht="24.9" customHeight="1" x14ac:dyDescent="0.25">
      <c r="A160" s="188" t="s">
        <v>202</v>
      </c>
      <c r="B160" s="1" t="s">
        <v>222</v>
      </c>
      <c r="C160" s="2">
        <v>5</v>
      </c>
      <c r="D160" s="16">
        <v>52</v>
      </c>
      <c r="E160" s="16">
        <v>9</v>
      </c>
      <c r="F160" s="96">
        <v>0.12</v>
      </c>
      <c r="G160" s="96">
        <v>0.55000000000000004</v>
      </c>
      <c r="H160" s="96">
        <v>0.3</v>
      </c>
      <c r="I160" s="96">
        <v>0.03</v>
      </c>
      <c r="J160" s="96">
        <v>0.53</v>
      </c>
      <c r="K160" s="96">
        <v>0.5</v>
      </c>
      <c r="L160" s="96">
        <v>0.49</v>
      </c>
      <c r="M160" s="96">
        <v>0.4</v>
      </c>
      <c r="N160" s="96">
        <v>0.45</v>
      </c>
      <c r="O160" s="96">
        <v>0.51</v>
      </c>
      <c r="P160" s="16">
        <v>57</v>
      </c>
      <c r="Q160" s="16">
        <v>9</v>
      </c>
      <c r="R160" s="92">
        <v>0.03</v>
      </c>
      <c r="S160" s="92">
        <v>0.47</v>
      </c>
      <c r="T160" s="92">
        <v>0.41</v>
      </c>
      <c r="U160" s="92">
        <v>0.09</v>
      </c>
      <c r="V160" s="92">
        <v>0.31</v>
      </c>
      <c r="W160" s="92">
        <v>0.39</v>
      </c>
      <c r="X160" s="92">
        <v>0.46</v>
      </c>
      <c r="Y160" s="92">
        <v>0.35</v>
      </c>
      <c r="Z160" s="92">
        <v>0.35</v>
      </c>
      <c r="AA160" s="92">
        <v>0.37</v>
      </c>
      <c r="AB160" s="16">
        <v>55</v>
      </c>
      <c r="AC160" s="16">
        <v>10</v>
      </c>
      <c r="AD160" s="96">
        <v>0.05</v>
      </c>
      <c r="AE160" s="96">
        <v>0.49</v>
      </c>
      <c r="AF160" s="96">
        <v>0.42</v>
      </c>
      <c r="AG160" s="96">
        <v>0.04</v>
      </c>
      <c r="AH160" s="96">
        <v>0.32</v>
      </c>
      <c r="AI160" s="96">
        <v>0.34</v>
      </c>
      <c r="AJ160" s="96">
        <v>0.32</v>
      </c>
      <c r="AK160" s="96">
        <v>0.41</v>
      </c>
      <c r="AL160" s="96">
        <v>0.44</v>
      </c>
      <c r="AM160" s="96">
        <v>0.4</v>
      </c>
      <c r="AN160" s="16">
        <v>55</v>
      </c>
      <c r="AO160" s="16">
        <v>8</v>
      </c>
      <c r="AP160" s="96">
        <v>0.04</v>
      </c>
      <c r="AQ160" s="96">
        <v>0.49</v>
      </c>
      <c r="AR160" s="96">
        <v>0.44</v>
      </c>
      <c r="AS160" s="96">
        <v>0.04</v>
      </c>
      <c r="AT160" s="96">
        <v>0.46</v>
      </c>
      <c r="AU160" s="96">
        <v>0.33</v>
      </c>
      <c r="AV160" s="96">
        <v>0.34</v>
      </c>
      <c r="AW160" s="96">
        <v>0.37</v>
      </c>
      <c r="AX160" s="96">
        <v>0.36</v>
      </c>
      <c r="AY160" s="96">
        <v>0.34</v>
      </c>
      <c r="AZ160" s="61">
        <v>57</v>
      </c>
      <c r="BA160" s="61">
        <v>10</v>
      </c>
      <c r="BB160" s="66">
        <v>7.0000000000000007E-2</v>
      </c>
      <c r="BC160" s="66">
        <v>0.28000000000000003</v>
      </c>
      <c r="BD160" s="66">
        <v>0.56999999999999995</v>
      </c>
      <c r="BE160" s="66">
        <v>0.08</v>
      </c>
      <c r="BF160" s="66">
        <v>0.38</v>
      </c>
      <c r="BG160" s="66">
        <v>0.32</v>
      </c>
      <c r="BH160" s="66">
        <v>0.34</v>
      </c>
      <c r="BI160" s="66">
        <v>0.37</v>
      </c>
      <c r="BJ160" s="66">
        <v>0.3</v>
      </c>
      <c r="BK160" s="66">
        <v>0.3</v>
      </c>
      <c r="BL160" s="349">
        <v>55</v>
      </c>
      <c r="BM160" s="348" t="s">
        <v>910</v>
      </c>
      <c r="BN160" s="349">
        <v>10</v>
      </c>
      <c r="BO160" s="348" t="s">
        <v>910</v>
      </c>
      <c r="BP160" s="371">
        <v>0.06</v>
      </c>
      <c r="BQ160" s="371">
        <v>0.46</v>
      </c>
      <c r="BR160" s="371">
        <v>0.42</v>
      </c>
      <c r="BS160" s="371">
        <v>0.06</v>
      </c>
      <c r="BT160" s="371">
        <v>0.34</v>
      </c>
      <c r="BU160" s="371">
        <v>0.38</v>
      </c>
      <c r="BV160" s="371">
        <v>0.45</v>
      </c>
      <c r="BW160" s="371">
        <v>0.36</v>
      </c>
      <c r="BX160" s="371">
        <v>0.39</v>
      </c>
      <c r="BY160" s="371">
        <v>0.43</v>
      </c>
      <c r="BZ160" s="469">
        <v>57</v>
      </c>
      <c r="CA160" s="471" t="s">
        <v>910</v>
      </c>
      <c r="CB160" s="469">
        <v>9</v>
      </c>
      <c r="CC160" s="471" t="s">
        <v>910</v>
      </c>
      <c r="CD160" s="501">
        <v>0.06</v>
      </c>
      <c r="CE160" s="501">
        <v>0.34</v>
      </c>
      <c r="CF160" s="501">
        <v>0.56999999999999995</v>
      </c>
      <c r="CG160" s="501">
        <v>0.03</v>
      </c>
      <c r="CH160" s="501">
        <v>0.37</v>
      </c>
      <c r="CI160" s="501">
        <v>0.28999999999999998</v>
      </c>
      <c r="CJ160" s="501">
        <v>0.47</v>
      </c>
      <c r="CK160" s="501">
        <v>0.46</v>
      </c>
      <c r="CL160" s="501">
        <v>0.4</v>
      </c>
      <c r="CM160" s="501">
        <v>0.44</v>
      </c>
      <c r="CN160" s="630">
        <v>55</v>
      </c>
      <c r="CO160" s="640" t="s">
        <v>910</v>
      </c>
      <c r="CP160" s="630">
        <v>10</v>
      </c>
      <c r="CQ160" s="640" t="s">
        <v>910</v>
      </c>
      <c r="CR160" s="644">
        <v>0.11</v>
      </c>
      <c r="CS160" s="644">
        <v>0.36</v>
      </c>
      <c r="CT160" s="644">
        <v>0.5</v>
      </c>
      <c r="CU160" s="644">
        <v>0.03</v>
      </c>
      <c r="CV160" s="644">
        <v>0.3</v>
      </c>
      <c r="CW160" s="644">
        <v>0.44</v>
      </c>
      <c r="CX160" s="644">
        <v>0.5</v>
      </c>
      <c r="CY160" s="644">
        <v>0.63</v>
      </c>
      <c r="CZ160" s="644">
        <v>0.51</v>
      </c>
      <c r="DA160" s="644">
        <v>0.51</v>
      </c>
    </row>
    <row r="161" spans="1:105" ht="24.9" customHeight="1" x14ac:dyDescent="0.25">
      <c r="A161" s="188" t="s">
        <v>880</v>
      </c>
      <c r="B161" s="1" t="s">
        <v>222</v>
      </c>
      <c r="C161" s="2">
        <v>5</v>
      </c>
      <c r="D161" s="16">
        <v>56</v>
      </c>
      <c r="E161" s="16">
        <v>7</v>
      </c>
      <c r="F161" s="96">
        <v>0</v>
      </c>
      <c r="G161" s="96">
        <v>0.47</v>
      </c>
      <c r="H161" s="96">
        <v>0.53</v>
      </c>
      <c r="I161" s="96">
        <v>0</v>
      </c>
      <c r="J161" s="96">
        <v>0.56999999999999995</v>
      </c>
      <c r="K161" s="96">
        <v>0.4</v>
      </c>
      <c r="L161" s="96">
        <v>0.53</v>
      </c>
      <c r="M161" s="96">
        <v>0.32</v>
      </c>
      <c r="N161" s="96">
        <v>0.36</v>
      </c>
      <c r="O161" s="96">
        <v>0.5</v>
      </c>
      <c r="P161" s="16">
        <v>59</v>
      </c>
      <c r="Q161" s="16">
        <v>8</v>
      </c>
      <c r="R161" s="92">
        <v>7.0000000000000007E-2</v>
      </c>
      <c r="S161" s="92">
        <v>0.14000000000000001</v>
      </c>
      <c r="T161" s="92">
        <v>0.79</v>
      </c>
      <c r="U161" s="92">
        <v>0</v>
      </c>
      <c r="V161" s="92">
        <v>0.3</v>
      </c>
      <c r="W161" s="92">
        <v>0.36</v>
      </c>
      <c r="X161" s="92">
        <v>0.49</v>
      </c>
      <c r="Y161" s="92">
        <v>0.34</v>
      </c>
      <c r="Z161" s="92">
        <v>0.33</v>
      </c>
      <c r="AA161" s="92">
        <v>0.31</v>
      </c>
      <c r="AB161" s="16">
        <v>57</v>
      </c>
      <c r="AC161" s="16">
        <v>10</v>
      </c>
      <c r="AD161" s="96">
        <v>0.06</v>
      </c>
      <c r="AE161" s="96">
        <v>0.28999999999999998</v>
      </c>
      <c r="AF161" s="96">
        <v>0.63</v>
      </c>
      <c r="AG161" s="96">
        <v>0.03</v>
      </c>
      <c r="AH161" s="96">
        <v>0.35</v>
      </c>
      <c r="AI161" s="96">
        <v>0.32</v>
      </c>
      <c r="AJ161" s="96">
        <v>0.24</v>
      </c>
      <c r="AK161" s="96">
        <v>0.35</v>
      </c>
      <c r="AL161" s="96">
        <v>0.47</v>
      </c>
      <c r="AM161" s="96">
        <v>0.39</v>
      </c>
      <c r="AN161" s="16">
        <v>52</v>
      </c>
      <c r="AO161" s="16">
        <v>9</v>
      </c>
      <c r="AP161" s="96">
        <v>0.1</v>
      </c>
      <c r="AQ161" s="96">
        <v>0.55000000000000004</v>
      </c>
      <c r="AR161" s="96">
        <v>0.3</v>
      </c>
      <c r="AS161" s="96">
        <v>0.05</v>
      </c>
      <c r="AT161" s="96">
        <v>0.52</v>
      </c>
      <c r="AU161" s="96">
        <v>0.37</v>
      </c>
      <c r="AV161" s="96">
        <v>0.37</v>
      </c>
      <c r="AW161" s="96">
        <v>0.46</v>
      </c>
      <c r="AX161" s="96">
        <v>0.38</v>
      </c>
      <c r="AY161" s="96">
        <v>0.48</v>
      </c>
      <c r="AZ161" s="61">
        <v>55</v>
      </c>
      <c r="BA161" s="61">
        <v>8</v>
      </c>
      <c r="BB161" s="66">
        <v>0.02</v>
      </c>
      <c r="BC161" s="66">
        <v>0.53</v>
      </c>
      <c r="BD161" s="66">
        <v>0.42</v>
      </c>
      <c r="BE161" s="66">
        <v>0.02</v>
      </c>
      <c r="BF161" s="66">
        <v>0.31</v>
      </c>
      <c r="BG161" s="66">
        <v>0.39</v>
      </c>
      <c r="BH161" s="66">
        <v>0.4</v>
      </c>
      <c r="BI161" s="66">
        <v>0.5</v>
      </c>
      <c r="BJ161" s="66">
        <v>0.31</v>
      </c>
      <c r="BK161" s="66">
        <v>0.38</v>
      </c>
      <c r="BL161" s="349">
        <v>53</v>
      </c>
      <c r="BM161" s="348" t="s">
        <v>910</v>
      </c>
      <c r="BN161" s="349">
        <v>11</v>
      </c>
      <c r="BO161" s="348" t="s">
        <v>910</v>
      </c>
      <c r="BP161" s="371">
        <v>0.14000000000000001</v>
      </c>
      <c r="BQ161" s="371">
        <v>0.37</v>
      </c>
      <c r="BR161" s="371">
        <v>0.42</v>
      </c>
      <c r="BS161" s="371">
        <v>7.0000000000000007E-2</v>
      </c>
      <c r="BT161" s="371">
        <v>0.37</v>
      </c>
      <c r="BU161" s="371">
        <v>0.4</v>
      </c>
      <c r="BV161" s="371">
        <v>0.33</v>
      </c>
      <c r="BW161" s="371">
        <v>0.4</v>
      </c>
      <c r="BX161" s="371">
        <v>0.41</v>
      </c>
      <c r="BY161" s="371">
        <v>0.47</v>
      </c>
      <c r="BZ161" s="469">
        <v>56</v>
      </c>
      <c r="CA161" s="471" t="s">
        <v>910</v>
      </c>
      <c r="CB161" s="469">
        <v>11</v>
      </c>
      <c r="CC161" s="471" t="s">
        <v>910</v>
      </c>
      <c r="CD161" s="501">
        <v>0.11</v>
      </c>
      <c r="CE161" s="501">
        <v>0.32</v>
      </c>
      <c r="CF161" s="501">
        <v>0.55000000000000004</v>
      </c>
      <c r="CG161" s="501">
        <v>0.03</v>
      </c>
      <c r="CH161" s="501">
        <v>0.51</v>
      </c>
      <c r="CI161" s="501">
        <v>0.33</v>
      </c>
      <c r="CJ161" s="501">
        <v>0.48</v>
      </c>
      <c r="CK161" s="501">
        <v>0.49</v>
      </c>
      <c r="CL161" s="501">
        <v>0.33</v>
      </c>
      <c r="CM161" s="501">
        <v>0.53</v>
      </c>
      <c r="CN161" s="630">
        <v>56</v>
      </c>
      <c r="CO161" s="640" t="s">
        <v>910</v>
      </c>
      <c r="CP161" s="630">
        <v>8</v>
      </c>
      <c r="CQ161" s="640" t="s">
        <v>910</v>
      </c>
      <c r="CR161" s="644">
        <v>0.04</v>
      </c>
      <c r="CS161" s="644">
        <v>0.39</v>
      </c>
      <c r="CT161" s="644">
        <v>0.56999999999999995</v>
      </c>
      <c r="CU161" s="644">
        <v>0</v>
      </c>
      <c r="CV161" s="644">
        <v>0.25</v>
      </c>
      <c r="CW161" s="644">
        <v>0.36</v>
      </c>
      <c r="CX161" s="644">
        <v>0.52</v>
      </c>
      <c r="CY161" s="644">
        <v>0.48</v>
      </c>
      <c r="CZ161" s="644">
        <v>0.47</v>
      </c>
      <c r="DA161" s="644">
        <v>0.52</v>
      </c>
    </row>
    <row r="162" spans="1:105" ht="24.9" customHeight="1" x14ac:dyDescent="0.25">
      <c r="A162" s="188" t="s">
        <v>177</v>
      </c>
      <c r="B162" s="1" t="s">
        <v>222</v>
      </c>
      <c r="C162" s="2">
        <v>5</v>
      </c>
      <c r="D162" s="16">
        <v>55</v>
      </c>
      <c r="E162" s="16">
        <v>7</v>
      </c>
      <c r="F162" s="96">
        <v>0.03</v>
      </c>
      <c r="G162" s="96">
        <v>0.6</v>
      </c>
      <c r="H162" s="96">
        <v>0.37</v>
      </c>
      <c r="I162" s="96">
        <v>0</v>
      </c>
      <c r="J162" s="96">
        <v>0.51</v>
      </c>
      <c r="K162" s="96">
        <v>0.42</v>
      </c>
      <c r="L162" s="96">
        <v>0.62</v>
      </c>
      <c r="M162" s="96">
        <v>0.39</v>
      </c>
      <c r="N162" s="96">
        <v>0.28999999999999998</v>
      </c>
      <c r="O162" s="96">
        <v>0.36</v>
      </c>
      <c r="P162" s="16">
        <v>56</v>
      </c>
      <c r="Q162" s="16">
        <v>8</v>
      </c>
      <c r="R162" s="92">
        <v>7.0000000000000007E-2</v>
      </c>
      <c r="S162" s="92">
        <v>0.41</v>
      </c>
      <c r="T162" s="92">
        <v>0.52</v>
      </c>
      <c r="U162" s="92">
        <v>0</v>
      </c>
      <c r="V162" s="92">
        <v>0.31</v>
      </c>
      <c r="W162" s="92">
        <v>0.4</v>
      </c>
      <c r="X162" s="92">
        <v>0.54</v>
      </c>
      <c r="Y162" s="92">
        <v>0.4</v>
      </c>
      <c r="Z162" s="92">
        <v>0.36</v>
      </c>
      <c r="AA162" s="92">
        <v>0.38</v>
      </c>
      <c r="AB162" s="16">
        <v>58</v>
      </c>
      <c r="AC162" s="16">
        <v>5</v>
      </c>
      <c r="AD162" s="96">
        <v>0</v>
      </c>
      <c r="AE162" s="96">
        <v>0.33</v>
      </c>
      <c r="AF162" s="96">
        <v>0.67</v>
      </c>
      <c r="AG162" s="96">
        <v>0</v>
      </c>
      <c r="AH162" s="96">
        <v>0.22</v>
      </c>
      <c r="AI162" s="96">
        <v>0.26</v>
      </c>
      <c r="AJ162" s="96">
        <v>0.27</v>
      </c>
      <c r="AK162" s="96">
        <v>0.37</v>
      </c>
      <c r="AL162" s="96">
        <v>0.44</v>
      </c>
      <c r="AM162" s="96">
        <v>0.46</v>
      </c>
      <c r="AN162" s="16">
        <v>53</v>
      </c>
      <c r="AO162" s="16">
        <v>12</v>
      </c>
      <c r="AP162" s="96">
        <v>0.2</v>
      </c>
      <c r="AQ162" s="96">
        <v>0.35</v>
      </c>
      <c r="AR162" s="96">
        <v>0.4</v>
      </c>
      <c r="AS162" s="96">
        <v>0.05</v>
      </c>
      <c r="AT162" s="96">
        <v>0.42</v>
      </c>
      <c r="AU162" s="96">
        <v>0.45</v>
      </c>
      <c r="AV162" s="96">
        <v>0.41</v>
      </c>
      <c r="AW162" s="96">
        <v>0.39</v>
      </c>
      <c r="AX162" s="96">
        <v>0.39</v>
      </c>
      <c r="AY162" s="96">
        <v>0.4</v>
      </c>
      <c r="AZ162" s="61">
        <v>57</v>
      </c>
      <c r="BA162" s="61">
        <v>6</v>
      </c>
      <c r="BB162" s="66">
        <v>0</v>
      </c>
      <c r="BC162" s="66">
        <v>0.33</v>
      </c>
      <c r="BD162" s="66">
        <v>0.67</v>
      </c>
      <c r="BE162" s="66">
        <v>0</v>
      </c>
      <c r="BF162" s="66">
        <v>0.31</v>
      </c>
      <c r="BG162" s="66">
        <v>0.4</v>
      </c>
      <c r="BH162" s="66">
        <v>0.31</v>
      </c>
      <c r="BI162" s="66">
        <v>0.38</v>
      </c>
      <c r="BJ162" s="66">
        <v>0.32</v>
      </c>
      <c r="BK162" s="66">
        <v>0.3</v>
      </c>
      <c r="BL162" s="349">
        <v>55</v>
      </c>
      <c r="BM162" s="348" t="s">
        <v>910</v>
      </c>
      <c r="BN162" s="349">
        <v>10</v>
      </c>
      <c r="BO162" s="348" t="s">
        <v>910</v>
      </c>
      <c r="BP162" s="371">
        <v>7.0000000000000007E-2</v>
      </c>
      <c r="BQ162" s="371">
        <v>0.5</v>
      </c>
      <c r="BR162" s="371">
        <v>0.36</v>
      </c>
      <c r="BS162" s="371">
        <v>7.0000000000000007E-2</v>
      </c>
      <c r="BT162" s="371">
        <v>0.32</v>
      </c>
      <c r="BU162" s="371">
        <v>0.42</v>
      </c>
      <c r="BV162" s="371">
        <v>0.42</v>
      </c>
      <c r="BW162" s="371">
        <v>0.32</v>
      </c>
      <c r="BX162" s="371">
        <v>0.41</v>
      </c>
      <c r="BY162" s="371">
        <v>0.46</v>
      </c>
      <c r="BZ162" s="469">
        <v>58</v>
      </c>
      <c r="CA162" s="471" t="s">
        <v>911</v>
      </c>
      <c r="CB162" s="469">
        <v>7</v>
      </c>
      <c r="CC162" s="471" t="s">
        <v>912</v>
      </c>
      <c r="CD162" s="501">
        <v>0.03</v>
      </c>
      <c r="CE162" s="501">
        <v>0.28999999999999998</v>
      </c>
      <c r="CF162" s="501">
        <v>0.65</v>
      </c>
      <c r="CG162" s="501">
        <v>0.03</v>
      </c>
      <c r="CH162" s="501">
        <v>0.38</v>
      </c>
      <c r="CI162" s="501">
        <v>0.15</v>
      </c>
      <c r="CJ162" s="501">
        <v>0.46</v>
      </c>
      <c r="CK162" s="501">
        <v>0.44</v>
      </c>
      <c r="CL162" s="501">
        <v>0.37</v>
      </c>
      <c r="CM162" s="501">
        <v>0.55000000000000004</v>
      </c>
      <c r="CN162" s="630">
        <v>53</v>
      </c>
      <c r="CO162" s="640" t="s">
        <v>910</v>
      </c>
      <c r="CP162" s="630">
        <v>10</v>
      </c>
      <c r="CQ162" s="640" t="s">
        <v>910</v>
      </c>
      <c r="CR162" s="644">
        <v>0.12</v>
      </c>
      <c r="CS162" s="644">
        <v>0.48</v>
      </c>
      <c r="CT162" s="644">
        <v>0.36</v>
      </c>
      <c r="CU162" s="644">
        <v>0.05</v>
      </c>
      <c r="CV162" s="644">
        <v>0.22</v>
      </c>
      <c r="CW162" s="644">
        <v>0.48</v>
      </c>
      <c r="CX162" s="644">
        <v>0.46</v>
      </c>
      <c r="CY162" s="644">
        <v>0.75</v>
      </c>
      <c r="CZ162" s="644">
        <v>0.41</v>
      </c>
      <c r="DA162" s="644">
        <v>0.6</v>
      </c>
    </row>
    <row r="163" spans="1:105" ht="24.9" customHeight="1" x14ac:dyDescent="0.25">
      <c r="A163" s="188" t="s">
        <v>289</v>
      </c>
      <c r="B163" s="1" t="s">
        <v>222</v>
      </c>
      <c r="C163" s="2">
        <v>4</v>
      </c>
      <c r="D163" s="16">
        <v>40</v>
      </c>
      <c r="E163" s="16">
        <v>1</v>
      </c>
      <c r="F163" s="96">
        <v>1</v>
      </c>
      <c r="G163" s="96">
        <v>0</v>
      </c>
      <c r="H163" s="96">
        <v>0</v>
      </c>
      <c r="I163" s="96">
        <v>0</v>
      </c>
      <c r="J163" s="96">
        <v>0.72</v>
      </c>
      <c r="K163" s="96">
        <v>0.72</v>
      </c>
      <c r="L163" s="96">
        <v>0.63</v>
      </c>
      <c r="M163" s="96">
        <v>0.79</v>
      </c>
      <c r="N163" s="96">
        <v>0.67</v>
      </c>
      <c r="O163" s="96">
        <v>0.67</v>
      </c>
      <c r="P163" s="36">
        <v>45</v>
      </c>
      <c r="Q163" s="36">
        <v>5</v>
      </c>
      <c r="R163" s="92">
        <v>0.3</v>
      </c>
      <c r="S163" s="92">
        <v>0.7</v>
      </c>
      <c r="T163" s="92">
        <v>0</v>
      </c>
      <c r="U163" s="92">
        <v>0</v>
      </c>
      <c r="V163" s="92">
        <v>0.55000000000000004</v>
      </c>
      <c r="W163" s="92">
        <v>0.6</v>
      </c>
      <c r="X163" s="92">
        <v>0.67</v>
      </c>
      <c r="Y163" s="92">
        <v>0.47</v>
      </c>
      <c r="Z163" s="92">
        <v>0.54</v>
      </c>
      <c r="AA163" s="92">
        <v>0.48</v>
      </c>
      <c r="AB163" s="16">
        <v>42</v>
      </c>
      <c r="AC163" s="16">
        <v>7</v>
      </c>
      <c r="AD163" s="96">
        <v>0.38</v>
      </c>
      <c r="AE163" s="96">
        <v>0.63</v>
      </c>
      <c r="AF163" s="96">
        <v>0</v>
      </c>
      <c r="AG163" s="96">
        <v>0</v>
      </c>
      <c r="AH163" s="96">
        <v>0.55000000000000004</v>
      </c>
      <c r="AI163" s="96">
        <v>0.63</v>
      </c>
      <c r="AJ163" s="96">
        <v>0.59</v>
      </c>
      <c r="AK163" s="96">
        <v>0.63</v>
      </c>
      <c r="AL163" s="96">
        <v>0.74</v>
      </c>
      <c r="AM163" s="96">
        <v>0.43</v>
      </c>
      <c r="AN163" s="16">
        <v>39</v>
      </c>
      <c r="AO163" s="16">
        <v>9</v>
      </c>
      <c r="AP163" s="96">
        <v>0.5</v>
      </c>
      <c r="AQ163" s="96">
        <v>0.5</v>
      </c>
      <c r="AR163" s="96">
        <v>0</v>
      </c>
      <c r="AS163" s="96">
        <v>0</v>
      </c>
      <c r="AT163" s="96">
        <v>0.67</v>
      </c>
      <c r="AU163" s="96">
        <v>0.54</v>
      </c>
      <c r="AV163" s="96">
        <v>0.5</v>
      </c>
      <c r="AW163" s="96">
        <v>0.64</v>
      </c>
      <c r="AX163" s="96">
        <v>0.73</v>
      </c>
      <c r="AY163" s="96">
        <v>0.68</v>
      </c>
      <c r="AZ163" s="61">
        <v>37</v>
      </c>
      <c r="BA163" s="61">
        <v>8</v>
      </c>
      <c r="BB163" s="66">
        <v>0.5</v>
      </c>
      <c r="BC163" s="66">
        <v>0.5</v>
      </c>
      <c r="BD163" s="66">
        <v>0</v>
      </c>
      <c r="BE163" s="66">
        <v>0</v>
      </c>
      <c r="BF163" s="66">
        <v>1</v>
      </c>
      <c r="BG163" s="66">
        <v>0.64</v>
      </c>
      <c r="BH163" s="66">
        <v>0.7</v>
      </c>
      <c r="BI163" s="66">
        <v>0.78</v>
      </c>
      <c r="BJ163" s="66">
        <v>0.7</v>
      </c>
      <c r="BK163" s="66">
        <v>0.56000000000000005</v>
      </c>
      <c r="BL163" s="349">
        <v>44</v>
      </c>
      <c r="BM163" s="348" t="s">
        <v>910</v>
      </c>
      <c r="BN163" s="349">
        <v>11</v>
      </c>
      <c r="BO163" s="348" t="s">
        <v>910</v>
      </c>
      <c r="BP163" s="371">
        <v>0.45</v>
      </c>
      <c r="BQ163" s="371">
        <v>0.36</v>
      </c>
      <c r="BR163" s="371">
        <v>0.18</v>
      </c>
      <c r="BS163" s="371">
        <v>0</v>
      </c>
      <c r="BT163" s="371">
        <v>0.53</v>
      </c>
      <c r="BU163" s="371">
        <v>0.56000000000000005</v>
      </c>
      <c r="BV163" s="371">
        <v>0.43</v>
      </c>
      <c r="BW163" s="371">
        <v>0.55000000000000004</v>
      </c>
      <c r="BX163" s="371">
        <v>0.56000000000000005</v>
      </c>
      <c r="BY163" s="371">
        <v>0.59</v>
      </c>
      <c r="BZ163" s="469">
        <v>46</v>
      </c>
      <c r="CA163" s="471" t="s">
        <v>910</v>
      </c>
      <c r="CB163" s="469">
        <v>6</v>
      </c>
      <c r="CC163" s="471" t="s">
        <v>912</v>
      </c>
      <c r="CD163" s="501">
        <v>0.18</v>
      </c>
      <c r="CE163" s="501">
        <v>0.82</v>
      </c>
      <c r="CF163" s="501">
        <v>0</v>
      </c>
      <c r="CG163" s="501">
        <v>0</v>
      </c>
      <c r="CH163" s="501">
        <v>0.5</v>
      </c>
      <c r="CI163" s="501">
        <v>0.43</v>
      </c>
      <c r="CJ163" s="501">
        <v>0.69</v>
      </c>
      <c r="CK163" s="501">
        <v>0.59</v>
      </c>
      <c r="CL163" s="501">
        <v>0.3</v>
      </c>
      <c r="CM163" s="501">
        <v>0.7</v>
      </c>
      <c r="CN163" s="630">
        <v>46</v>
      </c>
      <c r="CO163" s="640" t="s">
        <v>910</v>
      </c>
      <c r="CP163" s="630">
        <v>9</v>
      </c>
      <c r="CQ163" s="640" t="s">
        <v>910</v>
      </c>
      <c r="CR163" s="644">
        <v>0.2</v>
      </c>
      <c r="CS163" s="644">
        <v>0.7</v>
      </c>
      <c r="CT163" s="644">
        <v>0.1</v>
      </c>
      <c r="CU163" s="644">
        <v>0</v>
      </c>
      <c r="CV163" s="644">
        <v>0.44</v>
      </c>
      <c r="CW163" s="644">
        <v>0.57999999999999996</v>
      </c>
      <c r="CX163" s="644">
        <v>0.69</v>
      </c>
      <c r="CY163" s="644">
        <v>1</v>
      </c>
      <c r="CZ163" s="644">
        <v>0.66</v>
      </c>
      <c r="DA163" s="644">
        <v>0.71</v>
      </c>
    </row>
    <row r="164" spans="1:105" ht="24.9" customHeight="1" x14ac:dyDescent="0.25">
      <c r="A164" s="188" t="s">
        <v>71</v>
      </c>
      <c r="B164" s="1" t="s">
        <v>222</v>
      </c>
      <c r="C164" s="2">
        <v>6</v>
      </c>
      <c r="D164" s="16">
        <v>54</v>
      </c>
      <c r="E164" s="16">
        <v>9</v>
      </c>
      <c r="F164" s="96">
        <v>0.06</v>
      </c>
      <c r="G164" s="96">
        <v>0.46</v>
      </c>
      <c r="H164" s="96">
        <v>0.47</v>
      </c>
      <c r="I164" s="96">
        <v>0.01</v>
      </c>
      <c r="J164" s="96">
        <v>0.49</v>
      </c>
      <c r="K164" s="96">
        <v>0.48</v>
      </c>
      <c r="L164" s="96">
        <v>0.55000000000000004</v>
      </c>
      <c r="M164" s="96">
        <v>0.28999999999999998</v>
      </c>
      <c r="N164" s="96">
        <v>0.37</v>
      </c>
      <c r="O164" s="96">
        <v>0.46</v>
      </c>
      <c r="P164" s="16">
        <v>54</v>
      </c>
      <c r="Q164" s="16">
        <v>9</v>
      </c>
      <c r="R164" s="92">
        <v>0.12</v>
      </c>
      <c r="S164" s="92">
        <v>0.43</v>
      </c>
      <c r="T164" s="92">
        <v>0.43</v>
      </c>
      <c r="U164" s="92">
        <v>0.03</v>
      </c>
      <c r="V164" s="92">
        <v>0.36</v>
      </c>
      <c r="W164" s="92">
        <v>0.43</v>
      </c>
      <c r="X164" s="92">
        <v>0.48</v>
      </c>
      <c r="Y164" s="92">
        <v>0.38</v>
      </c>
      <c r="Z164" s="92">
        <v>0.38</v>
      </c>
      <c r="AA164" s="92">
        <v>0.53</v>
      </c>
      <c r="AB164" s="16">
        <v>53</v>
      </c>
      <c r="AC164" s="16">
        <v>13</v>
      </c>
      <c r="AD164" s="96">
        <v>0.16</v>
      </c>
      <c r="AE164" s="96">
        <v>0.42</v>
      </c>
      <c r="AF164" s="96">
        <v>0.39</v>
      </c>
      <c r="AG164" s="96">
        <v>0.03</v>
      </c>
      <c r="AH164" s="96">
        <v>0.39</v>
      </c>
      <c r="AI164" s="96">
        <v>0.35</v>
      </c>
      <c r="AJ164" s="96">
        <v>0.36</v>
      </c>
      <c r="AK164" s="96">
        <v>0.43</v>
      </c>
      <c r="AL164" s="96">
        <v>0.5</v>
      </c>
      <c r="AM164" s="96">
        <v>0.45</v>
      </c>
      <c r="AN164" s="16">
        <v>51</v>
      </c>
      <c r="AO164" s="16">
        <v>11</v>
      </c>
      <c r="AP164" s="96">
        <v>0.13</v>
      </c>
      <c r="AQ164" s="96">
        <v>0.54</v>
      </c>
      <c r="AR164" s="96">
        <v>0.26</v>
      </c>
      <c r="AS164" s="96">
        <v>7.0000000000000007E-2</v>
      </c>
      <c r="AT164" s="96">
        <v>0.52</v>
      </c>
      <c r="AU164" s="96">
        <v>0.42</v>
      </c>
      <c r="AV164" s="96">
        <v>0.42</v>
      </c>
      <c r="AW164" s="96">
        <v>0.43</v>
      </c>
      <c r="AX164" s="96">
        <v>0.42</v>
      </c>
      <c r="AY164" s="96">
        <v>0.47</v>
      </c>
      <c r="AZ164" s="61">
        <v>53</v>
      </c>
      <c r="BA164" s="61">
        <v>9</v>
      </c>
      <c r="BB164" s="66">
        <v>0.11</v>
      </c>
      <c r="BC164" s="66">
        <v>0.48</v>
      </c>
      <c r="BD164" s="66">
        <v>0.4</v>
      </c>
      <c r="BE164" s="66">
        <v>0.01</v>
      </c>
      <c r="BF164" s="66">
        <v>0.45</v>
      </c>
      <c r="BG164" s="66">
        <v>0.39</v>
      </c>
      <c r="BH164" s="66">
        <v>0.4</v>
      </c>
      <c r="BI164" s="66">
        <v>0.52</v>
      </c>
      <c r="BJ164" s="66">
        <v>0.36</v>
      </c>
      <c r="BK164" s="66">
        <v>0.41</v>
      </c>
      <c r="BL164" s="349">
        <v>53</v>
      </c>
      <c r="BM164" s="348" t="s">
        <v>910</v>
      </c>
      <c r="BN164" s="349">
        <v>10</v>
      </c>
      <c r="BO164" s="348" t="s">
        <v>910</v>
      </c>
      <c r="BP164" s="371">
        <v>0.12</v>
      </c>
      <c r="BQ164" s="371">
        <v>0.47</v>
      </c>
      <c r="BR164" s="371">
        <v>0.39</v>
      </c>
      <c r="BS164" s="371">
        <v>0.03</v>
      </c>
      <c r="BT164" s="371">
        <v>0.44</v>
      </c>
      <c r="BU164" s="371">
        <v>0.43</v>
      </c>
      <c r="BV164" s="371">
        <v>0.42</v>
      </c>
      <c r="BW164" s="371">
        <v>0.4</v>
      </c>
      <c r="BX164" s="371">
        <v>0.43</v>
      </c>
      <c r="BY164" s="371">
        <v>0.48</v>
      </c>
      <c r="BZ164" s="469">
        <v>53</v>
      </c>
      <c r="CA164" s="471" t="s">
        <v>910</v>
      </c>
      <c r="CB164" s="469">
        <v>9</v>
      </c>
      <c r="CC164" s="471" t="s">
        <v>910</v>
      </c>
      <c r="CD164" s="501">
        <v>0.1</v>
      </c>
      <c r="CE164" s="501">
        <v>0.42</v>
      </c>
      <c r="CF164" s="501">
        <v>0.47</v>
      </c>
      <c r="CG164" s="501">
        <v>0.02</v>
      </c>
      <c r="CH164" s="501">
        <v>0.45</v>
      </c>
      <c r="CI164" s="501">
        <v>0.28000000000000003</v>
      </c>
      <c r="CJ164" s="501">
        <v>0.51</v>
      </c>
      <c r="CK164" s="501">
        <v>0.49</v>
      </c>
      <c r="CL164" s="501">
        <v>0.37</v>
      </c>
      <c r="CM164" s="501">
        <v>0.57999999999999996</v>
      </c>
      <c r="CN164" s="630">
        <v>53</v>
      </c>
      <c r="CO164" s="640" t="s">
        <v>910</v>
      </c>
      <c r="CP164" s="630">
        <v>10</v>
      </c>
      <c r="CQ164" s="640" t="s">
        <v>910</v>
      </c>
      <c r="CR164" s="644">
        <v>0.16</v>
      </c>
      <c r="CS164" s="644">
        <v>0.41</v>
      </c>
      <c r="CT164" s="644">
        <v>0.38</v>
      </c>
      <c r="CU164" s="644">
        <v>0.05</v>
      </c>
      <c r="CV164" s="644">
        <v>0.28000000000000003</v>
      </c>
      <c r="CW164" s="644">
        <v>0.47</v>
      </c>
      <c r="CX164" s="644">
        <v>0.52</v>
      </c>
      <c r="CY164" s="644">
        <v>0.56000000000000005</v>
      </c>
      <c r="CZ164" s="644">
        <v>0.5</v>
      </c>
      <c r="DA164" s="644">
        <v>0.55000000000000004</v>
      </c>
    </row>
    <row r="165" spans="1:105" ht="24.9" customHeight="1" x14ac:dyDescent="0.25">
      <c r="A165" s="188" t="s">
        <v>208</v>
      </c>
      <c r="B165" s="1" t="s">
        <v>222</v>
      </c>
      <c r="C165" s="2">
        <v>4</v>
      </c>
      <c r="D165" s="16">
        <v>56</v>
      </c>
      <c r="E165" s="16">
        <v>7</v>
      </c>
      <c r="F165" s="96">
        <v>0</v>
      </c>
      <c r="G165" s="96">
        <v>0.5</v>
      </c>
      <c r="H165" s="96">
        <v>0.5</v>
      </c>
      <c r="I165" s="96">
        <v>0</v>
      </c>
      <c r="J165" s="96">
        <v>0.48</v>
      </c>
      <c r="K165" s="96">
        <v>0.4</v>
      </c>
      <c r="L165" s="96">
        <v>0.57999999999999996</v>
      </c>
      <c r="M165" s="96">
        <v>0.28999999999999998</v>
      </c>
      <c r="N165" s="96">
        <v>0.36</v>
      </c>
      <c r="O165" s="96">
        <v>0.53</v>
      </c>
      <c r="P165" s="16">
        <v>56</v>
      </c>
      <c r="Q165" s="16">
        <v>7</v>
      </c>
      <c r="R165" s="92">
        <v>0</v>
      </c>
      <c r="S165" s="92">
        <v>0.38</v>
      </c>
      <c r="T165" s="92">
        <v>0.63</v>
      </c>
      <c r="U165" s="92">
        <v>0</v>
      </c>
      <c r="V165" s="92">
        <v>0.33</v>
      </c>
      <c r="W165" s="92">
        <v>0.38</v>
      </c>
      <c r="X165" s="92">
        <v>0.45</v>
      </c>
      <c r="Y165" s="92">
        <v>0.3</v>
      </c>
      <c r="Z165" s="92">
        <v>0.38</v>
      </c>
      <c r="AA165" s="92">
        <v>0.44</v>
      </c>
      <c r="AB165" s="16">
        <v>51</v>
      </c>
      <c r="AC165" s="16">
        <v>8</v>
      </c>
      <c r="AD165" s="96">
        <v>0.2</v>
      </c>
      <c r="AE165" s="96">
        <v>0.6</v>
      </c>
      <c r="AF165" s="96">
        <v>0.2</v>
      </c>
      <c r="AG165" s="96">
        <v>0</v>
      </c>
      <c r="AH165" s="96">
        <v>0.43</v>
      </c>
      <c r="AI165" s="96">
        <v>0.37</v>
      </c>
      <c r="AJ165" s="96">
        <v>0.33</v>
      </c>
      <c r="AK165" s="96">
        <v>0.54</v>
      </c>
      <c r="AL165" s="96">
        <v>0.56999999999999995</v>
      </c>
      <c r="AM165" s="96">
        <v>0.56999999999999995</v>
      </c>
      <c r="AN165" s="16">
        <v>54</v>
      </c>
      <c r="AO165" s="16">
        <v>8</v>
      </c>
      <c r="AP165" s="96">
        <v>0.11</v>
      </c>
      <c r="AQ165" s="96">
        <v>0.44</v>
      </c>
      <c r="AR165" s="96">
        <v>0.44</v>
      </c>
      <c r="AS165" s="96">
        <v>0</v>
      </c>
      <c r="AT165" s="96">
        <v>0.47</v>
      </c>
      <c r="AU165" s="96">
        <v>0.32</v>
      </c>
      <c r="AV165" s="96">
        <v>0.4</v>
      </c>
      <c r="AW165" s="96">
        <v>0.4</v>
      </c>
      <c r="AX165" s="96">
        <v>0.36</v>
      </c>
      <c r="AY165" s="96">
        <v>0.43</v>
      </c>
      <c r="AZ165" s="61">
        <v>50</v>
      </c>
      <c r="BA165" s="61">
        <v>12</v>
      </c>
      <c r="BB165" s="66">
        <v>0.31</v>
      </c>
      <c r="BC165" s="66">
        <v>0.31</v>
      </c>
      <c r="BD165" s="66">
        <v>0.38</v>
      </c>
      <c r="BE165" s="66">
        <v>0</v>
      </c>
      <c r="BF165" s="66">
        <v>0.6</v>
      </c>
      <c r="BG165" s="66">
        <v>0.48</v>
      </c>
      <c r="BH165" s="66">
        <v>0.42</v>
      </c>
      <c r="BI165" s="66">
        <v>0.6</v>
      </c>
      <c r="BJ165" s="66">
        <v>0.43</v>
      </c>
      <c r="BK165" s="66">
        <v>0.46</v>
      </c>
      <c r="BL165" s="349">
        <v>54</v>
      </c>
      <c r="BM165" s="348" t="s">
        <v>910</v>
      </c>
      <c r="BN165" s="349">
        <v>9</v>
      </c>
      <c r="BO165" s="348" t="s">
        <v>910</v>
      </c>
      <c r="BP165" s="371">
        <v>0.06</v>
      </c>
      <c r="BQ165" s="371">
        <v>0.44</v>
      </c>
      <c r="BR165" s="371">
        <v>0.44</v>
      </c>
      <c r="BS165" s="371">
        <v>0.06</v>
      </c>
      <c r="BT165" s="371">
        <v>0.32</v>
      </c>
      <c r="BU165" s="371">
        <v>0.38</v>
      </c>
      <c r="BV165" s="371">
        <v>0.48</v>
      </c>
      <c r="BW165" s="371">
        <v>0.36</v>
      </c>
      <c r="BX165" s="371">
        <v>0.41</v>
      </c>
      <c r="BY165" s="371">
        <v>0.45</v>
      </c>
      <c r="BZ165" s="469">
        <v>52</v>
      </c>
      <c r="CA165" s="471" t="s">
        <v>910</v>
      </c>
      <c r="CB165" s="469">
        <v>12</v>
      </c>
      <c r="CC165" s="471" t="s">
        <v>910</v>
      </c>
      <c r="CD165" s="501">
        <v>0.16</v>
      </c>
      <c r="CE165" s="501">
        <v>0.37</v>
      </c>
      <c r="CF165" s="501">
        <v>0.47</v>
      </c>
      <c r="CG165" s="501">
        <v>0</v>
      </c>
      <c r="CH165" s="501">
        <v>0.56999999999999995</v>
      </c>
      <c r="CI165" s="501">
        <v>0.19</v>
      </c>
      <c r="CJ165" s="501">
        <v>0.48</v>
      </c>
      <c r="CK165" s="501">
        <v>0.5</v>
      </c>
      <c r="CL165" s="501">
        <v>0.47</v>
      </c>
      <c r="CM165" s="501">
        <v>0.55000000000000004</v>
      </c>
      <c r="CN165" s="630">
        <v>50</v>
      </c>
      <c r="CO165" s="640" t="s">
        <v>910</v>
      </c>
      <c r="CP165" s="630">
        <v>10</v>
      </c>
      <c r="CQ165" s="640" t="s">
        <v>910</v>
      </c>
      <c r="CR165" s="644">
        <v>0.13</v>
      </c>
      <c r="CS165" s="644">
        <v>0.56999999999999995</v>
      </c>
      <c r="CT165" s="644">
        <v>0.26</v>
      </c>
      <c r="CU165" s="644">
        <v>0.04</v>
      </c>
      <c r="CV165" s="644">
        <v>0.28000000000000003</v>
      </c>
      <c r="CW165" s="644">
        <v>0.53</v>
      </c>
      <c r="CX165" s="644">
        <v>0.56000000000000005</v>
      </c>
      <c r="CY165" s="644">
        <v>0.69</v>
      </c>
      <c r="CZ165" s="644">
        <v>0.6</v>
      </c>
      <c r="DA165" s="644">
        <v>0.62</v>
      </c>
    </row>
    <row r="166" spans="1:105" ht="24.9" customHeight="1" x14ac:dyDescent="0.25">
      <c r="A166" s="188" t="s">
        <v>99</v>
      </c>
      <c r="B166" s="1" t="s">
        <v>222</v>
      </c>
      <c r="C166" s="2">
        <v>5</v>
      </c>
      <c r="D166" s="16">
        <v>57</v>
      </c>
      <c r="E166" s="16">
        <v>10</v>
      </c>
      <c r="F166" s="96">
        <v>0.05</v>
      </c>
      <c r="G166" s="96">
        <v>0.32</v>
      </c>
      <c r="H166" s="96">
        <v>0.57999999999999996</v>
      </c>
      <c r="I166" s="96">
        <v>0.05</v>
      </c>
      <c r="J166" s="96">
        <v>0.5</v>
      </c>
      <c r="K166" s="96">
        <v>0.42</v>
      </c>
      <c r="L166" s="96">
        <v>0.59</v>
      </c>
      <c r="M166" s="96">
        <v>0.36</v>
      </c>
      <c r="N166" s="96">
        <v>0.42</v>
      </c>
      <c r="O166" s="96">
        <v>0.51</v>
      </c>
      <c r="P166" s="16">
        <v>53</v>
      </c>
      <c r="Q166" s="16">
        <v>9</v>
      </c>
      <c r="R166" s="92">
        <v>0.08</v>
      </c>
      <c r="S166" s="92">
        <v>0.38</v>
      </c>
      <c r="T166" s="92">
        <v>0.54</v>
      </c>
      <c r="U166" s="92">
        <v>0</v>
      </c>
      <c r="V166" s="92">
        <v>0.39</v>
      </c>
      <c r="W166" s="92">
        <v>0.45</v>
      </c>
      <c r="X166" s="92">
        <v>0.48</v>
      </c>
      <c r="Y166" s="92">
        <v>0.42</v>
      </c>
      <c r="Z166" s="92">
        <v>0.4</v>
      </c>
      <c r="AA166" s="92">
        <v>0.47</v>
      </c>
      <c r="AB166" s="16">
        <v>55</v>
      </c>
      <c r="AC166" s="16">
        <v>9</v>
      </c>
      <c r="AD166" s="96">
        <v>0.12</v>
      </c>
      <c r="AE166" s="96">
        <v>0.24</v>
      </c>
      <c r="AF166" s="96">
        <v>0.65</v>
      </c>
      <c r="AG166" s="96">
        <v>0</v>
      </c>
      <c r="AH166" s="96">
        <v>0.3</v>
      </c>
      <c r="AI166" s="96">
        <v>0.34</v>
      </c>
      <c r="AJ166" s="96">
        <v>0.37</v>
      </c>
      <c r="AK166" s="96">
        <v>0.42</v>
      </c>
      <c r="AL166" s="96">
        <v>0.61</v>
      </c>
      <c r="AM166" s="96">
        <v>0.4</v>
      </c>
      <c r="AN166" s="16">
        <v>54</v>
      </c>
      <c r="AO166" s="16">
        <v>14</v>
      </c>
      <c r="AP166" s="96">
        <v>0.19</v>
      </c>
      <c r="AQ166" s="96">
        <v>0.28999999999999998</v>
      </c>
      <c r="AR166" s="96">
        <v>0.48</v>
      </c>
      <c r="AS166" s="96">
        <v>0.05</v>
      </c>
      <c r="AT166" s="96">
        <v>0.44</v>
      </c>
      <c r="AU166" s="96">
        <v>0.41</v>
      </c>
      <c r="AV166" s="96">
        <v>0.41</v>
      </c>
      <c r="AW166" s="96">
        <v>0.39</v>
      </c>
      <c r="AX166" s="96">
        <v>0.36</v>
      </c>
      <c r="AY166" s="96">
        <v>0.32</v>
      </c>
      <c r="AZ166" s="61">
        <v>55</v>
      </c>
      <c r="BA166" s="61">
        <v>8</v>
      </c>
      <c r="BB166" s="66">
        <v>0.05</v>
      </c>
      <c r="BC166" s="66">
        <v>0.47</v>
      </c>
      <c r="BD166" s="66">
        <v>0.47</v>
      </c>
      <c r="BE166" s="66">
        <v>0</v>
      </c>
      <c r="BF166" s="66">
        <v>0.33</v>
      </c>
      <c r="BG166" s="66">
        <v>0.39</v>
      </c>
      <c r="BH166" s="66">
        <v>0.36</v>
      </c>
      <c r="BI166" s="66">
        <v>0.44</v>
      </c>
      <c r="BJ166" s="66">
        <v>0.34</v>
      </c>
      <c r="BK166" s="66">
        <v>0.3</v>
      </c>
      <c r="BL166" s="349">
        <v>50</v>
      </c>
      <c r="BM166" s="348" t="s">
        <v>910</v>
      </c>
      <c r="BN166" s="349">
        <v>9</v>
      </c>
      <c r="BO166" s="348" t="s">
        <v>910</v>
      </c>
      <c r="BP166" s="371">
        <v>0.15</v>
      </c>
      <c r="BQ166" s="371">
        <v>0.62</v>
      </c>
      <c r="BR166" s="371">
        <v>0.23</v>
      </c>
      <c r="BS166" s="371">
        <v>0</v>
      </c>
      <c r="BT166" s="371">
        <v>0.47</v>
      </c>
      <c r="BU166" s="371">
        <v>0.45</v>
      </c>
      <c r="BV166" s="371">
        <v>0.52</v>
      </c>
      <c r="BW166" s="371">
        <v>0.4</v>
      </c>
      <c r="BX166" s="371">
        <v>0.52</v>
      </c>
      <c r="BY166" s="371">
        <v>0.5</v>
      </c>
      <c r="BZ166" s="469">
        <v>57</v>
      </c>
      <c r="CA166" s="471" t="s">
        <v>910</v>
      </c>
      <c r="CB166" s="469">
        <v>7</v>
      </c>
      <c r="CC166" s="471" t="s">
        <v>912</v>
      </c>
      <c r="CD166" s="501">
        <v>0</v>
      </c>
      <c r="CE166" s="501">
        <v>0.39</v>
      </c>
      <c r="CF166" s="501">
        <v>0.61</v>
      </c>
      <c r="CG166" s="501">
        <v>0</v>
      </c>
      <c r="CH166" s="501">
        <v>0.41</v>
      </c>
      <c r="CI166" s="501">
        <v>0.2</v>
      </c>
      <c r="CJ166" s="501">
        <v>0.44</v>
      </c>
      <c r="CK166" s="501">
        <v>0.52</v>
      </c>
      <c r="CL166" s="501">
        <v>0.28000000000000003</v>
      </c>
      <c r="CM166" s="501">
        <v>0.48</v>
      </c>
      <c r="CN166" s="630">
        <v>55</v>
      </c>
      <c r="CO166" s="640" t="s">
        <v>910</v>
      </c>
      <c r="CP166" s="630">
        <v>11</v>
      </c>
      <c r="CQ166" s="640" t="s">
        <v>910</v>
      </c>
      <c r="CR166" s="644">
        <v>0.14000000000000001</v>
      </c>
      <c r="CS166" s="644">
        <v>0.38</v>
      </c>
      <c r="CT166" s="644">
        <v>0.38</v>
      </c>
      <c r="CU166" s="644">
        <v>0.1</v>
      </c>
      <c r="CV166" s="644">
        <v>0.32</v>
      </c>
      <c r="CW166" s="644">
        <v>0.47</v>
      </c>
      <c r="CX166" s="644">
        <v>0.5</v>
      </c>
      <c r="CY166" s="644">
        <v>0.28999999999999998</v>
      </c>
      <c r="CZ166" s="644">
        <v>0.54</v>
      </c>
      <c r="DA166" s="644">
        <v>0.45</v>
      </c>
    </row>
    <row r="167" spans="1:105" ht="24.9" customHeight="1" x14ac:dyDescent="0.25">
      <c r="A167" s="188" t="s">
        <v>73</v>
      </c>
      <c r="B167" s="70" t="s">
        <v>222</v>
      </c>
      <c r="C167" s="72">
        <v>2</v>
      </c>
      <c r="D167" s="16">
        <v>50</v>
      </c>
      <c r="E167" s="16">
        <v>9</v>
      </c>
      <c r="F167" s="96">
        <v>0.18</v>
      </c>
      <c r="G167" s="96">
        <v>0.45</v>
      </c>
      <c r="H167" s="96">
        <v>0.36</v>
      </c>
      <c r="I167" s="96">
        <v>0</v>
      </c>
      <c r="J167" s="96">
        <v>0.52</v>
      </c>
      <c r="K167" s="96">
        <v>0.51</v>
      </c>
      <c r="L167" s="96">
        <v>0.54</v>
      </c>
      <c r="M167" s="96">
        <v>0.52</v>
      </c>
      <c r="N167" s="96">
        <v>0.47</v>
      </c>
      <c r="O167" s="96">
        <v>0.46</v>
      </c>
      <c r="P167" s="16">
        <v>53</v>
      </c>
      <c r="Q167" s="16">
        <v>10</v>
      </c>
      <c r="R167" s="92">
        <v>0.19</v>
      </c>
      <c r="S167" s="92">
        <v>0.37</v>
      </c>
      <c r="T167" s="92">
        <v>0.42</v>
      </c>
      <c r="U167" s="92">
        <v>0.02</v>
      </c>
      <c r="V167" s="92">
        <v>0.35</v>
      </c>
      <c r="W167" s="92">
        <v>0.43</v>
      </c>
      <c r="X167" s="92">
        <v>0.5</v>
      </c>
      <c r="Y167" s="92">
        <v>0.46</v>
      </c>
      <c r="Z167" s="92">
        <v>0.43</v>
      </c>
      <c r="AA167" s="92">
        <v>0.5</v>
      </c>
      <c r="AB167" s="16">
        <v>51</v>
      </c>
      <c r="AC167" s="16">
        <v>11</v>
      </c>
      <c r="AD167" s="96">
        <v>0.11</v>
      </c>
      <c r="AE167" s="96">
        <v>0.57999999999999996</v>
      </c>
      <c r="AF167" s="96">
        <v>0.28000000000000003</v>
      </c>
      <c r="AG167" s="96">
        <v>0.03</v>
      </c>
      <c r="AH167" s="96">
        <v>0.42</v>
      </c>
      <c r="AI167" s="96">
        <v>0.4</v>
      </c>
      <c r="AJ167" s="96">
        <v>0.38</v>
      </c>
      <c r="AK167" s="96">
        <v>0.5</v>
      </c>
      <c r="AL167" s="96">
        <v>0.61</v>
      </c>
      <c r="AM167" s="96">
        <v>0.52</v>
      </c>
      <c r="AN167" s="16">
        <v>47</v>
      </c>
      <c r="AO167" s="16">
        <v>10</v>
      </c>
      <c r="AP167" s="96">
        <v>0.28000000000000003</v>
      </c>
      <c r="AQ167" s="96">
        <v>0.5</v>
      </c>
      <c r="AR167" s="96">
        <v>0.22</v>
      </c>
      <c r="AS167" s="96">
        <v>0</v>
      </c>
      <c r="AT167" s="96">
        <v>0.62</v>
      </c>
      <c r="AU167" s="96">
        <v>0.48</v>
      </c>
      <c r="AV167" s="96">
        <v>0.4</v>
      </c>
      <c r="AW167" s="96">
        <v>0.51</v>
      </c>
      <c r="AX167" s="96">
        <v>0.56999999999999995</v>
      </c>
      <c r="AY167" s="96">
        <v>0.45</v>
      </c>
      <c r="AZ167" s="61">
        <v>45</v>
      </c>
      <c r="BA167" s="61">
        <v>10</v>
      </c>
      <c r="BB167" s="66">
        <v>0.36</v>
      </c>
      <c r="BC167" s="66">
        <v>0.48</v>
      </c>
      <c r="BD167" s="66">
        <v>0.16</v>
      </c>
      <c r="BE167" s="66">
        <v>0</v>
      </c>
      <c r="BF167" s="66">
        <v>0.59</v>
      </c>
      <c r="BG167" s="66">
        <v>0.56999999999999995</v>
      </c>
      <c r="BH167" s="66">
        <v>0.56000000000000005</v>
      </c>
      <c r="BI167" s="66">
        <v>0.53</v>
      </c>
      <c r="BJ167" s="66">
        <v>0.53</v>
      </c>
      <c r="BK167" s="66">
        <v>0.46</v>
      </c>
      <c r="BL167" s="349">
        <v>50</v>
      </c>
      <c r="BM167" s="348" t="s">
        <v>910</v>
      </c>
      <c r="BN167" s="349">
        <v>9</v>
      </c>
      <c r="BO167" s="348" t="s">
        <v>910</v>
      </c>
      <c r="BP167" s="371">
        <v>0.17</v>
      </c>
      <c r="BQ167" s="371">
        <v>0.56999999999999995</v>
      </c>
      <c r="BR167" s="371">
        <v>0.26</v>
      </c>
      <c r="BS167" s="371">
        <v>0</v>
      </c>
      <c r="BT167" s="371">
        <v>0.46</v>
      </c>
      <c r="BU167" s="371">
        <v>0.42</v>
      </c>
      <c r="BV167" s="371">
        <v>0.64</v>
      </c>
      <c r="BW167" s="371">
        <v>0.42</v>
      </c>
      <c r="BX167" s="371">
        <v>0.48</v>
      </c>
      <c r="BY167" s="371">
        <v>0.52</v>
      </c>
      <c r="BZ167" s="469">
        <v>53</v>
      </c>
      <c r="CA167" s="471" t="s">
        <v>910</v>
      </c>
      <c r="CB167" s="469">
        <v>10</v>
      </c>
      <c r="CC167" s="471" t="s">
        <v>910</v>
      </c>
      <c r="CD167" s="501">
        <v>0.14000000000000001</v>
      </c>
      <c r="CE167" s="501">
        <v>0.43</v>
      </c>
      <c r="CF167" s="501">
        <v>0.41</v>
      </c>
      <c r="CG167" s="501">
        <v>0.03</v>
      </c>
      <c r="CH167" s="501">
        <v>0.52</v>
      </c>
      <c r="CI167" s="501">
        <v>0.35</v>
      </c>
      <c r="CJ167" s="501">
        <v>0.51</v>
      </c>
      <c r="CK167" s="501">
        <v>0.47</v>
      </c>
      <c r="CL167" s="501">
        <v>0.44</v>
      </c>
      <c r="CM167" s="501">
        <v>0.45</v>
      </c>
      <c r="CN167" s="630">
        <v>52</v>
      </c>
      <c r="CO167" s="640" t="s">
        <v>910</v>
      </c>
      <c r="CP167" s="630">
        <v>10</v>
      </c>
      <c r="CQ167" s="640" t="s">
        <v>910</v>
      </c>
      <c r="CR167" s="644">
        <v>0.16</v>
      </c>
      <c r="CS167" s="644">
        <v>0.45</v>
      </c>
      <c r="CT167" s="644">
        <v>0.36</v>
      </c>
      <c r="CU167" s="644">
        <v>0.02</v>
      </c>
      <c r="CV167" s="644">
        <v>0.32</v>
      </c>
      <c r="CW167" s="644">
        <v>0.48</v>
      </c>
      <c r="CX167" s="644">
        <v>0.49</v>
      </c>
      <c r="CY167" s="644">
        <v>0.48</v>
      </c>
      <c r="CZ167" s="644">
        <v>0.59</v>
      </c>
      <c r="DA167" s="644">
        <v>0.44</v>
      </c>
    </row>
    <row r="169" spans="1:105" x14ac:dyDescent="0.25">
      <c r="D169" s="21">
        <f>AVERAGE(D36:D167)</f>
        <v>51.803921568627452</v>
      </c>
      <c r="E169" s="21">
        <f t="shared" ref="E169:AO169" si="165">AVERAGE(E36:E167)</f>
        <v>8.2254901960784306</v>
      </c>
      <c r="F169" s="21"/>
      <c r="G169" s="21"/>
      <c r="H169" s="21"/>
      <c r="I169" s="21"/>
      <c r="J169" s="21"/>
      <c r="K169" s="21"/>
      <c r="L169" s="21"/>
      <c r="M169" s="21"/>
      <c r="N169" s="21"/>
      <c r="O169" s="21"/>
      <c r="P169" s="21">
        <f>AVERAGE(P36:P167)</f>
        <v>51.843137254901961</v>
      </c>
      <c r="Q169" s="21">
        <f t="shared" si="165"/>
        <v>9.0882352941176467</v>
      </c>
      <c r="R169" s="21"/>
      <c r="S169" s="21"/>
      <c r="T169" s="21"/>
      <c r="U169" s="21"/>
      <c r="V169" s="21"/>
      <c r="W169" s="21"/>
      <c r="X169" s="21"/>
      <c r="Y169" s="21"/>
      <c r="Z169" s="21"/>
      <c r="AA169" s="21"/>
      <c r="AB169" s="21">
        <f t="shared" si="165"/>
        <v>50.33009708737864</v>
      </c>
      <c r="AC169" s="21">
        <f t="shared" si="165"/>
        <v>9.6274509803921564</v>
      </c>
      <c r="AD169" s="21"/>
      <c r="AE169" s="21"/>
      <c r="AF169" s="21"/>
      <c r="AG169" s="21"/>
      <c r="AH169" s="21"/>
      <c r="AI169" s="21"/>
      <c r="AJ169" s="21"/>
      <c r="AK169" s="21"/>
      <c r="AL169" s="21"/>
      <c r="AM169" s="21"/>
      <c r="AN169" s="21">
        <f t="shared" si="165"/>
        <v>48.561904761904763</v>
      </c>
      <c r="AO169" s="21">
        <f t="shared" si="165"/>
        <v>10.163461538461538</v>
      </c>
      <c r="AP169" s="21"/>
      <c r="AQ169" s="21"/>
      <c r="AR169" s="21"/>
      <c r="AS169" s="21"/>
      <c r="AT169" s="21"/>
      <c r="AU169" s="21"/>
      <c r="AV169" s="21"/>
      <c r="AW169" s="21"/>
      <c r="AX169" s="21"/>
      <c r="AY169" s="21"/>
    </row>
    <row r="171" spans="1:105" x14ac:dyDescent="0.25">
      <c r="P171" s="110"/>
      <c r="X171" s="110"/>
      <c r="Y171" s="110"/>
      <c r="Z171" s="110"/>
      <c r="AA171" s="110"/>
      <c r="AB171" s="110"/>
      <c r="AC171" s="110"/>
      <c r="AD171" s="110"/>
      <c r="AE171" s="110"/>
      <c r="AF171" s="110"/>
      <c r="AG171" s="110"/>
      <c r="AH171" s="110"/>
      <c r="AI171" s="110"/>
      <c r="AJ171" s="110"/>
      <c r="AK171" s="110"/>
      <c r="AL171" s="110"/>
      <c r="AM171" s="110"/>
      <c r="AN171" s="110"/>
      <c r="AO171" s="110"/>
      <c r="AP171" s="110"/>
      <c r="AQ171" s="110"/>
      <c r="AR171" s="110"/>
      <c r="AS171" s="110"/>
      <c r="AT171" s="110"/>
      <c r="AU171" s="110"/>
      <c r="AV171" s="110"/>
      <c r="AW171" s="110"/>
      <c r="AX171" s="110"/>
      <c r="AY171" s="110"/>
      <c r="AZ171" s="110"/>
      <c r="BA171" s="110"/>
    </row>
    <row r="172" spans="1:105" ht="12.75" customHeight="1" x14ac:dyDescent="0.25">
      <c r="E172" s="733" t="s">
        <v>262</v>
      </c>
      <c r="F172" s="735"/>
      <c r="G172" s="735"/>
      <c r="H172" s="735"/>
      <c r="I172" s="735"/>
      <c r="J172" s="735"/>
      <c r="K172" s="735"/>
      <c r="L172" s="735"/>
      <c r="M172" s="735"/>
      <c r="N172" s="735"/>
      <c r="O172" s="735"/>
      <c r="P172" s="113"/>
      <c r="X172" s="113"/>
      <c r="Y172" s="736" t="s">
        <v>262</v>
      </c>
      <c r="Z172" s="737"/>
      <c r="AA172" s="737"/>
      <c r="AB172" s="737"/>
      <c r="AC172" s="737"/>
      <c r="AD172" s="737"/>
      <c r="AE172" s="113"/>
      <c r="AF172" s="113"/>
      <c r="AG172" s="113"/>
      <c r="AH172" s="113"/>
      <c r="AI172" s="113"/>
      <c r="AJ172" s="113"/>
      <c r="AK172" s="113"/>
      <c r="AL172" s="113"/>
      <c r="AM172" s="113"/>
      <c r="AN172" s="113"/>
      <c r="AO172" s="113"/>
      <c r="AP172" s="113"/>
      <c r="AQ172" s="113"/>
      <c r="AR172" s="113"/>
      <c r="AS172" s="113"/>
      <c r="AT172" s="113"/>
      <c r="AU172" s="113"/>
      <c r="AV172" s="113"/>
      <c r="AW172" s="113"/>
      <c r="AX172" s="113"/>
      <c r="AY172" s="113"/>
      <c r="AZ172" s="113"/>
      <c r="BA172" s="113"/>
      <c r="BB172" s="24"/>
      <c r="BC172" s="24"/>
      <c r="BD172" s="24"/>
      <c r="BE172" s="24"/>
      <c r="BF172" s="24"/>
      <c r="BG172" s="24"/>
      <c r="BH172" s="24"/>
      <c r="BI172" s="24"/>
    </row>
    <row r="173" spans="1:105" x14ac:dyDescent="0.25">
      <c r="E173" s="876"/>
      <c r="F173" s="736">
        <v>2016</v>
      </c>
      <c r="G173" s="737"/>
      <c r="H173" s="736">
        <v>2017</v>
      </c>
      <c r="I173" s="737"/>
      <c r="J173" s="736">
        <v>2018</v>
      </c>
      <c r="K173" s="737"/>
      <c r="L173" s="736">
        <v>2019</v>
      </c>
      <c r="M173" s="737"/>
      <c r="N173" s="736">
        <v>2020</v>
      </c>
      <c r="O173" s="737"/>
      <c r="P173" s="736">
        <v>2021</v>
      </c>
      <c r="Q173" s="737"/>
      <c r="R173" s="736">
        <v>2022</v>
      </c>
      <c r="S173" s="737"/>
      <c r="T173" s="736">
        <v>2023</v>
      </c>
      <c r="U173" s="737"/>
      <c r="X173" s="109"/>
      <c r="Y173" s="40"/>
      <c r="Z173" s="40">
        <v>2016</v>
      </c>
      <c r="AA173" s="41">
        <v>2017</v>
      </c>
      <c r="AB173" s="40">
        <v>2018</v>
      </c>
      <c r="AC173" s="40">
        <v>2019</v>
      </c>
      <c r="AD173" s="59">
        <v>2020</v>
      </c>
      <c r="AE173" s="436">
        <v>2021</v>
      </c>
      <c r="AF173" s="675">
        <v>2022</v>
      </c>
      <c r="AG173" s="675">
        <v>2023</v>
      </c>
      <c r="AH173" s="109"/>
      <c r="AI173" s="109"/>
      <c r="AJ173" s="109"/>
      <c r="AK173" s="109"/>
      <c r="AL173" s="109"/>
      <c r="AM173" s="109"/>
      <c r="AN173" s="110"/>
      <c r="AO173" s="110"/>
      <c r="AP173" s="109"/>
      <c r="AQ173" s="109"/>
      <c r="AR173" s="109"/>
      <c r="AS173" s="109"/>
      <c r="AT173" s="109"/>
      <c r="AU173" s="109"/>
      <c r="AV173" s="109"/>
      <c r="AW173" s="109"/>
      <c r="AX173" s="109"/>
      <c r="AY173" s="109"/>
      <c r="AZ173" s="110"/>
      <c r="BA173" s="110"/>
      <c r="BB173" s="24"/>
      <c r="BC173" s="24"/>
      <c r="BD173" s="24"/>
      <c r="BE173" s="24"/>
      <c r="BF173" s="24"/>
      <c r="BG173" s="24"/>
      <c r="BH173" s="24"/>
      <c r="BI173" s="24"/>
    </row>
    <row r="174" spans="1:105" x14ac:dyDescent="0.25">
      <c r="E174" s="872"/>
      <c r="F174" s="23" t="s">
        <v>219</v>
      </c>
      <c r="G174" s="23" t="s">
        <v>253</v>
      </c>
      <c r="H174" s="23" t="s">
        <v>219</v>
      </c>
      <c r="I174" s="23" t="s">
        <v>253</v>
      </c>
      <c r="J174" s="23" t="s">
        <v>219</v>
      </c>
      <c r="K174" s="23" t="s">
        <v>253</v>
      </c>
      <c r="L174" s="23" t="s">
        <v>219</v>
      </c>
      <c r="M174" s="23" t="s">
        <v>253</v>
      </c>
      <c r="N174" s="56" t="s">
        <v>219</v>
      </c>
      <c r="O174" s="58" t="s">
        <v>253</v>
      </c>
      <c r="P174" s="438" t="s">
        <v>219</v>
      </c>
      <c r="Q174" s="435" t="s">
        <v>253</v>
      </c>
      <c r="R174" s="678" t="s">
        <v>219</v>
      </c>
      <c r="S174" s="674" t="s">
        <v>253</v>
      </c>
      <c r="T174" s="678" t="s">
        <v>219</v>
      </c>
      <c r="U174" s="674" t="s">
        <v>253</v>
      </c>
      <c r="X174" s="109"/>
      <c r="Y174" s="39" t="s">
        <v>246</v>
      </c>
      <c r="Z174" s="39">
        <v>50.588235294117645</v>
      </c>
      <c r="AA174" s="39">
        <v>50.8125</v>
      </c>
      <c r="AB174" s="39">
        <v>48.882352941176471</v>
      </c>
      <c r="AC174" s="39">
        <v>46.941176470588232</v>
      </c>
      <c r="AD174" s="39">
        <v>50.058823529411768</v>
      </c>
      <c r="AE174" s="39">
        <v>50.058823529411768</v>
      </c>
      <c r="AF174" s="39">
        <v>49.388888888888886</v>
      </c>
      <c r="AG174" s="39">
        <v>50.058823529411768</v>
      </c>
      <c r="AH174" s="109"/>
      <c r="AI174" s="109"/>
      <c r="AJ174" s="109"/>
      <c r="AK174" s="109"/>
      <c r="AL174" s="109"/>
      <c r="AM174" s="109"/>
      <c r="AN174" s="110"/>
      <c r="AO174" s="110"/>
      <c r="AP174" s="109"/>
      <c r="AQ174" s="109"/>
      <c r="AR174" s="109"/>
      <c r="AS174" s="109"/>
      <c r="AT174" s="109"/>
      <c r="AU174" s="109"/>
      <c r="AV174" s="109"/>
      <c r="AW174" s="109"/>
      <c r="AX174" s="109"/>
      <c r="AY174" s="109"/>
      <c r="AZ174" s="110"/>
      <c r="BA174" s="110"/>
      <c r="BB174" s="24"/>
      <c r="BH174" s="24"/>
      <c r="BI174" s="24"/>
    </row>
    <row r="175" spans="1:105" x14ac:dyDescent="0.25">
      <c r="E175" s="5" t="s">
        <v>0</v>
      </c>
      <c r="F175" s="32">
        <v>52</v>
      </c>
      <c r="G175" s="32">
        <v>9</v>
      </c>
      <c r="H175" s="32">
        <v>52</v>
      </c>
      <c r="I175" s="32">
        <v>10</v>
      </c>
      <c r="J175" s="32">
        <v>50</v>
      </c>
      <c r="K175" s="32">
        <v>10</v>
      </c>
      <c r="L175" s="32">
        <v>48</v>
      </c>
      <c r="M175" s="32">
        <v>11</v>
      </c>
      <c r="N175" s="10">
        <v>50</v>
      </c>
      <c r="O175" s="117">
        <v>11</v>
      </c>
      <c r="P175" s="10">
        <v>49</v>
      </c>
      <c r="Q175" s="117">
        <v>11</v>
      </c>
      <c r="R175" s="10">
        <v>49</v>
      </c>
      <c r="S175" s="117">
        <v>11</v>
      </c>
      <c r="T175" s="10">
        <v>49</v>
      </c>
      <c r="U175" s="117">
        <v>11</v>
      </c>
      <c r="X175" s="111"/>
      <c r="Y175" s="39" t="s">
        <v>247</v>
      </c>
      <c r="Z175" s="39">
        <v>52.9</v>
      </c>
      <c r="AA175" s="39">
        <v>52.421052631578945</v>
      </c>
      <c r="AB175" s="39">
        <v>50.684210526315788</v>
      </c>
      <c r="AC175" s="39">
        <v>49.65</v>
      </c>
      <c r="AD175" s="39">
        <v>51.083333333333336</v>
      </c>
      <c r="AE175" s="39">
        <v>51.083333333333336</v>
      </c>
      <c r="AF175" s="39">
        <v>51.08</v>
      </c>
      <c r="AG175" s="39">
        <v>51.5</v>
      </c>
      <c r="AH175" s="111"/>
      <c r="AI175" s="111"/>
      <c r="AJ175" s="111"/>
      <c r="AK175" s="111"/>
      <c r="AL175" s="111"/>
      <c r="AM175" s="111"/>
      <c r="AN175" s="110"/>
      <c r="AO175" s="110"/>
      <c r="AP175" s="111"/>
      <c r="AQ175" s="111"/>
      <c r="AR175" s="111"/>
      <c r="AS175" s="111"/>
      <c r="AT175" s="111"/>
      <c r="AU175" s="111"/>
      <c r="AV175" s="111"/>
      <c r="AW175" s="111"/>
      <c r="AX175" s="111"/>
      <c r="AY175" s="111"/>
      <c r="AZ175" s="110"/>
      <c r="BA175" s="110"/>
      <c r="BB175" s="24"/>
      <c r="BH175" s="24"/>
      <c r="BI175" s="24"/>
    </row>
    <row r="176" spans="1:105" x14ac:dyDescent="0.25">
      <c r="E176" s="39" t="s">
        <v>246</v>
      </c>
      <c r="F176" s="39">
        <f>AVERAGEIF($C$36:$C$167,"=1",D36:D167)</f>
        <v>50.588235294117645</v>
      </c>
      <c r="G176" s="39">
        <f>AVERAGEIF($C$36:$C$167,"=1",E36:E167)</f>
        <v>8.3529411764705888</v>
      </c>
      <c r="H176" s="39">
        <f>AVERAGEIF($C$36:$C$167,"=1",P36:P167)</f>
        <v>50.8125</v>
      </c>
      <c r="I176" s="39">
        <f>AVERAGEIF($C$36:$C$167,"=1",Q36:Q167)</f>
        <v>9.0625</v>
      </c>
      <c r="J176" s="39">
        <f>AVERAGEIF($C$36:$C$167,"=1",AB36:AB167)</f>
        <v>48.882352941176471</v>
      </c>
      <c r="K176" s="39">
        <f>AVERAGEIF($C$36:$C$167,"=1",AC36:AC167)</f>
        <v>10.058823529411764</v>
      </c>
      <c r="L176" s="39">
        <f>AVERAGEIF($C$36:$C$167,"=1",AN36:AN167)</f>
        <v>46.941176470588232</v>
      </c>
      <c r="M176" s="39">
        <f>AVERAGEIF($C$36:$C$167,"=1",AO36:AO167)</f>
        <v>10.176470588235293</v>
      </c>
      <c r="N176" s="39">
        <f>AVERAGEIF($C$36:$C$167,"=1",$AZ$36:$AZ$167)</f>
        <v>50.058823529411768</v>
      </c>
      <c r="O176" s="39">
        <f>AVERAGEIF($C$36:$C$167,"=1",$BA$36:$BA$167)</f>
        <v>9.882352941176471</v>
      </c>
      <c r="P176" s="39">
        <f>AVERAGEIF($C$36:$C$167,"=1",$BL$36:$BL$167)</f>
        <v>48.823529411764703</v>
      </c>
      <c r="Q176" s="39">
        <f>AVERAGEIF($C$36:$C$167,"=1",$BN$36:$BN$167)</f>
        <v>9.7058823529411757</v>
      </c>
      <c r="R176" s="39">
        <f>AVERAGEIF($C$36:$C$167,"=1",$BZ$36:$BZ$167)</f>
        <v>49.388888888888886</v>
      </c>
      <c r="S176" s="39">
        <f>AVERAGEIF($C$36:$C$167,"=1",$CB$36:$CB$167)</f>
        <v>10.333333333333334</v>
      </c>
      <c r="T176" s="39">
        <f>AVERAGEIF($C$36:$C$167,"=1",$CN$36:$CN$167)</f>
        <v>50.058823529411768</v>
      </c>
      <c r="U176" s="39">
        <f>AVERAGEIF($C$36:$C$167,"=1",$CP$36:$CP$167)</f>
        <v>9.764705882352942</v>
      </c>
      <c r="X176" s="112"/>
      <c r="Y176" s="39" t="s">
        <v>248</v>
      </c>
      <c r="Z176" s="39">
        <v>52.4375</v>
      </c>
      <c r="AA176" s="39">
        <v>52.588235294117645</v>
      </c>
      <c r="AB176" s="39">
        <v>51.176470588235297</v>
      </c>
      <c r="AC176" s="39">
        <v>48.705882352941174</v>
      </c>
      <c r="AD176" s="39">
        <v>51.578947368421055</v>
      </c>
      <c r="AE176" s="39">
        <v>51.578947368421055</v>
      </c>
      <c r="AF176" s="39">
        <v>51.863636363636367</v>
      </c>
      <c r="AG176" s="39">
        <v>51.409090909090907</v>
      </c>
      <c r="AH176" s="112"/>
      <c r="AI176" s="112"/>
      <c r="AJ176" s="112"/>
      <c r="AK176" s="112"/>
      <c r="AL176" s="112"/>
      <c r="AM176" s="112"/>
      <c r="AN176" s="110"/>
      <c r="AO176" s="110"/>
      <c r="AP176" s="112"/>
      <c r="AQ176" s="112"/>
      <c r="AR176" s="112"/>
      <c r="AS176" s="112"/>
      <c r="AT176" s="112"/>
      <c r="AU176" s="112"/>
      <c r="AV176" s="112"/>
      <c r="AW176" s="112"/>
      <c r="AX176" s="112"/>
      <c r="AY176" s="112"/>
      <c r="AZ176" s="110"/>
      <c r="BA176" s="110"/>
      <c r="BB176" s="24"/>
      <c r="BH176" s="24"/>
      <c r="BI176" s="24"/>
    </row>
    <row r="177" spans="5:61" x14ac:dyDescent="0.25">
      <c r="E177" s="39" t="s">
        <v>247</v>
      </c>
      <c r="F177" s="39">
        <f>AVERAGEIF($C$36:$C$167,"=2",D36:D167)</f>
        <v>52.9</v>
      </c>
      <c r="G177" s="39">
        <f>AVERAGEIF($C$36:$C$167,"=2",E36:E167)</f>
        <v>7.95</v>
      </c>
      <c r="H177" s="39">
        <f>AVERAGEIF($C$36:$C$167,"=2",P36:P167)</f>
        <v>52.421052631578945</v>
      </c>
      <c r="I177" s="39">
        <f>AVERAGEIF($C$36:$C$167,"=2",Q36:Q167)</f>
        <v>9</v>
      </c>
      <c r="J177" s="39">
        <f>AVERAGEIF($C$36:$C$167,"=2",AB36:AB167)</f>
        <v>50.684210526315788</v>
      </c>
      <c r="K177" s="39">
        <f>AVERAGEIF($C$36:$C$167,"=2",AC36:AC167)</f>
        <v>9.3157894736842106</v>
      </c>
      <c r="L177" s="39">
        <f>AVERAGEIF($C$36:$C$167,"=2",AN36:AN167)</f>
        <v>49.65</v>
      </c>
      <c r="M177" s="39">
        <f>AVERAGEIF($C$36:$C$167,"=2",AO36:AO167)</f>
        <v>9.9</v>
      </c>
      <c r="N177" s="39">
        <f>AVERAGEIF($C$36:$C$167,"=2",$AZ$36:$AZ$167)</f>
        <v>51.083333333333336</v>
      </c>
      <c r="O177" s="39">
        <f>AVERAGEIF($C$36:$C$167,"=2",$BA$36:$BA$167)</f>
        <v>9.125</v>
      </c>
      <c r="P177" s="39">
        <f>AVERAGEIF($C$36:$C$167,"=2",$BL$36:$BL$167)</f>
        <v>48.636363636363633</v>
      </c>
      <c r="Q177" s="39">
        <f>AVERAGEIF($C$36:$C$167,"=2",$BN$36:$BN$167)</f>
        <v>9.4090909090909083</v>
      </c>
      <c r="R177" s="39">
        <f>AVERAGEIF($C$36:$C$167,"=2",$BZ$36:$BZ$167)</f>
        <v>51.08</v>
      </c>
      <c r="S177" s="39">
        <f>AVERAGEIF($C$36:$C$167,"=2",$CB$36:$CB$167)</f>
        <v>9.92</v>
      </c>
      <c r="T177" s="39">
        <f>AVERAGEIF($C$36:$C$167,"=2",$CN$36:$CN$167)</f>
        <v>51.5</v>
      </c>
      <c r="U177" s="39">
        <f>AVERAGEIF($C$36:$C$167,"=2",$CP$36:$CP$167)</f>
        <v>9.384615384615385</v>
      </c>
      <c r="X177" s="112"/>
      <c r="Y177" s="39" t="s">
        <v>249</v>
      </c>
      <c r="Z177" s="39">
        <v>48.142857142857146</v>
      </c>
      <c r="AA177" s="39">
        <v>50.266666666666666</v>
      </c>
      <c r="AB177" s="39">
        <v>47.93333333333333</v>
      </c>
      <c r="AC177" s="39">
        <v>45.785714285714285</v>
      </c>
      <c r="AD177" s="39">
        <v>46.692307692307693</v>
      </c>
      <c r="AE177" s="39">
        <v>46.692307692307693</v>
      </c>
      <c r="AF177" s="39">
        <v>47.214285714285715</v>
      </c>
      <c r="AG177" s="39">
        <v>46.733333333333334</v>
      </c>
      <c r="AH177" s="112"/>
      <c r="AI177" s="112"/>
      <c r="AJ177" s="112"/>
      <c r="AK177" s="112"/>
      <c r="AL177" s="112"/>
      <c r="AM177" s="112"/>
      <c r="AN177" s="110"/>
      <c r="AO177" s="110"/>
      <c r="AP177" s="112"/>
      <c r="AQ177" s="112"/>
      <c r="AR177" s="112"/>
      <c r="AS177" s="112"/>
      <c r="AT177" s="112"/>
      <c r="AU177" s="112"/>
      <c r="AV177" s="112"/>
      <c r="AW177" s="112"/>
      <c r="AX177" s="112"/>
      <c r="AY177" s="112"/>
      <c r="AZ177" s="110"/>
      <c r="BA177" s="110"/>
      <c r="BB177" s="24"/>
      <c r="BH177" s="24"/>
      <c r="BI177" s="24"/>
    </row>
    <row r="178" spans="5:61" x14ac:dyDescent="0.25">
      <c r="E178" s="39" t="s">
        <v>248</v>
      </c>
      <c r="F178" s="39">
        <f>AVERAGEIF($C$36:$C$167,"=3",D36:D167)</f>
        <v>52.166666666666664</v>
      </c>
      <c r="G178" s="39">
        <f>AVERAGEIF($C$36:$C$167,"=3",E36:E167)</f>
        <v>8.7222222222222214</v>
      </c>
      <c r="H178" s="39">
        <f>AVERAGEIF($C$36:$C$167,"=3",P36:P167)</f>
        <v>52.473684210526315</v>
      </c>
      <c r="I178" s="39">
        <f>AVERAGEIF($C$36:$C$167,"=3",Q36:Q167)</f>
        <v>9.526315789473685</v>
      </c>
      <c r="J178" s="39">
        <f>AVERAGEIF($C$36:$C$167,"=3",AB36:AB167)</f>
        <v>51.10526315789474</v>
      </c>
      <c r="K178" s="39">
        <f>AVERAGEIF($C$36:$C$167,"=3",AC36:AC167)</f>
        <v>9.8333333333333339</v>
      </c>
      <c r="L178" s="39">
        <f>AVERAGEIF($C$36:$C$167,"=3",AN36:AN167)</f>
        <v>48.684210526315788</v>
      </c>
      <c r="M178" s="39">
        <f>AVERAGEIF($C$36:$C$167,"=3",AO36:AO167)</f>
        <v>10.277777777777779</v>
      </c>
      <c r="N178" s="39">
        <f>AVERAGEIF($C$36:$C$167,"=3",$AZ$36:$AZ$167)</f>
        <v>51.6</v>
      </c>
      <c r="O178" s="39">
        <f>AVERAGEIF($C$36:$C$167,"=3",$BA$36:$BA$167)</f>
        <v>10.25</v>
      </c>
      <c r="P178" s="39">
        <f>AVERAGEIF($C$36:$C$167,"=3",$BL$36:$BL$167)</f>
        <v>50.05</v>
      </c>
      <c r="Q178" s="39">
        <f>AVERAGEIF($C$36:$C$167,"=3",$BN$36:$BN$167)</f>
        <v>10.199999999999999</v>
      </c>
      <c r="R178" s="39">
        <f>AVERAGEIF($C$36:$C$167,"=3",$BZ$36:$BZ$167)</f>
        <v>51.863636363636367</v>
      </c>
      <c r="S178" s="39">
        <f>AVERAGEIF($C$36:$C$167,"=3",$CB$36:$CB$167)</f>
        <v>10.045454545454545</v>
      </c>
      <c r="T178" s="39">
        <f>AVERAGEIF($C$36:$C$167,"=3",$CN$36:$CN$167)</f>
        <v>51.409090909090907</v>
      </c>
      <c r="U178" s="39">
        <f>AVERAGEIF($C$36:$C$167,"=3",$CP$36:$CP$167)</f>
        <v>10.090909090909092</v>
      </c>
      <c r="X178" s="112"/>
      <c r="Y178" s="39" t="s">
        <v>250</v>
      </c>
      <c r="Z178" s="39">
        <v>54.235294117647058</v>
      </c>
      <c r="AA178" s="39">
        <v>54.117647058823529</v>
      </c>
      <c r="AB178" s="39">
        <v>52.555555555555557</v>
      </c>
      <c r="AC178" s="39">
        <v>50.421052631578945</v>
      </c>
      <c r="AD178" s="39">
        <v>53.777777777777779</v>
      </c>
      <c r="AE178" s="39">
        <v>53.777777777777779</v>
      </c>
      <c r="AF178" s="39">
        <v>53.352941176470587</v>
      </c>
      <c r="AG178" s="39">
        <v>53.647058823529413</v>
      </c>
      <c r="AH178" s="112"/>
      <c r="AI178" s="112"/>
      <c r="AJ178" s="112"/>
      <c r="AK178" s="112"/>
      <c r="AL178" s="112"/>
      <c r="AM178" s="112"/>
      <c r="AN178" s="110"/>
      <c r="AO178" s="110"/>
      <c r="AP178" s="112"/>
      <c r="AQ178" s="112"/>
      <c r="AR178" s="112"/>
      <c r="AS178" s="112"/>
      <c r="AT178" s="112"/>
      <c r="AU178" s="112"/>
      <c r="AV178" s="112"/>
      <c r="AW178" s="112"/>
      <c r="AX178" s="112"/>
      <c r="AY178" s="112"/>
      <c r="AZ178" s="110"/>
      <c r="BA178" s="110"/>
      <c r="BB178" s="24"/>
      <c r="BH178" s="24"/>
      <c r="BI178" s="24"/>
    </row>
    <row r="179" spans="5:61" x14ac:dyDescent="0.25">
      <c r="E179" s="39" t="s">
        <v>249</v>
      </c>
      <c r="F179" s="39">
        <f>AVERAGEIF($C$36:$C$167,"=4",D36:D167)</f>
        <v>48.142857142857146</v>
      </c>
      <c r="G179" s="39">
        <f>AVERAGEIF($C$36:$C$167,"=4",E36:E167)</f>
        <v>8</v>
      </c>
      <c r="H179" s="39">
        <f>AVERAGEIF($C$36:$C$167,"=4",P36:P167)</f>
        <v>50.266666666666666</v>
      </c>
      <c r="I179" s="39">
        <f>AVERAGEIF($C$36:$C$167,"=4",Q36:Q167)</f>
        <v>8.4666666666666668</v>
      </c>
      <c r="J179" s="39">
        <f>AVERAGEIF($C$36:$C$167,"=4",AB36:AB167)</f>
        <v>47.93333333333333</v>
      </c>
      <c r="K179" s="39">
        <f>AVERAGEIF($C$36:$C$167,"=4",AC36:AC167)</f>
        <v>8.8666666666666671</v>
      </c>
      <c r="L179" s="39">
        <f>AVERAGEIF($C$36:$C$167,"=4",AN36:AN167)</f>
        <v>45.785714285714285</v>
      </c>
      <c r="M179" s="39">
        <f>AVERAGEIF($C$36:$C$167,"=4",AO36:AO167)</f>
        <v>10.357142857142858</v>
      </c>
      <c r="N179" s="39">
        <f>AVERAGEIF($C$36:$C$167,"=4",$AZ$36:$AZ$167)</f>
        <v>46.692307692307693</v>
      </c>
      <c r="O179" s="39">
        <f>AVERAGEIF($C$36:$C$167,"=4",$BA$36:$BA$167)</f>
        <v>9.615384615384615</v>
      </c>
      <c r="P179" s="39">
        <f>AVERAGEIF($C$36:$C$167,"=4",$BL$36:$BL$167)</f>
        <v>46.642857142857146</v>
      </c>
      <c r="Q179" s="39">
        <f>AVERAGEIF($C$36:$C$167,"=4",$BN$36:$BN$167)</f>
        <v>9.6428571428571423</v>
      </c>
      <c r="R179" s="39">
        <f>AVERAGEIF($C$36:$C$167,"=4",$BZ$36:$BZ$167)</f>
        <v>47.214285714285715</v>
      </c>
      <c r="S179" s="39">
        <f>AVERAGEIF($C$36:$C$167,"=4",$CB$36:$CB$167)</f>
        <v>9.8571428571428577</v>
      </c>
      <c r="T179" s="39">
        <f>AVERAGEIF($C$36:$C$167,"=4",$CN$36:$CN$167)</f>
        <v>46.733333333333334</v>
      </c>
      <c r="U179" s="39">
        <f>AVERAGEIF($C$36:$C$167,"=4",$CP$36:$CP$167)</f>
        <v>9.6</v>
      </c>
      <c r="X179" s="112"/>
      <c r="Y179" s="39" t="s">
        <v>251</v>
      </c>
      <c r="Z179" s="39">
        <v>52.06666666666667</v>
      </c>
      <c r="AA179" s="39">
        <v>50.6</v>
      </c>
      <c r="AB179" s="39">
        <v>50.571428571428569</v>
      </c>
      <c r="AC179" s="39">
        <v>49.2</v>
      </c>
      <c r="AD179" s="39">
        <v>49.588235294117645</v>
      </c>
      <c r="AE179" s="39">
        <v>49.588235294117645</v>
      </c>
      <c r="AF179" s="39">
        <v>49.736842105263158</v>
      </c>
      <c r="AG179" s="39">
        <v>51.15</v>
      </c>
      <c r="AH179" s="112"/>
      <c r="AI179" s="112"/>
      <c r="AJ179" s="112"/>
      <c r="AK179" s="112"/>
      <c r="AL179" s="112"/>
      <c r="AM179" s="112"/>
      <c r="AN179" s="110"/>
      <c r="AO179" s="110"/>
      <c r="AP179" s="112"/>
      <c r="AQ179" s="112"/>
      <c r="AR179" s="112"/>
      <c r="AS179" s="112"/>
      <c r="AT179" s="112"/>
      <c r="AU179" s="112"/>
      <c r="AV179" s="112"/>
      <c r="AW179" s="112"/>
      <c r="AX179" s="112"/>
      <c r="AY179" s="112"/>
      <c r="AZ179" s="110"/>
      <c r="BA179" s="110"/>
      <c r="BB179" s="24"/>
      <c r="BH179" s="24"/>
      <c r="BI179" s="24"/>
    </row>
    <row r="180" spans="5:61" x14ac:dyDescent="0.25">
      <c r="E180" s="39" t="s">
        <v>250</v>
      </c>
      <c r="F180" s="39">
        <f>AVERAGEIF($C$36:$C$167,"=5",D36:D167)</f>
        <v>54.235294117647058</v>
      </c>
      <c r="G180" s="39">
        <f>AVERAGEIF($C$36:$C$167,"=5",E36:E167)</f>
        <v>8.6470588235294112</v>
      </c>
      <c r="H180" s="39">
        <f>AVERAGEIF($C$36:$C$167,"=5",P36:P167)</f>
        <v>54.117647058823529</v>
      </c>
      <c r="I180" s="39">
        <f>AVERAGEIF($C$36:$C$167,"=5",Q36:Q167)</f>
        <v>8.882352941176471</v>
      </c>
      <c r="J180" s="39">
        <f>AVERAGEIF($C$36:$C$167,"=5",AB36:AB167)</f>
        <v>52.555555555555557</v>
      </c>
      <c r="K180" s="39">
        <f>AVERAGEIF($C$36:$C$167,"=5",AC36:AC167)</f>
        <v>9.3333333333333339</v>
      </c>
      <c r="L180" s="39">
        <f>AVERAGEIF($C$36:$C$167,"=5",AN36:AN167)</f>
        <v>50.421052631578945</v>
      </c>
      <c r="M180" s="39">
        <f>AVERAGEIF($C$36:$C$167,"=5",AO36:AO167)</f>
        <v>10.157894736842104</v>
      </c>
      <c r="N180" s="39">
        <f>AVERAGEIF($C$36:$C$167,"=5",$AZ$36:$AZ$167)</f>
        <v>53.777777777777779</v>
      </c>
      <c r="O180" s="39">
        <f>AVERAGEIF($C$36:$C$167,"=5",$BA$36:$BA$167)</f>
        <v>9</v>
      </c>
      <c r="P180" s="39">
        <f>AVERAGEIF($C$36:$C$167,"=5",$BL$36:$BL$167)</f>
        <v>52.111111111111114</v>
      </c>
      <c r="Q180" s="39">
        <f>AVERAGEIF($C$36:$C$167,"=5",$BN$36:$BN$167)</f>
        <v>10.222222222222221</v>
      </c>
      <c r="R180" s="39">
        <f>AVERAGEIF($C$36:$C$167,"=5",$BZ$36:$BZ$167)</f>
        <v>53.352941176470587</v>
      </c>
      <c r="S180" s="39">
        <f>AVERAGEIF($C$36:$C$167,"=5",$CB$36:$CB$167)</f>
        <v>9.5882352941176467</v>
      </c>
      <c r="T180" s="39">
        <f>AVERAGEIF($C$36:$C$167,"=5",$CN$36:$CN$167)</f>
        <v>53.647058823529413</v>
      </c>
      <c r="U180" s="39">
        <f>AVERAGEIF($C$36:$C$167,"=5",$CP$36:$CP$167)</f>
        <v>9.7058823529411757</v>
      </c>
      <c r="V180" s="112"/>
      <c r="W180" s="112"/>
      <c r="X180" s="112"/>
      <c r="Y180" s="112"/>
      <c r="Z180" s="112"/>
      <c r="AA180" s="112"/>
      <c r="AB180" s="110"/>
      <c r="AC180" s="110"/>
      <c r="AD180" s="112"/>
      <c r="AE180" s="112"/>
      <c r="AF180" s="112"/>
      <c r="AG180" s="112"/>
      <c r="AH180" s="112"/>
      <c r="AI180" s="112"/>
      <c r="AJ180" s="112"/>
      <c r="AK180" s="112"/>
      <c r="AL180" s="112"/>
      <c r="AM180" s="112"/>
      <c r="AN180" s="110"/>
      <c r="AO180" s="110"/>
      <c r="AP180" s="112"/>
      <c r="AQ180" s="112"/>
      <c r="AR180" s="112"/>
      <c r="AS180" s="112"/>
      <c r="AT180" s="112"/>
      <c r="AU180" s="112"/>
      <c r="AV180" s="112"/>
      <c r="AW180" s="112"/>
      <c r="AX180" s="112"/>
      <c r="AY180" s="112"/>
      <c r="AZ180" s="110"/>
      <c r="BA180" s="110"/>
      <c r="BB180" s="24"/>
      <c r="BH180" s="24"/>
      <c r="BI180" s="24"/>
    </row>
    <row r="181" spans="5:61" x14ac:dyDescent="0.25">
      <c r="E181" s="39" t="s">
        <v>251</v>
      </c>
      <c r="F181" s="39">
        <f>AVERAGEIF($C$36:$C$167,"=6",D36:D167)</f>
        <v>52.06666666666667</v>
      </c>
      <c r="G181" s="39">
        <f>AVERAGEIF($C$36:$C$167,"=6",E36:E167)</f>
        <v>7.5333333333333332</v>
      </c>
      <c r="H181" s="39">
        <f>AVERAGEIF($C$36:$C$167,"=6",P36:P167)</f>
        <v>50.6</v>
      </c>
      <c r="I181" s="39">
        <f>AVERAGEIF($C$36:$C$167,"=6",Q36:Q167)</f>
        <v>9.5333333333333332</v>
      </c>
      <c r="J181" s="39">
        <f>AVERAGEIF($C$36:$C$167,"=6",AB36:AB167)</f>
        <v>50.571428571428569</v>
      </c>
      <c r="K181" s="39">
        <f>AVERAGEIF($C$36:$C$167,"=6",AC36:AC167)</f>
        <v>10.357142857142858</v>
      </c>
      <c r="L181" s="39">
        <f>AVERAGEIF($C$36:$C$167,"=6",AN36:AN167)</f>
        <v>49.2</v>
      </c>
      <c r="M181" s="39">
        <f>AVERAGEIF($C$36:$C$167,"=6",AO36:AO167)</f>
        <v>10.066666666666666</v>
      </c>
      <c r="N181" s="39">
        <f>AVERAGEIF($C$36:$C$167,"=6",$AZ$36:$AZ$167)</f>
        <v>49.588235294117645</v>
      </c>
      <c r="O181" s="39">
        <f>AVERAGEIF($C$36:$C$167,"=6",$BA$36:$BA$167)</f>
        <v>9.3529411764705888</v>
      </c>
      <c r="P181" s="39">
        <f>AVERAGEIF($C$36:$C$167,"=6",$BL$36:$BL$167)</f>
        <v>48.941176470588232</v>
      </c>
      <c r="Q181" s="39">
        <f>AVERAGEIF($C$36:$C$167,"=6",$BN$36:$BN$167)</f>
        <v>9.1764705882352935</v>
      </c>
      <c r="R181" s="39">
        <f>AVERAGEIF($C$36:$C$167,"=6",$BZ$36:$BZ$167)</f>
        <v>49.736842105263158</v>
      </c>
      <c r="S181" s="39">
        <f>AVERAGEIF($C$36:$C$167,"=6",$CB$36:$CB$167)</f>
        <v>10.789473684210526</v>
      </c>
      <c r="T181" s="39">
        <f>AVERAGEIF($C$36:$C$167,"=6",$CN$36:$CN$167)</f>
        <v>51.15</v>
      </c>
      <c r="U181" s="39">
        <f>AVERAGEIF($C$36:$C$167,"=6",$CP$36:$CP$167)</f>
        <v>8.5500000000000007</v>
      </c>
      <c r="V181" s="112"/>
      <c r="W181" s="112"/>
      <c r="X181" s="112"/>
      <c r="Y181" s="112"/>
      <c r="Z181" s="112"/>
      <c r="AA181" s="112"/>
      <c r="AB181" s="110"/>
      <c r="AC181" s="110"/>
      <c r="AD181" s="112"/>
      <c r="AE181" s="112"/>
      <c r="AF181" s="112"/>
      <c r="AG181" s="112"/>
      <c r="AH181" s="112"/>
      <c r="AI181" s="112"/>
      <c r="AJ181" s="112"/>
      <c r="AK181" s="112"/>
      <c r="AL181" s="112"/>
      <c r="AM181" s="112"/>
      <c r="AN181" s="110"/>
      <c r="AO181" s="110"/>
      <c r="AP181" s="112"/>
      <c r="AQ181" s="112"/>
      <c r="AR181" s="112"/>
      <c r="AS181" s="112"/>
      <c r="AT181" s="112"/>
      <c r="AU181" s="112"/>
      <c r="AV181" s="112"/>
      <c r="AW181" s="112"/>
      <c r="AX181" s="112"/>
      <c r="AY181" s="112"/>
      <c r="AZ181" s="110"/>
      <c r="BA181" s="110"/>
      <c r="BB181" s="24"/>
      <c r="BH181" s="24"/>
      <c r="BI181" s="24"/>
    </row>
    <row r="182" spans="5:61" x14ac:dyDescent="0.25">
      <c r="E182" s="24"/>
      <c r="P182" s="110"/>
      <c r="Q182" s="110" t="s">
        <v>258</v>
      </c>
      <c r="R182" s="110"/>
      <c r="S182" s="110"/>
      <c r="T182" s="110"/>
      <c r="U182" s="110"/>
      <c r="V182" s="110"/>
      <c r="W182" s="110"/>
      <c r="X182" s="110"/>
      <c r="Y182" s="110"/>
      <c r="Z182" s="110"/>
      <c r="AA182" s="110"/>
      <c r="AB182" s="110"/>
      <c r="AC182" s="110"/>
      <c r="AD182" s="110"/>
      <c r="AE182" s="110"/>
      <c r="AF182" s="110"/>
      <c r="AG182" s="110"/>
      <c r="AH182" s="110"/>
      <c r="AI182" s="110"/>
      <c r="AJ182" s="110"/>
      <c r="AK182" s="110"/>
      <c r="AL182" s="110"/>
      <c r="AM182" s="110"/>
      <c r="AN182" s="110"/>
      <c r="AO182" s="110"/>
      <c r="AP182" s="110"/>
      <c r="AQ182" s="110"/>
      <c r="AR182" s="110"/>
      <c r="AS182" s="110"/>
      <c r="AT182" s="110"/>
      <c r="AU182" s="110"/>
      <c r="AV182" s="110"/>
      <c r="AW182" s="110"/>
      <c r="AX182" s="110"/>
      <c r="AY182" s="110"/>
      <c r="AZ182" s="110"/>
      <c r="BA182" s="110"/>
      <c r="BB182" s="24"/>
      <c r="BC182" s="24"/>
      <c r="BD182" s="24"/>
      <c r="BE182" s="24"/>
      <c r="BF182" s="24"/>
      <c r="BG182" s="24"/>
      <c r="BH182" s="24"/>
      <c r="BI182" s="24"/>
    </row>
    <row r="183" spans="5:61" x14ac:dyDescent="0.25">
      <c r="E183" s="24"/>
      <c r="P183" s="24"/>
      <c r="Q183" s="24"/>
      <c r="Z183" s="110"/>
      <c r="AA183" s="110"/>
      <c r="AB183" s="110"/>
      <c r="AC183" s="110"/>
      <c r="AD183" s="110"/>
      <c r="AE183" s="110"/>
      <c r="AF183" s="110"/>
      <c r="AG183" s="110"/>
      <c r="AH183" s="110"/>
      <c r="AI183" s="110"/>
      <c r="AJ183" s="110"/>
      <c r="AK183" s="110"/>
      <c r="AL183" s="110"/>
      <c r="AM183" s="110"/>
      <c r="AN183" s="110"/>
      <c r="AO183" s="110"/>
      <c r="AP183" s="110"/>
      <c r="AQ183" s="110"/>
      <c r="AR183" s="110"/>
      <c r="AS183" s="110"/>
      <c r="AT183" s="110"/>
      <c r="AU183" s="110"/>
      <c r="AV183" s="110"/>
      <c r="AW183" s="110"/>
      <c r="AX183" s="110"/>
      <c r="AY183" s="110"/>
      <c r="AZ183" s="110"/>
      <c r="BA183" s="110"/>
      <c r="BB183" s="24"/>
      <c r="BC183" s="24"/>
      <c r="BD183" s="24"/>
      <c r="BE183" s="24"/>
      <c r="BF183" s="24"/>
      <c r="BG183" s="24"/>
      <c r="BH183" s="24"/>
      <c r="BI183" s="24"/>
    </row>
    <row r="184" spans="5:61" x14ac:dyDescent="0.25">
      <c r="E184" s="40"/>
      <c r="F184" s="744">
        <v>2016</v>
      </c>
      <c r="G184" s="745"/>
      <c r="H184" s="745"/>
      <c r="I184" s="863"/>
      <c r="J184" s="54"/>
      <c r="K184" s="54"/>
      <c r="L184" s="54"/>
      <c r="M184" s="54"/>
      <c r="N184" s="733">
        <v>2018</v>
      </c>
      <c r="O184" s="735"/>
      <c r="P184" s="735"/>
      <c r="Q184" s="734"/>
      <c r="R184" s="733">
        <v>2019</v>
      </c>
      <c r="S184" s="735"/>
      <c r="T184" s="735"/>
      <c r="U184" s="734"/>
      <c r="V184" s="733">
        <v>2020</v>
      </c>
      <c r="W184" s="735"/>
      <c r="X184" s="735"/>
      <c r="Y184" s="735"/>
      <c r="Z184" s="733">
        <v>2021</v>
      </c>
      <c r="AA184" s="735"/>
      <c r="AB184" s="735"/>
      <c r="AC184" s="735"/>
      <c r="AD184" s="733">
        <v>2022</v>
      </c>
      <c r="AE184" s="735"/>
      <c r="AF184" s="735"/>
      <c r="AG184" s="735"/>
      <c r="AH184" s="733">
        <v>2023</v>
      </c>
      <c r="AI184" s="735"/>
      <c r="AJ184" s="735"/>
      <c r="AK184" s="735"/>
      <c r="AL184" s="109"/>
      <c r="AM184" s="109"/>
      <c r="AN184" s="738">
        <v>2017</v>
      </c>
      <c r="AO184" s="738"/>
      <c r="AP184" s="738"/>
      <c r="AQ184" s="738"/>
      <c r="AR184" s="738"/>
      <c r="AS184" s="738"/>
      <c r="AT184" s="738"/>
      <c r="AU184" s="738"/>
      <c r="AV184" s="738"/>
      <c r="AW184" s="738"/>
      <c r="AX184" s="738"/>
      <c r="AY184" s="738"/>
      <c r="AZ184" s="738"/>
      <c r="BA184" s="738"/>
    </row>
    <row r="185" spans="5:61" x14ac:dyDescent="0.25">
      <c r="E185" s="40"/>
      <c r="F185" s="733" t="s">
        <v>254</v>
      </c>
      <c r="G185" s="734"/>
      <c r="H185" s="733" t="s">
        <v>255</v>
      </c>
      <c r="I185" s="734"/>
      <c r="J185" s="733" t="s">
        <v>254</v>
      </c>
      <c r="K185" s="734"/>
      <c r="L185" s="733" t="s">
        <v>255</v>
      </c>
      <c r="M185" s="734"/>
      <c r="N185" s="733" t="s">
        <v>254</v>
      </c>
      <c r="O185" s="734"/>
      <c r="P185" s="733" t="s">
        <v>255</v>
      </c>
      <c r="Q185" s="734"/>
      <c r="R185" s="733" t="s">
        <v>254</v>
      </c>
      <c r="S185" s="734"/>
      <c r="T185" s="733" t="s">
        <v>255</v>
      </c>
      <c r="U185" s="734"/>
      <c r="V185" s="733" t="s">
        <v>254</v>
      </c>
      <c r="W185" s="734"/>
      <c r="X185" s="733" t="s">
        <v>255</v>
      </c>
      <c r="Y185" s="735"/>
      <c r="Z185" s="733" t="s">
        <v>254</v>
      </c>
      <c r="AA185" s="734"/>
      <c r="AB185" s="733" t="s">
        <v>255</v>
      </c>
      <c r="AC185" s="735"/>
      <c r="AD185" s="733" t="s">
        <v>254</v>
      </c>
      <c r="AE185" s="734"/>
      <c r="AF185" s="733" t="s">
        <v>255</v>
      </c>
      <c r="AG185" s="735"/>
      <c r="AH185" s="733" t="s">
        <v>254</v>
      </c>
      <c r="AI185" s="734"/>
      <c r="AJ185" s="733" t="s">
        <v>255</v>
      </c>
      <c r="AK185" s="735"/>
      <c r="AL185" s="109"/>
      <c r="AM185" s="109"/>
      <c r="AN185" s="110"/>
      <c r="AO185" s="110"/>
      <c r="AP185" s="109"/>
      <c r="AQ185" s="109"/>
      <c r="AR185" s="109"/>
      <c r="AS185" s="109"/>
      <c r="AT185" s="109"/>
      <c r="AU185" s="109"/>
      <c r="AV185" s="109"/>
      <c r="AW185" s="109"/>
      <c r="AX185" s="109"/>
      <c r="AY185" s="109"/>
      <c r="AZ185" s="110"/>
      <c r="BA185" s="110"/>
    </row>
    <row r="186" spans="5:61" x14ac:dyDescent="0.25">
      <c r="E186" s="40"/>
      <c r="F186" s="23" t="s">
        <v>219</v>
      </c>
      <c r="G186" s="23" t="s">
        <v>253</v>
      </c>
      <c r="H186" s="23" t="s">
        <v>219</v>
      </c>
      <c r="I186" s="23" t="s">
        <v>253</v>
      </c>
      <c r="J186" s="23" t="s">
        <v>219</v>
      </c>
      <c r="K186" s="23" t="s">
        <v>253</v>
      </c>
      <c r="L186" s="23" t="s">
        <v>219</v>
      </c>
      <c r="M186" s="23" t="s">
        <v>253</v>
      </c>
      <c r="N186" s="23" t="s">
        <v>219</v>
      </c>
      <c r="O186" s="23" t="s">
        <v>253</v>
      </c>
      <c r="P186" s="23" t="s">
        <v>219</v>
      </c>
      <c r="Q186" s="23" t="s">
        <v>253</v>
      </c>
      <c r="R186" s="23" t="s">
        <v>219</v>
      </c>
      <c r="S186" s="23" t="s">
        <v>253</v>
      </c>
      <c r="T186" s="23" t="s">
        <v>219</v>
      </c>
      <c r="U186" s="23" t="s">
        <v>253</v>
      </c>
      <c r="V186" s="56" t="s">
        <v>219</v>
      </c>
      <c r="W186" s="56" t="s">
        <v>253</v>
      </c>
      <c r="X186" s="56" t="s">
        <v>219</v>
      </c>
      <c r="Y186" s="56" t="s">
        <v>253</v>
      </c>
      <c r="Z186" s="438" t="s">
        <v>219</v>
      </c>
      <c r="AA186" s="438" t="s">
        <v>253</v>
      </c>
      <c r="AB186" s="438" t="s">
        <v>219</v>
      </c>
      <c r="AC186" s="438" t="s">
        <v>253</v>
      </c>
      <c r="AD186" s="678" t="s">
        <v>219</v>
      </c>
      <c r="AE186" s="678" t="s">
        <v>253</v>
      </c>
      <c r="AF186" s="678" t="s">
        <v>219</v>
      </c>
      <c r="AG186" s="678" t="s">
        <v>253</v>
      </c>
      <c r="AH186" s="678" t="s">
        <v>219</v>
      </c>
      <c r="AI186" s="678" t="s">
        <v>253</v>
      </c>
      <c r="AJ186" s="678" t="s">
        <v>219</v>
      </c>
      <c r="AK186" s="678" t="s">
        <v>253</v>
      </c>
      <c r="AL186" s="109"/>
      <c r="AM186" s="109"/>
      <c r="AN186" s="110"/>
      <c r="AO186" s="110"/>
      <c r="AP186" s="109"/>
      <c r="AQ186" s="109"/>
      <c r="AR186" s="109"/>
      <c r="AS186" s="109"/>
      <c r="AT186" s="109"/>
      <c r="AU186" s="109"/>
      <c r="AV186" s="109"/>
      <c r="AW186" s="109"/>
      <c r="AX186" s="109"/>
      <c r="AY186" s="109"/>
      <c r="AZ186" s="110"/>
      <c r="BA186" s="110"/>
    </row>
    <row r="187" spans="5:61" x14ac:dyDescent="0.25">
      <c r="E187" s="5" t="s">
        <v>0</v>
      </c>
      <c r="F187" s="19">
        <v>51</v>
      </c>
      <c r="G187" s="19">
        <v>9</v>
      </c>
      <c r="H187" s="19">
        <v>54</v>
      </c>
      <c r="I187" s="19">
        <v>9</v>
      </c>
      <c r="J187" s="10">
        <v>50</v>
      </c>
      <c r="K187" s="19">
        <v>8</v>
      </c>
      <c r="L187" s="19">
        <v>53</v>
      </c>
      <c r="M187" s="19">
        <v>8</v>
      </c>
      <c r="N187" s="42">
        <v>52</v>
      </c>
      <c r="O187" s="42">
        <v>9</v>
      </c>
      <c r="P187" s="42">
        <v>54</v>
      </c>
      <c r="Q187" s="42">
        <v>9</v>
      </c>
      <c r="R187" s="42">
        <v>52</v>
      </c>
      <c r="S187" s="42">
        <v>9</v>
      </c>
      <c r="T187" s="42">
        <v>55</v>
      </c>
      <c r="U187" s="42">
        <v>10</v>
      </c>
      <c r="V187" s="19">
        <v>49</v>
      </c>
      <c r="W187" s="19">
        <v>10</v>
      </c>
      <c r="X187" s="19">
        <v>52</v>
      </c>
      <c r="Y187" s="19">
        <v>11</v>
      </c>
      <c r="Z187" s="19">
        <v>47</v>
      </c>
      <c r="AA187" s="19">
        <v>10</v>
      </c>
      <c r="AB187" s="19">
        <v>51</v>
      </c>
      <c r="AC187" s="19">
        <v>11</v>
      </c>
      <c r="AD187" s="19">
        <v>47</v>
      </c>
      <c r="AE187" s="19">
        <v>10</v>
      </c>
      <c r="AF187" s="19">
        <v>51</v>
      </c>
      <c r="AG187" s="19">
        <v>11</v>
      </c>
      <c r="AH187" s="19">
        <v>47</v>
      </c>
      <c r="AI187" s="19">
        <v>10</v>
      </c>
      <c r="AJ187" s="19">
        <v>51</v>
      </c>
      <c r="AK187" s="19">
        <v>11</v>
      </c>
      <c r="AL187" s="114"/>
      <c r="AM187" s="114"/>
      <c r="AN187" s="110"/>
      <c r="AO187" s="110"/>
      <c r="AP187" s="114"/>
      <c r="AQ187" s="114"/>
      <c r="AR187" s="114"/>
      <c r="AS187" s="114"/>
      <c r="AT187" s="114"/>
      <c r="AU187" s="114"/>
      <c r="AV187" s="114"/>
      <c r="AW187" s="114"/>
      <c r="AX187" s="114"/>
      <c r="AY187" s="114"/>
      <c r="AZ187" s="110"/>
      <c r="BA187" s="110"/>
    </row>
    <row r="188" spans="5:61" x14ac:dyDescent="0.25">
      <c r="E188" s="39" t="s">
        <v>246</v>
      </c>
      <c r="F188" s="39">
        <f>AVERAGEIFS(D36:D167,$C$36:$C$167,"=1", $B$36:$B$167,"OFICIAL")</f>
        <v>50.75</v>
      </c>
      <c r="G188" s="39">
        <f>AVERAGEIFS(E36:E167,$C$36:$C$167,"=1", $B$36:$B$167,"OFICIAL")</f>
        <v>9</v>
      </c>
      <c r="H188" s="39">
        <f>AVERAGEIFS(D36:D167,$C$36:$C$167,"=1", $B$36:$B$167,"NO OFICIAL")</f>
        <v>50.53846153846154</v>
      </c>
      <c r="I188" s="39">
        <f>AVERAGEIFS(E36:E167,$C$36:$C$167,"=1", $B$36:$B$167,"NO OFICIAL")</f>
        <v>8.1538461538461533</v>
      </c>
      <c r="J188" s="39">
        <f>AVERAGEIFS($P$36:$P$167,$C$36:$C$167,"=1", $B$36:$B$167,"OFICIAL")</f>
        <v>51.5</v>
      </c>
      <c r="K188" s="39">
        <f>AVERAGEIFS($Q$36:$Q$167,$C$36:$C$167,"=1", $B$36:$B$167,"OFICIAL")</f>
        <v>8.75</v>
      </c>
      <c r="L188" s="39">
        <f>AVERAGEIFS($P$36:$P$167,$C$36:$C$167,"=1", $B$36:$B$167,"NO OFICIAL")</f>
        <v>50.583333333333336</v>
      </c>
      <c r="M188" s="39">
        <f>AVERAGEIFS($Q$36:$Q$167,$C$36:$C$167,"=1", $B$36:$B$167,"NO OFICIAL")</f>
        <v>9.1666666666666661</v>
      </c>
      <c r="N188" s="39">
        <f>AVERAGEIFS($AB$36:$AB$167,$C$36:$C$167,"=1", $B$36:$B$167,"OFICIAL")</f>
        <v>48.25</v>
      </c>
      <c r="O188" s="39">
        <f>AVERAGEIFS($AC$36:$AC$167,$C$36:$C$167,"=1", $B$36:$B$167,"OFICIAL")</f>
        <v>10</v>
      </c>
      <c r="P188" s="39">
        <f>AVERAGEIFS($AB$36:$AB$167,$C$36:$C$167,"=1", $B$36:$B$167,"NO OFICIAL")</f>
        <v>49.07692307692308</v>
      </c>
      <c r="Q188" s="39">
        <f>AVERAGEIFS($AC$36:$AC$167,$C$36:$C$167,"=1", $B$36:$B$167,"NO OFICIAL")</f>
        <v>10.076923076923077</v>
      </c>
      <c r="R188" s="39">
        <f>AVERAGEIFS($AN$36:$AN$167,$C$36:$C$167,"=1", $B$36:$B$167,"OFICIAL")</f>
        <v>47.25</v>
      </c>
      <c r="S188" s="39">
        <f>AVERAGEIFS($AO$36:$AO$167,$C$36:$C$167,"=1", $B$36:$B$167,"OFICIAL")</f>
        <v>10.75</v>
      </c>
      <c r="T188" s="39">
        <f>AVERAGEIFS($AN$36:$AN$167,$C$36:$C$167,"=1", $B$36:$B$167,"NO OFICIAL")</f>
        <v>46.846153846153847</v>
      </c>
      <c r="U188" s="39">
        <f>AVERAGEIFS($AO$36:$AO$167,$C$36:$C$167,"=1", $B$36:$B$167,"NO OFICIAL")</f>
        <v>10</v>
      </c>
      <c r="V188" s="39">
        <f>AVERAGEIFS($AZ$36:$AZ$167,$C$36:$C$167,"=1", $B$36:$B$167,"OFICIAL")</f>
        <v>49.75</v>
      </c>
      <c r="W188" s="39">
        <f>AVERAGEIFS($BA$36:$BA$167,$C$36:$C$167,"=1", $B$36:$B$167,"OFICIAL")</f>
        <v>9.75</v>
      </c>
      <c r="X188" s="39">
        <f>AVERAGEIFS($AZ$36:$AZ$167,$C$36:$C$167,"=1", $B$36:$B$167,"NO OFICIAL")</f>
        <v>50.153846153846153</v>
      </c>
      <c r="Y188" s="39">
        <f>AVERAGEIFS($BA$36:$BA$167,$C$36:$C$167,"=1", $B$36:$B$167,"NO OFICIAL")</f>
        <v>9.9230769230769234</v>
      </c>
      <c r="Z188" s="39">
        <f>AVERAGEIFS($BL$36:$BL$167,$C$36:$C$167,"=1", $B$36:$B$167,"OFICIAL")</f>
        <v>47.5</v>
      </c>
      <c r="AA188" s="39">
        <f>AVERAGEIFS($BN$36:$BN$167,$C$36:$C$167,"=1", $B$36:$B$167,"OFICIAL")</f>
        <v>10.25</v>
      </c>
      <c r="AB188" s="39">
        <f>AVERAGEIFS($BL$36:$BL$167,$C$36:$C$167,"=1", $B$36:$B$167,"NO OFICIAL")</f>
        <v>49.230769230769234</v>
      </c>
      <c r="AC188" s="39">
        <f>AVERAGEIFS($BN$36:$BN$167,$C$36:$C$167,"=1", $B$36:$B$167,"NO OFICIAL")</f>
        <v>9.5384615384615383</v>
      </c>
      <c r="AD188" s="39">
        <f>AVERAGEIFS($BZ$36:$BZ$167,$C$36:$C$167,"=1", $B$36:$B$167,"OFICIAL")</f>
        <v>48.2</v>
      </c>
      <c r="AE188" s="39">
        <f>AVERAGEIFS($CB$36:$CB$167,$C$36:$C$167,"=1", $B$36:$B$167,"OFICIAL")</f>
        <v>10.8</v>
      </c>
      <c r="AF188" s="39">
        <f>AVERAGEIFS($BZ$36:$BZ$167,$C$36:$C$167,"=1", $B$36:$B$167,"NO OFICIAL")</f>
        <v>49.846153846153847</v>
      </c>
      <c r="AG188" s="39">
        <f>AVERAGEIFS($CB$36:$CB$167,$C$36:$C$167,"=1", $B$36:$B$167,"NO OFICIAL")</f>
        <v>10.153846153846153</v>
      </c>
      <c r="AH188" s="39">
        <f>AVERAGEIFS($CN$36:$CN$167,$C$36:$C$167,"=1", $B$36:$B$167,"OFICIAL")</f>
        <v>48.2</v>
      </c>
      <c r="AI188" s="39">
        <f>AVERAGEIFS($CP$36:$CP$167,$C$36:$C$167,"=1", $B$36:$B$167,"OFICIAL")</f>
        <v>9.8000000000000007</v>
      </c>
      <c r="AJ188" s="39">
        <f>AVERAGEIFS($CN$36:$CN$167,$C$36:$C$167,"=1", $B$36:$B$167,"NO OFICIAL")</f>
        <v>50.833333333333336</v>
      </c>
      <c r="AK188" s="39">
        <f>AVERAGEIFS($CP$36:$CP$167,$C$36:$C$167,"=1", $B$36:$B$167,"NO OFICIAL")</f>
        <v>9.75</v>
      </c>
      <c r="AL188" s="112"/>
      <c r="AM188" s="112"/>
      <c r="AN188" s="110"/>
      <c r="AO188" s="110"/>
      <c r="AP188" s="112"/>
      <c r="AQ188" s="112"/>
      <c r="AR188" s="112"/>
      <c r="AS188" s="112"/>
      <c r="AT188" s="112"/>
      <c r="AU188" s="112"/>
      <c r="AV188" s="112"/>
      <c r="AW188" s="112"/>
      <c r="AX188" s="112"/>
      <c r="AY188" s="112"/>
      <c r="AZ188" s="110"/>
      <c r="BA188" s="110"/>
    </row>
    <row r="189" spans="5:61" x14ac:dyDescent="0.25">
      <c r="E189" s="39" t="s">
        <v>247</v>
      </c>
      <c r="F189" s="39">
        <f>AVERAGEIFS(D36:D167,$C$36:$C$167,"=2", $B$36:$B$167,"OFICIAL")</f>
        <v>52</v>
      </c>
      <c r="G189" s="39">
        <f>AVERAGEIFS(E36:E167,$C$36:$C$167,"=2", $B$36:$B$167,"OFICIAL")</f>
        <v>8.5</v>
      </c>
      <c r="H189" s="39">
        <f>AVERAGEIFS(D36:D167,$C$36:$C$167,"=2", $B$36:$B$167,"NO OFICIAL")</f>
        <v>53</v>
      </c>
      <c r="I189" s="39">
        <f>AVERAGEIFS(E36:E167,$C$36:$C$167,"=2", $B$36:$B$167,"NO OFICIAL")</f>
        <v>7.8888888888888893</v>
      </c>
      <c r="J189" s="39">
        <f>AVERAGEIFS($P$36:$P$167,$C$36:$C$167,"=2", $B$36:$B$167,"OFICIAL")</f>
        <v>51</v>
      </c>
      <c r="K189" s="39">
        <f>AVERAGEIFS($Q$36:$Q$167,$C$36:$C$167,"=2", $B$36:$B$167,"OFICIAL")</f>
        <v>9.5</v>
      </c>
      <c r="L189" s="39">
        <f>AVERAGEIFS($P$36:$P$167,$C$36:$C$167,"=2", $B$36:$B$167,"NO OFICIAL")</f>
        <v>52.588235294117645</v>
      </c>
      <c r="M189" s="39">
        <f>AVERAGEIFS($Q$36:$Q$167,$C$36:$C$167,"=2", $B$36:$B$167,"NO OFICIAL")</f>
        <v>8.9411764705882355</v>
      </c>
      <c r="N189" s="39">
        <f>AVERAGEIFS($AB$36:$AB$167,$C$36:$C$167,"=2", $B$36:$B$167,"OFICIAL")</f>
        <v>49</v>
      </c>
      <c r="O189" s="39">
        <f>AVERAGEIFS($AC$36:$AC$167,$C$36:$C$167,"=2", $B$36:$B$167,"OFICIAL")</f>
        <v>10</v>
      </c>
      <c r="P189" s="39">
        <f>AVERAGEIFS($AB$36:$AB$167,$C$36:$C$167,"=2", $B$36:$B$167,"NO OFICIAL")</f>
        <v>50.882352941176471</v>
      </c>
      <c r="Q189" s="39">
        <f>AVERAGEIFS($AC$36:$AC$167,$C$36:$C$167,"=2", $B$36:$B$167,"NO OFICIAL")</f>
        <v>9.235294117647058</v>
      </c>
      <c r="R189" s="39">
        <f>AVERAGEIFS($AN$36:$AN$167,$C$36:$C$167,"=2", $B$36:$B$167,"OFICIAL")</f>
        <v>48</v>
      </c>
      <c r="S189" s="39">
        <f>AVERAGEIFS($AO$36:$AO$167,$C$36:$C$167,"=2", $B$36:$B$167,"OFICIAL")</f>
        <v>10.5</v>
      </c>
      <c r="T189" s="39">
        <f>AVERAGEIFS($AN$36:$AN$167,$C$36:$C$167,"=2", $B$36:$B$167,"NO OFICIAL")</f>
        <v>49.833333333333336</v>
      </c>
      <c r="U189" s="39">
        <f>AVERAGEIFS($AO$36:$AO$167,$C$36:$C$167,"=2", $B$36:$B$167,"NO OFICIAL")</f>
        <v>9.8333333333333339</v>
      </c>
      <c r="V189" s="39">
        <f>AVERAGEIFS($AZ$36:$AZ$167,$C$36:$C$167,"=2", $B$36:$B$167,"OFICIAL")</f>
        <v>50</v>
      </c>
      <c r="W189" s="39">
        <f>AVERAGEIFS($BA$36:$BA$167,$C$36:$C$167,"=2", $B$36:$B$167,"OFICIAL")</f>
        <v>10</v>
      </c>
      <c r="X189" s="39">
        <f>AVERAGEIFS($AZ$36:$AZ$167,$C$36:$C$167,"=2", $B$36:$B$167,"NO OFICIAL")</f>
        <v>51.18181818181818</v>
      </c>
      <c r="Y189" s="39">
        <f>AVERAGEIFS($BA$36:$BA$167,$C$36:$C$167,"=2", $B$36:$B$167,"NO OFICIAL")</f>
        <v>9.045454545454545</v>
      </c>
      <c r="Z189" s="39">
        <f>AVERAGEIFS($BL$36:$BL$167,$C$36:$C$167,"=2", $B$36:$B$167,"OFICIAL")</f>
        <v>48.5</v>
      </c>
      <c r="AA189" s="39">
        <f>AVERAGEIFS($BN$36:$BN$167,$C$36:$C$167,"=2", $B$36:$B$167,"OFICIAL")</f>
        <v>10</v>
      </c>
      <c r="AB189" s="39">
        <f>AVERAGEIFS($BL$36:$BL$167,$C$36:$C$167,"=2", $B$36:$B$167,"NO OFICIAL")</f>
        <v>48.65</v>
      </c>
      <c r="AC189" s="39">
        <f>AVERAGEIFS($BN$36:$BN$167,$C$36:$C$167,"=2", $B$36:$B$167,"NO OFICIAL")</f>
        <v>9.35</v>
      </c>
      <c r="AD189" s="39">
        <f>AVERAGEIFS($BZ$36:$BZ$167,$C$36:$C$167,"=2", $B$36:$B$167,"OFICIAL")</f>
        <v>48.5</v>
      </c>
      <c r="AE189" s="39">
        <f>AVERAGEIFS($CB$36:$CB$167,$C$36:$C$167,"=2", $B$36:$B$167,"OFICIAL")</f>
        <v>10.25</v>
      </c>
      <c r="AF189" s="39">
        <f>AVERAGEIFS($BZ$36:$BZ$167,$C$36:$C$167,"=2", $B$36:$B$167,"NO OFICIAL")</f>
        <v>51.571428571428569</v>
      </c>
      <c r="AG189" s="39">
        <f>AVERAGEIFS($CB$36:$CB$167,$C$36:$C$167,"=2", $B$36:$B$167,"NO OFICIAL")</f>
        <v>9.8571428571428577</v>
      </c>
      <c r="AH189" s="39">
        <f>AVERAGEIFS($CN$36:$CN$167,$C$36:$C$167,"=2", $B$36:$B$167,"OFICIAL")</f>
        <v>49</v>
      </c>
      <c r="AI189" s="39">
        <f>AVERAGEIFS($CP$36:$CP$167,$C$36:$C$167,"=2", $B$36:$B$167,"OFICIAL")</f>
        <v>10</v>
      </c>
      <c r="AJ189" s="39">
        <f>AVERAGEIFS($CN$36:$CN$167,$C$36:$C$167,"=2", $B$36:$B$167,"NO OFICIAL")</f>
        <v>51.954545454545453</v>
      </c>
      <c r="AK189" s="39">
        <f>AVERAGEIFS($CP$36:$CP$167,$C$36:$C$167,"=2", $B$36:$B$167,"NO OFICIAL")</f>
        <v>9.2727272727272734</v>
      </c>
      <c r="AL189" s="112"/>
      <c r="AM189" s="112"/>
      <c r="AN189" s="110"/>
      <c r="AO189" s="110"/>
      <c r="AP189" s="112"/>
      <c r="AQ189" s="112"/>
      <c r="AR189" s="112"/>
      <c r="AS189" s="112"/>
      <c r="AT189" s="112"/>
      <c r="AU189" s="112"/>
      <c r="AV189" s="112"/>
      <c r="AW189" s="112"/>
      <c r="AX189" s="112"/>
      <c r="AY189" s="112"/>
      <c r="AZ189" s="110"/>
      <c r="BA189" s="110"/>
    </row>
    <row r="190" spans="5:61" x14ac:dyDescent="0.25">
      <c r="E190" s="39" t="s">
        <v>248</v>
      </c>
      <c r="F190" s="39">
        <f>AVERAGEIFS(D36:D167,$C$36:$C$167,"=3", $B$36:$B$167,"OFICIAL")</f>
        <v>50.4</v>
      </c>
      <c r="G190" s="39">
        <f>AVERAGEIFS(E36:E167,$C$36:$C$167,"=3", $B$36:$B$167,"OFICIAL")</f>
        <v>8.8000000000000007</v>
      </c>
      <c r="H190" s="39">
        <f>AVERAGEIFS(D36:D167,$C$36:$C$167,"=3", $B$36:$B$167,"NO OFICIAL")</f>
        <v>52.846153846153847</v>
      </c>
      <c r="I190" s="39">
        <f>AVERAGEIFS(E36:E167,$C$36:$C$167,"=3", $B$36:$B$167,"NO OFICIAL")</f>
        <v>8.6923076923076916</v>
      </c>
      <c r="J190" s="39">
        <f>AVERAGEIFS($P$36:$P$167,$C$36:$C$167,"=3", $B$36:$B$167,"OFICIAL")</f>
        <v>51</v>
      </c>
      <c r="K190" s="39">
        <f>AVERAGEIFS($Q$36:$Q$167,$C$36:$C$167,"=3", $B$36:$B$167,"OFICIAL")</f>
        <v>9.4</v>
      </c>
      <c r="L190" s="39">
        <f>AVERAGEIFS($P$36:$P$167,$C$36:$C$167,"=3", $B$36:$B$167,"NO OFICIAL")</f>
        <v>53</v>
      </c>
      <c r="M190" s="39">
        <f>AVERAGEIFS($Q$36:$Q$167,$C$36:$C$167,"=3", $B$36:$B$167,"NO OFICIAL")</f>
        <v>9.5714285714285712</v>
      </c>
      <c r="N190" s="39">
        <f>AVERAGEIFS($AB$36:$AB$167,$C$36:$C$167,"=3", $B$36:$B$167,"OFICIAL")</f>
        <v>50</v>
      </c>
      <c r="O190" s="39">
        <f>AVERAGEIFS($AC$36:$AC$167,$C$36:$C$167,"=3", $B$36:$B$167,"OFICIAL")</f>
        <v>10</v>
      </c>
      <c r="P190" s="39">
        <f>AVERAGEIFS($AB$36:$AB$167,$C$36:$C$167,"=3", $B$36:$B$167,"NO OFICIAL")</f>
        <v>51.5</v>
      </c>
      <c r="Q190" s="39">
        <f>AVERAGEIFS($AC$36:$AC$167,$C$36:$C$167,"=3", $B$36:$B$167,"NO OFICIAL")</f>
        <v>9.7857142857142865</v>
      </c>
      <c r="R190" s="39">
        <f>AVERAGEIFS($AN$36:$AN$167,$C$36:$C$167,"=3", $B$36:$B$167,"OFICIAL")</f>
        <v>47.2</v>
      </c>
      <c r="S190" s="39">
        <f>AVERAGEIFS($AO$36:$AO$167,$C$36:$C$167,"=3", $B$36:$B$167,"OFICIAL")</f>
        <v>10</v>
      </c>
      <c r="T190" s="39">
        <f>AVERAGEIFS($AN$36:$AN$167,$C$36:$C$167,"=3", $B$36:$B$167,"NO OFICIAL")</f>
        <v>49.214285714285715</v>
      </c>
      <c r="U190" s="39">
        <f>AVERAGEIFS($AO$36:$AO$167,$C$36:$C$167,"=3", $B$36:$B$167,"NO OFICIAL")</f>
        <v>10.357142857142858</v>
      </c>
      <c r="V190" s="39">
        <f>AVERAGEIFS($AZ$36:$AZ$167,$C$36:$C$167,"=3", $B$36:$B$167,"OFICIAL")</f>
        <v>49.8</v>
      </c>
      <c r="W190" s="39">
        <f>AVERAGEIFS($BA$36:$BA$167,$C$36:$C$167,"=3", $B$36:$B$167,"OFICIAL")</f>
        <v>10</v>
      </c>
      <c r="X190" s="39">
        <f>AVERAGEIFS($AZ$36:$AZ$167,$C$36:$C$167,"=3", $B$36:$B$167,"NO OFICIAL")</f>
        <v>52.2</v>
      </c>
      <c r="Y190" s="39">
        <f>AVERAGEIFS($BA$36:$BA$167,$C$36:$C$167,"=3", $B$36:$B$167,"NO OFICIAL")</f>
        <v>10.333333333333334</v>
      </c>
      <c r="Z190" s="39">
        <f>AVERAGEIFS($BL$36:$BL$167,$C$36:$C$167,"=3", $B$36:$B$167,"OFICIAL")</f>
        <v>47.6</v>
      </c>
      <c r="AA190" s="39">
        <f>AVERAGEIFS($BN$36:$BN$167,$C$36:$C$167,"=3", $B$36:$B$167,"OFICIAL")</f>
        <v>10</v>
      </c>
      <c r="AB190" s="39">
        <f>AVERAGEIFS($BL$36:$BL$167,$C$36:$C$167,"=3", $B$36:$B$167,"NO OFICIAL")</f>
        <v>50.866666666666667</v>
      </c>
      <c r="AC190" s="39">
        <f>AVERAGEIFS($BN$36:$BN$167,$C$36:$C$167,"=3", $B$36:$B$167,"NO OFICIAL")</f>
        <v>10.266666666666667</v>
      </c>
      <c r="AD190" s="39">
        <f>AVERAGEIFS($BZ$36:$BZ$167,$C$36:$C$167,"=3", $B$36:$B$167,"OFICIAL")</f>
        <v>49.333333333333336</v>
      </c>
      <c r="AE190" s="39">
        <f>AVERAGEIFS($CB$36:$CB$167,$C$36:$C$167,"=3", $B$36:$B$167,"OFICIAL")</f>
        <v>10</v>
      </c>
      <c r="AF190" s="39">
        <f>AVERAGEIFS($BZ$36:$BZ$167,$C$36:$C$167,"=3", $B$36:$B$167,"NO OFICIAL")</f>
        <v>52.8125</v>
      </c>
      <c r="AG190" s="39">
        <f>AVERAGEIFS($CB$36:$CB$167,$C$36:$C$167,"=3", $B$36:$B$167,"NO OFICIAL")</f>
        <v>10.0625</v>
      </c>
      <c r="AH190" s="39">
        <f>AVERAGEIFS($CN$36:$CN$167,$C$36:$C$167,"=3", $B$36:$B$167,"OFICIAL")</f>
        <v>49.666666666666664</v>
      </c>
      <c r="AI190" s="39">
        <f>AVERAGEIFS($CP$36:$CP$167,$C$36:$C$167,"=3", $B$36:$B$167,"OFICIAL")</f>
        <v>10</v>
      </c>
      <c r="AJ190" s="39">
        <f>AVERAGEIFS($CN$36:$CN$167,$C$36:$C$167,"=3", $B$36:$B$167,"NO OFICIAL")</f>
        <v>52.0625</v>
      </c>
      <c r="AK190" s="39">
        <f>AVERAGEIFS($CP$36:$CP$167,$C$36:$C$167,"=3", $B$36:$B$167,"NO OFICIAL")</f>
        <v>10.125</v>
      </c>
      <c r="AL190" s="112"/>
      <c r="AM190" s="112"/>
      <c r="AN190" s="110"/>
      <c r="AO190" s="110"/>
      <c r="AP190" s="112"/>
      <c r="AQ190" s="112"/>
      <c r="AR190" s="112"/>
      <c r="AS190" s="112"/>
      <c r="AT190" s="112"/>
      <c r="AU190" s="112"/>
      <c r="AV190" s="112"/>
      <c r="AW190" s="112"/>
      <c r="AX190" s="112"/>
      <c r="AY190" s="112"/>
      <c r="AZ190" s="110"/>
      <c r="BA190" s="110"/>
    </row>
    <row r="191" spans="5:61" x14ac:dyDescent="0.25">
      <c r="E191" s="39" t="s">
        <v>249</v>
      </c>
      <c r="F191" s="39">
        <f>AVERAGEIFS(D36:D167,$C$36:$C$167,"=4", $B$36:$B$167,"OFICIAL")</f>
        <v>47.166666666666664</v>
      </c>
      <c r="G191" s="39">
        <f>AVERAGEIFS(E36:E167,$C$36:$C$167,"=4", $B$36:$B$167,"OFICIAL")</f>
        <v>8.5</v>
      </c>
      <c r="H191" s="39">
        <f>AVERAGEIFS(D36:D167,$C$36:$C$167,"=4", $B$36:$B$167,"NO OFICIAL")</f>
        <v>48.875</v>
      </c>
      <c r="I191" s="39">
        <f>AVERAGEIFS(E36:E167,$C$36:$C$167,"=4", $B$36:$B$167,"NO OFICIAL")</f>
        <v>7.625</v>
      </c>
      <c r="J191" s="39">
        <f>AVERAGEIFS($P$36:$P$167,$C$36:$C$167,"=4", $B$36:$B$167,"OFICIAL")</f>
        <v>47.5</v>
      </c>
      <c r="K191" s="39">
        <f>AVERAGEIFS($Q$36:$Q$167,$C$36:$C$167,"=4", $B$36:$B$167,"OFICIAL")</f>
        <v>9.6666666666666661</v>
      </c>
      <c r="L191" s="39">
        <f>AVERAGEIFS($P$36:$P$167,$C$36:$C$167,"=4", $B$36:$B$167,"NO OFICIAL")</f>
        <v>52.111111111111114</v>
      </c>
      <c r="M191" s="39">
        <f>AVERAGEIFS($Q$36:$Q$167,$C$36:$C$167,"=4", $B$36:$B$167,"NO OFICIAL")</f>
        <v>7.666666666666667</v>
      </c>
      <c r="N191" s="39">
        <f>AVERAGEIFS($AB$36:$AB$167,$C$36:$C$167,"=4", $B$36:$B$167,"OFICIAL")</f>
        <v>45.166666666666664</v>
      </c>
      <c r="O191" s="39">
        <f>AVERAGEIFS($AC$36:$AC$167,$C$36:$C$167,"=4", $B$36:$B$167,"OFICIAL")</f>
        <v>10</v>
      </c>
      <c r="P191" s="39">
        <f>AVERAGEIFS($AB$36:$AB$167,$C$36:$C$167,"=4", $B$36:$B$167,"NO OFICIAL")</f>
        <v>49.777777777777779</v>
      </c>
      <c r="Q191" s="39">
        <f>AVERAGEIFS($AC$36:$AC$167,$C$36:$C$167,"=4", $B$36:$B$167,"NO OFICIAL")</f>
        <v>8.1111111111111107</v>
      </c>
      <c r="R191" s="39">
        <f>AVERAGEIFS($AN$36:$AN$167,$C$36:$C$167,"=4", $B$36:$B$167,"OFICIAL")</f>
        <v>43</v>
      </c>
      <c r="S191" s="39">
        <f>AVERAGEIFS($AO$36:$AO$167,$C$36:$C$167,"=4", $B$36:$B$167,"OFICIAL")</f>
        <v>10.666666666666666</v>
      </c>
      <c r="T191" s="39">
        <f>AVERAGEIFS($AN$36:$AN$167,$C$36:$C$167,"=4", $B$36:$B$167,"NO OFICIAL")</f>
        <v>47.875</v>
      </c>
      <c r="U191" s="39">
        <f>AVERAGEIFS($AO$36:$AO$167,$C$36:$C$167,"=4", $B$36:$B$167,"NO OFICIAL")</f>
        <v>10.125</v>
      </c>
      <c r="V191" s="39">
        <f>AVERAGEIFS($AZ$36:$AZ$167,$C$36:$C$167,"=4", $B$36:$B$167,"OFICIAL")</f>
        <v>45.333333333333336</v>
      </c>
      <c r="W191" s="39">
        <f>AVERAGEIFS($BA$36:$BA$167,$C$36:$C$167,"=4", $B$36:$B$167,"OFICIAL")</f>
        <v>9</v>
      </c>
      <c r="X191" s="39">
        <f>AVERAGEIFS($AZ$36:$AZ$167,$C$36:$C$167,"=4", $B$36:$B$167,"NO OFICIAL")</f>
        <v>47.857142857142854</v>
      </c>
      <c r="Y191" s="39">
        <f>AVERAGEIFS($BA$36:$BA$167,$C$36:$C$167,"=4", $B$36:$B$167,"NO OFICIAL")</f>
        <v>10.142857142857142</v>
      </c>
      <c r="Z191" s="39">
        <f>AVERAGEIFS($BL$36:$BL$167,$C$36:$C$167,"=4", $B$36:$B$167,"OFICIAL")</f>
        <v>44</v>
      </c>
      <c r="AA191" s="39">
        <f>AVERAGEIFS($BN$36:$BN$167,$C$36:$C$167,"=4", $B$36:$B$167,"OFICIAL")</f>
        <v>9.8333333333333339</v>
      </c>
      <c r="AB191" s="39">
        <f>AVERAGEIFS($BL$36:$BL$167,$C$36:$C$167,"=4", $B$36:$B$167,"NO OFICIAL")</f>
        <v>48.625</v>
      </c>
      <c r="AC191" s="39">
        <f>AVERAGEIFS($BN$36:$BN$167,$C$36:$C$167,"=4", $B$36:$B$167,"NO OFICIAL")</f>
        <v>9.5</v>
      </c>
      <c r="AD191" s="39">
        <f>AVERAGEIFS($BZ$36:$BZ$167,$C$36:$C$167,"=4", $B$36:$B$167,"OFICIAL")</f>
        <v>45</v>
      </c>
      <c r="AE191" s="39">
        <f>AVERAGEIFS($CB$36:$CB$167,$C$36:$C$167,"=4", $B$36:$B$167,"OFICIAL")</f>
        <v>9.8333333333333339</v>
      </c>
      <c r="AF191" s="39">
        <f>AVERAGEIFS($BZ$36:$BZ$167,$C$36:$C$167,"=4", $B$36:$B$167,"NO OFICIAL")</f>
        <v>48.875</v>
      </c>
      <c r="AG191" s="39">
        <f>AVERAGEIFS($CB$36:$CB$167,$C$36:$C$167,"=4", $B$36:$B$167,"NO OFICIAL")</f>
        <v>9.875</v>
      </c>
      <c r="AH191" s="39">
        <f>AVERAGEIFS($CN$36:$CN$167,$C$36:$C$167,"=4", $B$36:$B$167,"OFICIAL")</f>
        <v>45.5</v>
      </c>
      <c r="AI191" s="39">
        <f>AVERAGEIFS($CP$36:$CP$167,$C$36:$C$167,"=4", $B$36:$B$167,"OFICIAL")</f>
        <v>10</v>
      </c>
      <c r="AJ191" s="39">
        <f>AVERAGEIFS($CN$36:$CN$167,$C$36:$C$167,"=4", $B$36:$B$167,"NO OFICIAL")</f>
        <v>47.555555555555557</v>
      </c>
      <c r="AK191" s="39">
        <f>AVERAGEIFS($CP$36:$CP$167,$C$36:$C$167,"=4", $B$36:$B$167,"NO OFICIAL")</f>
        <v>9.3333333333333339</v>
      </c>
      <c r="AL191" s="112"/>
      <c r="AM191" s="112"/>
      <c r="AN191" s="110"/>
      <c r="AO191" s="110"/>
      <c r="AP191" s="112"/>
      <c r="AQ191" s="112"/>
      <c r="AR191" s="112"/>
      <c r="AS191" s="112"/>
      <c r="AT191" s="112"/>
      <c r="AU191" s="112"/>
      <c r="AV191" s="112"/>
      <c r="AW191" s="112"/>
      <c r="AX191" s="112"/>
      <c r="AY191" s="112"/>
      <c r="AZ191" s="110"/>
      <c r="BA191" s="110"/>
    </row>
    <row r="192" spans="5:61" x14ac:dyDescent="0.25">
      <c r="E192" s="39" t="s">
        <v>250</v>
      </c>
      <c r="F192" s="39">
        <f>AVERAGEIFS(D36:D167,$C$36:$C$167,"=5", $B$36:$B$167,"OFICIAL")</f>
        <v>52</v>
      </c>
      <c r="G192" s="39">
        <f>AVERAGEIFS(E36:E167,$C$36:$C$167,"=5", $B$36:$B$167,"OFICIAL")</f>
        <v>8.5</v>
      </c>
      <c r="H192" s="39">
        <f>AVERAGEIFS(D36:D167,$C$36:$C$167,"=5", $B$36:$B$167,"NO OFICIAL")</f>
        <v>54.533333333333331</v>
      </c>
      <c r="I192" s="39">
        <f>AVERAGEIFS(E36:E167,$C$36:$C$167,"=5", $B$36:$B$167,"NO OFICIAL")</f>
        <v>8.6666666666666661</v>
      </c>
      <c r="J192" s="39">
        <f>AVERAGEIFS($P$36:$P$167,$C$36:$C$167,"=5", $B$36:$B$167,"OFICIAL")</f>
        <v>50</v>
      </c>
      <c r="K192" s="39">
        <f>AVERAGEIFS($Q$36:$Q$167,$C$36:$C$167,"=5", $B$36:$B$167,"OFICIAL")</f>
        <v>9.5</v>
      </c>
      <c r="L192" s="39">
        <f>AVERAGEIFS($P$36:$P$167,$C$36:$C$167,"=5", $B$36:$B$167,"NO OFICIAL")</f>
        <v>54.666666666666664</v>
      </c>
      <c r="M192" s="39">
        <f>AVERAGEIFS($Q$36:$Q$167,$C$36:$C$167,"=5", $B$36:$B$167,"NO OFICIAL")</f>
        <v>8.8000000000000007</v>
      </c>
      <c r="N192" s="39">
        <f>AVERAGEIFS($AB$36:$AB$167,$C$36:$C$167,"=5", $B$36:$B$167,"OFICIAL")</f>
        <v>48</v>
      </c>
      <c r="O192" s="39">
        <f>AVERAGEIFS($AC$36:$AC$167,$C$36:$C$167,"=5", $B$36:$B$167,"OFICIAL")</f>
        <v>9.5</v>
      </c>
      <c r="P192" s="39">
        <f>AVERAGEIFS($AB$36:$AB$167,$C$36:$C$167,"=5", $B$36:$B$167,"NO OFICIAL")</f>
        <v>53.125</v>
      </c>
      <c r="Q192" s="39">
        <f>AVERAGEIFS($AC$36:$AC$167,$C$36:$C$167,"=5", $B$36:$B$167,"NO OFICIAL")</f>
        <v>9.3125</v>
      </c>
      <c r="R192" s="39">
        <f>AVERAGEIFS($AN$36:$AN$167,$C$36:$C$167,"=5", $B$36:$B$167,"OFICIAL")</f>
        <v>47.5</v>
      </c>
      <c r="S192" s="39">
        <f>AVERAGEIFS($AO$36:$AO$167,$C$36:$C$167,"=5", $B$36:$B$167,"OFICIAL")</f>
        <v>10</v>
      </c>
      <c r="T192" s="39">
        <f>AVERAGEIFS($AN$36:$AN$167,$C$36:$C$167,"=5", $B$36:$B$167,"NO OFICIAL")</f>
        <v>50.764705882352942</v>
      </c>
      <c r="U192" s="39">
        <f>AVERAGEIFS($AO$36:$AO$167,$C$36:$C$167,"=5", $B$36:$B$167,"NO OFICIAL")</f>
        <v>10.176470588235293</v>
      </c>
      <c r="V192" s="39">
        <f>AVERAGEIFS($AZ$36:$AZ$167,$C$36:$C$167,"=5", $B$36:$B$167,"OFICIAL")</f>
        <v>49.5</v>
      </c>
      <c r="W192" s="39">
        <f>AVERAGEIFS($BA$36:$BA$167,$C$36:$C$167,"=5", $B$36:$B$167,"OFICIAL")</f>
        <v>9.5</v>
      </c>
      <c r="X192" s="39">
        <f>AVERAGEIFS($AZ$36:$AZ$167,$C$36:$C$167,"=5", $B$36:$B$167,"NO OFICIAL")</f>
        <v>54.3125</v>
      </c>
      <c r="Y192" s="39">
        <f>AVERAGEIFS($BA$36:$BA$167,$C$36:$C$167,"=5", $B$36:$B$167,"NO OFICIAL")</f>
        <v>8.9375</v>
      </c>
      <c r="Z192" s="39">
        <f>AVERAGEIFS($BL$36:$BL$167,$C$36:$C$167,"=5", $B$36:$B$167,"OFICIAL")</f>
        <v>48</v>
      </c>
      <c r="AA192" s="39">
        <f>AVERAGEIFS($BN$36:$BN$167,$C$36:$C$167,"=5", $B$36:$B$167,"OFICIAL")</f>
        <v>10.5</v>
      </c>
      <c r="AB192" s="39">
        <f>AVERAGEIFS($BL$36:$BL$167,$C$36:$C$167,"=5", $B$36:$B$167,"NO OFICIAL")</f>
        <v>52.625</v>
      </c>
      <c r="AC192" s="39">
        <f>AVERAGEIFS($BN$36:$BN$167,$C$36:$C$167,"=5", $B$36:$B$167,"NO OFICIAL")</f>
        <v>10.1875</v>
      </c>
      <c r="AD192" s="39">
        <f>AVERAGEIFS($BZ$36:$BZ$167,$C$36:$C$167,"=5", $B$36:$B$167,"OFICIAL")</f>
        <v>50</v>
      </c>
      <c r="AE192" s="39">
        <f>AVERAGEIFS($CB$36:$CB$167,$C$36:$C$167,"=5", $B$36:$B$167,"OFICIAL")</f>
        <v>10</v>
      </c>
      <c r="AF192" s="39">
        <f>AVERAGEIFS($BZ$36:$BZ$167,$C$36:$C$167,"=5", $B$36:$B$167,"NO OFICIAL")</f>
        <v>53.8</v>
      </c>
      <c r="AG192" s="39">
        <f>AVERAGEIFS($CB$36:$CB$167,$C$36:$C$167,"=5", $B$36:$B$167,"NO OFICIAL")</f>
        <v>9.5333333333333332</v>
      </c>
      <c r="AH192" s="39">
        <f>AVERAGEIFS($CN$36:$CN$167,$C$36:$C$167,"=5", $B$36:$B$167,"OFICIAL")</f>
        <v>49.5</v>
      </c>
      <c r="AI192" s="39">
        <f>AVERAGEIFS($CP$36:$CP$167,$C$36:$C$167,"=5", $B$36:$B$167,"OFICIAL")</f>
        <v>9.5</v>
      </c>
      <c r="AJ192" s="39">
        <f>AVERAGEIFS($CN$36:$CN$167,$C$36:$C$167,"=5", $B$36:$B$167,"NO OFICIAL")</f>
        <v>54.2</v>
      </c>
      <c r="AK192" s="39">
        <f>AVERAGEIFS($CP$36:$CP$167,$C$36:$C$167,"=5", $B$36:$B$167,"NO OFICIAL")</f>
        <v>9.7333333333333325</v>
      </c>
      <c r="AL192" s="112"/>
      <c r="AM192" s="112"/>
      <c r="AN192" s="110"/>
      <c r="AO192" s="110"/>
      <c r="AP192" s="112"/>
      <c r="AQ192" s="112"/>
      <c r="AR192" s="112"/>
      <c r="AS192" s="112"/>
      <c r="AT192" s="112"/>
      <c r="AU192" s="112"/>
      <c r="AV192" s="112"/>
      <c r="AW192" s="112"/>
      <c r="AX192" s="112"/>
      <c r="AY192" s="112"/>
      <c r="AZ192" s="110"/>
      <c r="BA192" s="110"/>
    </row>
    <row r="193" spans="5:61" x14ac:dyDescent="0.25">
      <c r="E193" s="39" t="s">
        <v>251</v>
      </c>
      <c r="F193" s="39">
        <f>AVERAGEIFS(D36:D167,$C$36:$C$167,"=6", $B$36:$B$167,"OFICIAL")</f>
        <v>50.666666666666664</v>
      </c>
      <c r="G193" s="39">
        <f>AVERAGEIFS(E36:E167,$C$36:$C$167,"=6", $B$36:$B$167,"OFICIAL")</f>
        <v>8.6666666666666661</v>
      </c>
      <c r="H193" s="39">
        <f>AVERAGEIFS(D36:D167,$C$36:$C$167,"=6", $B$36:$B$167,"NO OFICIAL")</f>
        <v>52.416666666666664</v>
      </c>
      <c r="I193" s="39">
        <f>AVERAGEIFS(E36:E167,$C$36:$C$167,"=6", $B$36:$B$167,"NO OFICIAL")</f>
        <v>7.25</v>
      </c>
      <c r="J193" s="39">
        <f>AVERAGEIFS($P$36:$P$167,$C$36:$C$167,"=6", $B$36:$B$167,"OFICIAL")</f>
        <v>50</v>
      </c>
      <c r="K193" s="39">
        <f>AVERAGEIFS($Q$36:$Q$167,$C$36:$C$167,"=6", $B$36:$B$167,"OFICIAL")</f>
        <v>9.3333333333333339</v>
      </c>
      <c r="L193" s="39">
        <f>AVERAGEIFS($P$36:$P$167,$C$36:$C$167,"=6", $B$36:$B$167,"NO OFICIAL")</f>
        <v>50.75</v>
      </c>
      <c r="M193" s="39">
        <f>AVERAGEIFS($Q$36:$Q$167,$C$36:$C$167,"=6", $B$36:$B$167,"NO OFICIAL")</f>
        <v>9.5833333333333339</v>
      </c>
      <c r="N193" s="39">
        <f>AVERAGEIFS($AB$36:$AB$167,$C$36:$C$167,"=6", $B$36:$B$167,"OFICIAL")</f>
        <v>47.666666666666664</v>
      </c>
      <c r="O193" s="39">
        <f>AVERAGEIFS($AC$36:$AC$167,$C$36:$C$167,"=6", $B$36:$B$167,"OFICIAL")</f>
        <v>10.666666666666666</v>
      </c>
      <c r="P193" s="39">
        <f>AVERAGEIFS($AB$36:$AB$167,$C$36:$C$167,"=6", $B$36:$B$167,"NO OFICIAL")</f>
        <v>51.363636363636367</v>
      </c>
      <c r="Q193" s="39">
        <f>AVERAGEIFS($AC$36:$AC$167,$C$36:$C$167,"=6", $B$36:$B$167,"NO OFICIAL")</f>
        <v>10.272727272727273</v>
      </c>
      <c r="R193" s="39">
        <f>AVERAGEIFS($AN$36:$AN$167,$C$36:$C$167,"=6", $B$36:$B$167,"OFICIAL")</f>
        <v>46.666666666666664</v>
      </c>
      <c r="S193" s="39">
        <f>AVERAGEIFS($AO$36:$AO$167,$C$36:$C$167,"=6", $B$36:$B$167,"OFICIAL")</f>
        <v>10.666666666666666</v>
      </c>
      <c r="T193" s="39">
        <f>AVERAGEIFS($AN$36:$AN$167,$C$36:$C$167,"=6", $B$36:$B$167,"NO OFICIAL")</f>
        <v>49.833333333333336</v>
      </c>
      <c r="U193" s="39">
        <f>AVERAGEIFS($AO$36:$AO$167,$C$36:$C$167,"=6", $B$36:$B$167,"NO OFICIAL")</f>
        <v>9.9166666666666661</v>
      </c>
      <c r="V193" s="39">
        <f>AVERAGEIFS($AZ$36:$AZ$167,$C$36:$C$167,"=6", $B$36:$B$167,"OFICIAL")</f>
        <v>48.666666666666664</v>
      </c>
      <c r="W193" s="39">
        <f>AVERAGEIFS($BA$36:$BA$167,$C$36:$C$167,"=6", $B$36:$B$167,"OFICIAL")</f>
        <v>10</v>
      </c>
      <c r="X193" s="39">
        <f>AVERAGEIFS($AZ$36:$AZ$167,$C$36:$C$167,"=6", $B$36:$B$167,"NO OFICIAL")</f>
        <v>49.785714285714285</v>
      </c>
      <c r="Y193" s="39">
        <f>AVERAGEIFS($BA$36:$BA$167,$C$36:$C$167,"=6", $B$36:$B$167,"NO OFICIAL")</f>
        <v>9.2142857142857135</v>
      </c>
      <c r="Z193" s="39">
        <f>AVERAGEIFS($BL$36:$BL$167,$C$36:$C$167,"=6", $B$36:$B$167,"OFICIAL")</f>
        <v>46.666666666666664</v>
      </c>
      <c r="AA193" s="39">
        <f>AVERAGEIFS($BN$36:$BN$167,$C$36:$C$167,"=6", $B$36:$B$167,"OFICIAL")</f>
        <v>10.333333333333334</v>
      </c>
      <c r="AB193" s="39">
        <f>AVERAGEIFS($BL$36:$BL$167,$C$36:$C$167,"=6", $B$36:$B$167,"NO OFICIAL")</f>
        <v>49.428571428571431</v>
      </c>
      <c r="AC193" s="39">
        <f>AVERAGEIFS($BN$36:$BN$167,$C$36:$C$167,"=6", $B$36:$B$167,"NO OFICIAL")</f>
        <v>8.9285714285714288</v>
      </c>
      <c r="AD193" s="39">
        <f>AVERAGEIFS($BZ$36:$BZ$167,$C$36:$C$167,"=6", $B$36:$B$167,"OFICIAL")</f>
        <v>47</v>
      </c>
      <c r="AE193" s="39">
        <f>AVERAGEIFS($CB$36:$CB$167,$C$36:$C$167,"=6", $B$36:$B$167,"OFICIAL")</f>
        <v>10</v>
      </c>
      <c r="AF193" s="39">
        <f>AVERAGEIFS($BZ$36:$BZ$167,$C$36:$C$167,"=6", $B$36:$B$167,"NO OFICIAL")</f>
        <v>50.25</v>
      </c>
      <c r="AG193" s="39">
        <f>AVERAGEIFS($CB$36:$CB$167,$C$36:$C$167,"=6", $B$36:$B$167,"NO OFICIAL")</f>
        <v>10.9375</v>
      </c>
      <c r="AH193" s="39">
        <f>AVERAGEIFS($CN$36:$CN$167,$C$36:$C$167,"=6", $B$36:$B$167,"OFICIAL")</f>
        <v>47.333333333333336</v>
      </c>
      <c r="AI193" s="39">
        <f>AVERAGEIFS($CP$36:$CP$167,$C$36:$C$167,"=6", $B$36:$B$167,"OFICIAL")</f>
        <v>9.6666666666666661</v>
      </c>
      <c r="AJ193" s="39">
        <f>AVERAGEIFS($CN$36:$CN$167,$C$36:$C$167,"=6", $B$36:$B$167,"NO OFICIAL")</f>
        <v>51.823529411764703</v>
      </c>
      <c r="AK193" s="39">
        <f>AVERAGEIFS($CP$36:$CP$167,$C$36:$C$167,"=6", $B$36:$B$167,"NO OFICIAL")</f>
        <v>8.3529411764705888</v>
      </c>
      <c r="AL193" s="112"/>
      <c r="AM193" s="112"/>
      <c r="AN193" s="110"/>
      <c r="AO193" s="110"/>
      <c r="AP193" s="112"/>
      <c r="AQ193" s="112"/>
      <c r="AR193" s="112"/>
      <c r="AS193" s="112"/>
      <c r="AT193" s="112"/>
      <c r="AU193" s="112"/>
      <c r="AV193" s="112"/>
      <c r="AW193" s="112"/>
      <c r="AX193" s="112"/>
      <c r="AY193" s="112"/>
      <c r="AZ193" s="110"/>
      <c r="BA193" s="110"/>
    </row>
    <row r="194" spans="5:61" x14ac:dyDescent="0.25">
      <c r="E194" s="48"/>
      <c r="F194" s="48"/>
      <c r="G194" s="48"/>
      <c r="H194" s="48"/>
      <c r="I194" s="48"/>
      <c r="J194" s="48"/>
      <c r="K194" s="48"/>
      <c r="L194" s="48"/>
      <c r="M194" s="48"/>
      <c r="N194" s="48"/>
      <c r="O194" s="48"/>
      <c r="P194" s="48"/>
      <c r="Q194" s="48"/>
      <c r="R194" s="48"/>
      <c r="S194" s="48"/>
      <c r="T194" s="48"/>
      <c r="U194" s="48"/>
      <c r="V194" s="48"/>
      <c r="W194" s="48"/>
      <c r="X194" s="48"/>
      <c r="Y194" s="48"/>
      <c r="Z194" s="48"/>
      <c r="AA194" s="48"/>
      <c r="AB194" s="48"/>
      <c r="AC194" s="48"/>
      <c r="AD194" s="48"/>
      <c r="AE194" s="48"/>
      <c r="AF194" s="48"/>
      <c r="AG194" s="48"/>
      <c r="AH194" s="48"/>
      <c r="AI194" s="48"/>
      <c r="AJ194" s="48"/>
      <c r="AK194" s="48"/>
      <c r="AL194" s="48"/>
      <c r="AM194" s="48"/>
      <c r="AN194" s="48"/>
      <c r="AO194" s="48"/>
      <c r="AP194" s="48"/>
      <c r="AQ194" s="48"/>
      <c r="AR194" s="48"/>
      <c r="AS194" s="48"/>
      <c r="AT194" s="48"/>
      <c r="AU194" s="48"/>
      <c r="AV194" s="48"/>
      <c r="AW194" s="48"/>
      <c r="AX194" s="48"/>
      <c r="AY194" s="48"/>
      <c r="AZ194" s="48"/>
      <c r="BA194" s="48"/>
      <c r="BB194" s="48"/>
      <c r="BC194" s="48"/>
      <c r="BD194" s="48"/>
      <c r="BE194" s="48"/>
      <c r="BF194" s="48"/>
      <c r="BG194" s="48"/>
      <c r="BH194" s="48"/>
      <c r="BI194" s="48"/>
    </row>
    <row r="195" spans="5:61" x14ac:dyDescent="0.25">
      <c r="E195" s="24"/>
      <c r="F195" s="737" t="s">
        <v>255</v>
      </c>
      <c r="G195" s="737"/>
      <c r="H195" s="737"/>
      <c r="I195" s="737"/>
      <c r="J195" s="737"/>
      <c r="K195" s="737"/>
      <c r="T195" s="60" t="s">
        <v>254</v>
      </c>
      <c r="U195" s="60"/>
      <c r="V195" s="60"/>
      <c r="W195" s="60"/>
      <c r="X195" s="60"/>
      <c r="Y195" s="60"/>
      <c r="Z195" s="113"/>
      <c r="AA195" s="113"/>
      <c r="AB195" s="113"/>
      <c r="AC195" s="113"/>
      <c r="AD195" s="113"/>
      <c r="AE195" s="113"/>
      <c r="AF195" s="113"/>
      <c r="AG195" s="113"/>
      <c r="AH195" s="113"/>
      <c r="AI195" s="113"/>
      <c r="AJ195" s="113"/>
      <c r="AK195" s="113"/>
      <c r="AL195" s="113"/>
      <c r="AM195" s="113"/>
      <c r="AN195" s="113"/>
      <c r="AO195" s="110"/>
      <c r="AP195" s="110"/>
      <c r="AQ195" s="110"/>
      <c r="AR195" s="110"/>
      <c r="AS195" s="110"/>
      <c r="AT195" s="110"/>
      <c r="AU195" s="110"/>
      <c r="BE195" s="24"/>
      <c r="BF195" s="24"/>
      <c r="BG195" s="24"/>
      <c r="BH195" s="24"/>
      <c r="BI195" s="24"/>
    </row>
    <row r="196" spans="5:61" x14ac:dyDescent="0.25">
      <c r="E196" s="24"/>
      <c r="F196" s="40"/>
      <c r="G196" s="40">
        <v>2016</v>
      </c>
      <c r="H196" s="41">
        <v>2017</v>
      </c>
      <c r="I196" s="40">
        <v>2018</v>
      </c>
      <c r="J196" s="40">
        <v>2019</v>
      </c>
      <c r="K196" s="59">
        <v>2020</v>
      </c>
      <c r="L196" s="436">
        <v>2021</v>
      </c>
      <c r="M196" s="676">
        <v>2022</v>
      </c>
      <c r="N196" s="676">
        <v>2023</v>
      </c>
      <c r="T196" s="59"/>
      <c r="U196" s="59">
        <v>2016</v>
      </c>
      <c r="V196" s="60">
        <v>2017</v>
      </c>
      <c r="W196" s="59">
        <v>2018</v>
      </c>
      <c r="X196" s="59">
        <v>2019</v>
      </c>
      <c r="Y196" s="60">
        <v>2020</v>
      </c>
      <c r="Z196" s="437">
        <v>2021</v>
      </c>
      <c r="AA196" s="676">
        <v>2022</v>
      </c>
      <c r="AB196" s="676">
        <v>2023</v>
      </c>
      <c r="AC196" s="110"/>
      <c r="AD196" s="109"/>
      <c r="AE196" s="109"/>
      <c r="AF196" s="109"/>
      <c r="AG196" s="109"/>
      <c r="AH196" s="109"/>
      <c r="AI196" s="109"/>
      <c r="AJ196" s="109"/>
      <c r="AK196" s="109"/>
      <c r="AL196" s="109"/>
      <c r="AM196" s="109"/>
      <c r="AN196" s="110"/>
      <c r="AO196" s="110"/>
      <c r="AP196" s="110"/>
      <c r="AQ196" s="110"/>
      <c r="AR196" s="110"/>
      <c r="AS196" s="110"/>
      <c r="AT196" s="110"/>
      <c r="AU196" s="110"/>
      <c r="BE196" s="24"/>
      <c r="BF196" s="24"/>
      <c r="BG196" s="24"/>
      <c r="BH196" s="24"/>
      <c r="BI196" s="24"/>
    </row>
    <row r="197" spans="5:61" x14ac:dyDescent="0.25">
      <c r="E197" s="24"/>
      <c r="F197" s="39" t="s">
        <v>246</v>
      </c>
      <c r="G197" s="39">
        <v>50.53846153846154</v>
      </c>
      <c r="H197" s="39">
        <v>50.583333333333336</v>
      </c>
      <c r="I197" s="39">
        <v>49.07692307692308</v>
      </c>
      <c r="J197" s="39">
        <v>46.846153846153847</v>
      </c>
      <c r="K197" s="39">
        <v>50.153846153846153</v>
      </c>
      <c r="L197" s="39">
        <v>49.230769230769234</v>
      </c>
      <c r="M197" s="39">
        <v>49.846153846153847</v>
      </c>
      <c r="N197" s="39">
        <v>50.833333333333336</v>
      </c>
      <c r="T197" s="39" t="s">
        <v>246</v>
      </c>
      <c r="U197" s="39">
        <v>50.75</v>
      </c>
      <c r="V197" s="39">
        <v>51.5</v>
      </c>
      <c r="W197" s="39">
        <v>48.25</v>
      </c>
      <c r="X197" s="39">
        <v>47.25</v>
      </c>
      <c r="Y197" s="108">
        <v>49.75</v>
      </c>
      <c r="Z197" s="39">
        <v>47.5</v>
      </c>
      <c r="AA197" s="39">
        <v>48.2</v>
      </c>
      <c r="AB197" s="39">
        <v>48.2</v>
      </c>
      <c r="AC197" s="110"/>
      <c r="AD197" s="112"/>
      <c r="AE197" s="112"/>
      <c r="AF197" s="112"/>
      <c r="AG197" s="112"/>
      <c r="AH197" s="112"/>
      <c r="AI197" s="112"/>
      <c r="AJ197" s="112"/>
      <c r="AK197" s="112"/>
      <c r="AL197" s="112"/>
      <c r="AM197" s="112"/>
      <c r="AN197" s="110"/>
      <c r="AO197" s="110"/>
      <c r="AP197" s="110"/>
      <c r="AQ197" s="110"/>
      <c r="AR197" s="110"/>
      <c r="AS197" s="110"/>
      <c r="AT197" s="110"/>
      <c r="AU197" s="110"/>
      <c r="BE197" s="24"/>
      <c r="BF197" s="24"/>
      <c r="BG197" s="24"/>
      <c r="BH197" s="24"/>
      <c r="BI197" s="24"/>
    </row>
    <row r="198" spans="5:61" x14ac:dyDescent="0.25">
      <c r="E198" s="24"/>
      <c r="F198" s="39" t="s">
        <v>247</v>
      </c>
      <c r="G198" s="39">
        <v>53</v>
      </c>
      <c r="H198" s="39">
        <v>52.588235294117645</v>
      </c>
      <c r="I198" s="39">
        <v>50.882352941176471</v>
      </c>
      <c r="J198" s="39">
        <v>49.833333333333336</v>
      </c>
      <c r="K198" s="39">
        <v>51.18181818181818</v>
      </c>
      <c r="L198" s="39">
        <v>48.65</v>
      </c>
      <c r="M198" s="39">
        <v>51.571428571428569</v>
      </c>
      <c r="N198" s="39">
        <v>51.954545454545453</v>
      </c>
      <c r="T198" s="39" t="s">
        <v>247</v>
      </c>
      <c r="U198" s="39">
        <v>52</v>
      </c>
      <c r="V198" s="39">
        <v>51</v>
      </c>
      <c r="W198" s="39">
        <v>49</v>
      </c>
      <c r="X198" s="39">
        <v>48</v>
      </c>
      <c r="Y198" s="108">
        <v>50</v>
      </c>
      <c r="Z198" s="39">
        <v>48.5</v>
      </c>
      <c r="AA198" s="39">
        <v>48.5</v>
      </c>
      <c r="AB198" s="39">
        <v>49</v>
      </c>
      <c r="AC198" s="110"/>
      <c r="AD198" s="112"/>
      <c r="AE198" s="112"/>
      <c r="AF198" s="112"/>
      <c r="AG198" s="112"/>
      <c r="AH198" s="112"/>
      <c r="AI198" s="112"/>
      <c r="AJ198" s="112"/>
      <c r="AK198" s="112"/>
      <c r="AL198" s="112"/>
      <c r="AM198" s="112"/>
      <c r="AN198" s="110"/>
      <c r="AO198" s="110"/>
      <c r="AP198" s="110"/>
      <c r="AQ198" s="110"/>
      <c r="AR198" s="110"/>
      <c r="AS198" s="110"/>
      <c r="AT198" s="110"/>
      <c r="AU198" s="110"/>
      <c r="BE198" s="24"/>
      <c r="BF198" s="24"/>
      <c r="BG198" s="24"/>
      <c r="BH198" s="24"/>
      <c r="BI198" s="24"/>
    </row>
    <row r="199" spans="5:61" x14ac:dyDescent="0.25">
      <c r="E199" s="24"/>
      <c r="F199" s="39" t="s">
        <v>248</v>
      </c>
      <c r="G199" s="39">
        <v>52.846153846153847</v>
      </c>
      <c r="H199" s="39">
        <v>53</v>
      </c>
      <c r="I199" s="39">
        <v>51.5</v>
      </c>
      <c r="J199" s="39">
        <v>49.214285714285715</v>
      </c>
      <c r="K199" s="39">
        <v>52.2</v>
      </c>
      <c r="L199" s="39">
        <v>50.866666666666667</v>
      </c>
      <c r="M199" s="39">
        <v>52.8125</v>
      </c>
      <c r="N199" s="39">
        <v>52.0625</v>
      </c>
      <c r="T199" s="39" t="s">
        <v>248</v>
      </c>
      <c r="U199" s="39">
        <v>50.666666666666664</v>
      </c>
      <c r="V199" s="39">
        <v>50.666666666666664</v>
      </c>
      <c r="W199" s="39">
        <v>49.666666666666664</v>
      </c>
      <c r="X199" s="39">
        <v>46.333333333333336</v>
      </c>
      <c r="Y199" s="108">
        <v>49.25</v>
      </c>
      <c r="Z199" s="39">
        <v>47.6</v>
      </c>
      <c r="AA199" s="39">
        <v>49.333333333333336</v>
      </c>
      <c r="AB199" s="39">
        <v>49.666666666666664</v>
      </c>
      <c r="AC199" s="110"/>
      <c r="AD199" s="112"/>
      <c r="AE199" s="112"/>
      <c r="AF199" s="112"/>
      <c r="AG199" s="112"/>
      <c r="AH199" s="112"/>
      <c r="AI199" s="112"/>
      <c r="AJ199" s="112"/>
      <c r="AK199" s="112"/>
      <c r="AL199" s="112"/>
      <c r="AM199" s="112"/>
      <c r="AN199" s="110"/>
      <c r="AO199" s="110"/>
      <c r="AP199" s="110"/>
      <c r="AQ199" s="110"/>
      <c r="AR199" s="110"/>
      <c r="AS199" s="110"/>
      <c r="AT199" s="110"/>
      <c r="AU199" s="110"/>
      <c r="BE199" s="24"/>
      <c r="BF199" s="24"/>
      <c r="BG199" s="24"/>
      <c r="BH199" s="24"/>
      <c r="BI199" s="24"/>
    </row>
    <row r="200" spans="5:61" x14ac:dyDescent="0.25">
      <c r="E200" s="24"/>
      <c r="F200" s="39" t="s">
        <v>249</v>
      </c>
      <c r="G200" s="39">
        <v>48.875</v>
      </c>
      <c r="H200" s="39">
        <v>52.111111111111114</v>
      </c>
      <c r="I200" s="39">
        <v>49.777777777777779</v>
      </c>
      <c r="J200" s="39">
        <v>47.875</v>
      </c>
      <c r="K200" s="39">
        <v>47.857142857142854</v>
      </c>
      <c r="L200" s="39">
        <v>48.625</v>
      </c>
      <c r="M200" s="39">
        <v>48.875</v>
      </c>
      <c r="N200" s="39">
        <v>47.555555555555557</v>
      </c>
      <c r="T200" s="39" t="s">
        <v>249</v>
      </c>
      <c r="U200" s="39">
        <v>47.166666666666664</v>
      </c>
      <c r="V200" s="39">
        <v>47.5</v>
      </c>
      <c r="W200" s="39">
        <v>45.166666666666664</v>
      </c>
      <c r="X200" s="39">
        <v>43</v>
      </c>
      <c r="Y200" s="108">
        <v>45.333333333333336</v>
      </c>
      <c r="Z200" s="39">
        <v>44</v>
      </c>
      <c r="AA200" s="39">
        <v>45</v>
      </c>
      <c r="AB200" s="39">
        <v>45.5</v>
      </c>
      <c r="AC200" s="110"/>
      <c r="AD200" s="112"/>
      <c r="AE200" s="112"/>
      <c r="AF200" s="112"/>
      <c r="AG200" s="112"/>
      <c r="AH200" s="112"/>
      <c r="AI200" s="112"/>
      <c r="AJ200" s="112"/>
      <c r="AK200" s="112"/>
      <c r="AL200" s="112"/>
      <c r="AM200" s="112"/>
      <c r="AN200" s="110"/>
      <c r="AO200" s="110"/>
      <c r="AP200" s="110"/>
      <c r="AQ200" s="110"/>
      <c r="AR200" s="110"/>
      <c r="AS200" s="110"/>
      <c r="AT200" s="110"/>
      <c r="AU200" s="110"/>
      <c r="BE200" s="24"/>
      <c r="BF200" s="24"/>
      <c r="BG200" s="24"/>
      <c r="BH200" s="24"/>
      <c r="BI200" s="24"/>
    </row>
    <row r="201" spans="5:61" x14ac:dyDescent="0.25">
      <c r="E201" s="24"/>
      <c r="F201" s="39" t="s">
        <v>250</v>
      </c>
      <c r="G201" s="39">
        <v>54.533333333333331</v>
      </c>
      <c r="H201" s="39">
        <v>54.666666666666664</v>
      </c>
      <c r="I201" s="39">
        <v>53.125</v>
      </c>
      <c r="J201" s="39">
        <v>50.764705882352942</v>
      </c>
      <c r="K201" s="39">
        <v>54.3125</v>
      </c>
      <c r="L201" s="39">
        <v>52.625</v>
      </c>
      <c r="M201" s="39">
        <v>53.8</v>
      </c>
      <c r="N201" s="39">
        <v>54.2</v>
      </c>
      <c r="T201" s="39" t="s">
        <v>250</v>
      </c>
      <c r="U201" s="39">
        <v>52</v>
      </c>
      <c r="V201" s="39">
        <v>50</v>
      </c>
      <c r="W201" s="39">
        <v>48</v>
      </c>
      <c r="X201" s="39">
        <v>47.5</v>
      </c>
      <c r="Y201" s="108">
        <v>49.5</v>
      </c>
      <c r="Z201" s="39">
        <v>48</v>
      </c>
      <c r="AA201" s="39">
        <v>50</v>
      </c>
      <c r="AB201" s="39">
        <v>49.5</v>
      </c>
      <c r="AC201" s="110"/>
      <c r="AD201" s="112"/>
      <c r="AE201" s="112"/>
      <c r="AF201" s="112"/>
      <c r="AG201" s="112"/>
      <c r="AH201" s="112"/>
      <c r="AI201" s="112"/>
      <c r="AJ201" s="112"/>
      <c r="AK201" s="112"/>
      <c r="AL201" s="112"/>
      <c r="AM201" s="112"/>
      <c r="AN201" s="110"/>
      <c r="AO201" s="110"/>
      <c r="AP201" s="110"/>
      <c r="AQ201" s="110"/>
      <c r="AR201" s="110"/>
      <c r="AS201" s="110"/>
      <c r="AT201" s="110"/>
      <c r="AU201" s="110"/>
      <c r="BE201" s="24"/>
      <c r="BF201" s="24"/>
      <c r="BG201" s="24"/>
      <c r="BH201" s="24"/>
      <c r="BI201" s="24"/>
    </row>
    <row r="202" spans="5:61" x14ac:dyDescent="0.25">
      <c r="E202" s="24"/>
      <c r="F202" s="39" t="s">
        <v>251</v>
      </c>
      <c r="G202" s="39">
        <v>52.416666666666664</v>
      </c>
      <c r="H202" s="39">
        <v>50.75</v>
      </c>
      <c r="I202" s="39">
        <v>51.363636363636367</v>
      </c>
      <c r="J202" s="39">
        <v>49.833333333333336</v>
      </c>
      <c r="K202" s="39">
        <v>49.785714285714285</v>
      </c>
      <c r="L202" s="39">
        <v>49.428571428571431</v>
      </c>
      <c r="M202" s="39">
        <v>50.25</v>
      </c>
      <c r="N202" s="39">
        <v>51.823529411764703</v>
      </c>
      <c r="T202" s="39" t="s">
        <v>251</v>
      </c>
      <c r="U202" s="39">
        <v>50.666666666666664</v>
      </c>
      <c r="V202" s="39">
        <v>50</v>
      </c>
      <c r="W202" s="39">
        <v>47.666666666666664</v>
      </c>
      <c r="X202" s="39">
        <v>46.666666666666664</v>
      </c>
      <c r="Y202" s="108">
        <v>48.666666666666664</v>
      </c>
      <c r="Z202" s="39">
        <v>46.666666666666664</v>
      </c>
      <c r="AA202" s="39">
        <v>47</v>
      </c>
      <c r="AB202" s="39">
        <v>47.333333333333336</v>
      </c>
      <c r="AC202" s="110"/>
      <c r="AD202" s="112"/>
      <c r="AE202" s="112"/>
      <c r="AF202" s="112"/>
      <c r="AG202" s="112"/>
      <c r="AH202" s="112"/>
      <c r="AI202" s="112"/>
      <c r="AJ202" s="112"/>
      <c r="AK202" s="112"/>
      <c r="AL202" s="112"/>
      <c r="AM202" s="112"/>
      <c r="AN202" s="110"/>
      <c r="AO202" s="110"/>
      <c r="AP202" s="110"/>
      <c r="AQ202" s="110"/>
      <c r="AR202" s="110"/>
      <c r="AS202" s="110"/>
      <c r="AT202" s="110"/>
      <c r="AU202" s="110"/>
      <c r="BE202" s="24"/>
      <c r="BF202" s="24"/>
      <c r="BG202" s="24"/>
      <c r="BH202" s="24"/>
      <c r="BI202" s="24"/>
    </row>
    <row r="203" spans="5:61" x14ac:dyDescent="0.25">
      <c r="V203" s="110"/>
      <c r="W203" s="110"/>
      <c r="X203" s="110"/>
      <c r="Y203" s="110"/>
      <c r="Z203" s="110"/>
      <c r="AA203" s="110"/>
      <c r="AB203" s="110"/>
      <c r="AC203" s="110"/>
      <c r="AD203" s="110"/>
      <c r="AE203" s="110"/>
      <c r="AF203" s="110"/>
      <c r="AG203" s="110"/>
      <c r="AH203" s="110"/>
      <c r="AI203" s="110"/>
      <c r="AJ203" s="110"/>
      <c r="AK203" s="110"/>
      <c r="AL203" s="110"/>
      <c r="AM203" s="110"/>
      <c r="AN203" s="110"/>
      <c r="AO203" s="110"/>
      <c r="AP203" s="110"/>
      <c r="AQ203" s="110"/>
      <c r="AR203" s="110"/>
      <c r="AS203" s="110"/>
      <c r="AT203" s="110"/>
      <c r="AU203" s="110"/>
    </row>
    <row r="229" spans="5:37" x14ac:dyDescent="0.25">
      <c r="E229" s="736" t="s">
        <v>325</v>
      </c>
      <c r="F229" s="737"/>
      <c r="G229" s="737"/>
      <c r="H229" s="737"/>
      <c r="I229" s="737"/>
      <c r="J229" s="737"/>
      <c r="K229" s="737"/>
      <c r="L229" s="737"/>
      <c r="M229" s="737"/>
      <c r="N229" s="737"/>
      <c r="O229" s="737"/>
      <c r="P229" s="737"/>
      <c r="Q229" s="737"/>
      <c r="R229" s="737"/>
      <c r="S229" s="737"/>
      <c r="T229" s="737"/>
      <c r="U229" s="737"/>
      <c r="V229" s="737"/>
      <c r="W229" s="737"/>
      <c r="X229" s="737"/>
      <c r="Y229" s="737"/>
    </row>
    <row r="230" spans="5:37" x14ac:dyDescent="0.25">
      <c r="E230" s="130"/>
      <c r="F230" s="736">
        <v>2016</v>
      </c>
      <c r="G230" s="737"/>
      <c r="H230" s="737"/>
      <c r="I230" s="854"/>
      <c r="J230" s="736">
        <v>2017</v>
      </c>
      <c r="K230" s="737"/>
      <c r="L230" s="737"/>
      <c r="M230" s="854"/>
      <c r="N230" s="736">
        <v>2018</v>
      </c>
      <c r="O230" s="737"/>
      <c r="P230" s="737"/>
      <c r="Q230" s="854"/>
      <c r="R230" s="736">
        <v>2019</v>
      </c>
      <c r="S230" s="737"/>
      <c r="T230" s="737"/>
      <c r="U230" s="854"/>
      <c r="V230" s="736">
        <v>2020</v>
      </c>
      <c r="W230" s="737"/>
      <c r="X230" s="737"/>
      <c r="Y230" s="737"/>
      <c r="Z230" s="736">
        <v>2021</v>
      </c>
      <c r="AA230" s="737"/>
      <c r="AB230" s="737"/>
      <c r="AC230" s="737"/>
      <c r="AD230" s="736">
        <v>2022</v>
      </c>
      <c r="AE230" s="737"/>
      <c r="AF230" s="737"/>
      <c r="AG230" s="737"/>
      <c r="AH230" s="736">
        <v>2023</v>
      </c>
      <c r="AI230" s="737"/>
      <c r="AJ230" s="737"/>
      <c r="AK230" s="737"/>
    </row>
    <row r="231" spans="5:37" x14ac:dyDescent="0.25">
      <c r="E231" s="129"/>
      <c r="F231" s="132" t="s">
        <v>10</v>
      </c>
      <c r="G231" s="129" t="s">
        <v>0</v>
      </c>
      <c r="H231" s="129" t="s">
        <v>323</v>
      </c>
      <c r="I231" s="129" t="s">
        <v>324</v>
      </c>
      <c r="J231" s="132" t="s">
        <v>10</v>
      </c>
      <c r="K231" s="132" t="s">
        <v>0</v>
      </c>
      <c r="L231" s="129" t="s">
        <v>323</v>
      </c>
      <c r="M231" s="129" t="s">
        <v>324</v>
      </c>
      <c r="N231" s="132" t="s">
        <v>10</v>
      </c>
      <c r="O231" s="132" t="s">
        <v>0</v>
      </c>
      <c r="P231" s="129" t="s">
        <v>323</v>
      </c>
      <c r="Q231" s="129" t="s">
        <v>324</v>
      </c>
      <c r="R231" s="132" t="s">
        <v>10</v>
      </c>
      <c r="S231" s="132" t="s">
        <v>0</v>
      </c>
      <c r="T231" s="129" t="s">
        <v>323</v>
      </c>
      <c r="U231" s="129" t="s">
        <v>324</v>
      </c>
      <c r="V231" s="132" t="s">
        <v>10</v>
      </c>
      <c r="W231" s="132" t="s">
        <v>0</v>
      </c>
      <c r="X231" s="129" t="s">
        <v>323</v>
      </c>
      <c r="Y231" s="129" t="s">
        <v>324</v>
      </c>
      <c r="Z231" s="439" t="s">
        <v>10</v>
      </c>
      <c r="AA231" s="439" t="s">
        <v>0</v>
      </c>
      <c r="AB231" s="434" t="s">
        <v>323</v>
      </c>
      <c r="AC231" s="434" t="s">
        <v>324</v>
      </c>
      <c r="AD231" s="570" t="s">
        <v>10</v>
      </c>
      <c r="AE231" s="570" t="s">
        <v>0</v>
      </c>
      <c r="AF231" s="569" t="s">
        <v>323</v>
      </c>
      <c r="AG231" s="569" t="s">
        <v>324</v>
      </c>
      <c r="AH231" s="679" t="s">
        <v>10</v>
      </c>
      <c r="AI231" s="679" t="s">
        <v>0</v>
      </c>
      <c r="AJ231" s="677" t="s">
        <v>323</v>
      </c>
      <c r="AK231" s="677" t="s">
        <v>324</v>
      </c>
    </row>
    <row r="232" spans="5:37" x14ac:dyDescent="0.25">
      <c r="E232" s="127">
        <v>1</v>
      </c>
      <c r="F232" s="87">
        <f>$F10</f>
        <v>0.17</v>
      </c>
      <c r="G232" s="87">
        <f>$F11</f>
        <v>0.13</v>
      </c>
      <c r="H232" s="87">
        <f>$F12</f>
        <v>0.16</v>
      </c>
      <c r="I232" s="87">
        <f>$F14</f>
        <v>0.11</v>
      </c>
      <c r="J232" s="87">
        <f>$R10</f>
        <v>0.17</v>
      </c>
      <c r="K232" s="87">
        <f>$R11</f>
        <v>0.13</v>
      </c>
      <c r="L232" s="87">
        <f>$R12</f>
        <v>0.16</v>
      </c>
      <c r="M232" s="87">
        <f>$R14</f>
        <v>0.11</v>
      </c>
      <c r="N232" s="87">
        <f>$AD10</f>
        <v>0.25</v>
      </c>
      <c r="O232" s="87">
        <f>$AD11</f>
        <v>0.21</v>
      </c>
      <c r="P232" s="87">
        <f>$AD12</f>
        <v>0.25</v>
      </c>
      <c r="Q232" s="87">
        <f>$AD14</f>
        <v>0.16</v>
      </c>
      <c r="R232" s="87">
        <f>$AP10</f>
        <v>0.32</v>
      </c>
      <c r="S232" s="87">
        <f>$AP11</f>
        <v>0.26</v>
      </c>
      <c r="T232" s="87">
        <f>$AP12</f>
        <v>0.31</v>
      </c>
      <c r="U232" s="87">
        <f>$AP14</f>
        <v>0.21</v>
      </c>
      <c r="V232" s="87">
        <f>$BB10</f>
        <v>0.27</v>
      </c>
      <c r="W232" s="87">
        <f>$BB11</f>
        <v>0.19</v>
      </c>
      <c r="X232" s="87">
        <f>$BB12</f>
        <v>0.22</v>
      </c>
      <c r="Y232" s="87">
        <f>$BB14</f>
        <v>0.16</v>
      </c>
      <c r="Z232" s="452">
        <f>$BP$10</f>
        <v>0.31</v>
      </c>
      <c r="AA232" s="452">
        <f>$BP$11</f>
        <v>0.23</v>
      </c>
      <c r="AB232" s="87">
        <f>$BP12</f>
        <v>0.28000000000000003</v>
      </c>
      <c r="AC232" s="87">
        <f>$BP14</f>
        <v>0.19</v>
      </c>
      <c r="AD232" s="452">
        <f>$CD$10</f>
        <v>0.28999999999999998</v>
      </c>
      <c r="AE232" s="452">
        <f>$CD$11</f>
        <v>0.21</v>
      </c>
      <c r="AF232" s="452">
        <f>$CD$12</f>
        <v>0.25</v>
      </c>
      <c r="AG232" s="452">
        <f>$CD$14</f>
        <v>0.16</v>
      </c>
      <c r="AH232" s="641">
        <v>0.27</v>
      </c>
      <c r="AI232" s="642">
        <v>0.2</v>
      </c>
      <c r="AJ232" s="643">
        <v>0.24</v>
      </c>
      <c r="AK232" s="643">
        <v>0.14000000000000001</v>
      </c>
    </row>
    <row r="233" spans="5:37" x14ac:dyDescent="0.25">
      <c r="E233" s="127">
        <v>2</v>
      </c>
      <c r="F233" s="87">
        <f>$G10</f>
        <v>0.47</v>
      </c>
      <c r="G233" s="87">
        <f>$G11</f>
        <v>0.52</v>
      </c>
      <c r="H233" s="87">
        <f>$G12</f>
        <v>0.55000000000000004</v>
      </c>
      <c r="I233" s="87">
        <f>$G14</f>
        <v>0.5</v>
      </c>
      <c r="J233" s="87">
        <f>$S10</f>
        <v>0.47</v>
      </c>
      <c r="K233" s="87">
        <f>$S11</f>
        <v>0.51</v>
      </c>
      <c r="L233" s="87">
        <f>$S12</f>
        <v>0.54</v>
      </c>
      <c r="M233" s="87">
        <f>$S14</f>
        <v>0.48</v>
      </c>
      <c r="N233" s="87">
        <f>$AE10</f>
        <v>0.43</v>
      </c>
      <c r="O233" s="87">
        <f>$AE11</f>
        <v>0.49</v>
      </c>
      <c r="P233" s="87">
        <f>$AE12</f>
        <v>0.51</v>
      </c>
      <c r="Q233" s="87">
        <f>$AE14</f>
        <v>0.47</v>
      </c>
      <c r="R233" s="87">
        <f>$AQ10</f>
        <v>0.41</v>
      </c>
      <c r="S233" s="87">
        <f>$AQ11</f>
        <v>0.47</v>
      </c>
      <c r="T233" s="87">
        <f>$AQ12</f>
        <v>0.48</v>
      </c>
      <c r="U233" s="87">
        <f>$AQ14</f>
        <v>0.46</v>
      </c>
      <c r="V233" s="87">
        <f>$BC10</f>
        <v>0.42</v>
      </c>
      <c r="W233" s="87">
        <f>$BC11</f>
        <v>0.47</v>
      </c>
      <c r="X233" s="87">
        <f>$BC12</f>
        <v>0.5</v>
      </c>
      <c r="Y233" s="87">
        <f>$BC14</f>
        <v>0.45</v>
      </c>
      <c r="Z233" s="87">
        <f>$BQ10</f>
        <v>0.42</v>
      </c>
      <c r="AA233" s="87">
        <f>$BQ11</f>
        <v>0.48</v>
      </c>
      <c r="AB233" s="87">
        <f>$BQ12</f>
        <v>0.5</v>
      </c>
      <c r="AC233" s="87">
        <f>$BQ14</f>
        <v>0.45</v>
      </c>
      <c r="AD233" s="87">
        <f>$CE10</f>
        <v>0.41</v>
      </c>
      <c r="AE233" s="87">
        <f>$CE11</f>
        <v>0.46</v>
      </c>
      <c r="AF233" s="87">
        <f>$CE12</f>
        <v>0.5</v>
      </c>
      <c r="AG233" s="87">
        <f>$CE14</f>
        <v>0.42</v>
      </c>
      <c r="AH233" s="641">
        <v>0.42</v>
      </c>
      <c r="AI233" s="642">
        <v>0.48</v>
      </c>
      <c r="AJ233" s="643">
        <v>0.51</v>
      </c>
      <c r="AK233" s="643">
        <v>0.44</v>
      </c>
    </row>
    <row r="234" spans="5:37" x14ac:dyDescent="0.25">
      <c r="E234" s="127">
        <v>3</v>
      </c>
      <c r="F234" s="87">
        <f>$H10</f>
        <v>0.32</v>
      </c>
      <c r="G234" s="87">
        <f>$H11</f>
        <v>0.33</v>
      </c>
      <c r="H234" s="87">
        <f>$H12</f>
        <v>0.28000000000000003</v>
      </c>
      <c r="I234" s="87">
        <f>$H14</f>
        <v>0.38</v>
      </c>
      <c r="J234" s="87">
        <f>$T10</f>
        <v>0.32</v>
      </c>
      <c r="K234" s="87">
        <f>$T11</f>
        <v>0.33</v>
      </c>
      <c r="L234" s="87">
        <f>$T12</f>
        <v>0.28999999999999998</v>
      </c>
      <c r="M234" s="87">
        <f>$T14</f>
        <v>0.39</v>
      </c>
      <c r="N234" s="87">
        <f>$AF10</f>
        <v>0.28000000000000003</v>
      </c>
      <c r="O234" s="87">
        <f>$AF11</f>
        <v>0.28999999999999998</v>
      </c>
      <c r="P234" s="87">
        <f>$AF12</f>
        <v>0.24</v>
      </c>
      <c r="Q234" s="87">
        <f>$AF14</f>
        <v>0.35</v>
      </c>
      <c r="R234" s="87">
        <f>$AR10</f>
        <v>0.24</v>
      </c>
      <c r="S234" s="87">
        <f>$AR11</f>
        <v>0.25</v>
      </c>
      <c r="T234" s="87">
        <f>$AR12</f>
        <v>0.2</v>
      </c>
      <c r="U234" s="87">
        <f>$AR14</f>
        <v>0.31</v>
      </c>
      <c r="V234" s="87">
        <f>$BD10</f>
        <v>0.27</v>
      </c>
      <c r="W234" s="87">
        <f>$BD11</f>
        <v>0.31</v>
      </c>
      <c r="X234" s="87">
        <f>$BD12</f>
        <v>0.26</v>
      </c>
      <c r="Y234" s="87">
        <f>$BD14</f>
        <v>0.36</v>
      </c>
      <c r="Z234" s="87">
        <f>$BR10</f>
        <v>0.24</v>
      </c>
      <c r="AA234" s="87">
        <f>$BR11</f>
        <v>0.27</v>
      </c>
      <c r="AB234" s="87">
        <f>$BR12</f>
        <v>0.21</v>
      </c>
      <c r="AC234" s="87">
        <f>$BR14</f>
        <v>0.33</v>
      </c>
      <c r="AD234" s="87">
        <f>$CF10</f>
        <v>0.27</v>
      </c>
      <c r="AE234" s="87">
        <f>$CF11</f>
        <v>0.31</v>
      </c>
      <c r="AF234" s="87">
        <f>$CF12</f>
        <v>0.23</v>
      </c>
      <c r="AG234" s="87">
        <f>$CF14</f>
        <v>0.39</v>
      </c>
      <c r="AH234" s="641">
        <v>0.27</v>
      </c>
      <c r="AI234" s="642">
        <v>0.31</v>
      </c>
      <c r="AJ234" s="643">
        <v>0.24</v>
      </c>
      <c r="AK234" s="643">
        <v>0.38</v>
      </c>
    </row>
    <row r="235" spans="5:37" x14ac:dyDescent="0.25">
      <c r="E235" s="127">
        <v>4</v>
      </c>
      <c r="F235" s="87">
        <f>$I10</f>
        <v>0.03</v>
      </c>
      <c r="G235" s="87">
        <f>$I11</f>
        <v>0.01</v>
      </c>
      <c r="H235" s="87">
        <f>$I12</f>
        <v>0.01</v>
      </c>
      <c r="I235" s="87">
        <f>$I14</f>
        <v>0.02</v>
      </c>
      <c r="J235" s="87">
        <f>$U10</f>
        <v>0.04</v>
      </c>
      <c r="K235" s="87">
        <f>$U11</f>
        <v>0.02</v>
      </c>
      <c r="L235" s="87">
        <f>$U12</f>
        <v>0.01</v>
      </c>
      <c r="M235" s="87">
        <f>$U14</f>
        <v>0.03</v>
      </c>
      <c r="N235" s="87">
        <f>$AG10</f>
        <v>0.04</v>
      </c>
      <c r="O235" s="87">
        <f>$AG11</f>
        <v>0.02</v>
      </c>
      <c r="P235" s="87">
        <f>$AG12</f>
        <v>0.01</v>
      </c>
      <c r="Q235" s="87">
        <f>$AG14</f>
        <v>0.03</v>
      </c>
      <c r="R235" s="87">
        <f>$AS10</f>
        <v>0.03</v>
      </c>
      <c r="S235" s="87">
        <f>$AS11</f>
        <v>0.01</v>
      </c>
      <c r="T235" s="87">
        <f>$AS12</f>
        <v>0.01</v>
      </c>
      <c r="U235" s="87">
        <f>$AS14</f>
        <v>0.02</v>
      </c>
      <c r="V235" s="87">
        <f>$BE10</f>
        <v>0.04</v>
      </c>
      <c r="W235" s="87">
        <f>$BE11</f>
        <v>0.02</v>
      </c>
      <c r="X235" s="87">
        <f>$BE12</f>
        <v>0.01</v>
      </c>
      <c r="Y235" s="87">
        <f>$BE14</f>
        <v>0.03</v>
      </c>
      <c r="Z235" s="87">
        <f>$BS10</f>
        <v>0.03</v>
      </c>
      <c r="AA235" s="87">
        <f>$BS11</f>
        <v>0.02</v>
      </c>
      <c r="AB235" s="87">
        <f>$BS12</f>
        <v>0.01</v>
      </c>
      <c r="AC235" s="87">
        <f>$BS14</f>
        <v>0.03</v>
      </c>
      <c r="AD235" s="87">
        <f>$CG10</f>
        <v>0.03</v>
      </c>
      <c r="AE235" s="87">
        <f>$CG11</f>
        <v>0.02</v>
      </c>
      <c r="AF235" s="87">
        <f>$CG12</f>
        <v>0.01</v>
      </c>
      <c r="AG235" s="87">
        <f>$CG14</f>
        <v>0.03</v>
      </c>
      <c r="AH235" s="641">
        <v>0.04</v>
      </c>
      <c r="AI235" s="642">
        <v>0.02</v>
      </c>
      <c r="AJ235" s="643">
        <v>0.01</v>
      </c>
      <c r="AK235" s="643">
        <v>0.03</v>
      </c>
    </row>
    <row r="271" spans="5:29" x14ac:dyDescent="0.25">
      <c r="E271" s="267"/>
      <c r="F271" s="853">
        <v>2016</v>
      </c>
      <c r="G271" s="853"/>
      <c r="H271" s="853"/>
      <c r="I271" s="853"/>
      <c r="J271" s="853">
        <v>2017</v>
      </c>
      <c r="K271" s="853"/>
      <c r="L271" s="853"/>
      <c r="M271" s="853"/>
      <c r="N271" s="853">
        <v>2018</v>
      </c>
      <c r="O271" s="853"/>
      <c r="P271" s="853"/>
      <c r="Q271" s="853"/>
      <c r="R271" s="853">
        <v>2019</v>
      </c>
      <c r="S271" s="853"/>
      <c r="T271" s="853"/>
      <c r="U271" s="853"/>
      <c r="V271" s="853">
        <v>2020</v>
      </c>
      <c r="W271" s="853"/>
      <c r="X271" s="853"/>
      <c r="Y271" s="853"/>
      <c r="Z271" s="853">
        <v>2021</v>
      </c>
      <c r="AA271" s="853"/>
      <c r="AB271" s="853"/>
      <c r="AC271" s="853"/>
    </row>
    <row r="272" spans="5:29" x14ac:dyDescent="0.25">
      <c r="E272" s="267"/>
      <c r="F272" s="267">
        <v>1</v>
      </c>
      <c r="G272" s="267">
        <v>2</v>
      </c>
      <c r="H272" s="267">
        <v>3</v>
      </c>
      <c r="I272" s="267">
        <v>4</v>
      </c>
      <c r="J272" s="267">
        <v>1</v>
      </c>
      <c r="K272" s="267">
        <v>2</v>
      </c>
      <c r="L272" s="267">
        <v>3</v>
      </c>
      <c r="M272" s="267">
        <v>4</v>
      </c>
      <c r="N272" s="267">
        <v>1</v>
      </c>
      <c r="O272" s="267">
        <v>2</v>
      </c>
      <c r="P272" s="267">
        <v>3</v>
      </c>
      <c r="Q272" s="267">
        <v>4</v>
      </c>
      <c r="R272" s="267">
        <v>1</v>
      </c>
      <c r="S272" s="267">
        <v>2</v>
      </c>
      <c r="T272" s="267">
        <v>3</v>
      </c>
      <c r="U272" s="267">
        <v>4</v>
      </c>
      <c r="V272" s="267">
        <v>1</v>
      </c>
      <c r="W272" s="267">
        <v>2</v>
      </c>
      <c r="X272" s="267">
        <v>3</v>
      </c>
      <c r="Y272" s="267">
        <v>4</v>
      </c>
      <c r="Z272" s="434">
        <v>1</v>
      </c>
      <c r="AA272" s="434">
        <v>2</v>
      </c>
      <c r="AB272" s="434">
        <v>3</v>
      </c>
      <c r="AC272" s="434">
        <v>4</v>
      </c>
    </row>
    <row r="273" spans="5:29" x14ac:dyDescent="0.25">
      <c r="E273" s="39" t="s">
        <v>246</v>
      </c>
      <c r="F273" s="65">
        <f>AVERAGEIF($C$36:$C$167,"=1",$F$36:$F$167)</f>
        <v>0.1735294117647059</v>
      </c>
      <c r="G273" s="65">
        <f>AVERAGEIF($C$36:$C$167,"=1",$G$36:$G$167)</f>
        <v>0.53647058823529414</v>
      </c>
      <c r="H273" s="65">
        <f>AVERAGEIF($C$36:$C$167,"=1",$H$36:$H$167)</f>
        <v>0.28764705882352942</v>
      </c>
      <c r="I273" s="65">
        <f>AVERAGEIF($C$36:$C$167,"=1",$I$36:$I$167)</f>
        <v>1.764705882352941E-3</v>
      </c>
      <c r="J273" s="65">
        <f>AVERAGEIF($C$36:$C$167,"=1",$R$36:$R$167)</f>
        <v>0.15624999999999994</v>
      </c>
      <c r="K273" s="65">
        <f>AVERAGEIF($C$36:$C$167,"=1",$S$36:$S$167)</f>
        <v>0.51500000000000001</v>
      </c>
      <c r="L273" s="65">
        <f>AVERAGEIF($C$36:$C$167,"=1",$T$36:$T$167)</f>
        <v>0.30875000000000002</v>
      </c>
      <c r="M273" s="65">
        <f>AVERAGEIF($C$36:$C$167,"=1",$U$36:$U$167)</f>
        <v>1.9374999999999996E-2</v>
      </c>
      <c r="N273" s="65">
        <f>AVERAGEIF($C$36:$C$167,"=1",$AD$36:$AD$167)</f>
        <v>0.23117647058823532</v>
      </c>
      <c r="O273" s="65">
        <f>AVERAGEIF($C$36:$C$167,"=1",$AE$36:$AE$167)</f>
        <v>0.49411764705882355</v>
      </c>
      <c r="P273" s="65">
        <f>AVERAGEIF($C$36:$C$167,"=1",$AF$36:$AF$167)</f>
        <v>0.25352941176470584</v>
      </c>
      <c r="Q273" s="65">
        <f>AVERAGEIF($C$36:$C$167,"=1",$AG$36:$AG$167)</f>
        <v>2.2352941176470589E-2</v>
      </c>
      <c r="R273" s="65">
        <f>AVERAGEIF($C$36:$C$167,"=1",$AP$36:$AP$167)</f>
        <v>0.29705882352941188</v>
      </c>
      <c r="S273" s="65">
        <f>AVERAGEIF($C$36:$C$167,"=1",$AQ$36:$AQ$167)</f>
        <v>0.48235294117647065</v>
      </c>
      <c r="T273" s="65">
        <f>AVERAGEIF($C$36:$C$167,"=1",$AR$36:$AR$167)</f>
        <v>0.21411764705882352</v>
      </c>
      <c r="U273" s="65">
        <f>AVERAGEIF($C$36:$C$167,"=1",$AS$36:$AS$167)</f>
        <v>8.8235294117647058E-3</v>
      </c>
      <c r="V273" s="65">
        <f>AVERAGEIF($C$36:$C$167,"=1",$BB$36:$BB$167)</f>
        <v>0.20705882352941171</v>
      </c>
      <c r="W273" s="65">
        <f>AVERAGEIF($C$36:$C$167,"=1",$BC$36:$BC$167)</f>
        <v>0.47764705882352937</v>
      </c>
      <c r="X273" s="65">
        <f>AVERAGEIF($C$36:$C$167,"=1",$BD$36:$BD$167)</f>
        <v>0.29647058823529415</v>
      </c>
      <c r="Y273" s="65">
        <f>AVERAGEIF($C$36:$C$167,"=1",$BE$36:$BE$167)</f>
        <v>1.8823529411764708E-2</v>
      </c>
      <c r="Z273" s="65">
        <f>AVERAGEIF($C$36:$C$167,"=1",$BP$36:$BP$167)</f>
        <v>0.21411764705882352</v>
      </c>
      <c r="AA273" s="65">
        <f>AVERAGEIF($C$36:$C$167,"=1",$BQ$36:$BQ$167)</f>
        <v>0.53117647058823536</v>
      </c>
      <c r="AB273" s="65">
        <f>AVERAGEIF($C$36:$C$167,"=1",$BR$36:$BR$167)</f>
        <v>0.24117647058823527</v>
      </c>
      <c r="AC273" s="65">
        <f>AVERAGEIF($C$36:$C$167,"=1",$BS$36:$BS$167)</f>
        <v>1.3529411764705882E-2</v>
      </c>
    </row>
    <row r="274" spans="5:29" x14ac:dyDescent="0.25">
      <c r="E274" s="39" t="s">
        <v>247</v>
      </c>
      <c r="F274" s="65">
        <f>AVERAGEIF($C$36:$C$167,"=2",$F$36:$F$167)</f>
        <v>0.13</v>
      </c>
      <c r="G274" s="65">
        <f>AVERAGEIF($C$36:$C$167,"=2",$G$36:$G$167)</f>
        <v>0.45050000000000001</v>
      </c>
      <c r="H274" s="65">
        <f>AVERAGEIF($C$36:$C$167,"=2",$H$36:$H$167)</f>
        <v>0.40500000000000008</v>
      </c>
      <c r="I274" s="65">
        <f>AVERAGEIF($C$36:$C$167,"=2",$I$36:$I$167)</f>
        <v>1.5000000000000003E-2</v>
      </c>
      <c r="J274" s="65">
        <f>AVERAGEIF($C$36:$C$167,"=2",$R$36:$R$167)</f>
        <v>0.13473684210526315</v>
      </c>
      <c r="K274" s="65">
        <f>AVERAGEIF($C$36:$C$167,"=2",$S$36:$S$167)</f>
        <v>0.47736842105263166</v>
      </c>
      <c r="L274" s="65">
        <f>AVERAGEIF($C$36:$C$167,"=2",$T$36:$T$167)</f>
        <v>0.36315789473684207</v>
      </c>
      <c r="M274" s="65">
        <f>AVERAGEIF($C$36:$C$167,"=2",$U$36:$U$167)</f>
        <v>2.68421052631579E-2</v>
      </c>
      <c r="N274" s="65">
        <f>AVERAGEIF($C$36:$C$167,"=2",$AD$36:$AD$167)</f>
        <v>0.22368421052631585</v>
      </c>
      <c r="O274" s="65">
        <f>AVERAGEIF($C$36:$C$167,"=2",$AE$36:$AE$167)</f>
        <v>0.42473684210526308</v>
      </c>
      <c r="P274" s="65">
        <f>AVERAGEIF($C$36:$C$167,"=2",$AF$36:$AF$167)</f>
        <v>0.3242105263157895</v>
      </c>
      <c r="Q274" s="65">
        <f>AVERAGEIF($C$36:$C$167,"=2",$AG$36:$AG$167)</f>
        <v>2.8947368421052635E-2</v>
      </c>
      <c r="R274" s="65">
        <f>AVERAGEIF($C$36:$C$167,"=2",$AP$36:$AP$167)</f>
        <v>0.20400000000000001</v>
      </c>
      <c r="S274" s="65">
        <f>AVERAGEIF($C$36:$C$167,"=2",$AQ$36:$AQ$167)</f>
        <v>0.47749999999999992</v>
      </c>
      <c r="T274" s="65">
        <f>AVERAGEIF($C$36:$C$167,"=2",$AR$36:$AR$167)</f>
        <v>0.30099999999999993</v>
      </c>
      <c r="U274" s="65">
        <f>AVERAGEIF($C$36:$C$167,"=2",$AS$36:$AS$167)</f>
        <v>1.8500000000000006E-2</v>
      </c>
      <c r="V274" s="65">
        <f>AVERAGEIF($C$36:$C$167,"=2",$BB$36:$BB$167)</f>
        <v>0.2108333333333334</v>
      </c>
      <c r="W274" s="65">
        <f>AVERAGEIF($C$36:$C$167,"=2",$BC$36:$BC$167)</f>
        <v>0.46083333333333337</v>
      </c>
      <c r="X274" s="65">
        <f>AVERAGEIF($C$36:$C$167,"=2",$BD$36:$BD$167)</f>
        <v>0.29958333333333337</v>
      </c>
      <c r="Y274" s="65">
        <f>AVERAGEIF($C$36:$C$167,"=2",$BE$36:$BE$167)</f>
        <v>0.03</v>
      </c>
      <c r="Z274" s="65">
        <f>AVERAGEIF($C$36:$C$167,"=2",$BP$36:$BP$167)</f>
        <v>0.26727272727272733</v>
      </c>
      <c r="AA274" s="65">
        <f>AVERAGEIF($C$36:$C$167,"=2",$BQ$36:$BQ$167)</f>
        <v>0.42818181818181827</v>
      </c>
      <c r="AB274" s="65">
        <f>AVERAGEIF($C$36:$C$167,"=2",$BR$36:$BR$167)</f>
        <v>0.2845454545454546</v>
      </c>
      <c r="AC274" s="65">
        <f>AVERAGEIF($C$36:$C$167,"=2",$BS$36:$BS$167)</f>
        <v>2.3181818181818178E-2</v>
      </c>
    </row>
    <row r="275" spans="5:29" x14ac:dyDescent="0.25">
      <c r="E275" s="39" t="s">
        <v>248</v>
      </c>
      <c r="F275" s="65">
        <f>AVERAGEIF($C$36:$C$167,"=3",$F$36:$F$167)</f>
        <v>0.10944444444444446</v>
      </c>
      <c r="G275" s="65">
        <f>AVERAGEIF($C$36:$C$167,"=3",$G$36:$G$167)</f>
        <v>0.53277777777777791</v>
      </c>
      <c r="H275" s="65">
        <f>AVERAGEIF($C$36:$C$167,"=3",$H$36:$H$167)</f>
        <v>0.34833333333333338</v>
      </c>
      <c r="I275" s="65">
        <f>AVERAGEIF($C$36:$C$167,"=3",$I$36:$I$167)</f>
        <v>1.2222222222222225E-2</v>
      </c>
      <c r="J275" s="65">
        <f>AVERAGEIF($C$36:$C$167,"=3",$R$36:$R$167)</f>
        <v>0.10526315789473686</v>
      </c>
      <c r="K275" s="65">
        <f>AVERAGEIF($C$36:$C$167,"=3",$S$36:$S$167)</f>
        <v>0.50684210526315787</v>
      </c>
      <c r="L275" s="65">
        <f>AVERAGEIF($C$36:$C$167,"=3",$T$36:$T$167)</f>
        <v>0.35894736842105263</v>
      </c>
      <c r="M275" s="65">
        <f>AVERAGEIF($C$36:$C$167,"=3",$U$36:$U$167)</f>
        <v>3.0000000000000002E-2</v>
      </c>
      <c r="N275" s="65">
        <f>AVERAGEIF($C$36:$C$167,"=3",$AD$36:$AD$167)</f>
        <v>0.16210526315789472</v>
      </c>
      <c r="O275" s="65">
        <f>AVERAGEIF($C$36:$C$167,"=3",$AE$36:$AE$167)</f>
        <v>0.47578947368421065</v>
      </c>
      <c r="P275" s="65">
        <f>AVERAGEIF($C$36:$C$167,"=3",$AF$36:$AF$167)</f>
        <v>0.34052631578947362</v>
      </c>
      <c r="Q275" s="65">
        <f>AVERAGEIF($C$36:$C$167,"=3",$AG$36:$AG$167)</f>
        <v>1.947368421052632E-2</v>
      </c>
      <c r="R275" s="65">
        <f>AVERAGEIF($C$36:$C$167,"=3",$AP$36:$AP$167)</f>
        <v>0.24631578947368418</v>
      </c>
      <c r="S275" s="65">
        <f>AVERAGEIF($C$36:$C$167,"=3",$AQ$36:$AQ$167)</f>
        <v>0.47263157894736846</v>
      </c>
      <c r="T275" s="65">
        <f>AVERAGEIF($C$36:$C$167,"=3",$AR$36:$AR$167)</f>
        <v>0.26736842105263159</v>
      </c>
      <c r="U275" s="65">
        <f>AVERAGEIF($C$36:$C$167,"=3",$AS$36:$AS$167)</f>
        <v>1.368421052631579E-2</v>
      </c>
      <c r="V275" s="65">
        <f>AVERAGEIF($C$36:$C$167,"=3",$BB$36:$BB$167)</f>
        <v>0.15950000000000003</v>
      </c>
      <c r="W275" s="65">
        <f>AVERAGEIF($C$36:$C$167,"=3",$BC$36:$BC$167)</f>
        <v>0.46599999999999991</v>
      </c>
      <c r="X275" s="65">
        <f>AVERAGEIF($C$36:$C$167,"=3",$BD$36:$BD$167)</f>
        <v>0.33950000000000002</v>
      </c>
      <c r="Y275" s="65">
        <f>AVERAGEIF($C$36:$C$167,"=3",$BE$36:$BE$167)</f>
        <v>3.5500000000000004E-2</v>
      </c>
      <c r="Z275" s="65">
        <f>AVERAGEIF($C$36:$C$167,"=3",$BP$36:$BP$167)</f>
        <v>0.20500000000000002</v>
      </c>
      <c r="AA275" s="65">
        <f>AVERAGEIF($C$36:$C$167,"=3",$BQ$36:$BQ$167)</f>
        <v>0.47050000000000003</v>
      </c>
      <c r="AB275" s="65">
        <f>AVERAGEIF($C$36:$C$167,"=3",$BR$36:$BR$167)</f>
        <v>0.30399999999999999</v>
      </c>
      <c r="AC275" s="65">
        <f>AVERAGEIF($C$36:$C$167,"=3",$BS$36:$BS$167)</f>
        <v>2.1499999999999998E-2</v>
      </c>
    </row>
    <row r="276" spans="5:29" x14ac:dyDescent="0.25">
      <c r="E276" s="39" t="s">
        <v>249</v>
      </c>
      <c r="F276" s="65">
        <f>AVERAGEIF($C$36:$C$167,"=4",$F$36:$F$167)</f>
        <v>0.27714285714285719</v>
      </c>
      <c r="G276" s="65">
        <f t="shared" ref="G276:G278" si="166">AVERAGEIF($C$36:$C$167,"=1",$G$36:$G$167)</f>
        <v>0.53647058823529414</v>
      </c>
      <c r="H276" s="65">
        <f>AVERAGEIF($C$36:$C$167,"=4",$H$36:$H$167)</f>
        <v>0.22</v>
      </c>
      <c r="I276" s="65">
        <f>AVERAGEIF($C$36:$C$167,"=4",$I$36:$I$167)</f>
        <v>2.8571428571428571E-3</v>
      </c>
      <c r="J276" s="65">
        <f>AVERAGEIF($C$36:$C$167,"=4",$R$36:$R$167)</f>
        <v>0.18866666666666662</v>
      </c>
      <c r="K276" s="65">
        <f>AVERAGEIF($C$36:$C$167,"=4",$S$36:$S$167)</f>
        <v>0.46866666666666673</v>
      </c>
      <c r="L276" s="65">
        <f>AVERAGEIF($C$36:$C$167,"=4",$T$36:$T$167)</f>
        <v>0.33399999999999996</v>
      </c>
      <c r="M276" s="65">
        <f>AVERAGEIF($C$36:$C$167,"=4",$U$36:$U$167)</f>
        <v>8.6666666666666663E-3</v>
      </c>
      <c r="N276" s="65">
        <f>AVERAGEIF($C$36:$C$167,"=4",$AD$36:$AD$167)</f>
        <v>0.25266666666666671</v>
      </c>
      <c r="O276" s="65">
        <f>AVERAGEIF($C$36:$C$167,"=4",$AE$36:$AE$167)</f>
        <v>0.55400000000000005</v>
      </c>
      <c r="P276" s="65">
        <f>AVERAGEIF($C$36:$C$167,"=4",$AF$36:$AF$167)</f>
        <v>0.1846666666666667</v>
      </c>
      <c r="Q276" s="65">
        <f>AVERAGEIF($C$36:$C$167,"=4",$AG$36:$AG$167)</f>
        <v>1.0000000000000002E-2</v>
      </c>
      <c r="R276" s="65">
        <f>AVERAGEIF($C$36:$C$167,"=4",$AP$36:$AP$167)</f>
        <v>0.35642857142857148</v>
      </c>
      <c r="S276" s="65">
        <f>AVERAGEIF($C$36:$C$167,"=4",$AQ$36:$AQ$167)</f>
        <v>0.42571428571428571</v>
      </c>
      <c r="T276" s="65">
        <f>AVERAGEIF($C$36:$C$167,"=4",$AR$36:$AR$167)</f>
        <v>0.21071428571428569</v>
      </c>
      <c r="U276" s="65">
        <f>AVERAGEIF($C$36:$C$167,"=4",$AS$36:$AS$167)</f>
        <v>4.9999999999999992E-3</v>
      </c>
      <c r="V276" s="65">
        <f>AVERAGEIF($C$36:$C$167,"=4",$BB$36:$BB$167)</f>
        <v>0.29230769230769232</v>
      </c>
      <c r="W276" s="65">
        <f>AVERAGEIF($C$36:$C$167,"=4",$BC$36:$BC$167)</f>
        <v>0.47230769230769226</v>
      </c>
      <c r="X276" s="65">
        <f>AVERAGEIF($C$36:$C$167,"=4",$BD$36:$BD$167)</f>
        <v>0.23461538461538461</v>
      </c>
      <c r="Y276" s="65">
        <f>AVERAGEIF($C$36:$C$167,"=4",$BE$36:$BE$167)</f>
        <v>3.0769230769230769E-3</v>
      </c>
      <c r="Z276" s="65">
        <f>AVERAGEIF($C$36:$C$167,"=4",$BP$36:$BP$167)</f>
        <v>0.28500000000000003</v>
      </c>
      <c r="AA276" s="65">
        <f>AVERAGEIF($C$36:$C$167,"=4",$BQ$36:$BQ$167)</f>
        <v>0.49785714285714294</v>
      </c>
      <c r="AB276" s="65">
        <f>AVERAGEIF($C$36:$C$167,"=4",$BR$36:$BR$167)</f>
        <v>0.2035714285714286</v>
      </c>
      <c r="AC276" s="65">
        <f>AVERAGEIF($C$36:$C$167,"=4",$BS$36:$BS$167)</f>
        <v>1.5000000000000001E-2</v>
      </c>
    </row>
    <row r="277" spans="5:29" x14ac:dyDescent="0.25">
      <c r="E277" s="39" t="s">
        <v>250</v>
      </c>
      <c r="F277" s="65">
        <f>AVERAGEIF($C$36:$C$167,"=5",$F$36:$F$167)</f>
        <v>7.058823529411766E-2</v>
      </c>
      <c r="G277" s="65">
        <f t="shared" si="166"/>
        <v>0.53647058823529414</v>
      </c>
      <c r="H277" s="65">
        <f>AVERAGEIF($C$36:$C$167,"=5",$H$36:$H$167)</f>
        <v>0.41117647058823537</v>
      </c>
      <c r="I277" s="65">
        <f>AVERAGEIF($C$36:$C$167,"=5",$I$36:$I$167)</f>
        <v>1.4117647058823528E-2</v>
      </c>
      <c r="J277" s="65">
        <f>AVERAGEIF($C$36:$C$167,"=5",$R$36:$R$167)</f>
        <v>8.8235294117647078E-2</v>
      </c>
      <c r="K277" s="65">
        <f>AVERAGEIF($C$36:$C$167,"=5",$S$36:$S$167)</f>
        <v>0.44647058823529412</v>
      </c>
      <c r="L277" s="65">
        <f>AVERAGEIF($C$36:$C$167,"=5",$T$36:$T$167)</f>
        <v>0.44000000000000006</v>
      </c>
      <c r="M277" s="65">
        <f>AVERAGEIF($C$36:$C$167,"=5",$U$36:$U$167)</f>
        <v>2.5294117647058828E-2</v>
      </c>
      <c r="N277" s="65">
        <f>AVERAGEIF($C$36:$C$167,"=5",$AD$36:$AD$167)</f>
        <v>0.11611111111111112</v>
      </c>
      <c r="O277" s="65">
        <f>AVERAGEIF($C$36:$C$167,"=5",$AE$36:$AE$167)</f>
        <v>0.46055555555555561</v>
      </c>
      <c r="P277" s="65">
        <f>AVERAGEIF($C$36:$C$167,"=5",$AF$36:$AF$167)</f>
        <v>0.39111111111111119</v>
      </c>
      <c r="Q277" s="65">
        <f>AVERAGEIF($C$36:$C$167,"=5",$AG$36:$AG$167)</f>
        <v>3.2777777777777781E-2</v>
      </c>
      <c r="R277" s="65">
        <f>AVERAGEIF($C$36:$C$167,"=5",$AP$36:$AP$167)</f>
        <v>0.18526315789473688</v>
      </c>
      <c r="S277" s="65">
        <f>AVERAGEIF($C$36:$C$167,"=5",$AQ$36:$AQ$167)</f>
        <v>0.48052631578947363</v>
      </c>
      <c r="T277" s="65">
        <f>AVERAGEIF($C$36:$C$167,"=5",$AR$36:$AR$167)</f>
        <v>0.31052631578947371</v>
      </c>
      <c r="U277" s="65">
        <f>AVERAGEIF($C$36:$C$167,"=5",$AS$36:$AS$167)</f>
        <v>2.6315789473684209E-2</v>
      </c>
      <c r="V277" s="65">
        <f>AVERAGEIF($C$36:$C$167,"=5",$BB$36:$BB$167)</f>
        <v>0.10055555555555556</v>
      </c>
      <c r="W277" s="65">
        <f>AVERAGEIF($C$36:$C$167,"=5",$BC$36:$BC$167)</f>
        <v>0.44111111111111112</v>
      </c>
      <c r="X277" s="65">
        <f>AVERAGEIF($C$36:$C$167,"=5",$BD$36:$BD$167)</f>
        <v>0.435</v>
      </c>
      <c r="Y277" s="65">
        <f>AVERAGEIF($C$36:$C$167,"=5",$BE$36:$BE$167)</f>
        <v>2.4444444444444446E-2</v>
      </c>
      <c r="Z277" s="65">
        <f>AVERAGEIF($C$36:$C$167,"=5",$BP$36:$BP$167)</f>
        <v>0.15722222222222224</v>
      </c>
      <c r="AA277" s="65">
        <f>AVERAGEIF($C$36:$C$167,"=5",$BQ$36:$BQ$167)</f>
        <v>0.44333333333333336</v>
      </c>
      <c r="AB277" s="65">
        <f>AVERAGEIF($C$36:$C$167,"=5",$BR$36:$BR$167)</f>
        <v>0.36166666666666664</v>
      </c>
      <c r="AC277" s="65">
        <f>AVERAGEIF($C$36:$C$167,"=5",$BS$36:$BS$167)</f>
        <v>3.7222222222222233E-2</v>
      </c>
    </row>
    <row r="278" spans="5:29" x14ac:dyDescent="0.25">
      <c r="E278" s="39" t="s">
        <v>251</v>
      </c>
      <c r="F278" s="65">
        <f>AVERAGEIF($C$36:$C$167,"=6",$F$36:$F$167)</f>
        <v>0.13933333333333336</v>
      </c>
      <c r="G278" s="65">
        <f t="shared" si="166"/>
        <v>0.53647058823529414</v>
      </c>
      <c r="H278" s="65">
        <f>AVERAGEIF($C$36:$C$167,"=6",$H$36:$H$167)</f>
        <v>0.37199999999999994</v>
      </c>
      <c r="I278" s="65">
        <f>AVERAGEIF($C$36:$C$167,"=6",$I$36:$I$167)</f>
        <v>1.2666666666666666E-2</v>
      </c>
      <c r="J278" s="65">
        <f>AVERAGEIF($C$36:$C$167,"=6",$R$36:$R$167)</f>
        <v>0.16</v>
      </c>
      <c r="K278" s="65">
        <f>AVERAGEIF($C$36:$C$167,"=6",$S$36:$S$167)</f>
        <v>0.5013333333333333</v>
      </c>
      <c r="L278" s="65">
        <f>AVERAGEIF($C$36:$C$167,"=6",$T$36:$T$167)</f>
        <v>0.3246666666666666</v>
      </c>
      <c r="M278" s="65">
        <f>AVERAGEIF($C$36:$C$167,"=6",$U$36:$U$167)</f>
        <v>1.6666666666666666E-2</v>
      </c>
      <c r="N278" s="65">
        <f>AVERAGEIF($C$36:$C$167,"=6",$AD$36:$AD$167)</f>
        <v>0.18642857142857142</v>
      </c>
      <c r="O278" s="65">
        <f>AVERAGEIF($C$36:$C$167,"=6",$AE$36:$AE$167)</f>
        <v>0.50714285714285712</v>
      </c>
      <c r="P278" s="65">
        <f>AVERAGEIF($C$36:$C$167,"=6",$AF$36:$AF$167)</f>
        <v>0.28214285714285714</v>
      </c>
      <c r="Q278" s="65">
        <f>AVERAGEIF($C$36:$C$167,"=6",$AG$36:$AG$167)</f>
        <v>2.5714285714285714E-2</v>
      </c>
      <c r="R278" s="65">
        <f>AVERAGEIF($C$36:$C$167,"=6",$AP$36:$AP$167)</f>
        <v>0.2233333333333333</v>
      </c>
      <c r="S278" s="65">
        <f>AVERAGEIF($C$36:$C$167,"=6",$AQ$36:$AQ$167)</f>
        <v>0.51066666666666671</v>
      </c>
      <c r="T278" s="65">
        <f>AVERAGEIF($C$36:$C$167,"=6",$AR$36:$AR$167)</f>
        <v>0.25266666666666665</v>
      </c>
      <c r="U278" s="65">
        <f>AVERAGEIF($C$36:$C$167,"=6",$AS$36:$AS$167)</f>
        <v>1.4000000000000002E-2</v>
      </c>
      <c r="V278" s="65">
        <f>AVERAGEIF($C$36:$C$167,"=6",$BB$36:$BB$167)</f>
        <v>0.23470588235294115</v>
      </c>
      <c r="W278" s="65">
        <f>AVERAGEIF($C$36:$C$167,"=6",$BC$36:$BC$167)</f>
        <v>0.47823529411764709</v>
      </c>
      <c r="X278" s="65">
        <f>AVERAGEIF($C$36:$C$167,"=6",$BD$36:$BD$167)</f>
        <v>0.25882352941176479</v>
      </c>
      <c r="Y278" s="65">
        <f>AVERAGEIF($C$36:$C$167,"=6",$BE$36:$BE$167)</f>
        <v>2.8235294117647063E-2</v>
      </c>
      <c r="Z278" s="65">
        <f>AVERAGEIF($C$36:$C$167,"=6",$BP$36:$BP$167)</f>
        <v>0.20764705882352943</v>
      </c>
      <c r="AA278" s="65">
        <f>AVERAGEIF($C$36:$C$167,"=6",$BQ$36:$BQ$167)</f>
        <v>0.52882352941176469</v>
      </c>
      <c r="AB278" s="65">
        <f>AVERAGEIF($C$36:$C$167,"=6",$BR$36:$BR$167)</f>
        <v>0.25588235294117645</v>
      </c>
      <c r="AC278" s="65">
        <f>AVERAGEIF($C$36:$C$167,"=6",$BS$36:$BS$167)</f>
        <v>0.01</v>
      </c>
    </row>
  </sheetData>
  <sheetProtection algorithmName="SHA-512" hashValue="W87wjpC1QB6+D0KVdIT3YhGVR1+e4P8WsVeRRIj/10oYO+3Ok2WlpexykgEZDN2OSwuil58Tm5XI8axWsQmeRA==" saltValue="R+WNkxzBh1AmCj4G1NDdFg==" spinCount="100000" sheet="1" objects="1" scenarios="1"/>
  <sortState ref="A37:BK167">
    <sortCondition ref="A37:A167"/>
  </sortState>
  <mergeCells count="101">
    <mergeCell ref="AD185:AE185"/>
    <mergeCell ref="AF185:AG185"/>
    <mergeCell ref="AH184:AK184"/>
    <mergeCell ref="AH185:AI185"/>
    <mergeCell ref="AJ185:AK185"/>
    <mergeCell ref="CN7:DA7"/>
    <mergeCell ref="CN8:CN9"/>
    <mergeCell ref="CO8:CO9"/>
    <mergeCell ref="CP8:CP9"/>
    <mergeCell ref="CQ8:CQ9"/>
    <mergeCell ref="CR8:CU8"/>
    <mergeCell ref="CV8:DA8"/>
    <mergeCell ref="BZ7:CM7"/>
    <mergeCell ref="BZ8:BZ9"/>
    <mergeCell ref="CA8:CA9"/>
    <mergeCell ref="CB8:CB9"/>
    <mergeCell ref="CC8:CC9"/>
    <mergeCell ref="CD8:CG8"/>
    <mergeCell ref="CH8:CM8"/>
    <mergeCell ref="AN7:AY7"/>
    <mergeCell ref="AZ7:BK7"/>
    <mergeCell ref="AP8:AS8"/>
    <mergeCell ref="AT8:AY8"/>
    <mergeCell ref="AO8:AO9"/>
    <mergeCell ref="Z230:AC230"/>
    <mergeCell ref="Z271:AC271"/>
    <mergeCell ref="BL7:BY7"/>
    <mergeCell ref="BL8:BL9"/>
    <mergeCell ref="BN8:BN9"/>
    <mergeCell ref="BM8:BM9"/>
    <mergeCell ref="BO8:BO9"/>
    <mergeCell ref="BT8:BY8"/>
    <mergeCell ref="BP8:BS8"/>
    <mergeCell ref="AN184:BA184"/>
    <mergeCell ref="Z184:AC184"/>
    <mergeCell ref="Z185:AA185"/>
    <mergeCell ref="AB185:AC185"/>
    <mergeCell ref="AZ8:AZ9"/>
    <mergeCell ref="BA8:BA9"/>
    <mergeCell ref="AB7:AM7"/>
    <mergeCell ref="AD8:AG8"/>
    <mergeCell ref="AH8:AM8"/>
    <mergeCell ref="AB8:AB9"/>
    <mergeCell ref="AC8:AC9"/>
    <mergeCell ref="AN8:AN9"/>
    <mergeCell ref="AD230:AG230"/>
    <mergeCell ref="AH230:AK230"/>
    <mergeCell ref="AD184:AG184"/>
    <mergeCell ref="F271:I271"/>
    <mergeCell ref="J271:M271"/>
    <mergeCell ref="N271:Q271"/>
    <mergeCell ref="R271:U271"/>
    <mergeCell ref="V271:Y271"/>
    <mergeCell ref="E229:Y229"/>
    <mergeCell ref="F230:I230"/>
    <mergeCell ref="J230:M230"/>
    <mergeCell ref="N230:Q230"/>
    <mergeCell ref="R230:U230"/>
    <mergeCell ref="V230:Y230"/>
    <mergeCell ref="A1:Q1"/>
    <mergeCell ref="A3:Q3"/>
    <mergeCell ref="A4:Q4"/>
    <mergeCell ref="F8:I8"/>
    <mergeCell ref="J8:O8"/>
    <mergeCell ref="D7:O7"/>
    <mergeCell ref="P7:AA7"/>
    <mergeCell ref="D8:D9"/>
    <mergeCell ref="E8:E9"/>
    <mergeCell ref="P8:P9"/>
    <mergeCell ref="Q8:Q9"/>
    <mergeCell ref="A7:A9"/>
    <mergeCell ref="R8:U8"/>
    <mergeCell ref="V8:AA8"/>
    <mergeCell ref="B7:B9"/>
    <mergeCell ref="C7:C9"/>
    <mergeCell ref="N173:O173"/>
    <mergeCell ref="E172:O172"/>
    <mergeCell ref="Y172:AD172"/>
    <mergeCell ref="E173:E174"/>
    <mergeCell ref="F173:G173"/>
    <mergeCell ref="H173:I173"/>
    <mergeCell ref="J173:K173"/>
    <mergeCell ref="L173:M173"/>
    <mergeCell ref="P173:Q173"/>
    <mergeCell ref="R173:S173"/>
    <mergeCell ref="T173:U173"/>
    <mergeCell ref="F184:I184"/>
    <mergeCell ref="V184:Y184"/>
    <mergeCell ref="V185:W185"/>
    <mergeCell ref="X185:Y185"/>
    <mergeCell ref="F195:K195"/>
    <mergeCell ref="F185:G185"/>
    <mergeCell ref="H185:I185"/>
    <mergeCell ref="J185:K185"/>
    <mergeCell ref="L185:M185"/>
    <mergeCell ref="N184:Q184"/>
    <mergeCell ref="R184:U184"/>
    <mergeCell ref="P185:Q185"/>
    <mergeCell ref="R185:S185"/>
    <mergeCell ref="T185:U185"/>
    <mergeCell ref="N185:O185"/>
  </mergeCells>
  <pageMargins left="0.75" right="0.75" top="1" bottom="1" header="0.5" footer="0.5"/>
  <pageSetup orientation="portrait" horizontalDpi="300" verticalDpi="300" r:id="rId1"/>
  <headerFooter alignWithMargins="0"/>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18</vt:i4>
      </vt:variant>
      <vt:variant>
        <vt:lpstr>Rangos con nombre</vt:lpstr>
      </vt:variant>
      <vt:variant>
        <vt:i4>6</vt:i4>
      </vt:variant>
    </vt:vector>
  </HeadingPairs>
  <TitlesOfParts>
    <vt:vector size="24" baseType="lpstr">
      <vt:lpstr>GUÍA DE USO</vt:lpstr>
      <vt:lpstr>PGLOBAL</vt:lpstr>
      <vt:lpstr>Ficha técnica</vt:lpstr>
      <vt:lpstr>Clasificación</vt:lpstr>
      <vt:lpstr>PuntajeGlobal</vt:lpstr>
      <vt:lpstr>Promediosyniveles</vt:lpstr>
      <vt:lpstr>LC</vt:lpstr>
      <vt:lpstr>MATE</vt:lpstr>
      <vt:lpstr>SyC</vt:lpstr>
      <vt:lpstr>CN</vt:lpstr>
      <vt:lpstr>INGLES</vt:lpstr>
      <vt:lpstr>AprenLectura</vt:lpstr>
      <vt:lpstr>AprenMate</vt:lpstr>
      <vt:lpstr>AprenSyC</vt:lpstr>
      <vt:lpstr>AprenCNProVivos</vt:lpstr>
      <vt:lpstr>AprenCNProQuímicos</vt:lpstr>
      <vt:lpstr>AprenCNProFísicos</vt:lpstr>
      <vt:lpstr>AprenCNCTS</vt:lpstr>
      <vt:lpstr>AprenCNCTS!Área_de_impresión</vt:lpstr>
      <vt:lpstr>AprenCNProFísicos!Área_de_impresión</vt:lpstr>
      <vt:lpstr>AprenCNProQuímicos!Área_de_impresión</vt:lpstr>
      <vt:lpstr>AprenCNProVivos!Área_de_impresión</vt:lpstr>
      <vt:lpstr>AprenSyC!Área_de_impresión</vt:lpstr>
      <vt:lpstr>Promediosyniveles!Área_de_impresión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EVAL_ALUMNOS</dc:creator>
  <cp:lastModifiedBy>Nina Rangel Gamboa</cp:lastModifiedBy>
  <cp:lastPrinted>2023-01-18T14:19:11Z</cp:lastPrinted>
  <dcterms:created xsi:type="dcterms:W3CDTF">2019-12-17T16:58:00Z</dcterms:created>
  <dcterms:modified xsi:type="dcterms:W3CDTF">2024-01-11T16:32:32Z</dcterms:modified>
</cp:coreProperties>
</file>